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4"/>
    <sheet state="visible" name="MI_MonthlySummary (Management T" sheetId="2" r:id="rId5"/>
    <sheet state="visible" name="MI_Exceptions (Breaks &amp; Anomali" sheetId="3" r:id="rId6"/>
    <sheet state="visible" name="MI_Overview (Sector Snapshot)" sheetId="4" r:id="rId7"/>
    <sheet state="visible" name="Reliance" sheetId="5" r:id="rId8"/>
    <sheet state="visible" name="ONGC" sheetId="6" r:id="rId9"/>
    <sheet state="visible" name="NTPC" sheetId="7" r:id="rId10"/>
    <sheet state="visible" name="POWERGRID" sheetId="8" r:id="rId11"/>
    <sheet state="visible" name="COALINDIA" sheetId="9" r:id="rId12"/>
    <sheet state="visible" name="IOC" sheetId="10" r:id="rId13"/>
    <sheet state="visible" name="BPCL" sheetId="11" r:id="rId14"/>
    <sheet state="visible" name="HINDPETRO" sheetId="12" r:id="rId15"/>
    <sheet state="visible" name="ADANIGREEN" sheetId="13" r:id="rId16"/>
    <sheet state="visible" name="ADANIENSOL" sheetId="14" r:id="rId17"/>
  </sheets>
  <definedNames>
    <definedName hidden="1" localSheetId="0" name="_xlnm._FilterDatabase">'Master Sheet'!$A$1:$Z$10491</definedName>
  </definedNames>
  <calcPr/>
  <pivotCaches>
    <pivotCache cacheId="0" r:id="rId18"/>
  </pivotCaches>
</workbook>
</file>

<file path=xl/sharedStrings.xml><?xml version="1.0" encoding="utf-8"?>
<sst xmlns="http://schemas.openxmlformats.org/spreadsheetml/2006/main" count="112" uniqueCount="37">
  <si>
    <t>Daily % Change</t>
  </si>
  <si>
    <t>Abs % Change</t>
  </si>
  <si>
    <t>Month</t>
  </si>
  <si>
    <t>MonthStart</t>
  </si>
  <si>
    <t>ExceptionFlag</t>
  </si>
  <si>
    <t>VolSpike</t>
  </si>
  <si>
    <t>ExceptionType</t>
  </si>
  <si>
    <t>DQC</t>
  </si>
  <si>
    <t xml:space="preserve"> </t>
  </si>
  <si>
    <t>Values</t>
  </si>
  <si>
    <t>Company</t>
  </si>
  <si>
    <t>Avg Price</t>
  </si>
  <si>
    <t>Avg Volume</t>
  </si>
  <si>
    <t>Volatility %</t>
  </si>
  <si>
    <t>ADANIENSOL.NS</t>
  </si>
  <si>
    <t>ADANIGREEN.NS</t>
  </si>
  <si>
    <t>BPCL.NS</t>
  </si>
  <si>
    <t>COALINDIA.NS</t>
  </si>
  <si>
    <t>HINDPETRO.NS</t>
  </si>
  <si>
    <t>IOC.NS</t>
  </si>
  <si>
    <t>NTPC.NS</t>
  </si>
  <si>
    <t>ONGC.NS</t>
  </si>
  <si>
    <t>POWERGRID.NS</t>
  </si>
  <si>
    <t>RELIANCE.NS</t>
  </si>
  <si>
    <t>COUNTA of ExceptionType</t>
  </si>
  <si>
    <t>Apr-2025</t>
  </si>
  <si>
    <t>Aug-2025</t>
  </si>
  <si>
    <t>Dec-2024</t>
  </si>
  <si>
    <t>Feb-2025</t>
  </si>
  <si>
    <t>Jan-2025</t>
  </si>
  <si>
    <t>Jun-2025</t>
  </si>
  <si>
    <t>Mar-2025</t>
  </si>
  <si>
    <t>May-2025</t>
  </si>
  <si>
    <t>Nov-2024</t>
  </si>
  <si>
    <t>Oct-2024</t>
  </si>
  <si>
    <t>Sep-2024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</si>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</sst>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M/d/yyyy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14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491" sheet="Master Sheet"/>
  </cacheSource>
  <cacheFields>
    <cacheField name="Date" numFmtId="165">
      <sharedItems containsDate="1" containsString="0" containsBlank="1">
        <d v="2024-09-16T00:00:00Z"/>
        <d v="2024-09-17T00:00:00Z"/>
        <d v="2024-09-18T00:00:00Z"/>
        <d v="2024-09-19T00:00:00Z"/>
        <d v="2024-09-20T00:00:00Z"/>
        <d v="2024-09-23T00:00:00Z"/>
        <d v="2024-09-24T00:00:00Z"/>
        <d v="2024-09-25T00:00:00Z"/>
        <d v="2024-09-26T00:00:00Z"/>
        <d v="2024-09-27T00:00:00Z"/>
        <d v="2024-09-30T00:00:00Z"/>
        <d v="2024-10-01T00:00:00Z"/>
        <d v="2024-10-03T00:00:00Z"/>
        <d v="2024-10-04T00:00:00Z"/>
        <d v="2024-10-07T00:00:00Z"/>
        <d v="2024-10-08T00:00:00Z"/>
        <d v="2024-10-09T00:00:00Z"/>
        <d v="2024-10-10T00:00:00Z"/>
        <d v="2024-10-11T00:00:00Z"/>
        <d v="2024-10-14T00:00:00Z"/>
        <d v="2024-10-15T00:00:00Z"/>
        <d v="2024-10-16T00:00:00Z"/>
        <d v="2024-10-17T00:00:00Z"/>
        <d v="2024-10-18T00:00:00Z"/>
        <d v="2024-10-21T00:00:00Z"/>
        <d v="2024-10-22T00:00:00Z"/>
        <d v="2024-10-23T00:00:00Z"/>
        <d v="2024-10-24T00:00:00Z"/>
        <d v="2024-10-25T00:00:00Z"/>
        <d v="2024-10-28T00:00:00Z"/>
        <d v="2024-10-29T00:00:00Z"/>
        <d v="2024-10-30T00:00:00Z"/>
        <d v="2024-10-31T00:00:00Z"/>
        <d v="2024-11-04T00:00:00Z"/>
        <d v="2024-11-05T00:00:00Z"/>
        <d v="2024-11-06T00:00:00Z"/>
        <d v="2024-11-07T00:00:00Z"/>
        <d v="2024-11-08T00:00:00Z"/>
        <d v="2024-11-11T00:00:00Z"/>
        <d v="2024-11-12T00:00:00Z"/>
        <d v="2024-11-13T00:00:00Z"/>
        <d v="2024-11-14T00:00:00Z"/>
        <d v="2024-11-18T00:00:00Z"/>
        <d v="2024-11-19T00:00:00Z"/>
        <d v="2024-11-21T00:00:00Z"/>
        <d v="2024-11-22T00:00:00Z"/>
        <d v="2024-11-25T00:00:00Z"/>
        <d v="2024-11-26T00:00:00Z"/>
        <d v="2024-11-27T00:00:00Z"/>
        <d v="2024-11-28T00:00:00Z"/>
        <d v="2024-11-29T00:00:00Z"/>
        <d v="2024-12-02T00:00:00Z"/>
        <d v="2024-12-03T00:00:00Z"/>
        <d v="2024-12-04T00:00:00Z"/>
        <d v="2024-12-05T00:00:00Z"/>
        <d v="2024-12-06T00:00:00Z"/>
        <d v="2024-12-09T00:00:00Z"/>
        <d v="2024-12-10T00:00:00Z"/>
        <d v="2024-12-11T00:00:00Z"/>
        <d v="2024-12-12T00:00:00Z"/>
        <d v="2024-12-13T00:00:00Z"/>
        <d v="2024-12-16T00:00:00Z"/>
        <d v="2024-12-17T00:00:00Z"/>
        <d v="2024-12-18T00:00:00Z"/>
        <d v="2024-12-19T00:00:00Z"/>
        <d v="2024-12-20T00:00:00Z"/>
        <d v="2024-12-23T00:00:00Z"/>
        <d v="2024-12-24T00:00:00Z"/>
        <d v="2024-12-26T00:00:00Z"/>
        <d v="2024-12-27T00:00:00Z"/>
        <d v="2024-12-30T00:00:00Z"/>
        <d v="2024-12-31T00:00:00Z"/>
        <d v="2025-01-01T00:00:00Z"/>
        <d v="2025-01-02T00:00:00Z"/>
        <d v="2025-01-03T00:00:00Z"/>
        <d v="2025-01-06T00:00:00Z"/>
        <d v="2025-01-07T00:00:00Z"/>
        <d v="2025-01-08T00:00:00Z"/>
        <d v="2025-01-09T00:00:00Z"/>
        <d v="2025-01-10T00:00:00Z"/>
        <d v="2025-01-13T00:00:00Z"/>
        <d v="2025-01-14T00:00:00Z"/>
        <d v="2025-01-15T00:00:00Z"/>
        <d v="2025-01-16T00:00:00Z"/>
        <d v="2025-01-17T00:00:00Z"/>
        <d v="2025-01-20T00:00:00Z"/>
        <d v="2025-01-21T00:00:00Z"/>
        <d v="2025-01-22T00:00:00Z"/>
        <d v="2025-01-23T00:00:00Z"/>
        <d v="2025-01-24T00:00:00Z"/>
        <d v="2025-01-27T00:00:00Z"/>
        <d v="2025-01-28T00:00:00Z"/>
        <d v="2025-01-29T00:00:00Z"/>
        <d v="2025-01-30T00:00:00Z"/>
        <d v="2025-01-31T00:00:00Z"/>
        <d v="2025-02-03T00:00:00Z"/>
        <d v="2025-02-04T00:00:00Z"/>
        <d v="2025-02-05T00:00:00Z"/>
        <d v="2025-02-06T00:00:00Z"/>
        <d v="2025-02-07T00:00:00Z"/>
        <d v="2025-02-10T00:00:00Z"/>
        <d v="2025-02-11T00:00:00Z"/>
        <d v="2025-02-12T00:00:00Z"/>
        <d v="2025-02-13T00:00:00Z"/>
        <d v="2025-02-14T00:00:00Z"/>
        <d v="2025-02-17T00:00:00Z"/>
        <d v="2025-02-18T00:00:00Z"/>
        <d v="2025-02-19T00:00:00Z"/>
        <d v="2025-02-20T00:00:00Z"/>
        <d v="2025-02-21T00:00:00Z"/>
        <d v="2025-02-24T00:00:00Z"/>
        <d v="2025-02-25T00:00:00Z"/>
        <d v="2025-02-27T00:00:00Z"/>
        <d v="2025-02-28T00:00:00Z"/>
        <d v="2025-03-03T00:00:00Z"/>
        <d v="2025-03-04T00:00:00Z"/>
        <d v="2025-03-05T00:00:00Z"/>
        <d v="2025-03-06T00:00:00Z"/>
        <d v="2025-03-07T00:00:00Z"/>
        <d v="2025-03-10T00:00:00Z"/>
        <d v="2025-03-11T00:00:00Z"/>
        <d v="2025-03-12T00:00:00Z"/>
        <d v="2025-03-13T00:00:00Z"/>
        <d v="2025-03-17T00:00:00Z"/>
        <d v="2025-03-18T00:00:00Z"/>
        <d v="2025-03-19T00:00:00Z"/>
        <d v="2025-03-20T00:00:00Z"/>
        <d v="2025-03-21T00:00:00Z"/>
        <d v="2025-03-24T00:00:00Z"/>
        <d v="2025-03-25T00:00:00Z"/>
        <d v="2025-03-26T00:00:00Z"/>
        <d v="2025-03-27T00:00:00Z"/>
        <d v="2025-03-28T00:00:00Z"/>
        <d v="2025-04-01T00:00:00Z"/>
        <d v="2025-04-02T00:00:00Z"/>
        <d v="2025-04-03T00:00:00Z"/>
        <d v="2025-04-04T00:00:00Z"/>
        <d v="2025-04-07T00:00:00Z"/>
        <d v="2025-04-08T00:00:00Z"/>
        <d v="2025-04-09T00:00:00Z"/>
        <d v="2025-04-11T00:00:00Z"/>
        <d v="2025-04-15T00:00:00Z"/>
        <d v="2025-04-16T00:00:00Z"/>
        <d v="2025-04-17T00:00:00Z"/>
        <d v="2025-04-21T00:00:00Z"/>
        <d v="2025-04-22T00:00:00Z"/>
        <d v="2025-04-23T00:00:00Z"/>
        <d v="2025-04-24T00:00:00Z"/>
        <d v="2025-04-25T00:00:00Z"/>
        <d v="2025-04-28T00:00:00Z"/>
        <d v="2025-04-29T00:00:00Z"/>
        <d v="2025-04-30T00:00:00Z"/>
        <d v="2025-05-02T00:00:00Z"/>
        <d v="2025-05-05T00:00:00Z"/>
        <d v="2025-05-06T00:00:00Z"/>
        <d v="2025-05-07T00:00:00Z"/>
        <d v="2025-05-08T00:00:00Z"/>
        <d v="2025-05-09T00:00:00Z"/>
        <d v="2025-05-12T00:00:00Z"/>
        <d v="2025-05-13T00:00:00Z"/>
        <d v="2025-05-14T00:00:00Z"/>
        <d v="2025-05-15T00:00:00Z"/>
        <d v="2025-05-16T00:00:00Z"/>
        <d v="2025-05-19T00:00:00Z"/>
        <d v="2025-05-20T00:00:00Z"/>
        <d v="2025-05-21T00:00:00Z"/>
        <d v="2025-05-22T00:00:00Z"/>
        <d v="2025-05-23T00:00:00Z"/>
        <d v="2025-05-26T00:00:00Z"/>
        <d v="2025-05-27T00:00:00Z"/>
        <d v="2025-05-28T00:00:00Z"/>
        <d v="2025-05-29T00:00:00Z"/>
        <d v="2025-05-30T00:00:00Z"/>
        <d v="2025-06-02T00:00:00Z"/>
        <d v="2025-06-03T00:00:00Z"/>
        <d v="2025-06-04T00:00:00Z"/>
        <d v="2025-06-05T00:00:00Z"/>
        <d v="2025-06-06T00:00:00Z"/>
        <d v="2025-06-09T00:00:00Z"/>
        <d v="2025-06-10T00:00:00Z"/>
        <d v="2025-06-11T00:00:00Z"/>
        <d v="2025-06-12T00:00:00Z"/>
        <d v="2025-06-13T00:00:00Z"/>
        <d v="2025-06-16T00:00:00Z"/>
        <d v="2025-06-17T00:00:00Z"/>
        <d v="2025-06-18T00:00:00Z"/>
        <d v="2025-06-19T00:00:00Z"/>
        <d v="2025-06-20T00:00:00Z"/>
        <d v="2025-06-23T00:00:00Z"/>
        <d v="2025-06-24T00:00:00Z"/>
        <d v="2025-06-25T00:00:00Z"/>
        <d v="2025-06-26T00:00:00Z"/>
        <d v="2025-06-27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1T00:00:00Z"/>
        <d v="2025-07-14T00:00:00Z"/>
        <d v="2025-07-15T00:00:00Z"/>
        <d v="2025-07-16T00:00:00Z"/>
        <d v="2025-07-17T00:00:00Z"/>
        <d v="2025-07-18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4T00:00:00Z"/>
        <d v="2025-08-05T00:00:00Z"/>
        <d v="2025-08-06T00:00:00Z"/>
        <d v="2025-08-07T00:00:00Z"/>
        <d v="2025-08-08T00:00:00Z"/>
        <d v="2025-08-11T00:00:00Z"/>
        <d v="2025-08-12T00:00:00Z"/>
        <d v="2025-08-13T00:00:00Z"/>
        <d v="2025-08-14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8T00:00:00Z"/>
        <d v="2025-08-29T00:00:00Z"/>
        <d v="2025-09-01T00:00:00Z"/>
        <d v="2025-09-02T00:00:00Z"/>
        <d v="2025-09-03T00:00:00Z"/>
        <d v="2025-09-04T00:00:00Z"/>
        <d v="2025-09-05T00:00:00Z"/>
        <d v="2025-09-08T00:00:00Z"/>
        <d v="2025-09-09T00:00:00Z"/>
        <d v="2025-09-10T00:00:00Z"/>
        <d v="2025-09-11T00:00:00Z"/>
        <d v="2025-09-12T00:00:00Z"/>
        <d v="2025-09-15T00:00:00Z"/>
        <d v="2025-09-16T00:00:00Z"/>
        <m/>
      </sharedItems>
    </cacheField>
    <cacheField name="Open" numFmtId="164">
      <sharedItems containsString="0" containsBlank="1" containsNumber="1">
        <n v="990.5"/>
        <n v="1850.0"/>
        <n v="344.9"/>
        <n v="492.5"/>
        <n v="411.0"/>
        <n v="173.8"/>
        <n v="402.45"/>
        <n v="294.8"/>
        <n v="337.25"/>
        <n v="1477.55"/>
        <n v="985.0"/>
        <n v="1930.8"/>
        <n v="339.95"/>
        <n v="493.25"/>
        <n v="410.5"/>
        <n v="171.32"/>
        <n v="411.85"/>
        <n v="293.7"/>
        <n v="336.7"/>
        <n v="1474.0"/>
        <n v="988.0"/>
        <n v="1940.0"/>
        <n v="339.0"/>
        <n v="489.8"/>
        <n v="406.55"/>
        <n v="170.6"/>
        <n v="418.5"/>
        <n v="297.6"/>
        <n v="338.5"/>
        <n v="1470.0"/>
        <n v="993.1"/>
        <n v="1941.0"/>
        <n v="337.95"/>
        <n v="489.0"/>
        <n v="408.0"/>
        <n v="168.89"/>
        <n v="424.0"/>
        <n v="287.4"/>
        <n v="336.2"/>
        <n v="1466.25"/>
        <n v="976.2"/>
        <n v="1962.95"/>
        <n v="326.45"/>
        <n v="480.95"/>
        <n v="398.05"/>
        <n v="165.4"/>
        <n v="428.05"/>
        <n v="287.0"/>
        <n v="338.15"/>
        <n v="1025.2"/>
        <n v="2028.95"/>
        <n v="333.0"/>
        <n v="493.5"/>
        <n v="399.5"/>
        <n v="167.55"/>
        <n v="427.5"/>
        <n v="288.4"/>
        <n v="342.0"/>
        <n v="1491.0"/>
        <n v="1030.0"/>
        <n v="2037.6"/>
        <n v="338.55"/>
        <n v="505.0"/>
        <n v="402.9"/>
        <n v="169.17"/>
        <n v="431.45"/>
        <n v="296.3"/>
        <n v="344.55"/>
        <n v="1488.5"/>
        <n v="1049.0"/>
        <n v="2079.0"/>
        <n v="341.0"/>
        <n v="506.5"/>
        <n v="417.15"/>
        <n v="169.6"/>
        <n v="428.1"/>
        <n v="299.45"/>
        <n v="353.85"/>
        <n v="1483.9"/>
        <n v="1045.0"/>
        <n v="2080.0"/>
        <n v="340.0"/>
        <n v="506.0"/>
        <n v="418.2"/>
        <n v="170.21"/>
        <n v="437.95"/>
        <n v="297.05"/>
        <n v="364.05"/>
        <n v="1490.65"/>
        <n v="1036.1"/>
        <n v="2060.0"/>
        <n v="347.0"/>
        <n v="506.55"/>
        <n v="171.6"/>
        <n v="436.0"/>
        <n v="292.7"/>
        <n v="362.2"/>
        <n v="1499.0"/>
        <n v="1009.9"/>
        <n v="1985.0"/>
        <n v="367.15"/>
        <n v="513.0"/>
        <n v="179.71"/>
        <n v="436.9"/>
        <n v="297.0"/>
        <n v="354.25"/>
        <n v="1519.4"/>
        <n v="1013.95"/>
        <n v="1915.55"/>
        <n v="370.0"/>
        <n v="512.0"/>
        <n v="440.0"/>
        <n v="180.0"/>
        <n v="446.0"/>
        <n v="351.1"/>
        <n v="1480.65"/>
        <n v="1023.8"/>
        <n v="1865.0"/>
        <n v="353.75"/>
        <n v="499.5"/>
        <n v="429.0"/>
        <n v="173.22"/>
        <n v="432.0"/>
        <n v="295.0"/>
        <n v="343.0"/>
        <n v="1436.58"/>
        <n v="1016.0"/>
        <n v="1811.9"/>
        <n v="342.5"/>
        <n v="499.6"/>
        <n v="407.0"/>
        <n v="169.5"/>
        <n v="432.9"/>
        <n v="1403.93"/>
        <n v="976.0"/>
        <n v="1801.15"/>
        <n v="498.1"/>
        <n v="407.2"/>
        <n v="170.79"/>
        <n v="430.6"/>
        <n v="296.0"/>
        <n v="1393.5"/>
        <n v="931.0"/>
        <n v="1751.0"/>
        <n v="331.5"/>
        <n v="480.8"/>
        <n v="388.0"/>
        <n v="162.05"/>
        <n v="414.0"/>
        <n v="288.15"/>
        <n v="327.3"/>
        <n v="1372.98"/>
        <n v="1015.8"/>
        <n v="1827.0"/>
        <n v="345.0"/>
        <n v="492.0"/>
        <n v="400.0"/>
        <n v="167.79"/>
        <n v="424.45"/>
        <n v="291.25"/>
        <n v="327.0"/>
        <n v="1397.53"/>
        <n v="992.95"/>
        <n v="1804.7"/>
        <n v="488.7"/>
        <n v="397.5"/>
        <n v="165.17"/>
        <n v="420.7"/>
        <n v="288.7"/>
        <n v="330.2"/>
        <n v="1380.03"/>
        <n v="997.9"/>
        <n v="1782.0"/>
        <n v="335.45"/>
        <n v="487.5"/>
        <n v="392.0"/>
        <n v="164.39"/>
        <n v="423.95"/>
        <n v="291.3"/>
        <n v="334.45"/>
        <n v="1370.0"/>
        <n v="994.0"/>
        <n v="1793.0"/>
        <n v="494.95"/>
        <n v="164.15"/>
        <n v="424.6"/>
        <n v="330.05"/>
        <n v="1379.45"/>
        <n v="984.85"/>
        <n v="1777.0"/>
        <n v="344.2"/>
        <n v="498.3"/>
        <n v="168.0"/>
        <n v="426.65"/>
        <n v="286.4"/>
        <n v="333.45"/>
        <n v="1358.53"/>
        <n v="1010.75"/>
        <n v="1760.0"/>
        <n v="352.0"/>
        <n v="495.0"/>
        <n v="427.0"/>
        <n v="168.25"/>
        <n v="425.3"/>
        <n v="283.0"/>
        <n v="331.7"/>
        <n v="1340.0"/>
        <n v="1027.05"/>
        <n v="1750.05"/>
        <n v="349.15"/>
        <n v="495.75"/>
        <n v="431.95"/>
        <n v="423.65"/>
        <n v="285.0"/>
        <n v="328.5"/>
        <n v="1365.7"/>
        <n v="1015.55"/>
        <n v="1735.0"/>
        <n v="342.7"/>
        <n v="488.0"/>
        <n v="430.4"/>
        <n v="163.3"/>
        <n v="417.7"/>
        <n v="282.0"/>
        <n v="1352.18"/>
        <n v="1043.3"/>
        <n v="1741.0"/>
        <n v="342.55"/>
        <n v="433.0"/>
        <n v="165.1"/>
        <n v="426.05"/>
        <n v="281.15"/>
        <n v="1367.13"/>
        <n v="1017.5"/>
        <n v="1732.0"/>
        <n v="332.0"/>
        <n v="485.0"/>
        <n v="414.1"/>
        <n v="160.0"/>
        <n v="422.85"/>
        <n v="278.0"/>
        <n v="332.9"/>
        <n v="1369.2"/>
        <n v="1008.95"/>
        <n v="1684.45"/>
        <n v="322.0"/>
        <n v="468.35"/>
        <n v="402.1"/>
        <n v="154.9"/>
        <n v="270.0"/>
        <n v="319.2"/>
        <n v="1337.5"/>
        <n v="981.9"/>
        <n v="1691.0"/>
        <n v="323.0"/>
        <n v="474.1"/>
        <n v="396.0"/>
        <n v="152.94"/>
        <n v="409.25"/>
        <n v="271.9"/>
        <n v="315.25"/>
        <n v="1335.28"/>
        <n v="975.0"/>
        <n v="1700.0"/>
        <n v="323.45"/>
        <n v="478.1"/>
        <n v="406.0"/>
        <n v="153.5"/>
        <n v="402.5"/>
        <n v="321.5"/>
        <n v="1343.5"/>
        <n v="924.95"/>
        <n v="1644.0"/>
        <n v="307.3"/>
        <n v="452.0"/>
        <n v="380.0"/>
        <n v="148.6"/>
        <n v="398.9"/>
        <n v="260.65"/>
        <n v="314.5"/>
        <n v="1337.0"/>
        <n v="950.0"/>
        <n v="1615.0"/>
        <n v="312.0"/>
        <n v="444.2"/>
        <n v="384.95"/>
        <n v="141.01"/>
        <n v="409.0"/>
        <n v="263.35"/>
        <n v="316.1"/>
        <n v="1328.1"/>
        <n v="930.0"/>
        <n v="309.0"/>
        <n v="448.0"/>
        <n v="388.5"/>
        <n v="143.6"/>
        <n v="414.15"/>
        <n v="265.0"/>
        <n v="318.55"/>
        <n v="1335.0"/>
        <n v="943.0"/>
        <n v="1642.1"/>
        <n v="310.5"/>
        <n v="377.0"/>
        <n v="143.4"/>
        <n v="263.4"/>
        <n v="320.4"/>
        <n v="978.95"/>
        <n v="1625.0"/>
        <n v="313.0"/>
        <n v="458.0"/>
        <n v="382.0"/>
        <n v="144.58"/>
        <n v="413.85"/>
        <n v="274.0"/>
        <n v="324.55"/>
        <n v="1337.85"/>
        <n v="968.9"/>
        <n v="1600.0"/>
        <n v="301.0"/>
        <n v="429.1"/>
        <n v="365.0"/>
        <n v="137.99"/>
        <n v="265.2"/>
        <n v="312.35"/>
        <n v="1293.0"/>
        <n v="1015.0"/>
        <n v="1652.0"/>
        <n v="311.8"/>
        <n v="437.8"/>
        <n v="379.85"/>
        <n v="141.61"/>
        <n v="406.7"/>
        <n v="267.7"/>
        <n v="317.4"/>
        <n v="1310.0"/>
        <n v="1006.2"/>
        <n v="1725.85"/>
        <n v="316.35"/>
        <n v="390.85"/>
        <n v="144.66"/>
        <n v="410.9"/>
        <n v="270.5"/>
        <n v="319.0"/>
        <n v="1324.0"/>
        <n v="965.0"/>
        <n v="1640.05"/>
        <n v="315.0"/>
        <n v="435.35"/>
        <n v="395.85"/>
        <n v="143.81"/>
        <n v="403.15"/>
        <n v="265.95"/>
        <n v="311.85"/>
        <n v="1297.65"/>
        <n v="936.25"/>
        <n v="1590.1"/>
        <n v="308.0"/>
        <n v="423.0"/>
        <n v="383.0"/>
        <n v="138.8"/>
        <n v="398.15"/>
        <n v="262.35"/>
        <n v="313.55"/>
        <n v="1278.95"/>
        <n v="903.6"/>
        <n v="1550.0"/>
        <n v="314.1"/>
        <n v="422.5"/>
        <n v="384.1"/>
        <n v="139.6"/>
        <n v="393.15"/>
        <n v="260.85"/>
        <n v="1275.55"/>
        <n v="920.0"/>
        <n v="1503.0"/>
        <n v="307.95"/>
        <n v="375.0"/>
        <n v="138.24"/>
        <n v="384.0"/>
        <n v="256.15"/>
        <n v="322.65"/>
        <n v="1270.25"/>
        <n v="900.0"/>
        <n v="1480.0"/>
        <n v="305.8"/>
        <n v="372.5"/>
        <n v="135.5"/>
        <n v="380.05"/>
        <n v="252.55"/>
        <n v="315.1"/>
        <n v="1253.6"/>
        <n v="888.0"/>
        <n v="1512.45"/>
        <n v="298.15"/>
        <n v="413.95"/>
        <n v="372.4"/>
        <n v="135.13"/>
        <n v="251.1"/>
        <n v="314.0"/>
        <n v="1267.6"/>
        <n v="866.55"/>
        <n v="1448.05"/>
        <n v="292.65"/>
        <n v="415.95"/>
        <n v="366.0"/>
        <n v="134.86"/>
        <n v="368.0"/>
        <n v="250.0"/>
        <n v="313.05"/>
        <n v="1260.75"/>
        <n v="697.25"/>
        <n v="1160.0"/>
        <n v="287.45"/>
        <n v="413.05"/>
        <n v="362.15"/>
        <n v="133.12"/>
        <n v="363.7"/>
        <n v="248.0"/>
        <n v="316.0"/>
        <n v="1241.65"/>
        <n v="658.15"/>
        <n v="1085.0"/>
        <n v="282.6"/>
        <n v="407.4"/>
        <n v="362.0"/>
        <n v="131.49"/>
        <n v="357.05"/>
        <n v="244.8"/>
        <n v="325.8"/>
        <n v="1229.4"/>
        <n v="678.0"/>
        <n v="1080.2"/>
        <n v="292.05"/>
        <n v="421.0"/>
        <n v="368.95"/>
        <n v="135.77"/>
        <n v="374.0"/>
        <n v="248.5"/>
        <n v="341.85"/>
        <n v="1290.0"/>
        <n v="637.75"/>
        <n v="968.8"/>
        <n v="297.95"/>
        <n v="418.45"/>
        <n v="382.1"/>
        <n v="137.3"/>
        <n v="256.95"/>
        <n v="1294.95"/>
        <n v="601.1"/>
        <n v="890.0"/>
        <n v="296.95"/>
        <n v="420.0"/>
        <n v="385.9"/>
        <n v="138.14"/>
        <n v="363.8"/>
        <n v="255.0"/>
        <n v="1293.5"/>
        <n v="689.9"/>
        <n v="1020.0"/>
        <n v="294.45"/>
        <n v="381.9"/>
        <n v="139.2"/>
        <n v="369.7"/>
        <n v="339.25"/>
        <n v="1289.95"/>
        <n v="748.0"/>
        <n v="1149.0"/>
        <n v="292.4"/>
        <n v="415.3"/>
        <n v="381.45"/>
        <n v="137.0"/>
        <n v="363.25"/>
        <n v="253.8"/>
        <n v="331.35"/>
        <n v="1280.0"/>
        <n v="844.9"/>
        <n v="1360.55"/>
        <n v="418.4"/>
        <n v="383.1"/>
        <n v="138.22"/>
        <n v="363.65"/>
        <n v="255.5"/>
        <n v="328.15"/>
        <n v="1288.0"/>
        <n v="807.05"/>
        <n v="1344.0"/>
        <n v="297.5"/>
        <n v="425.0"/>
        <n v="385.0"/>
        <n v="138.0"/>
        <n v="359.0"/>
        <n v="260.4"/>
        <n v="324.25"/>
        <n v="1317.0"/>
        <n v="820.05"/>
        <n v="1320.0"/>
        <n v="294.2"/>
        <n v="422.1"/>
        <n v="139.51"/>
        <n v="263.85"/>
        <n v="329.05"/>
        <n v="1326.0"/>
        <n v="829.1"/>
        <n v="1270.0"/>
        <n v="295.1"/>
        <n v="418.15"/>
        <n v="390.5"/>
        <n v="140.39"/>
        <n v="372.75"/>
        <n v="260.7"/>
        <n v="325.0"/>
        <n v="1314.35"/>
        <n v="826.0"/>
        <n v="1236.05"/>
        <n v="297.9"/>
        <n v="393.85"/>
        <n v="140.65"/>
        <n v="369.45"/>
        <n v="260.8"/>
        <n v="327.1"/>
        <n v="1323.9"/>
        <n v="808.35"/>
        <n v="1210.65"/>
        <n v="300.95"/>
        <n v="418.0"/>
        <n v="399.05"/>
        <n v="141.96"/>
        <n v="370.9"/>
        <n v="260.05"/>
        <n v="327.75"/>
        <n v="1303.0"/>
        <n v="805.45"/>
        <n v="1224.95"/>
        <n v="302.3"/>
        <n v="415.5"/>
        <n v="142.1"/>
        <n v="369.0"/>
        <n v="257.65"/>
        <n v="331.85"/>
        <n v="1289.25"/>
        <n v="784.55"/>
        <n v="1171.0"/>
        <n v="303.45"/>
        <n v="416.0"/>
        <n v="404.9"/>
        <n v="143.49"/>
        <n v="369.25"/>
        <n v="257.5"/>
        <n v="327.25"/>
        <n v="1285.0"/>
        <n v="788.0"/>
        <n v="1143.85"/>
        <n v="307.05"/>
        <n v="416.5"/>
        <n v="410.0"/>
        <n v="142.25"/>
        <n v="258.0"/>
        <n v="328.0"/>
        <n v="818.9"/>
        <n v="1220.0"/>
        <n v="302.0"/>
        <n v="409.1"/>
        <n v="411.7"/>
        <n v="144.74"/>
        <n v="355.75"/>
        <n v="253.0"/>
        <n v="330.65"/>
        <n v="1260.0"/>
        <n v="830.0"/>
        <n v="1200.95"/>
        <n v="414.9"/>
        <n v="144.32"/>
        <n v="357.15"/>
        <n v="254.0"/>
        <n v="333.85"/>
        <n v="1275.0"/>
        <n v="811.5"/>
        <n v="1167.9"/>
        <n v="299.85"/>
        <n v="410.45"/>
        <n v="143.0"/>
        <n v="251.75"/>
        <n v="332.5"/>
        <n v="1261.05"/>
        <n v="815.9"/>
        <n v="1145.05"/>
        <n v="291.75"/>
        <n v="403.5"/>
        <n v="139.15"/>
        <n v="349.55"/>
        <n v="247.4"/>
        <n v="1240.65"/>
        <n v="775.0"/>
        <n v="1080.0"/>
        <n v="282.05"/>
        <n v="390.95"/>
        <n v="134.0"/>
        <n v="337.0"/>
        <n v="240.0"/>
        <n v="318.0"/>
        <n v="1239.0"/>
        <n v="799.0"/>
        <n v="1074.9"/>
        <n v="293.55"/>
        <n v="393.0"/>
        <n v="139.68"/>
        <n v="337.8"/>
        <n v="241.5"/>
        <n v="321.3"/>
        <n v="1224.0"/>
        <n v="781.35"/>
        <n v="1049.7"/>
        <n v="292.0"/>
        <n v="386.0"/>
        <n v="400.05"/>
        <n v="138.08"/>
        <n v="335.9"/>
        <n v="238.25"/>
        <n v="1215.0"/>
        <n v="1035.6"/>
        <n v="289.95"/>
        <n v="384.85"/>
        <n v="404.0"/>
        <n v="137.91"/>
        <n v="335.1"/>
        <n v="241.0"/>
        <n v="1222.3"/>
        <n v="773.1"/>
        <n v="1030.25"/>
        <n v="294.85"/>
        <n v="386.4"/>
        <n v="412.85"/>
        <n v="138.3"/>
        <n v="335.3"/>
        <n v="310.1"/>
        <n v="1224.25"/>
        <n v="798.95"/>
        <n v="1065.0"/>
        <n v="295.05"/>
        <n v="387.5"/>
        <n v="420.4"/>
        <n v="138.05"/>
        <n v="336.65"/>
        <n v="310.75"/>
        <n v="1218.3"/>
        <n v="808.55"/>
        <n v="1060.0"/>
        <n v="380.5"/>
        <n v="136.25"/>
        <n v="335.0"/>
        <n v="236.05"/>
        <n v="1216.4"/>
        <n v="818.4"/>
        <n v="1070.95"/>
        <n v="291.45"/>
        <n v="377.9"/>
        <n v="405.8"/>
        <n v="134.52"/>
        <n v="330.1"/>
        <n v="232.65"/>
        <n v="307.35"/>
        <n v="1208.0"/>
        <n v="808.8"/>
        <n v="1040.7"/>
        <n v="292.3"/>
        <n v="383.55"/>
        <n v="135.8"/>
        <n v="237.81"/>
        <n v="308.7"/>
        <n v="1214.85"/>
        <n v="808.0"/>
        <n v="1048.0"/>
        <n v="295.3"/>
        <n v="388.4"/>
        <n v="412.25"/>
        <n v="136.41"/>
        <n v="333.65"/>
        <n v="237.05"/>
        <n v="309.85"/>
        <n v="1221.25"/>
        <n v="810.85"/>
        <n v="1049.65"/>
        <n v="413.5"/>
        <n v="137.72"/>
        <n v="338.05"/>
        <n v="248.45"/>
        <n v="1243.9"/>
        <n v="815.05"/>
        <n v="1039.0"/>
        <n v="296.4"/>
        <n v="394.05"/>
        <n v="341.7"/>
        <n v="259.11"/>
        <n v="315.8"/>
        <n v="1253.95"/>
        <n v="777.0"/>
        <n v="986.95"/>
        <n v="287.1"/>
        <n v="380.55"/>
        <n v="391.9"/>
        <n v="133.49"/>
        <n v="259.15"/>
        <n v="306.0"/>
        <n v="1222.0"/>
        <n v="781.95"/>
        <n v="1010.0"/>
        <n v="282.8"/>
        <n v="386.5"/>
        <n v="134.15"/>
        <n v="330.5"/>
        <n v="266.45"/>
        <n v="306.15"/>
        <n v="1249.0"/>
        <n v="775.65"/>
        <n v="989.5"/>
        <n v="381.55"/>
        <n v="134.64"/>
        <n v="324.05"/>
        <n v="272.03"/>
        <n v="306.65"/>
        <n v="1267.0"/>
        <n v="751.5"/>
        <n v="970.05"/>
        <n v="280.5"/>
        <n v="371.4"/>
        <n v="387.55"/>
        <n v="132.2"/>
        <n v="320.35"/>
        <n v="264.0"/>
        <n v="304.05"/>
        <n v="1253.85"/>
        <n v="719.0"/>
        <n v="937.8"/>
        <n v="271.25"/>
        <n v="366.1"/>
        <n v="376.55"/>
        <n v="128.03"/>
        <n v="301.1"/>
        <n v="266.03"/>
        <n v="1230.0"/>
        <n v="702.95"/>
        <n v="898.05"/>
        <n v="267.1"/>
        <n v="123.0"/>
        <n v="300.45"/>
        <n v="257.52"/>
        <n v="287.75"/>
        <n v="1244.1"/>
        <n v="783.65"/>
        <n v="1040.0"/>
        <n v="273.9"/>
        <n v="371.9"/>
        <n v="377.5"/>
        <n v="128.26"/>
        <n v="312.55"/>
        <n v="260.9"/>
        <n v="1244.95"/>
        <n v="817.95"/>
        <n v="1107.05"/>
        <n v="267.35"/>
        <n v="378.45"/>
        <n v="364.0"/>
        <n v="127.95"/>
        <n v="324.7"/>
        <n v="260.0"/>
        <n v="299.0"/>
        <n v="1258.9"/>
        <n v="796.0"/>
        <n v="1078.9"/>
        <n v="268.8"/>
        <n v="358.35"/>
        <n v="127.0"/>
        <n v="325.3"/>
        <n v="262.0"/>
        <n v="297.65"/>
        <n v="1322.25"/>
        <n v="815.0"/>
        <n v="1082.0"/>
        <n v="275.0"/>
        <n v="389.6"/>
        <n v="360.0"/>
        <n v="128.85"/>
        <n v="326.2"/>
        <n v="268.1"/>
        <n v="302.6"/>
        <n v="1316.0"/>
        <n v="819.0"/>
        <n v="1063.3"/>
        <n v="278.55"/>
        <n v="363.0"/>
        <n v="131.7"/>
        <n v="268.05"/>
        <n v="307.0"/>
        <n v="1310.5"/>
        <n v="825.0"/>
        <n v="381.5"/>
        <n v="373.8"/>
        <n v="266.0"/>
        <n v="1278.3"/>
        <n v="795.1"/>
        <n v="1026.0"/>
        <n v="373.0"/>
        <n v="130.4"/>
        <n v="321.0"/>
        <n v="263.0"/>
        <n v="814.0"/>
        <n v="1037.25"/>
        <n v="386.05"/>
        <n v="374.2"/>
        <n v="130.99"/>
        <n v="324.8"/>
        <n v="262.99"/>
        <n v="1266.0"/>
        <n v="779.25"/>
        <n v="995.1"/>
        <n v="263.7"/>
        <n v="380.9"/>
        <n v="350.4"/>
        <n v="127.97"/>
        <n v="323.65"/>
        <n v="1239.1"/>
        <n v="753.0"/>
        <n v="999.0"/>
        <n v="262.25"/>
        <n v="376.0"/>
        <n v="350.0"/>
        <n v="124.17"/>
        <n v="322.5"/>
        <n v="287.15"/>
        <n v="1238.0"/>
        <n v="750.95"/>
        <n v="989.0"/>
        <n v="350.85"/>
        <n v="123.19"/>
        <n v="320.0"/>
        <n v="248.9"/>
        <n v="285.35"/>
        <n v="1236.0"/>
        <n v="751.95"/>
        <n v="986.0"/>
        <n v="259.9"/>
        <n v="381.7"/>
        <n v="348.95"/>
        <n v="124.4"/>
        <n v="322.25"/>
        <n v="252.0"/>
        <n v="287.85"/>
        <n v="1235.55"/>
        <n v="748.9"/>
        <n v="973.9"/>
        <n v="257.9"/>
        <n v="379.5"/>
        <n v="351.0"/>
        <n v="127.12"/>
        <n v="322.45"/>
        <n v="257.01"/>
        <n v="1255.85"/>
        <n v="740.0"/>
        <n v="994.9"/>
        <n v="250.95"/>
        <n v="330.0"/>
        <n v="124.11"/>
        <n v="255.6"/>
        <n v="290.0"/>
        <n v="1251.0"/>
        <n v="734.9"/>
        <n v="973.2"/>
        <n v="250.65"/>
        <n v="122.7"/>
        <n v="314.85"/>
        <n v="252.4"/>
        <n v="281.0"/>
        <n v="1248.05"/>
        <n v="752.0"/>
        <n v="987.05"/>
        <n v="260.25"/>
        <n v="378.0"/>
        <n v="342.1"/>
        <n v="125.49"/>
        <n v="259.0"/>
        <n v="285.6"/>
        <n v="1282.65"/>
        <n v="780.9"/>
        <n v="1025.9"/>
        <n v="382.8"/>
        <n v="348.6"/>
        <n v="128.05"/>
        <n v="322.6"/>
        <n v="262.65"/>
        <n v="287.5"/>
        <n v="1273.7"/>
        <n v="773.95"/>
        <n v="999.9"/>
        <n v="262.1"/>
        <n v="126.03"/>
        <n v="313.5"/>
        <n v="252.95"/>
        <n v="273.1"/>
        <n v="1276.15"/>
        <n v="776.9"/>
        <n v="996.0"/>
        <n v="264.55"/>
        <n v="125.0"/>
        <n v="316.5"/>
        <n v="248.95"/>
        <n v="1264.5"/>
        <n v="741.8"/>
        <n v="259.5"/>
        <n v="338.3"/>
        <n v="123.18"/>
        <n v="242.45"/>
        <n v="268.7"/>
        <n v="1264.55"/>
        <n v="738.0"/>
        <n v="950.05"/>
        <n v="255.15"/>
        <n v="359.9"/>
        <n v="120.69"/>
        <n v="306.2"/>
        <n v="239.0"/>
        <n v="1219.45"/>
        <n v="760.2"/>
        <n v="927.05"/>
        <n v="256.2"/>
        <n v="121.0"/>
        <n v="238.5"/>
        <n v="257.25"/>
        <n v="1217.05"/>
        <n v="747.45"/>
        <n v="256.4"/>
        <n v="363.9"/>
        <n v="120.5"/>
        <n v="306.85"/>
        <n v="235.0"/>
        <n v="1219.0"/>
        <n v="703.85"/>
        <n v="878.95"/>
        <n v="251.0"/>
        <n v="354.2"/>
        <n v="312.65"/>
        <n v="117.25"/>
        <n v="230.2"/>
        <n v="256.9"/>
        <n v="1211.1"/>
        <n v="706.8"/>
        <n v="899.0"/>
        <n v="252.25"/>
        <n v="360.25"/>
        <n v="118.45"/>
        <n v="301.15"/>
        <n v="232.2"/>
        <n v="1224.85"/>
        <n v="667.1"/>
        <n v="875.25"/>
        <n v="318.95"/>
        <n v="118.11"/>
        <n v="311.2"/>
        <n v="236.0"/>
        <n v="262.5"/>
        <n v="1219.5"/>
        <n v="669.9"/>
        <n v="861.0"/>
        <n v="323.8"/>
        <n v="119.84"/>
        <n v="236.8"/>
        <n v="262.75"/>
        <n v="1223.95"/>
        <n v="680.95"/>
        <n v="864.95"/>
        <n v="367.55"/>
        <n v="331.0"/>
        <n v="122.0"/>
        <n v="323.3"/>
        <n v="241.9"/>
        <n v="265.3"/>
        <n v="1228.7"/>
        <n v="670.0"/>
        <n v="840.0"/>
        <n v="251.25"/>
        <n v="368.05"/>
        <n v="320.9"/>
        <n v="120.25"/>
        <n v="322.1"/>
        <n v="236.3"/>
        <n v="1216.55"/>
        <n v="672.3"/>
        <n v="836.5"/>
        <n v="251.9"/>
        <n v="319.3"/>
        <n v="120.22"/>
        <n v="320.1"/>
        <n v="258.8"/>
        <n v="1211.0"/>
        <n v="673.5"/>
        <n v="848.65"/>
        <n v="311.0"/>
        <n v="118.26"/>
        <n v="315.35"/>
        <n v="233.5"/>
        <n v="1212.8"/>
        <n v="661.7"/>
        <n v="244.05"/>
        <n v="366.8"/>
        <n v="305.0"/>
        <n v="116.0"/>
        <n v="230.0"/>
        <n v="255.9"/>
        <n v="1202.0"/>
        <n v="652.55"/>
        <n v="114.7"/>
        <n v="311.3"/>
        <n v="224.75"/>
        <n v="1204.0"/>
        <n v="649.45"/>
        <n v="783.2"/>
        <n v="356.1"/>
        <n v="294.1"/>
        <n v="113.1"/>
        <n v="220.1"/>
        <n v="1162.2"/>
        <n v="647.0"/>
        <n v="769.0"/>
        <n v="249.9"/>
        <n v="362.05"/>
        <n v="314.05"/>
        <n v="118.04"/>
        <n v="227.12"/>
        <n v="1161.0"/>
        <n v="868.8"/>
        <n v="370.05"/>
        <n v="334.7"/>
        <n v="124.6"/>
        <n v="329.0"/>
        <n v="231.49"/>
        <n v="265.15"/>
        <n v="1197.0"/>
        <n v="730.0"/>
        <n v="264.96"/>
        <n v="382.6"/>
        <n v="338.9"/>
        <n v="125.75"/>
        <n v="335.85"/>
        <n v="232.6"/>
        <n v="1216.0"/>
        <n v="747.0"/>
        <n v="840.9"/>
        <n v="261.26"/>
        <n v="380.7"/>
        <n v="336.5"/>
        <n v="124.0"/>
        <n v="329.45"/>
        <n v="232.89"/>
        <n v="261.05"/>
        <n v="1245.0"/>
        <n v="745.0"/>
        <n v="819.25"/>
        <n v="255.99"/>
        <n v="371.0"/>
        <n v="324.0"/>
        <n v="121.19"/>
        <n v="220.9"/>
        <n v="1240.0"/>
        <n v="765.0"/>
        <n v="834.4"/>
        <n v="266.5"/>
        <n v="379.55"/>
        <n v="334.55"/>
        <n v="227.1"/>
        <n v="270.7"/>
        <n v="1258.0"/>
        <n v="783.8"/>
        <n v="874.0"/>
        <n v="266.32"/>
        <n v="327.35"/>
        <n v="228.15"/>
        <n v="269.8"/>
        <n v="1260.05"/>
        <n v="779.8"/>
        <n v="873.65"/>
        <n v="261.11"/>
        <n v="380.2"/>
        <n v="325.85"/>
        <n v="332.95"/>
        <n v="226.52"/>
        <n v="1242.15"/>
        <n v="800.7"/>
        <n v="904.7"/>
        <n v="262.15"/>
        <n v="387.45"/>
        <n v="325.95"/>
        <n v="124.5"/>
        <n v="333.3"/>
        <n v="230.84"/>
        <n v="269.15"/>
        <n v="1244.7"/>
        <n v="801.1"/>
        <n v="904.05"/>
        <n v="263.51"/>
        <n v="390.05"/>
        <n v="326.0"/>
        <n v="125.31"/>
        <n v="232.5"/>
        <n v="272.0"/>
        <n v="1241.05"/>
        <n v="820.0"/>
        <n v="920.3"/>
        <n v="266.6"/>
        <n v="397.7"/>
        <n v="330.8"/>
        <n v="128.4"/>
        <n v="344.7"/>
        <n v="233.48"/>
        <n v="283.5"/>
        <n v="1251.85"/>
        <n v="925.0"/>
        <n v="272.2"/>
        <n v="396.4"/>
        <n v="336.0"/>
        <n v="129.26"/>
        <n v="235.8"/>
        <n v="838.75"/>
        <n v="972.0"/>
        <n v="407.95"/>
        <n v="133.0"/>
        <n v="357.0"/>
        <n v="244.19"/>
        <n v="1291.0"/>
        <n v="822.0"/>
        <n v="959.0"/>
        <n v="280.57"/>
        <n v="359.05"/>
        <n v="244.01"/>
        <n v="291.0"/>
        <n v="1307.7"/>
        <n v="817.05"/>
        <n v="921.95"/>
        <n v="398.5"/>
        <n v="360.15"/>
        <n v="130.9"/>
        <n v="366.95"/>
        <n v="243.35"/>
        <n v="291.7"/>
        <n v="803.0"/>
        <n v="910.0"/>
        <n v="273.39"/>
        <n v="393.25"/>
        <n v="350.75"/>
        <n v="129.05"/>
        <n v="353.9"/>
        <n v="238.87"/>
        <n v="289.0"/>
        <n v="1278.15"/>
        <n v="872.85"/>
        <n v="967.85"/>
        <n v="276.99"/>
        <n v="397.0"/>
        <n v="363.75"/>
        <n v="130.0"/>
        <n v="243.44"/>
        <n v="293.9"/>
        <n v="857.4"/>
        <n v="948.0"/>
        <n v="397.8"/>
        <n v="354.8"/>
        <n v="128.0"/>
        <n v="352.35"/>
        <n v="247.0"/>
        <n v="289.6"/>
        <n v="1264.6"/>
        <n v="864.7"/>
        <n v="926.9"/>
        <n v="283.05"/>
        <n v="401.6"/>
        <n v="360.1"/>
        <n v="130.82"/>
        <n v="352.15"/>
        <n v="250.05"/>
        <n v="286.85"/>
        <n v="1247.55"/>
        <n v="855.0"/>
        <n v="927.0"/>
        <n v="395.0"/>
        <n v="361.0"/>
        <n v="130.1"/>
        <n v="351.75"/>
        <n v="289.35"/>
        <n v="1233.05"/>
        <n v="881.1"/>
        <n v="949.95"/>
        <n v="292.15"/>
        <n v="132.91"/>
        <n v="358.85"/>
        <n v="240.56"/>
        <n v="300.0"/>
        <n v="1241.1"/>
        <n v="780.5"/>
        <n v="850.0"/>
        <n v="122.45"/>
        <n v="208.0"/>
        <n v="283.6"/>
        <n v="1132.2"/>
        <n v="835.0"/>
        <n v="279.5"/>
        <n v="129.48"/>
        <n v="356.85"/>
        <n v="223.0"/>
        <n v="291.95"/>
        <n v="1172.0"/>
        <n v="835.35"/>
        <n v="382.3"/>
        <n v="372.0"/>
        <n v="132.0"/>
        <n v="354.0"/>
        <n v="222.0"/>
        <n v="1169.5"/>
        <n v="860.7"/>
        <n v="296.45"/>
        <n v="389.95"/>
        <n v="384.5"/>
        <n v="132.5"/>
        <n v="228.3"/>
        <n v="293.25"/>
        <n v="1195.15"/>
        <n v="855.65"/>
        <n v="296.8"/>
        <n v="399.0"/>
        <n v="386.55"/>
        <n v="133.4"/>
        <n v="367.0"/>
        <n v="234.0"/>
        <n v="307.2"/>
        <n v="884.9"/>
        <n v="936.95"/>
        <n v="294.0"/>
        <n v="395.25"/>
        <n v="378.5"/>
        <n v="132.99"/>
        <n v="362.5"/>
        <n v="232.69"/>
        <n v="304.45"/>
        <n v="1234.1"/>
        <n v="896.05"/>
        <n v="945.6"/>
        <n v="298.0"/>
        <n v="396.9"/>
        <n v="389.9"/>
        <n v="133.5"/>
        <n v="359.25"/>
        <n v="305.45"/>
        <n v="1240.2"/>
        <n v="924.0"/>
        <n v="954.7"/>
        <n v="399.25"/>
        <n v="387.7"/>
        <n v="135.17"/>
        <n v="365.8"/>
        <n v="310.0"/>
        <n v="941.9"/>
        <n v="962.0"/>
        <n v="395.9"/>
        <n v="367.05"/>
        <n v="248.97"/>
        <n v="319.75"/>
        <n v="1300.0"/>
        <n v="935.7"/>
        <n v="306.1"/>
        <n v="138.95"/>
        <n v="362.95"/>
        <n v="248.74"/>
        <n v="314.15"/>
        <n v="1297.0"/>
        <n v="940.0"/>
        <n v="956.9"/>
        <n v="302.95"/>
        <n v="390.0"/>
        <n v="137.65"/>
        <n v="314.9"/>
        <n v="1292.4"/>
        <n v="978.0"/>
        <n v="974.0"/>
        <n v="302.35"/>
        <n v="400.3"/>
        <n v="390.4"/>
        <n v="138.4"/>
        <n v="363.2"/>
        <n v="249.0"/>
        <n v="1303.5"/>
        <n v="914.0"/>
        <n v="915.35"/>
        <n v="293.1"/>
        <n v="133.81"/>
        <n v="353.7"/>
        <n v="246.0"/>
        <n v="304.2"/>
        <n v="929.9"/>
        <n v="960.0"/>
        <n v="311.55"/>
        <n v="397.15"/>
        <n v="393.1"/>
        <n v="251.24"/>
        <n v="308.55"/>
        <n v="1371.0"/>
        <n v="919.7"/>
        <n v="922.8"/>
        <n v="389.1"/>
        <n v="136.5"/>
        <n v="245.5"/>
        <n v="1402.0"/>
        <n v="900.05"/>
        <n v="902.05"/>
        <n v="310.55"/>
        <n v="385.5"/>
        <n v="379.95"/>
        <n v="139.79"/>
        <n v="354.55"/>
        <n v="305.5"/>
        <n v="1414.0"/>
        <n v="911.0"/>
        <n v="912.7"/>
        <n v="317.0"/>
        <n v="385.95"/>
        <n v="145.0"/>
        <n v="304.8"/>
        <n v="1431.0"/>
        <n v="939.0"/>
        <n v="966.0"/>
        <n v="321.1"/>
        <n v="149.3"/>
        <n v="349.0"/>
        <n v="241.13"/>
        <n v="307.6"/>
        <n v="878.0"/>
        <n v="901.2"/>
        <n v="370.3"/>
        <n v="394.0"/>
        <n v="140.0"/>
        <n v="338.0"/>
        <n v="232.3"/>
        <n v="1420.9"/>
        <n v="880.05"/>
        <n v="926.05"/>
        <n v="315.5"/>
        <n v="144.54"/>
        <n v="341.05"/>
        <n v="237.66"/>
        <n v="313.4"/>
        <n v="1404.1"/>
        <n v="811.0"/>
        <n v="859.4"/>
        <n v="302.55"/>
        <n v="379.1"/>
        <n v="382.2"/>
        <n v="334.2"/>
        <n v="229.1"/>
        <n v="1385.5"/>
        <n v="860.0"/>
        <n v="914.9"/>
        <n v="391.95"/>
        <n v="144.0"/>
        <n v="340.4"/>
        <n v="1400.0"/>
        <n v="940.55"/>
        <n v="309.05"/>
        <n v="395.5"/>
        <n v="142.35"/>
        <n v="244.15"/>
        <n v="1433.5"/>
        <n v="903.95"/>
        <n v="396.75"/>
        <n v="392.8"/>
        <n v="141.99"/>
        <n v="342.45"/>
        <n v="241.16"/>
        <n v="299.2"/>
        <n v="1420.0"/>
        <n v="894.95"/>
        <n v="972.1"/>
        <n v="403.75"/>
        <n v="339.5"/>
        <n v="244.95"/>
        <n v="295.9"/>
        <n v="1425.0"/>
        <n v="912.1"/>
        <n v="971.45"/>
        <n v="404.45"/>
        <n v="247.06"/>
        <n v="1453.2"/>
        <n v="1031.95"/>
        <n v="405.95"/>
        <n v="410.1"/>
        <n v="343.1"/>
        <n v="1452.1"/>
        <n v="894.45"/>
        <n v="405.5"/>
        <n v="346.9"/>
        <n v="246.79"/>
        <n v="304.4"/>
        <n v="1438.2"/>
        <n v="869.9"/>
        <n v="312.3"/>
        <n v="411.65"/>
        <n v="141.6"/>
        <n v="251.5"/>
        <n v="297.75"/>
        <n v="1423.9"/>
        <n v="869.0"/>
        <n v="996.1"/>
        <n v="405.0"/>
        <n v="142.59"/>
        <n v="346.15"/>
        <n v="248.68"/>
        <n v="1421.2"/>
        <n v="884.5"/>
        <n v="987.0"/>
        <n v="400.2"/>
        <n v="143.28"/>
        <n v="242.5"/>
        <n v="1406.6"/>
        <n v="877.95"/>
        <n v="997.0"/>
        <n v="402.55"/>
        <n v="408.8"/>
        <n v="144.06"/>
        <n v="245.3"/>
        <n v="300.05"/>
        <n v="1432.0"/>
        <n v="880.0"/>
        <n v="1011.5"/>
        <n v="322.9"/>
        <n v="414.95"/>
        <n v="143.58"/>
        <n v="344.0"/>
        <n v="246.85"/>
        <n v="1426.1"/>
        <n v="881.8"/>
        <n v="1013.2"/>
        <n v="401.0"/>
        <n v="412.15"/>
        <n v="143.39"/>
        <n v="338.6"/>
        <n v="244.64"/>
        <n v="294.55"/>
        <n v="1420.1"/>
        <n v="877.7"/>
        <n v="1009.2"/>
        <n v="321.2"/>
        <n v="418.85"/>
        <n v="144.25"/>
        <n v="243.6"/>
        <n v="291.35"/>
        <n v="1412.1"/>
        <n v="881.05"/>
        <n v="1019.5"/>
        <n v="317.55"/>
        <n v="398.95"/>
        <n v="414.75"/>
        <n v="143.7"/>
        <n v="337.5"/>
        <n v="243.04"/>
        <n v="1418.0"/>
        <n v="874.8"/>
        <n v="1018.5"/>
        <n v="318.4"/>
        <n v="409.6"/>
        <n v="141.97"/>
        <n v="333.9"/>
        <n v="290.3"/>
        <n v="876.55"/>
        <n v="1009.1"/>
        <n v="315.05"/>
        <n v="399.7"/>
        <n v="407.5"/>
        <n v="143.9"/>
        <n v="240.5"/>
        <n v="292.5"/>
        <n v="1422.3"/>
        <n v="860.5"/>
        <n v="997.5"/>
        <n v="309.75"/>
        <n v="392.85"/>
        <n v="141.0"/>
        <n v="238.0"/>
        <n v="288.25"/>
        <n v="1414.7"/>
        <n v="869.95"/>
        <n v="1006.0"/>
        <n v="311.1"/>
        <n v="394.6"/>
        <n v="408.5"/>
        <n v="140.66"/>
        <n v="329.2"/>
        <n v="238.05"/>
        <n v="1428.0"/>
        <n v="875.65"/>
        <n v="1008.0"/>
        <n v="397.85"/>
        <n v="402.25"/>
        <n v="139.24"/>
        <n v="329.65"/>
        <n v="237.79"/>
        <n v="1441.0"/>
        <n v="888.5"/>
        <n v="1024.2"/>
        <n v="317.8"/>
        <n v="400.9"/>
        <n v="407.05"/>
        <n v="241.78"/>
        <n v="1457.0"/>
        <n v="907.15"/>
        <n v="1039.7"/>
        <n v="403.0"/>
        <n v="143.15"/>
        <n v="338.8"/>
        <n v="244.25"/>
        <n v="300.55"/>
        <n v="1450.0"/>
        <n v="919.85"/>
        <n v="1066.0"/>
        <n v="320.3"/>
        <n v="400.1"/>
        <n v="406.65"/>
        <n v="142.4"/>
        <n v="244.5"/>
        <n v="1445.8"/>
        <n v="908.4"/>
        <n v="1050.0"/>
        <n v="402.0"/>
        <n v="144.68"/>
        <n v="295.15"/>
        <n v="1453.5"/>
        <n v="139.0"/>
        <n v="326.8"/>
        <n v="255.55"/>
        <n v="282.55"/>
        <n v="1424.0"/>
        <n v="309.95"/>
        <n v="391.0"/>
        <n v="253.99"/>
        <n v="287.95"/>
        <n v="1426.9"/>
        <n v="866.0"/>
        <n v="992.8"/>
        <n v="393.95"/>
        <n v="141.3"/>
        <n v="334.0"/>
        <n v="256.94"/>
        <n v="288.65"/>
        <n v="1448.0"/>
        <n v="848.95"/>
        <n v="977.5"/>
        <n v="391.3"/>
        <n v="390.1"/>
        <n v="141.02"/>
        <n v="335.2"/>
        <n v="254.03"/>
        <n v="1430.0"/>
        <n v="845.0"/>
        <n v="970.0"/>
        <n v="390.35"/>
        <n v="393.7"/>
        <n v="140.76"/>
        <n v="332.4"/>
        <n v="250.5"/>
        <n v="286.8"/>
        <n v="1430.1"/>
        <n v="938.0"/>
        <n v="310.9"/>
        <n v="384.2"/>
        <n v="389.5"/>
        <n v="138.29"/>
        <n v="252.26"/>
        <n v="285.55"/>
        <n v="939.8"/>
        <n v="387.0"/>
        <n v="333.7"/>
        <n v="253.01"/>
        <n v="291.4"/>
        <n v="1453.0"/>
        <n v="852.0"/>
        <n v="325.5"/>
        <n v="394.45"/>
        <n v="412.5"/>
        <n v="144.4"/>
        <n v="247.5"/>
        <n v="293.45"/>
        <n v="1465.0"/>
        <n v="856.35"/>
        <n v="143.31"/>
        <n v="244.0"/>
        <n v="286.5"/>
        <n v="1464.0"/>
        <n v="854.25"/>
        <n v="984.0"/>
        <n v="318.85"/>
        <n v="242.0"/>
        <n v="290.8"/>
        <n v="1469.1"/>
        <n v="865.0"/>
        <n v="994.4"/>
        <n v="420.95"/>
        <n v="146.28"/>
        <n v="338.95"/>
        <n v="245.01"/>
        <n v="1499.4"/>
        <n v="886.0"/>
        <n v="147.26"/>
        <n v="335.75"/>
        <n v="300.4"/>
        <n v="1513.8"/>
        <n v="884.0"/>
        <n v="331.55"/>
        <n v="392.5"/>
        <n v="439.4"/>
        <n v="146.51"/>
        <n v="335.25"/>
        <n v="1500.6"/>
        <n v="876.0"/>
        <n v="444.0"/>
        <n v="148.0"/>
        <n v="332.65"/>
        <n v="242.9"/>
        <n v="297.55"/>
        <n v="1528.4"/>
        <n v="878.85"/>
        <n v="1023.0"/>
        <n v="387.9"/>
        <n v="437.7"/>
        <n v="147.99"/>
        <n v="334.6"/>
        <n v="298.4"/>
        <n v="1520.8"/>
        <n v="875.8"/>
        <n v="1012.0"/>
        <n v="438.8"/>
        <n v="149.7"/>
        <n v="335.7"/>
        <n v="245.2"/>
        <n v="1524.0"/>
        <n v="345.8"/>
        <n v="152.02"/>
        <n v="335.5"/>
        <n v="294.7"/>
        <n v="1526.6"/>
        <n v="991.8"/>
        <n v="447.0"/>
        <n v="154.8"/>
        <n v="338.2"/>
        <n v="242.41"/>
        <n v="294.15"/>
        <n v="1536.0"/>
        <n v="886.7"/>
        <n v="997.1"/>
        <n v="355.6"/>
        <n v="383.05"/>
        <n v="453.0"/>
        <n v="153.46"/>
        <n v="343.25"/>
        <n v="298.25"/>
        <n v="1536.7"/>
        <n v="893.9"/>
        <n v="999.7"/>
        <n v="351.8"/>
        <n v="388.05"/>
        <n v="445.45"/>
        <n v="150.75"/>
        <n v="243.51"/>
        <n v="1519.7"/>
        <n v="894.0"/>
        <n v="999.8"/>
        <n v="384.05"/>
        <n v="444.5"/>
        <n v="155.0"/>
        <n v="340.5"/>
        <n v="243.05"/>
        <n v="299.25"/>
        <n v="1512.0"/>
        <n v="876.8"/>
        <n v="995.8"/>
        <n v="345.85"/>
        <n v="435.9"/>
        <n v="150.65"/>
        <n v="343.05"/>
        <n v="299.5"/>
        <n v="1492.2"/>
        <n v="881.0"/>
        <n v="1027.0"/>
        <n v="347.65"/>
        <n v="383.9"/>
        <n v="433.5"/>
        <n v="150.55"/>
        <n v="343.15"/>
        <n v="244.48"/>
        <n v="298.1"/>
        <n v="1486.2"/>
        <n v="880.5"/>
        <n v="1033.1"/>
        <n v="350.05"/>
        <n v="386.65"/>
        <n v="434.45"/>
        <n v="151.2"/>
        <n v="298.95"/>
        <n v="1473.0"/>
        <n v="879.95"/>
        <n v="349.6"/>
        <n v="387.05"/>
        <n v="446.05"/>
        <n v="152.37"/>
        <n v="243.0"/>
        <n v="1487.4"/>
        <n v="876.9"/>
        <n v="1042.7"/>
        <n v="347.5"/>
        <n v="150.51"/>
        <n v="244.74"/>
        <n v="296.5"/>
        <n v="1484.8"/>
        <n v="870.95"/>
        <n v="1031.2"/>
        <n v="343.5"/>
        <n v="389.0"/>
        <n v="149.52"/>
        <n v="1037.0"/>
        <n v="342.6"/>
        <n v="386.8"/>
        <n v="151.3"/>
        <n v="341.55"/>
        <n v="245.04"/>
        <n v="297.1"/>
        <n v="1427.4"/>
        <n v="871.7"/>
        <n v="1018.4"/>
        <n v="389.4"/>
        <n v="430.5"/>
        <n v="152.01"/>
        <n v="341.8"/>
        <n v="298.85"/>
        <n v="1426.0"/>
        <n v="868.0"/>
        <n v="1035.0"/>
        <n v="344.45"/>
        <n v="435.3"/>
        <n v="343.6"/>
        <n v="245.56"/>
        <n v="1419.2"/>
        <n v="853.35"/>
        <n v="1021.8"/>
        <n v="340.1"/>
        <n v="385.55"/>
        <n v="434.6"/>
        <n v="151.0"/>
        <n v="297.15"/>
        <n v="1398.9"/>
        <n v="819.7"/>
        <n v="979.7"/>
        <n v="332.35"/>
        <n v="381.2"/>
        <n v="146.96"/>
        <n v="240.29"/>
        <n v="1392.3"/>
        <n v="1007.0"/>
        <n v="376.95"/>
        <n v="421.5"/>
        <n v="146.5"/>
        <n v="240.02"/>
        <n v="290.5"/>
        <n v="1383.0"/>
        <n v="834.0"/>
        <n v="147.5"/>
        <n v="242.54"/>
        <n v="293.0"/>
        <n v="1418.1"/>
        <n v="812.05"/>
        <n v="985.5"/>
        <n v="418.75"/>
        <n v="146.55"/>
        <n v="336.05"/>
        <n v="240.2"/>
        <n v="284.95"/>
        <n v="1388.1"/>
        <n v="810.1"/>
        <n v="988.8"/>
        <n v="420.9"/>
        <n v="145.33"/>
        <n v="240.1"/>
        <n v="291.65"/>
        <n v="1386.9"/>
        <n v="796.95"/>
        <n v="980.0"/>
        <n v="320.15"/>
        <n v="372.45"/>
        <n v="141.72"/>
        <n v="330.9"/>
        <n v="236.5"/>
        <n v="291.2"/>
        <n v="1395.1"/>
        <n v="803.2"/>
        <n v="993.0"/>
        <n v="405.9"/>
        <n v="142.52"/>
        <n v="332.45"/>
        <n v="235.5"/>
        <n v="1411.0"/>
        <n v="802.1"/>
        <n v="975.9"/>
        <n v="142.49"/>
        <n v="333.6"/>
        <n v="234.55"/>
        <n v="287.6"/>
        <n v="1391.9"/>
        <n v="951.95"/>
        <n v="313.3"/>
        <n v="332.1"/>
        <n v="233.15"/>
        <n v="284.5"/>
        <n v="1387.7"/>
        <n v="794.65"/>
        <n v="939.85"/>
        <n v="379.0"/>
        <n v="139.99"/>
        <n v="233.9"/>
        <n v="284.8"/>
        <n v="1385.0"/>
        <n v="914.05"/>
        <n v="414.05"/>
        <n v="233.44"/>
        <n v="284.85"/>
        <n v="793.0"/>
        <n v="929.1"/>
        <n v="141.11"/>
        <n v="336.25"/>
        <n v="233.8"/>
        <n v="284.4"/>
        <n v="1381.9"/>
        <n v="932.1"/>
        <n v="411.5"/>
        <n v="142.65"/>
        <n v="340.3"/>
        <n v="237.74"/>
        <n v="1388.0"/>
        <n v="788.15"/>
        <n v="386.1"/>
        <n v="238.51"/>
        <n v="289.05"/>
        <n v="1377.3"/>
        <n v="787.0"/>
        <n v="929.0"/>
        <n v="397.05"/>
        <n v="142.0"/>
        <n v="341.45"/>
        <n v="237.25"/>
        <n v="289.5"/>
        <n v="1390.0"/>
        <n v="818.75"/>
        <n v="942.05"/>
        <n v="315.2"/>
        <n v="140.4"/>
        <n v="237.5"/>
        <n v="828.2"/>
        <n v="969.0"/>
        <n v="394.55"/>
        <n v="142.01"/>
        <n v="237.0"/>
        <n v="288.2"/>
        <n v="1413.0"/>
        <n v="321.05"/>
        <n v="380.95"/>
        <n v="390.7"/>
        <n v="141.65"/>
        <n v="342.35"/>
        <n v="815.15"/>
        <n v="320.2"/>
        <n v="378.15"/>
        <n v="141.4"/>
        <n v="284.0"/>
        <n v="805.0"/>
        <n v="958.35"/>
        <n v="139.95"/>
        <n v="337.05"/>
        <n v="283.35"/>
        <n v="964.15"/>
        <n v="317.3"/>
        <n v="388.2"/>
        <n v="139.5"/>
        <n v="336.15"/>
        <n v="236.66"/>
        <n v="1408.0"/>
        <n v="786.0"/>
        <n v="315.6"/>
        <n v="384.65"/>
        <n v="331.25"/>
        <n v="234.3"/>
        <n v="1389.9"/>
        <n v="775.4"/>
        <n v="920.15"/>
        <n v="310.7"/>
        <n v="372.65"/>
        <n v="381.75"/>
        <n v="138.49"/>
        <n v="233.39"/>
        <n v="273.6"/>
        <n v="1381.1"/>
        <n v="770.15"/>
        <n v="920.4"/>
        <n v="308.5"/>
        <n v="375.3"/>
        <n v="276.0"/>
        <n v="1356.0"/>
        <n v="772.9"/>
        <n v="934.8"/>
        <n v="315.9"/>
        <n v="381.15"/>
        <n v="385.25"/>
        <n v="139.56"/>
        <n v="331.1"/>
        <n v="238.75"/>
        <n v="280.2"/>
        <n v="1354.8"/>
        <n v="768.9"/>
        <n v="933.85"/>
        <n v="314.95"/>
        <n v="239.5"/>
        <n v="1369.7"/>
        <n v="771.0"/>
        <n v="944.4"/>
        <n v="319.85"/>
        <n v="391.8"/>
        <n v="141.18"/>
        <n v="333.5"/>
        <n v="239.07"/>
        <n v="1371.8"/>
        <n v="759.0"/>
        <n v="932.05"/>
        <n v="392.4"/>
        <n v="384.7"/>
        <n v="139.45"/>
        <n v="235.75"/>
        <n v="282.35"/>
        <n v="1363.0"/>
        <n v="760.0"/>
        <n v="934.9"/>
        <n v="313.9"/>
        <n v="384.15"/>
        <n v="328.75"/>
        <n v="234.13"/>
        <n v="1380.0"/>
        <n v="780.1"/>
        <n v="388.7"/>
        <n v="141.14"/>
        <n v="327.6"/>
        <n v="232.53"/>
        <n v="1376.6"/>
        <n v="794.15"/>
        <n v="946.5"/>
        <n v="141.26"/>
        <n v="233.0"/>
        <n v="284.7"/>
        <n v="1383.9"/>
        <n v="318.2"/>
        <n v="393.65"/>
        <n v="141.05"/>
        <n v="232.1"/>
        <n v="1376.0"/>
        <n v="817.35"/>
        <n v="981.0"/>
        <n v="393.55"/>
        <n v="144.98"/>
        <n v="234.51"/>
        <n v="287.25"/>
        <n v="1383.3"/>
        <n v="318.3"/>
        <n v="394.35"/>
        <n v="398.75"/>
        <n v="142.74"/>
        <n v="288.3"/>
        <n v="1393.0"/>
        <n v="319.35"/>
        <n v="401.8"/>
        <n v="144.05"/>
        <n v="331.2"/>
        <n v="232.48"/>
        <n v="1404.7"/>
        <m/>
      </sharedItems>
    </cacheField>
    <cacheField name="High" numFmtId="164">
      <sharedItems containsString="0" containsBlank="1" containsNumber="1">
        <n v="1010.0"/>
        <n v="1941.65"/>
        <n v="344.9"/>
        <n v="494.9"/>
        <n v="413.8"/>
        <n v="174.11"/>
        <n v="412.0"/>
        <n v="295.4"/>
        <n v="341.5"/>
        <n v="1480.9"/>
        <n v="995.0"/>
        <n v="1978.0"/>
        <n v="340.85"/>
        <n v="494.8"/>
        <n v="412.5"/>
        <n v="171.95"/>
        <n v="417.65"/>
        <n v="296.6"/>
        <n v="340.0"/>
        <n v="1477.48"/>
        <n v="993.0"/>
        <n v="1965.0"/>
        <n v="339.9"/>
        <n v="493.6"/>
        <n v="410.85"/>
        <n v="171.06"/>
        <n v="419.75"/>
        <n v="297.8"/>
        <n v="338.9"/>
        <n v="1482.0"/>
        <n v="998.45"/>
        <n v="1968.35"/>
        <n v="337.95"/>
        <n v="491.6"/>
        <n v="408.7"/>
        <n v="169.94"/>
        <n v="431.85"/>
        <n v="289.2"/>
        <n v="338.35"/>
        <n v="1476.5"/>
        <n v="1019.9"/>
        <n v="2019.95"/>
        <n v="333.1"/>
        <n v="498.0"/>
        <n v="403.3"/>
        <n v="167.75"/>
        <n v="429.85"/>
        <n v="289.05"/>
        <n v="342.95"/>
        <n v="1495.0"/>
        <n v="1040.0"/>
        <n v="2042.9"/>
        <n v="339.5"/>
        <n v="502.5"/>
        <n v="408.95"/>
        <n v="170.2"/>
        <n v="430.5"/>
        <n v="296.4"/>
        <n v="342.5"/>
        <n v="1501.5"/>
        <n v="1068.0"/>
        <n v="2079.65"/>
        <n v="343.2"/>
        <n v="506.65"/>
        <n v="419.4"/>
        <n v="170.95"/>
        <n v="431.45"/>
        <n v="302.0"/>
        <n v="351.0"/>
        <n v="1500.5"/>
        <n v="1053.85"/>
        <n v="2087.75"/>
        <n v="341.8"/>
        <n v="507.0"/>
        <n v="419.05"/>
        <n v="170.94"/>
        <n v="437.0"/>
        <n v="301.2"/>
        <n v="366.25"/>
        <n v="1496.5"/>
        <n v="1049.4"/>
        <n v="2091.0"/>
        <n v="346.95"/>
        <n v="507.45"/>
        <n v="424.05"/>
        <n v="171.9"/>
        <n v="437.95"/>
        <n v="298.7"/>
        <n v="366.1"/>
        <n v="1504.0"/>
        <n v="1056.0"/>
        <n v="2084.3"/>
        <n v="370.5"/>
        <n v="517.85"/>
        <n v="439.8"/>
        <n v="180.75"/>
        <n v="442.5"/>
        <n v="298.45"/>
        <n v="363.3"/>
        <n v="1533.48"/>
        <n v="1018.7"/>
        <n v="1988.45"/>
        <n v="376.0"/>
        <n v="513.45"/>
        <n v="446.95"/>
        <n v="182.46"/>
        <n v="448.45"/>
        <n v="301.8"/>
        <n v="357.45"/>
        <n v="1524.98"/>
        <n v="1053.45"/>
        <n v="1929.55"/>
        <n v="373.35"/>
        <n v="516.0"/>
        <n v="446.05"/>
        <n v="181.34"/>
        <n v="447.75"/>
        <n v="299.15"/>
        <n v="356.0"/>
        <n v="1487.95"/>
        <n v="1039.7"/>
        <n v="1868.6"/>
        <n v="361.6"/>
        <n v="509.9"/>
        <n v="432.65"/>
        <n v="176.2"/>
        <n v="298.0"/>
        <n v="349.9"/>
        <n v="1449.4"/>
        <n v="1020.5"/>
        <n v="1835.0"/>
        <n v="347.95"/>
        <n v="504.65"/>
        <n v="413.75"/>
        <n v="170.49"/>
        <n v="439.35"/>
        <n v="299.7"/>
        <n v="347.45"/>
        <n v="1417.35"/>
        <n v="982.7"/>
        <n v="1815.1"/>
        <n v="343.3"/>
        <n v="500.55"/>
        <n v="409.35"/>
        <n v="170.79"/>
        <n v="433.0"/>
        <n v="296.3"/>
        <n v="1396.5"/>
        <n v="1822.0"/>
        <n v="339.45"/>
        <n v="492.75"/>
        <n v="395.0"/>
        <n v="165.0"/>
        <n v="427.7"/>
        <n v="293.9"/>
        <n v="331.0"/>
        <n v="1401.0"/>
        <n v="1017.45"/>
        <n v="1833.95"/>
        <n v="350.0"/>
        <n v="496.0"/>
        <n v="413.0"/>
        <n v="169.24"/>
        <n v="424.75"/>
        <n v="291.9"/>
        <n v="331.8"/>
        <n v="1400.98"/>
        <n v="1001.6"/>
        <n v="1804.7"/>
        <n v="493.95"/>
        <n v="404.0"/>
        <n v="167.2"/>
        <n v="429.9"/>
        <n v="292.15"/>
        <n v="338.1"/>
        <n v="1386.0"/>
        <n v="999.05"/>
        <n v="1807.0"/>
        <n v="339.4"/>
        <n v="493.9"/>
        <n v="397.05"/>
        <n v="164.74"/>
        <n v="426.65"/>
        <n v="293.65"/>
        <n v="335.35"/>
        <n v="1383.28"/>
        <n v="1014.8"/>
        <n v="1804.35"/>
        <n v="344.6"/>
        <n v="502.45"/>
        <n v="407.9"/>
        <n v="166.01"/>
        <n v="426.0"/>
        <n v="292.9"/>
        <n v="331.5"/>
        <n v="1380.08"/>
        <n v="1009.0"/>
        <n v="1783.9"/>
        <n v="351.5"/>
        <n v="499.35"/>
        <n v="426.9"/>
        <n v="169.65"/>
        <n v="427.2"/>
        <n v="286.4"/>
        <n v="333.45"/>
        <n v="1371.7"/>
        <n v="1038.35"/>
        <n v="1774.2"/>
        <n v="355.9"/>
        <n v="499.4"/>
        <n v="438.35"/>
        <n v="171.65"/>
        <n v="429.4"/>
        <n v="287.25"/>
        <n v="332.65"/>
        <n v="1364.0"/>
        <n v="1036.85"/>
        <n v="1767.7"/>
        <n v="350.6"/>
        <n v="497.25"/>
        <n v="439.0"/>
        <n v="168.6"/>
        <n v="425.6"/>
        <n v="287.6"/>
        <n v="331.9"/>
        <n v="1368.45"/>
        <n v="1046.0"/>
        <n v="1745.5"/>
        <n v="343.9"/>
        <n v="493.75"/>
        <n v="435.3"/>
        <n v="165.97"/>
        <n v="425.95"/>
        <n v="284.5"/>
        <n v="333.85"/>
        <n v="1368.43"/>
        <n v="1048.7"/>
        <n v="1753.0"/>
        <n v="345.5"/>
        <n v="494.75"/>
        <n v="436.3"/>
        <n v="166.68"/>
        <n v="428.75"/>
        <n v="284.0"/>
        <n v="333.75"/>
        <n v="1374.0"/>
        <n v="1043.4"/>
        <n v="1747.4"/>
        <n v="332.55"/>
        <n v="487.5"/>
        <n v="416.6"/>
        <n v="160.74"/>
        <n v="426.3"/>
        <n v="278.15"/>
        <n v="335.65"/>
        <n v="1376.0"/>
        <n v="1008.95"/>
        <n v="1725.0"/>
        <n v="325.85"/>
        <n v="476.05"/>
        <n v="155.54"/>
        <n v="414.75"/>
        <n v="274.4"/>
        <n v="321.9"/>
        <n v="1357.48"/>
        <n v="988.5"/>
        <n v="1710.85"/>
        <n v="325.4"/>
        <n v="483.8"/>
        <n v="405.4"/>
        <n v="154.34"/>
        <n v="415.25"/>
        <n v="272.45"/>
        <n v="320.8"/>
        <n v="1343.7"/>
        <n v="975.75"/>
        <n v="1718.9"/>
        <n v="323.6"/>
        <n v="479.05"/>
        <n v="406.0"/>
        <n v="153.95"/>
        <n v="407.5"/>
        <n v="270.3"/>
        <n v="321.5"/>
        <n v="1344.35"/>
        <n v="961.85"/>
        <n v="1661.7"/>
        <n v="315.5"/>
        <n v="458.0"/>
        <n v="393.8"/>
        <n v="149.73"/>
        <n v="406.5"/>
        <n v="265.05"/>
        <n v="320.45"/>
        <n v="1353.0"/>
        <n v="950.05"/>
        <n v="1653.75"/>
        <n v="312.95"/>
        <n v="446.6"/>
        <n v="389.85"/>
        <n v="145.1"/>
        <n v="414.3"/>
        <n v="265.55"/>
        <n v="321.2"/>
        <n v="1343.2"/>
        <n v="963.5"/>
        <n v="314.9"/>
        <n v="455.8"/>
        <n v="389.45"/>
        <n v="145.44"/>
        <n v="414.8"/>
        <n v="266.2"/>
        <n v="1350.0"/>
        <n v="980.0"/>
        <n v="1664.0"/>
        <n v="316.2"/>
        <n v="454.5"/>
        <n v="382.45"/>
        <n v="144.4"/>
        <n v="410.65"/>
        <n v="268.3"/>
        <n v="322.7"/>
        <n v="1343.0"/>
        <n v="979.9"/>
        <n v="1630.0"/>
        <n v="313.5"/>
        <n v="458.15"/>
        <n v="382.0"/>
        <n v="144.58"/>
        <n v="274.35"/>
        <n v="324.7"/>
        <n v="1340.0"/>
        <n v="1024.9"/>
        <n v="1655.0"/>
        <n v="309.05"/>
        <n v="436.25"/>
        <n v="376.5"/>
        <n v="141.1"/>
        <n v="404.1"/>
        <n v="268.6"/>
        <n v="317.7"/>
        <n v="1309.55"/>
        <n v="1090.95"/>
        <n v="1733.95"/>
        <n v="319.0"/>
        <n v="438.9"/>
        <n v="393.95"/>
        <n v="145.14"/>
        <n v="410.8"/>
        <n v="270.6"/>
        <n v="320.35"/>
        <n v="1328.3"/>
        <n v="1015.0"/>
        <n v="1725.85"/>
        <n v="440.35"/>
        <n v="400.0"/>
        <n v="145.74"/>
        <n v="410.9"/>
        <n v="270.5"/>
        <n v="1324.0"/>
        <n v="973.85"/>
        <n v="1645.0"/>
        <n v="315.1"/>
        <n v="436.0"/>
        <n v="395.85"/>
        <n v="144.39"/>
        <n v="404.2"/>
        <n v="266.5"/>
        <n v="317.55"/>
        <n v="1301.65"/>
        <n v="937.05"/>
        <n v="1599.55"/>
        <n v="314.0"/>
        <n v="425.75"/>
        <n v="387.8"/>
        <n v="140.7"/>
        <n v="400.9"/>
        <n v="262.35"/>
        <n v="332.4"/>
        <n v="1286.0"/>
        <n v="937.95"/>
        <n v="1573.0"/>
        <n v="318.55"/>
        <n v="424.8"/>
        <n v="390.0"/>
        <n v="141.96"/>
        <n v="394.8"/>
        <n v="263.2"/>
        <n v="332.5"/>
        <n v="1289.3"/>
        <n v="936.7"/>
        <n v="1542.55"/>
        <n v="309.0"/>
        <n v="415.5"/>
        <n v="377.9"/>
        <n v="139.3"/>
        <n v="387.6"/>
        <n v="256.95"/>
        <n v="324.6"/>
        <n v="1275.45"/>
        <n v="905.95"/>
        <n v="1519.95"/>
        <n v="306.0"/>
        <n v="413.35"/>
        <n v="379.3"/>
        <n v="136.84"/>
        <n v="385.2"/>
        <n v="254.3"/>
        <n v="318.8"/>
        <n v="1272.6"/>
        <n v="889.0"/>
        <n v="1517.75"/>
        <n v="299.65"/>
        <n v="418.5"/>
        <n v="375.75"/>
        <n v="135.82"/>
        <n v="380.0"/>
        <n v="252.1"/>
        <n v="315.55"/>
        <n v="1272.9"/>
        <n v="887.4"/>
        <n v="1467.0"/>
        <n v="297.9"/>
        <n v="422.0"/>
        <n v="374.8"/>
        <n v="136.68"/>
        <n v="378.5"/>
        <n v="255.4"/>
        <n v="318.25"/>
        <n v="1281.5"/>
        <n v="724.0"/>
        <n v="1212.0"/>
        <n v="287.45"/>
        <n v="413.9"/>
        <n v="363.6"/>
        <n v="133.4"/>
        <n v="364.35"/>
        <n v="248.0"/>
        <n v="326.75"/>
        <n v="1243.95"/>
        <n v="695.0"/>
        <n v="1219.0"/>
        <n v="287.0"/>
        <n v="415.75"/>
        <n v="365.3"/>
        <n v="133.1"/>
        <n v="367.1"/>
        <n v="246.95"/>
        <n v="337.6"/>
        <n v="1268.85"/>
        <n v="694.2"/>
        <n v="1141.0"/>
        <n v="304.4"/>
        <n v="427.45"/>
        <n v="384.65"/>
        <n v="137.96"/>
        <n v="377.2"/>
        <n v="260.5"/>
        <n v="345.4"/>
        <n v="1304.45"/>
        <n v="637.75"/>
        <n v="968.8"/>
        <n v="301.0"/>
        <n v="420.0"/>
        <n v="389.7"/>
        <n v="137.75"/>
        <n v="370.4"/>
        <n v="258.25"/>
        <n v="1297.85"/>
        <n v="660.8"/>
        <n v="988.4"/>
        <n v="297.0"/>
        <n v="421.0"/>
        <n v="386.0"/>
        <n v="139.75"/>
        <n v="371.6"/>
        <n v="255.5"/>
        <n v="341.3"/>
        <n v="1303.85"/>
        <n v="726.85"/>
        <n v="1087.2"/>
        <n v="298.75"/>
        <n v="424.9"/>
        <n v="386.25"/>
        <n v="371.85"/>
        <n v="257.4"/>
        <n v="341.75"/>
        <n v="1296.6"/>
        <n v="869.75"/>
        <n v="1368.0"/>
        <n v="294.25"/>
        <n v="418.0"/>
        <n v="385.0"/>
        <n v="139.26"/>
        <n v="365.4"/>
        <n v="258.65"/>
        <n v="1299.5"/>
        <n v="855.85"/>
        <n v="1447.7"/>
        <n v="295.9"/>
        <n v="423.4"/>
        <n v="384.0"/>
        <n v="138.65"/>
        <n v="363.9"/>
        <n v="258.3"/>
        <n v="331.95"/>
        <n v="1311.35"/>
        <n v="829.0"/>
        <n v="1365.0"/>
        <n v="425.5"/>
        <n v="370.0"/>
        <n v="264.7"/>
        <n v="331.35"/>
        <n v="1326.8"/>
        <n v="828.0"/>
        <n v="1330.05"/>
        <n v="299.55"/>
        <n v="425.9"/>
        <n v="391.65"/>
        <n v="375.15"/>
        <n v="264.3"/>
        <n v="331.25"/>
        <n v="1328.4"/>
        <n v="830.0"/>
        <n v="1270.6"/>
        <n v="298.25"/>
        <n v="421.25"/>
        <n v="393.1"/>
        <n v="140.39"/>
        <n v="373.95"/>
        <n v="263.25"/>
        <n v="330.45"/>
        <n v="1329.95"/>
        <n v="1266.85"/>
        <n v="303.9"/>
        <n v="421.5"/>
        <n v="402.25"/>
        <n v="143.54"/>
        <n v="371.2"/>
        <n v="263.0"/>
        <n v="332.75"/>
        <n v="1323.9"/>
        <n v="814.0"/>
        <n v="1236.0"/>
        <n v="304.2"/>
        <n v="420.95"/>
        <n v="404.45"/>
        <n v="143.15"/>
        <n v="373.3"/>
        <n v="261.35"/>
        <n v="330.65"/>
        <n v="1315.0"/>
        <n v="806.0"/>
        <n v="1224.95"/>
        <n v="306.7"/>
        <n v="417.2"/>
        <n v="406.35"/>
        <n v="144.44"/>
        <n v="258.75"/>
        <n v="331.85"/>
        <n v="1294.9"/>
        <n v="797.0"/>
        <n v="1189.45"/>
        <n v="308.95"/>
        <n v="419.65"/>
        <n v="412.35"/>
        <n v="370.75"/>
        <n v="258.7"/>
        <n v="329.0"/>
        <n v="1290.0"/>
        <n v="832.8"/>
        <n v="1249.0"/>
        <n v="307.45"/>
        <n v="417.85"/>
        <n v="414.0"/>
        <n v="143.19"/>
        <n v="367.0"/>
        <n v="258.6"/>
        <n v="329.9"/>
        <n v="1278.2"/>
        <n v="837.5"/>
        <n v="1252.3"/>
        <n v="305.15"/>
        <n v="411.25"/>
        <n v="418.05"/>
        <n v="358.3"/>
        <n v="256.8"/>
        <n v="334.3"/>
        <n v="1275.2"/>
        <n v="830.9"/>
        <n v="1210.5"/>
        <n v="301.7"/>
        <n v="412.85"/>
        <n v="419.0"/>
        <n v="144.95"/>
        <n v="358.9"/>
        <n v="256.3"/>
        <n v="336.25"/>
        <n v="1281.0"/>
        <n v="825.5"/>
        <n v="1178.95"/>
        <n v="299.85"/>
        <n v="410.95"/>
        <n v="409.8"/>
        <n v="143.2"/>
        <n v="353.85"/>
        <n v="252.45"/>
        <n v="335.55"/>
        <n v="1263.9"/>
        <n v="818.75"/>
        <n v="1150.0"/>
        <n v="293.0"/>
        <n v="404.8"/>
        <n v="409.0"/>
        <n v="140.69"/>
        <n v="247.5"/>
        <n v="329.1"/>
        <n v="1259.95"/>
        <n v="799.5"/>
        <n v="1103.55"/>
        <n v="295.85"/>
        <n v="394.5"/>
        <n v="411.0"/>
        <n v="140.3"/>
        <n v="340.6"/>
        <n v="243.95"/>
        <n v="323.85"/>
        <n v="1244.9"/>
        <n v="812.6"/>
        <n v="1119.0"/>
        <n v="299.2"/>
        <n v="393.7"/>
        <n v="413.5"/>
        <n v="141.65"/>
        <n v="244.15"/>
        <n v="325.6"/>
        <n v="1239.5"/>
        <n v="783.85"/>
        <n v="1057.95"/>
        <n v="294.9"/>
        <n v="388.6"/>
        <n v="411.45"/>
        <n v="139.8"/>
        <n v="338.25"/>
        <n v="242.3"/>
        <n v="318.3"/>
        <n v="1227.2"/>
        <n v="789.95"/>
        <n v="1059.05"/>
        <n v="295.45"/>
        <n v="386.75"/>
        <n v="417.95"/>
        <n v="139.46"/>
        <n v="336.85"/>
        <n v="243.25"/>
        <n v="316.65"/>
        <n v="1233.55"/>
        <n v="800.8"/>
        <n v="1082.2"/>
        <n v="299.3"/>
        <n v="390.3"/>
        <n v="139.62"/>
        <n v="337.4"/>
        <n v="242.0"/>
        <n v="313.1"/>
        <n v="1227.7"/>
        <n v="814.95"/>
        <n v="1076.65"/>
        <n v="297.4"/>
        <n v="388.45"/>
        <n v="420.4"/>
        <n v="138.79"/>
        <n v="241.0"/>
        <n v="312.3"/>
        <n v="1227.9"/>
        <n v="830.5"/>
        <n v="1113.7"/>
        <n v="295.25"/>
        <n v="382.3"/>
        <n v="410.4"/>
        <n v="136.83"/>
        <n v="336.8"/>
        <n v="237.0"/>
        <n v="312.0"/>
        <n v="1223.2"/>
        <n v="820.0"/>
        <n v="1070.95"/>
        <n v="294.4"/>
        <n v="384.7"/>
        <n v="410.6"/>
        <n v="137.24"/>
        <n v="334.6"/>
        <n v="239.9"/>
        <n v="309.75"/>
        <n v="1219.1"/>
        <n v="819.9"/>
        <n v="1060.0"/>
        <n v="388.15"/>
        <n v="137.36"/>
        <n v="334.65"/>
        <n v="239.24"/>
        <n v="311.35"/>
        <n v="1226.3"/>
        <n v="810.85"/>
        <n v="1055.9"/>
        <n v="297.7"/>
        <n v="415.8"/>
        <n v="138.21"/>
        <n v="338.6"/>
        <n v="246.78"/>
        <n v="317.2"/>
        <n v="1244.45"/>
        <n v="831.0"/>
        <n v="1069.9"/>
        <n v="399.3"/>
        <n v="417.1"/>
        <n v="139.83"/>
        <n v="344.5"/>
        <n v="262.75"/>
        <n v="318.0"/>
        <n v="1262.05"/>
        <n v="819.0"/>
        <n v="1040.5"/>
        <n v="297.25"/>
        <n v="394.05"/>
        <n v="138.48"/>
        <n v="341.7"/>
        <n v="259.5"/>
        <n v="316.5"/>
        <n v="1262.0"/>
        <n v="792.4"/>
        <n v="290.5"/>
        <n v="384.25"/>
        <n v="397.6"/>
        <n v="136.28"/>
        <n v="330.35"/>
        <n v="267.4"/>
        <n v="310.7"/>
        <n v="1244.5"/>
        <n v="784.85"/>
        <n v="1011.55"/>
        <n v="287.9"/>
        <n v="382.05"/>
        <n v="394.7"/>
        <n v="135.5"/>
        <n v="330.5"/>
        <n v="273.5"/>
        <n v="307.85"/>
        <n v="1271.05"/>
        <n v="776.0"/>
        <n v="1002.0"/>
        <n v="287.85"/>
        <n v="381.55"/>
        <n v="393.0"/>
        <n v="134.8"/>
        <n v="325.95"/>
        <n v="272.59"/>
        <n v="306.9"/>
        <n v="1269.75"/>
        <n v="754.7"/>
        <n v="977.5"/>
        <n v="283.5"/>
        <n v="373.2"/>
        <n v="392.8"/>
        <n v="133.0"/>
        <n v="321.0"/>
        <n v="305.25"/>
        <n v="1256.75"/>
        <n v="724.5"/>
        <n v="937.8"/>
        <n v="274.7"/>
        <n v="376.55"/>
        <n v="128.39"/>
        <n v="309.95"/>
        <n v="298.55"/>
        <n v="1245.25"/>
        <n v="787.7"/>
        <n v="1018.4"/>
        <n v="271.5"/>
        <n v="374.0"/>
        <n v="375.95"/>
        <n v="127.2"/>
        <n v="312.7"/>
        <n v="262.0"/>
        <n v="293.05"/>
        <n v="1253.35"/>
        <n v="800.9"/>
        <n v="1080.0"/>
        <n v="275.9"/>
        <n v="381.45"/>
        <n v="379.45"/>
        <n v="128.87"/>
        <n v="324.3"/>
        <n v="264.47"/>
        <n v="302.5"/>
        <n v="1257.0"/>
        <n v="833.15"/>
        <n v="1127.0"/>
        <n v="268.95"/>
        <n v="381.5"/>
        <n v="365.55"/>
        <n v="128.27"/>
        <n v="327.3"/>
        <n v="265.63"/>
        <n v="301.6"/>
        <n v="1275.0"/>
        <n v="808.65"/>
        <n v="1089.5"/>
        <n v="275.2"/>
        <n v="389.3"/>
        <n v="363.2"/>
        <n v="128.49"/>
        <n v="267.0"/>
        <n v="305.0"/>
        <n v="1326.0"/>
        <n v="828.7"/>
        <n v="1088.0"/>
        <n v="278.4"/>
        <n v="391.0"/>
        <n v="363.4"/>
        <n v="131.18"/>
        <n v="337.0"/>
        <n v="270.47"/>
        <n v="308.8"/>
        <n v="1316.0"/>
        <n v="826.65"/>
        <n v="1070.0"/>
        <n v="389.65"/>
        <n v="372.4"/>
        <n v="133.66"/>
        <n v="269.35"/>
        <n v="1313.0"/>
        <n v="827.35"/>
        <n v="1042.8"/>
        <n v="283.55"/>
        <n v="383.9"/>
        <n v="374.7"/>
        <n v="132.6"/>
        <n v="327.0"/>
        <n v="266.39"/>
        <n v="302.3"/>
        <n v="1282.9"/>
        <n v="826.6"/>
        <n v="285.0"/>
        <n v="388.2"/>
        <n v="373.8"/>
        <n v="130.69"/>
        <n v="325.1"/>
        <n v="263.83"/>
        <n v="299.6"/>
        <n v="1277.35"/>
        <n v="816.0"/>
        <n v="1065.0"/>
        <n v="279.4"/>
        <n v="392.25"/>
        <n v="379.95"/>
        <n v="132.75"/>
        <n v="265.64"/>
        <n v="1273.0"/>
        <n v="781.3"/>
        <n v="1003.0"/>
        <n v="263.7"/>
        <n v="383.0"/>
        <n v="350.9"/>
        <n v="127.97"/>
        <n v="325.05"/>
        <n v="256.44"/>
        <n v="295.0"/>
        <n v="1240.45"/>
        <n v="769.9"/>
        <n v="1012.75"/>
        <n v="263.9"/>
        <n v="377.6"/>
        <n v="351.75"/>
        <n v="125.85"/>
        <n v="252.4"/>
        <n v="288.8"/>
        <n v="1244.75"/>
        <n v="759.75"/>
        <n v="1006.35"/>
        <n v="257.95"/>
        <n v="352.25"/>
        <n v="124.39"/>
        <n v="322.9"/>
        <n v="252.0"/>
        <n v="289.15"/>
        <n v="1242.75"/>
        <n v="760.3"/>
        <n v="1001.9"/>
        <n v="260.9"/>
        <n v="387.35"/>
        <n v="354.1"/>
        <n v="128.5"/>
        <n v="326.8"/>
        <n v="259.4"/>
        <n v="297.1"/>
        <n v="763.3"/>
        <n v="1006.8"/>
        <n v="396.95"/>
        <n v="359.45"/>
        <n v="128.85"/>
        <n v="326.25"/>
        <n v="263.49"/>
        <n v="303.45"/>
        <n v="1267.0"/>
        <n v="742.7"/>
        <n v="994.9"/>
        <n v="251.8"/>
        <n v="384.15"/>
        <n v="333.3"/>
        <n v="124.2"/>
        <n v="314.05"/>
        <n v="256.35"/>
        <n v="292.0"/>
        <n v="1256.0"/>
        <n v="753.45"/>
        <n v="990.0"/>
        <n v="256.65"/>
        <n v="380.7"/>
        <n v="334.85"/>
        <n v="124.68"/>
        <n v="257.5"/>
        <n v="1288.8"/>
        <n v="782.7"/>
        <n v="1028.7"/>
        <n v="265.65"/>
        <n v="385.1"/>
        <n v="349.65"/>
        <n v="128.48"/>
        <n v="323.05"/>
        <n v="290.75"/>
        <n v="1290.5"/>
        <n v="788.2"/>
        <n v="1025.9"/>
        <n v="267.2"/>
        <n v="349.15"/>
        <n v="128.22"/>
        <n v="262.95"/>
        <n v="290.95"/>
        <n v="1288.0"/>
        <n v="782.9"/>
        <n v="1009.55"/>
        <n v="264.9"/>
        <n v="346.7"/>
        <n v="126.75"/>
        <n v="319.25"/>
        <n v="253.85"/>
        <n v="281.9"/>
        <n v="1283.7"/>
        <n v="777.0"/>
        <n v="998.95"/>
        <n v="265.8"/>
        <n v="379.85"/>
        <n v="344.0"/>
        <n v="126.62"/>
        <n v="316.85"/>
        <n v="249.6"/>
        <n v="276.0"/>
        <n v="1266.5"/>
        <n v="763.6"/>
        <n v="985.9"/>
        <n v="259.75"/>
        <n v="338.3"/>
        <n v="123.74"/>
        <n v="312.35"/>
        <n v="242.45"/>
        <n v="268.8"/>
        <n v="1264.55"/>
        <n v="760.0"/>
        <n v="956.95"/>
        <n v="361.8"/>
        <n v="330.3"/>
        <n v="121.2"/>
        <n v="307.5"/>
        <n v="241.25"/>
        <n v="262.1"/>
        <n v="1226.9"/>
        <n v="777.8"/>
        <n v="945.95"/>
        <n v="260.1"/>
        <n v="367.55"/>
        <n v="333.8"/>
        <n v="122.0"/>
        <n v="308.6"/>
        <n v="239.45"/>
        <n v="1228.0"/>
        <n v="751.1"/>
        <n v="923.65"/>
        <n v="365.0"/>
        <n v="323.45"/>
        <n v="121.24"/>
        <n v="308.25"/>
        <n v="237.95"/>
        <n v="261.5"/>
        <n v="1224.0"/>
        <n v="708.75"/>
        <n v="900.85"/>
        <n v="253.55"/>
        <n v="362.0"/>
        <n v="320.4"/>
        <n v="118.8"/>
        <n v="303.2"/>
        <n v="234.3"/>
        <n v="264.0"/>
        <n v="1227.5"/>
        <n v="706.8"/>
        <n v="904.9"/>
        <n v="362.35"/>
        <n v="320.7"/>
        <n v="119.25"/>
        <n v="312.4"/>
        <n v="237.15"/>
        <n v="267.9"/>
        <n v="1229.9"/>
        <n v="681.9"/>
        <n v="885.85"/>
        <n v="256.45"/>
        <n v="326.4"/>
        <n v="120.17"/>
        <n v="316.35"/>
        <n v="238.8"/>
        <n v="268.5"/>
        <n v="1232.75"/>
        <n v="686.5"/>
        <n v="883.95"/>
        <n v="259.65"/>
        <n v="369.45"/>
        <n v="332.2"/>
        <n v="122.95"/>
        <n v="327.15"/>
        <n v="242.65"/>
        <n v="266.45"/>
        <n v="1239.35"/>
        <n v="695.7"/>
        <n v="877.0"/>
        <n v="123.71"/>
        <n v="329.75"/>
        <n v="243.05"/>
        <n v="265.75"/>
        <n v="1240.0"/>
        <n v="680.7"/>
        <n v="842.7"/>
        <n v="253.5"/>
        <n v="368.5"/>
        <n v="325.5"/>
        <n v="121.31"/>
        <n v="261.8"/>
        <n v="1223.25"/>
        <n v="686.35"/>
        <n v="867.0"/>
        <n v="252.9"/>
        <n v="320.25"/>
        <n v="120.71"/>
        <n v="236.7"/>
        <n v="259.95"/>
        <n v="1221.0"/>
        <n v="678.45"/>
        <n v="859.45"/>
        <n v="249.4"/>
        <n v="367.8"/>
        <n v="312.8"/>
        <n v="119.0"/>
        <n v="319.3"/>
        <n v="233.85"/>
        <n v="257.45"/>
        <n v="1215.0"/>
        <n v="673.35"/>
        <n v="815.0"/>
        <n v="244.05"/>
        <n v="116.21"/>
        <n v="315.65"/>
        <n v="230.5"/>
        <n v="257.0"/>
        <n v="1217.35"/>
        <n v="664.05"/>
        <n v="808.8"/>
        <n v="243.64"/>
        <n v="371.0"/>
        <n v="298.9"/>
        <n v="115.35"/>
        <n v="317.8"/>
        <n v="226.0"/>
        <n v="253.8"/>
        <n v="1206.45"/>
        <n v="660.6"/>
        <n v="796.65"/>
        <n v="250.94"/>
        <n v="366.5"/>
        <n v="316.4"/>
        <n v="118.45"/>
        <n v="227.75"/>
        <n v="257.15"/>
        <n v="1174.0"/>
        <n v="731.5"/>
        <n v="857.9"/>
        <n v="256.93"/>
        <n v="368.9"/>
        <n v="334.5"/>
        <n v="122.58"/>
        <n v="231.25"/>
        <n v="1183.0"/>
        <n v="746.6"/>
        <n v="872.45"/>
        <n v="265.95"/>
        <n v="342.4"/>
        <n v="126.88"/>
        <n v="338.8"/>
        <n v="233.57"/>
        <n v="267.3"/>
        <n v="1213.95"/>
        <n v="753.9"/>
        <n v="847.3"/>
        <n v="265.79"/>
        <n v="389.6"/>
        <n v="339.05"/>
        <n v="126.3"/>
        <n v="338.75"/>
        <n v="236.47"/>
        <n v="268.65"/>
        <n v="1254.8"/>
        <n v="790.0"/>
        <n v="871.0"/>
        <n v="265.96"/>
        <n v="386.6"/>
        <n v="125.44"/>
        <n v="334.95"/>
        <n v="235.0"/>
        <n v="274.25"/>
        <n v="1258.0"/>
        <n v="768.0"/>
        <n v="834.35"/>
        <n v="264.97"/>
        <n v="333.9"/>
        <n v="125.25"/>
        <n v="333.25"/>
        <n v="227.26"/>
        <n v="271.85"/>
        <n v="1249.5"/>
        <n v="784.9"/>
        <n v="858.0"/>
        <n v="272.0"/>
        <n v="382.85"/>
        <n v="343.0"/>
        <n v="127.8"/>
        <n v="334.8"/>
        <n v="228.84"/>
        <n v="272.4"/>
        <n v="1263.0"/>
        <n v="795.95"/>
        <n v="896.85"/>
        <n v="266.67"/>
        <n v="328.4"/>
        <n v="126.47"/>
        <n v="334.55"/>
        <n v="230.4"/>
        <n v="270.65"/>
        <n v="1264.15"/>
        <n v="801.15"/>
        <n v="908.45"/>
        <n v="263.69"/>
        <n v="387.05"/>
        <n v="330.4"/>
        <n v="230.45"/>
        <n v="1257.4"/>
        <n v="807.8"/>
        <n v="911.9"/>
        <n v="263.3"/>
        <n v="393.15"/>
        <n v="330.0"/>
        <n v="125.5"/>
        <n v="337.9"/>
        <n v="232.5"/>
        <n v="1248.35"/>
        <n v="820.65"/>
        <n v="918.75"/>
        <n v="266.49"/>
        <n v="398.05"/>
        <n v="127.9"/>
        <n v="235.14"/>
        <n v="278.3"/>
        <n v="1253.25"/>
        <n v="823.0"/>
        <n v="927.95"/>
        <n v="272.93"/>
        <n v="398.1"/>
        <n v="131.0"/>
        <n v="344.7"/>
        <n v="237.04"/>
        <n v="846.95"/>
        <n v="983.35"/>
        <n v="285.85"/>
        <n v="411.1"/>
        <n v="360.2"/>
        <n v="133.45"/>
        <n v="285.15"/>
        <n v="844.7"/>
        <n v="981.0"/>
        <n v="285.3"/>
        <n v="411.8"/>
        <n v="372.0"/>
        <n v="134.33"/>
        <n v="368.0"/>
        <n v="246.4"/>
        <n v="293.95"/>
        <n v="1306.0"/>
        <n v="838.9"/>
        <n v="966.0"/>
        <n v="283.96"/>
        <n v="408.25"/>
        <n v="134.23"/>
        <n v="371.45"/>
        <n v="245.37"/>
        <n v="1307.7"/>
        <n v="832.6"/>
        <n v="942.0"/>
        <n v="283.33"/>
        <n v="402.45"/>
        <n v="364.5"/>
        <n v="133.3"/>
        <n v="369.0"/>
        <n v="244.5"/>
        <n v="296.75"/>
        <n v="1293.8"/>
        <n v="882.45"/>
        <n v="966.6"/>
        <n v="279.85"/>
        <n v="399.65"/>
        <n v="364.0"/>
        <n v="130.95"/>
        <n v="364.45"/>
        <n v="243.4"/>
        <n v="1285.0"/>
        <n v="894.9"/>
        <n v="976.45"/>
        <n v="284.33"/>
        <n v="401.9"/>
        <n v="369.35"/>
        <n v="131.27"/>
        <n v="364.3"/>
        <n v="254.9"/>
        <n v="1295.75"/>
        <n v="884.9"/>
        <n v="962.0"/>
        <n v="402.55"/>
        <n v="363.5"/>
        <n v="131.5"/>
        <n v="362.9"/>
        <n v="252.2"/>
        <n v="296.95"/>
        <n v="1277.9"/>
        <n v="945.1"/>
        <n v="288.05"/>
        <n v="401.6"/>
        <n v="353.45"/>
        <n v="251.5"/>
        <n v="289.75"/>
        <n v="1255.55"/>
        <n v="901.0"/>
        <n v="966.5"/>
        <n v="291.4"/>
        <n v="374.3"/>
        <n v="133.2"/>
        <n v="361.35"/>
        <n v="249.62"/>
        <n v="299.95"/>
        <n v="1251.8"/>
        <n v="884.7"/>
        <n v="956.0"/>
        <n v="295.7"/>
        <n v="396.0"/>
        <n v="377.85"/>
        <n v="134.25"/>
        <n v="358.85"/>
        <n v="241.21"/>
        <n v="300.9"/>
        <n v="1245.45"/>
        <n v="822.2"/>
        <n v="891.95"/>
        <n v="279.1"/>
        <n v="379.4"/>
        <n v="366.95"/>
        <n v="129.61"/>
        <n v="351.4"/>
        <n v="220.8"/>
        <n v="1171.25"/>
        <n v="847.85"/>
        <n v="908.1"/>
        <n v="287.5"/>
        <n v="385.5"/>
        <n v="371.7"/>
        <n v="131.72"/>
        <n v="358.25"/>
        <n v="227.24"/>
        <n v="294.0"/>
        <n v="1196.6"/>
        <n v="845.0"/>
        <n v="878.95"/>
        <n v="290.65"/>
        <n v="382.7"/>
        <n v="383.05"/>
        <n v="132.5"/>
        <n v="354.8"/>
        <n v="224.06"/>
        <n v="299.5"/>
        <n v="1189.8"/>
        <n v="863.35"/>
        <n v="903.4"/>
        <n v="296.45"/>
        <n v="361.5"/>
        <n v="231.4"/>
        <n v="1222.65"/>
        <n v="889.6"/>
        <n v="296.8"/>
        <n v="399.0"/>
        <n v="386.95"/>
        <n v="368.45"/>
        <n v="234.0"/>
        <n v="310.45"/>
        <n v="1251.0"/>
        <n v="903.0"/>
        <n v="955.95"/>
        <n v="300.55"/>
        <n v="400.1"/>
        <n v="391.15"/>
        <n v="134.15"/>
        <n v="363.0"/>
        <n v="307.0"/>
        <n v="1240.9"/>
        <n v="937.0"/>
        <n v="972.0"/>
        <n v="301.75"/>
        <n v="399.55"/>
        <n v="391.3"/>
        <n v="365.45"/>
        <n v="244.61"/>
        <n v="309.8"/>
        <n v="1280.2"/>
        <n v="949.0"/>
        <n v="305.55"/>
        <n v="139.7"/>
        <n v="368.2"/>
        <n v="250.55"/>
        <n v="322.0"/>
        <n v="1300.9"/>
        <n v="942.75"/>
        <n v="965.5"/>
        <n v="308.5"/>
        <n v="405.8"/>
        <n v="139.43"/>
        <n v="367.05"/>
        <n v="250.6"/>
        <n v="319.75"/>
        <n v="1303.9"/>
        <n v="942.15"/>
        <n v="956.9"/>
        <n v="306.65"/>
        <n v="399.2"/>
        <n v="139.18"/>
        <n v="364.25"/>
        <n v="252.75"/>
        <n v="316.1"/>
        <n v="971.7"/>
        <n v="974.0"/>
        <n v="305.5"/>
        <n v="401.3"/>
        <n v="394.0"/>
        <n v="139.33"/>
        <n v="366.45"/>
        <n v="251.37"/>
        <n v="315.85"/>
        <n v="1304.5"/>
        <n v="975.85"/>
        <n v="304.95"/>
        <n v="139.5"/>
        <n v="365.8"/>
        <n v="250.68"/>
        <n v="315.4"/>
        <n v="1325.2"/>
        <n v="941.6"/>
        <n v="944.95"/>
        <n v="310.95"/>
        <n v="398.8"/>
        <n v="137.35"/>
        <n v="251.95"/>
        <n v="1374.6"/>
        <n v="939.85"/>
        <n v="961.9"/>
        <n v="315.6"/>
        <n v="400.35"/>
        <n v="396.8"/>
        <n v="138.25"/>
        <n v="310.8"/>
        <n v="1410.9"/>
        <n v="919.7"/>
        <n v="929.0"/>
        <n v="322.45"/>
        <n v="390.35"/>
        <n v="402.75"/>
        <n v="139.9"/>
        <n v="361.0"/>
        <n v="247.44"/>
        <n v="310.0"/>
        <n v="1412.4"/>
        <n v="929.85"/>
        <n v="931.95"/>
        <n v="317.5"/>
        <n v="390.95"/>
        <n v="144.09"/>
        <n v="358.0"/>
        <n v="246.27"/>
        <n v="1426.7"/>
        <n v="980.85"/>
        <n v="1003.5"/>
        <n v="387.9"/>
        <n v="149.74"/>
        <n v="352.0"/>
        <n v="241.15"/>
        <n v="1439.5"/>
        <n v="941.5"/>
        <n v="971.25"/>
        <n v="322.2"/>
        <n v="387.65"/>
        <n v="411.85"/>
        <n v="149.8"/>
        <n v="349.5"/>
        <n v="242.99"/>
        <n v="1432.0"/>
        <n v="907.0"/>
        <n v="387.3"/>
        <n v="405.1"/>
        <n v="343.7"/>
        <n v="240.09"/>
        <n v="313.15"/>
        <n v="1424.4"/>
        <n v="886.7"/>
        <n v="933.2"/>
        <n v="320.2"/>
        <n v="394.95"/>
        <n v="402.6"/>
        <n v="146.39"/>
        <n v="343.1"/>
        <n v="239.34"/>
        <n v="317.4"/>
        <n v="1420.8"/>
        <n v="834.6"/>
        <n v="887.85"/>
        <n v="307.35"/>
        <n v="383.25"/>
        <n v="388.0"/>
        <n v="140.85"/>
        <n v="235.3"/>
        <n v="303.05"/>
        <n v="1394.8"/>
        <n v="897.65"/>
        <n v="945.0"/>
        <n v="315.95"/>
        <n v="396.1"/>
        <n v="397.0"/>
        <n v="144.45"/>
        <n v="349.2"/>
        <n v="244.6"/>
        <n v="311.1"/>
        <n v="1439.0"/>
        <n v="908.9"/>
        <n v="973.7"/>
        <n v="310.6"/>
        <n v="399.6"/>
        <n v="393.6"/>
        <n v="142.98"/>
        <n v="349.8"/>
        <n v="245.29"/>
        <n v="308.75"/>
        <n v="903.95"/>
        <n v="975.0"/>
        <n v="313.55"/>
        <n v="404.05"/>
        <n v="398.0"/>
        <n v="143.91"/>
        <n v="343.85"/>
        <n v="246.9"/>
        <n v="1429.9"/>
        <n v="913.55"/>
        <n v="972.8"/>
        <n v="406.4"/>
        <n v="407.3"/>
        <n v="146.0"/>
        <n v="343.75"/>
        <n v="248.92"/>
        <n v="300.4"/>
        <n v="1461.4"/>
        <n v="934.75"/>
        <n v="1025.0"/>
        <n v="411.2"/>
        <n v="146.85"/>
        <n v="347.6"/>
        <n v="249.39"/>
        <n v="302.2"/>
        <n v="1461.0"/>
        <n v="920.8"/>
        <n v="319.55"/>
        <n v="407.45"/>
        <n v="411.5"/>
        <n v="145.82"/>
        <n v="347.7"/>
        <n v="249.45"/>
        <n v="304.5"/>
        <n v="1454.6"/>
        <n v="897.55"/>
        <n v="1020.95"/>
        <n v="319.65"/>
        <n v="417.25"/>
        <n v="410.5"/>
        <n v="145.81"/>
        <n v="349.7"/>
        <n v="252.7"/>
        <n v="305.3"/>
        <n v="1445.0"/>
        <n v="881.0"/>
        <n v="316.75"/>
        <n v="413.55"/>
        <n v="405.9"/>
        <n v="143.63"/>
        <n v="347.4"/>
        <n v="302.25"/>
        <n v="1436.2"/>
        <n v="886.4"/>
        <n v="1006.0"/>
        <n v="318.9"/>
        <n v="406.65"/>
        <n v="406.95"/>
        <n v="144.2"/>
        <n v="347.0"/>
        <n v="250.48"/>
        <n v="296.35"/>
        <n v="1423.8"/>
        <n v="884.5"/>
        <n v="320.0"/>
        <n v="403.0"/>
        <n v="411.75"/>
        <n v="145.43"/>
        <n v="344.95"/>
        <n v="244.68"/>
        <n v="1433.8"/>
        <n v="891.0"/>
        <n v="1021.4"/>
        <n v="323.95"/>
        <n v="417.45"/>
        <n v="144.72"/>
        <n v="351.2"/>
        <n v="247.13"/>
        <n v="303.8"/>
        <n v="1441.0"/>
        <n v="890.4"/>
        <n v="1022.5"/>
        <n v="403.55"/>
        <n v="415.55"/>
        <n v="144.12"/>
        <n v="246.85"/>
        <n v="297.6"/>
        <n v="1437.0"/>
        <n v="890.85"/>
        <n v="1025.45"/>
        <n v="322.6"/>
        <n v="401.85"/>
        <n v="420.5"/>
        <n v="340.7"/>
        <n v="245.34"/>
        <n v="295.65"/>
        <n v="1422.6"/>
        <n v="898.2"/>
        <n v="1027.0"/>
        <n v="322.55"/>
        <n v="401.2"/>
        <n v="419.15"/>
        <n v="144.83"/>
        <n v="342.25"/>
        <n v="1420.0"/>
        <n v="889.45"/>
        <n v="1028.0"/>
        <n v="322.4"/>
        <n v="404.75"/>
        <n v="418.9"/>
        <n v="340.75"/>
        <n v="245.19"/>
        <n v="294.65"/>
        <n v="1430.6"/>
        <n v="888.2"/>
        <n v="1024.7"/>
        <n v="319.5"/>
        <n v="401.4"/>
        <n v="412.7"/>
        <n v="143.5"/>
        <n v="1417.5"/>
        <n v="877.75"/>
        <n v="1018.0"/>
        <n v="320.95"/>
        <n v="400.5"/>
        <n v="410.0"/>
        <n v="144.0"/>
        <n v="334.75"/>
        <n v="241.05"/>
        <n v="1426.5"/>
        <n v="873.5"/>
        <n v="312.65"/>
        <n v="407.65"/>
        <n v="141.4"/>
        <n v="329.95"/>
        <n v="238.5"/>
        <n v="289.8"/>
        <n v="1425.7"/>
        <n v="883.0"/>
        <n v="1019.0"/>
        <n v="397.8"/>
        <n v="409.4"/>
        <n v="141.66"/>
        <n v="331.6"/>
        <n v="239.62"/>
        <n v="1454.7"/>
        <n v="892.5"/>
        <n v="1024.2"/>
        <n v="317.85"/>
        <n v="400.6"/>
        <n v="407.75"/>
        <n v="141.08"/>
        <n v="333.5"/>
        <n v="240.47"/>
        <n v="1451.5"/>
        <n v="908.4"/>
        <n v="1044.4"/>
        <n v="321.45"/>
        <n v="406.2"/>
        <n v="409.6"/>
        <n v="143.49"/>
        <n v="337.55"/>
        <n v="244.12"/>
        <n v="301.15"/>
        <n v="1457.5"/>
        <n v="921.0"/>
        <n v="1077.0"/>
        <n v="404.5"/>
        <n v="409.9"/>
        <n v="143.4"/>
        <n v="340.9"/>
        <n v="245.0"/>
        <n v="1453.9"/>
        <n v="924.35"/>
        <n v="409.5"/>
        <n v="423.0"/>
        <n v="147.2"/>
        <n v="342.6"/>
        <n v="250.4"/>
        <n v="301.4"/>
        <n v="1468.6"/>
        <n v="909.95"/>
        <n v="1050.0"/>
        <n v="402.35"/>
        <n v="144.77"/>
        <n v="341.65"/>
        <n v="255.2"/>
        <n v="295.8"/>
        <n v="1457.0"/>
        <n v="871.75"/>
        <n v="1002.9"/>
        <n v="314.4"/>
        <n v="392.35"/>
        <n v="388.4"/>
        <n v="332.9"/>
        <n v="255.95"/>
        <n v="286.45"/>
        <n v="1435.5"/>
        <n v="997.0"/>
        <n v="394.6"/>
        <n v="396.5"/>
        <n v="142.2"/>
        <n v="1442.4"/>
        <n v="867.35"/>
        <n v="997.5"/>
        <n v="401.0"/>
        <n v="143.47"/>
        <n v="336.9"/>
        <n v="257.09"/>
        <n v="290.45"/>
        <n v="1448.0"/>
        <n v="858.55"/>
        <n v="985.6"/>
        <n v="393.4"/>
        <n v="142.09"/>
        <n v="335.9"/>
        <n v="255.89"/>
        <n v="288.3"/>
        <n v="1442.8"/>
        <n v="849.05"/>
        <n v="973.4"/>
        <n v="317.0"/>
        <n v="391.5"/>
        <n v="396.45"/>
        <n v="141.19"/>
        <n v="333.15"/>
        <n v="253.0"/>
        <n v="287.65"/>
        <n v="1439.9"/>
        <n v="840.9"/>
        <n v="959.4"/>
        <n v="315.9"/>
        <n v="391.8"/>
        <n v="394.45"/>
        <n v="139.16"/>
        <n v="336.0"/>
        <n v="253.25"/>
        <n v="294.5"/>
        <n v="1471.0"/>
        <n v="842.55"/>
        <n v="964.9"/>
        <n v="397.2"/>
        <n v="140.17"/>
        <n v="335.7"/>
        <n v="255.49"/>
        <n v="293.45"/>
        <n v="1463.8"/>
        <n v="866.6"/>
        <n v="327.8"/>
        <n v="395.4"/>
        <n v="145.3"/>
        <n v="331.7"/>
        <n v="294.7"/>
        <n v="1475.0"/>
        <n v="863.7"/>
        <n v="323.0"/>
        <n v="333.7"/>
        <n v="245.3"/>
        <n v="291.1"/>
        <n v="1472.4"/>
        <n v="866.5"/>
        <n v="993.5"/>
        <n v="424.35"/>
        <n v="146.95"/>
        <n v="337.8"/>
        <n v="1498.8"/>
        <n v="1046.9"/>
        <n v="334.2"/>
        <n v="397.7"/>
        <n v="440.3"/>
        <n v="148.3"/>
        <n v="246.22"/>
        <n v="300.7"/>
        <n v="1522.0"/>
        <n v="887.45"/>
        <n v="1034.5"/>
        <n v="337.7"/>
        <n v="397.4"/>
        <n v="443.2"/>
        <n v="149.5"/>
        <n v="337.25"/>
        <n v="245.7"/>
        <n v="1524.8"/>
        <n v="892.3"/>
        <n v="1038.0"/>
        <n v="335.5"/>
        <n v="393.9"/>
        <n v="441.5"/>
        <n v="148.2"/>
        <n v="335.25"/>
        <n v="301.5"/>
        <n v="1531.4"/>
        <n v="888.85"/>
        <n v="1031.4"/>
        <n v="391.7"/>
        <n v="446.85"/>
        <n v="148.95"/>
        <n v="243.75"/>
        <n v="1530.0"/>
        <n v="882.15"/>
        <n v="1023.7"/>
        <n v="389.0"/>
        <n v="441.6"/>
        <n v="148.75"/>
        <n v="336.35"/>
        <n v="246.2"/>
        <n v="298.95"/>
        <n v="1531.9"/>
        <n v="884.0"/>
        <n v="1012.0"/>
        <n v="446.55"/>
        <n v="151.99"/>
        <n v="245.45"/>
        <n v="295.15"/>
        <n v="887.55"/>
        <n v="998.8"/>
        <n v="351.55"/>
        <n v="386.5"/>
        <n v="455.2"/>
        <n v="154.9"/>
        <n v="339.0"/>
        <n v="245.5"/>
        <n v="296.65"/>
        <n v="1544.8"/>
        <n v="1005.0"/>
        <n v="358.65"/>
        <n v="455.0"/>
        <n v="154.97"/>
        <n v="243.7"/>
        <n v="298.4"/>
        <n v="1544.9"/>
        <n v="904.5"/>
        <n v="1011.0"/>
        <n v="356.35"/>
        <n v="454.65"/>
        <n v="153.73"/>
        <n v="345.6"/>
        <n v="244.59"/>
        <n v="300.0"/>
        <n v="1551.0"/>
        <n v="907.7"/>
        <n v="1007.9"/>
        <n v="352.85"/>
        <n v="388.85"/>
        <n v="450.5"/>
        <n v="152.65"/>
        <n v="345.0"/>
        <n v="244.69"/>
        <n v="302.7"/>
        <n v="1524.7"/>
        <n v="895.55"/>
        <n v="1010.9"/>
        <n v="352.65"/>
        <n v="384.3"/>
        <n v="444.5"/>
        <n v="155.0"/>
        <n v="243.09"/>
        <n v="1515.0"/>
        <n v="886.55"/>
        <n v="1036.0"/>
        <n v="348.2"/>
        <n v="385.9"/>
        <n v="437.5"/>
        <n v="151.6"/>
        <n v="244.89"/>
        <n v="300.45"/>
        <n v="1500.0"/>
        <n v="887.8"/>
        <n v="1042.0"/>
        <n v="350.5"/>
        <n v="387.25"/>
        <n v="441.0"/>
        <n v="151.9"/>
        <n v="344.1"/>
        <n v="886.85"/>
        <n v="1049.5"/>
        <n v="351.7"/>
        <n v="448.55"/>
        <n v="152.68"/>
        <n v="343.8"/>
        <n v="1491.0"/>
        <n v="1054.9"/>
        <n v="446.4"/>
        <n v="152.47"/>
        <n v="244.56"/>
        <n v="298.2"/>
        <n v="1489.6"/>
        <n v="882.95"/>
        <n v="1051.0"/>
        <n v="351.45"/>
        <n v="389.25"/>
        <n v="441.85"/>
        <n v="151.61"/>
        <n v="247.35"/>
        <n v="1484.8"/>
        <n v="1042.1"/>
        <n v="389.4"/>
        <n v="434.6"/>
        <n v="151.2"/>
        <n v="342.8"/>
        <n v="246.3"/>
        <n v="1476.0"/>
        <n v="879.8"/>
        <n v="1042.2"/>
        <n v="344.35"/>
        <n v="391.75"/>
        <n v="437.6"/>
        <n v="152.44"/>
        <n v="246.87"/>
        <n v="298.85"/>
        <n v="1431.9"/>
        <n v="874.1"/>
        <n v="1038.3"/>
        <n v="392.45"/>
        <n v="152.6"/>
        <n v="247.2"/>
        <n v="1426.0"/>
        <n v="868.0"/>
        <n v="1037.1"/>
        <n v="390.75"/>
        <n v="152.75"/>
        <n v="343.6"/>
        <n v="301.35"/>
        <n v="1423.0"/>
        <n v="856.7"/>
        <n v="1021.8"/>
        <n v="341.4"/>
        <n v="434.9"/>
        <n v="151.74"/>
        <n v="244.8"/>
        <n v="297.75"/>
        <n v="827.8"/>
        <n v="1013.6"/>
        <n v="383.85"/>
        <n v="430.9"/>
        <n v="148.64"/>
        <n v="336.6"/>
        <n v="241.56"/>
        <n v="1407.8"/>
        <n v="830.55"/>
        <n v="1022.9"/>
        <n v="337.3"/>
        <n v="426.6"/>
        <n v="242.51"/>
        <n v="1420.2"/>
        <n v="834.0"/>
        <n v="1024.5"/>
        <n v="343.55"/>
        <n v="384.05"/>
        <n v="435.9"/>
        <n v="150.19"/>
        <n v="342.3"/>
        <n v="243.71"/>
        <n v="296.5"/>
        <n v="1423.3"/>
        <n v="821.45"/>
        <n v="1007.5"/>
        <n v="379.0"/>
        <n v="421.4"/>
        <n v="340.1"/>
        <n v="242.81"/>
        <n v="294.3"/>
        <n v="1402.6"/>
        <n v="817.6"/>
        <n v="1007.65"/>
        <n v="329.3"/>
        <n v="381.15"/>
        <n v="146.29"/>
        <n v="240.71"/>
        <n v="292.8"/>
        <n v="1405.9"/>
        <n v="803.2"/>
        <n v="320.75"/>
        <n v="378.75"/>
        <n v="409.55"/>
        <n v="142.9"/>
        <n v="238.39"/>
        <n v="291.55"/>
        <n v="1416.1"/>
        <n v="804.7"/>
        <n v="996.4"/>
        <n v="143.0"/>
        <n v="334.35"/>
        <n v="236.0"/>
        <n v="288.65"/>
        <n v="1411.0"/>
        <n v="802.15"/>
        <n v="318.15"/>
        <n v="378.05"/>
        <n v="404.9"/>
        <n v="143.28"/>
        <n v="335.4"/>
        <n v="235.37"/>
        <n v="288.4"/>
        <n v="1395.9"/>
        <n v="796.2"/>
        <n v="955.15"/>
        <n v="380.25"/>
        <n v="403.2"/>
        <n v="332.45"/>
        <n v="234.2"/>
        <n v="286.3"/>
        <n v="1393.7"/>
        <n v="806.35"/>
        <n v="946.65"/>
        <n v="321.25"/>
        <n v="382.1"/>
        <n v="415.35"/>
        <n v="142.0"/>
        <n v="337.5"/>
        <n v="235.12"/>
        <n v="286.25"/>
        <n v="1397.2"/>
        <n v="799.95"/>
        <n v="933.15"/>
        <n v="142.95"/>
        <n v="339.1"/>
        <n v="1388.0"/>
        <n v="941.0"/>
        <n v="326.5"/>
        <n v="386.45"/>
        <n v="414.9"/>
        <n v="143.85"/>
        <n v="341.85"/>
        <n v="236.36"/>
        <n v="287.55"/>
        <n v="1401.9"/>
        <n v="795.65"/>
        <n v="938.45"/>
        <n v="326.3"/>
        <n v="413.3"/>
        <n v="239.95"/>
        <n v="289.4"/>
        <n v="1391.8"/>
        <n v="791.9"/>
        <n v="933.0"/>
        <n v="331.4"/>
        <n v="386.85"/>
        <n v="406.1"/>
        <n v="143.16"/>
        <n v="340.45"/>
        <n v="238.67"/>
        <n v="290.15"/>
        <n v="1380.7"/>
        <n v="821.65"/>
        <n v="955.55"/>
        <n v="321.05"/>
        <n v="388.55"/>
        <n v="142.6"/>
        <n v="238.59"/>
        <n v="291.3"/>
        <n v="1394.9"/>
        <n v="831.9"/>
        <n v="975.5"/>
        <n v="388.5"/>
        <n v="397.85"/>
        <n v="142.13"/>
        <n v="340.65"/>
        <n v="238.54"/>
        <n v="290.1"/>
        <n v="1421.0"/>
        <n v="831.65"/>
        <n v="984.0"/>
        <n v="322.5"/>
        <n v="396.85"/>
        <n v="142.7"/>
        <n v="343.4"/>
        <n v="239.09"/>
        <n v="289.0"/>
        <n v="1424.9"/>
        <n v="829.2"/>
        <n v="983.95"/>
        <n v="323.8"/>
        <n v="395.45"/>
        <n v="240.99"/>
        <n v="289.55"/>
        <n v="970.2"/>
        <n v="393.45"/>
        <n v="141.8"/>
        <n v="238.63"/>
        <n v="284.55"/>
        <n v="1423.4"/>
        <n v="807.85"/>
        <n v="972.7"/>
        <n v="318.95"/>
        <n v="380.75"/>
        <n v="140.37"/>
        <n v="237.49"/>
        <n v="284.6"/>
        <n v="1419.5"/>
        <n v="803.45"/>
        <n v="965.75"/>
        <n v="391.4"/>
        <n v="140.42"/>
        <n v="237.3"/>
        <n v="283.8"/>
        <n v="1410.0"/>
        <n v="793.0"/>
        <n v="935.0"/>
        <n v="375.9"/>
        <n v="139.93"/>
        <n v="235.28"/>
        <n v="282.0"/>
        <n v="1392.2"/>
        <n v="776.4"/>
        <n v="926.8"/>
        <n v="139.49"/>
        <n v="276.1"/>
        <n v="1403.5"/>
        <n v="777.6"/>
        <n v="933.7"/>
        <n v="378.6"/>
        <n v="385.7"/>
        <n v="139.74"/>
        <n v="239.19"/>
        <n v="280.6"/>
        <n v="1363.2"/>
        <n v="772.95"/>
        <n v="943.45"/>
        <n v="317.3"/>
        <n v="140.66"/>
        <n v="242.5"/>
        <n v="1384.5"/>
        <n v="768.9"/>
        <n v="939.55"/>
        <n v="320.5"/>
        <n v="393.3"/>
        <n v="338.0"/>
        <n v="241.94"/>
        <n v="1376.5"/>
        <n v="775.25"/>
        <n v="954.15"/>
        <n v="319.85"/>
        <n v="392.1"/>
        <n v="391.95"/>
        <n v="141.7"/>
        <n v="334.9"/>
        <n v="239.35"/>
        <n v="287.95"/>
        <n v="761.45"/>
        <n v="316.45"/>
        <n v="393.25"/>
        <n v="386.55"/>
        <n v="237.16"/>
        <n v="286.65"/>
        <n v="1381.0"/>
        <n v="777.95"/>
        <n v="395.9"/>
        <n v="395.3"/>
        <n v="141.89"/>
        <n v="330.95"/>
        <n v="234.98"/>
        <n v="287.7"/>
        <n v="795.8"/>
        <n v="947.5"/>
        <n v="320.15"/>
        <n v="142.1"/>
        <n v="328.15"/>
        <n v="234.59"/>
        <n v="284.35"/>
        <n v="1381.2"/>
        <n v="816.55"/>
        <n v="973.0"/>
        <n v="392.65"/>
        <n v="141.71"/>
        <n v="328.05"/>
        <n v="233.04"/>
        <n v="1388.5"/>
        <n v="838.5"/>
        <n v="1004.8"/>
        <n v="326.6"/>
        <n v="145.39"/>
        <n v="235.22"/>
        <n v="288.7"/>
        <n v="1385.5"/>
        <n v="831.3"/>
        <n v="986.55"/>
        <n v="323.2"/>
        <n v="396.2"/>
        <n v="401.05"/>
        <n v="145.2"/>
        <n v="235.41"/>
        <n v="288.6"/>
        <n v="1396.3"/>
        <n v="843.4"/>
        <n v="993.8"/>
        <n v="400.65"/>
        <n v="144.19"/>
        <n v="234.19"/>
        <n v="1400.8"/>
        <n v="321.1"/>
        <n v="403.05"/>
        <n v="335.8"/>
        <n v="235.27"/>
        <n v="1408.0"/>
        <m/>
      </sharedItems>
    </cacheField>
    <cacheField name="Low" numFmtId="164">
      <sharedItems containsString="0" containsBlank="1" containsNumber="1">
        <n v="978.0"/>
        <n v="1833.15"/>
        <n v="340.0"/>
        <n v="487.35"/>
        <n v="405.8"/>
        <n v="171.59"/>
        <n v="402.0"/>
        <n v="291.35"/>
        <n v="337.05"/>
        <n v="1464.75"/>
        <n v="976.15"/>
        <n v="1886.0"/>
        <n v="335.05"/>
        <n v="487.65"/>
        <n v="406.05"/>
        <n v="170.05"/>
        <n v="410.1"/>
        <n v="292.15"/>
        <n v="334.5"/>
        <n v="1466.63"/>
        <n v="977.0"/>
        <n v="1925.1"/>
        <n v="334.45"/>
        <n v="486.15"/>
        <n v="405.0"/>
        <n v="167.6"/>
        <n v="413.0"/>
        <n v="287.9"/>
        <n v="333.1"/>
        <n v="1460.55"/>
        <n v="967.05"/>
        <n v="1905.8"/>
        <n v="322.95"/>
        <n v="476.25"/>
        <n v="392.0"/>
        <n v="162.19"/>
        <n v="420.55"/>
        <n v="282.5"/>
        <n v="1455.55"/>
        <n v="976.2"/>
        <n v="1947.0"/>
        <n v="324.45"/>
        <n v="480.3"/>
        <n v="394.4"/>
        <n v="165.0"/>
        <n v="416.55"/>
        <n v="285.2"/>
        <n v="334.75"/>
        <n v="1471.38"/>
        <n v="1017.0"/>
        <n v="1963.05"/>
        <n v="331.3"/>
        <n v="490.5"/>
        <n v="396.65"/>
        <n v="167.0"/>
        <n v="425.0"/>
        <n v="287.55"/>
        <n v="340.25"/>
        <n v="1488.95"/>
        <n v="1021.45"/>
        <n v="2023.7"/>
        <n v="336.7"/>
        <n v="501.55"/>
        <n v="402.65"/>
        <n v="168.8"/>
        <n v="427.0"/>
        <n v="294.7"/>
        <n v="342.35"/>
        <n v="1487.88"/>
        <n v="1036.0"/>
        <n v="2027.1"/>
        <n v="335.15"/>
        <n v="502.0"/>
        <n v="407.6"/>
        <n v="168.5"/>
        <n v="425.65"/>
        <n v="296.7"/>
        <n v="352.35"/>
        <n v="1480.2"/>
        <n v="1033.0"/>
        <n v="2039.2"/>
        <n v="500.05"/>
        <n v="408.6"/>
        <n v="168.61"/>
        <n v="430.55"/>
        <n v="291.5"/>
        <n v="357.2"/>
        <n v="1488.05"/>
        <n v="1001.05"/>
        <n v="1963.75"/>
        <n v="346.35"/>
        <n v="504.9"/>
        <n v="421.2"/>
        <n v="171.5"/>
        <n v="433.5"/>
        <n v="289.7"/>
        <n v="353.35"/>
        <n v="1492.0"/>
        <n v="994.0"/>
        <n v="1891.9"/>
        <n v="360.15"/>
        <n v="502.5"/>
        <n v="430.5"/>
        <n v="176.17"/>
        <n v="433.6"/>
        <n v="293.75"/>
        <n v="349.7"/>
        <n v="1474.4"/>
        <n v="1010.0"/>
        <n v="1880.0"/>
        <n v="364.15"/>
        <n v="506.15"/>
        <n v="438.45"/>
        <n v="177.27"/>
        <n v="438.8"/>
        <n v="290.7"/>
        <n v="349.95"/>
        <n v="1462.83"/>
        <n v="1775.75"/>
        <n v="347.0"/>
        <n v="499.5"/>
        <n v="170.73"/>
        <n v="432.0"/>
        <n v="290.55"/>
        <n v="342.6"/>
        <n v="1402.08"/>
        <n v="955.0"/>
        <n v="1780.0"/>
        <n v="334.35"/>
        <n v="494.05"/>
        <n v="395.1"/>
        <n v="165.6"/>
        <n v="426.3"/>
        <n v="293.2"/>
        <n v="337.75"/>
        <n v="1381.78"/>
        <n v="920.8"/>
        <n v="1735.0"/>
        <n v="332.8"/>
        <n v="475.35"/>
        <n v="390.95"/>
        <n v="162.1"/>
        <n v="409.05"/>
        <n v="281.5"/>
        <n v="325.0"/>
        <n v="1361.38"/>
        <n v="915.0"/>
        <n v="1725.55"/>
        <n v="328.25"/>
        <n v="476.45"/>
        <n v="381.5"/>
        <n v="160.76"/>
        <n v="411.3"/>
        <n v="280.55"/>
        <n v="322.35"/>
        <n v="1365.1"/>
        <n v="980.5"/>
        <n v="1779.45"/>
        <n v="485.65"/>
        <n v="393.25"/>
        <n v="164.46"/>
        <n v="417.0"/>
        <n v="286.85"/>
        <n v="325.5"/>
        <n v="1372.5"/>
        <n v="963.6"/>
        <n v="1758.2"/>
        <n v="334.55"/>
        <n v="486.05"/>
        <n v="164.01"/>
        <n v="420.5"/>
        <n v="330.1"/>
        <n v="1369.43"/>
        <n v="974.7"/>
        <n v="1767.0"/>
        <n v="334.0"/>
        <n v="487.45"/>
        <n v="387.4"/>
        <n v="162.6"/>
        <n v="419.6"/>
        <n v="289.5"/>
        <n v="329.5"/>
        <n v="1368.83"/>
        <n v="977.1"/>
        <n v="1765.05"/>
        <n v="337.25"/>
        <n v="492.95"/>
        <n v="396.05"/>
        <n v="162.85"/>
        <n v="420.0"/>
        <n v="285.15"/>
        <n v="327.8"/>
        <n v="1368.25"/>
        <n v="974.05"/>
        <n v="1750.0"/>
        <n v="343.9"/>
        <n v="490.05"/>
        <n v="412.25"/>
        <n v="166.5"/>
        <n v="423.55"/>
        <n v="280.85"/>
        <n v="327.5"/>
        <n v="1340.7"/>
        <n v="1003.2"/>
        <n v="1740.55"/>
        <n v="348.05"/>
        <n v="492.9"/>
        <n v="425.15"/>
        <n v="167.61"/>
        <n v="421.25"/>
        <n v="280.65"/>
        <n v="324.95"/>
        <n v="1337.63"/>
        <n v="1015.0"/>
        <n v="1719.0"/>
        <n v="341.85"/>
        <n v="487.2"/>
        <n v="428.25"/>
        <n v="164.0"/>
        <n v="416.6"/>
        <n v="280.95"/>
        <n v="324.6"/>
        <n v="1352.05"/>
        <n v="1004.0"/>
        <n v="1703.0"/>
        <n v="334.3"/>
        <n v="483.35"/>
        <n v="422.65"/>
        <n v="161.74"/>
        <n v="414.45"/>
        <n v="279.2"/>
        <n v="1341.33"/>
        <n v="1008.0"/>
        <n v="1705.0"/>
        <n v="330.2"/>
        <n v="482.35"/>
        <n v="413.85"/>
        <n v="159.75"/>
        <n v="419.1"/>
        <n v="274.55"/>
        <n v="329.45"/>
        <n v="1357.73"/>
        <n v="987.0"/>
        <n v="1668.25"/>
        <n v="322.0"/>
        <n v="467.2"/>
        <n v="400.5"/>
        <n v="154.86"/>
        <n v="413.45"/>
        <n v="270.0"/>
        <n v="321.05"/>
        <n v="1340.23"/>
        <n v="965.4"/>
        <n v="1627.85"/>
        <n v="316.55"/>
        <n v="458.95"/>
        <n v="394.2"/>
        <n v="150.15"/>
        <n v="401.7"/>
        <n v="265.05"/>
        <n v="313.85"/>
        <n v="1335.0"/>
        <n v="969.0"/>
        <n v="1681.0"/>
        <n v="320.0"/>
        <n v="473.05"/>
        <n v="393.45"/>
        <n v="152.52"/>
        <n v="406.8"/>
        <n v="268.35"/>
        <n v="315.25"/>
        <n v="1323.13"/>
        <n v="905.1"/>
        <n v="1625.0"/>
        <n v="303.1"/>
        <n v="459.0"/>
        <n v="370.65"/>
        <n v="145.45"/>
        <n v="391.6"/>
        <n v="261.6"/>
        <n v="313.25"/>
        <n v="1322.0"/>
        <n v="891.05"/>
        <n v="1588.55"/>
        <n v="305.3"/>
        <n v="435.25"/>
        <n v="379.0"/>
        <n v="145.0"/>
        <n v="397.8"/>
        <n v="255.3"/>
        <n v="310.75"/>
        <n v="1322.1"/>
        <n v="917.05"/>
        <n v="1596.65"/>
        <n v="302.25"/>
        <n v="375.5"/>
        <n v="140.56"/>
        <n v="404.45"/>
        <n v="259.4"/>
        <n v="314.15"/>
        <n v="1320.3"/>
        <n v="917.55"/>
        <n v="307.35"/>
        <n v="445.0"/>
        <n v="376.7"/>
        <n v="142.25"/>
        <n v="261.05"/>
        <n v="316.75"/>
        <n v="1325.35"/>
        <n v="942.0"/>
        <n v="1591.95"/>
        <n v="307.8"/>
        <n v="443.2"/>
        <n v="374.0"/>
        <n v="141.6"/>
        <n v="403.5"/>
        <n v="261.15"/>
        <n v="317.85"/>
        <n v="1326.15"/>
        <n v="961.2"/>
        <n v="1606.3"/>
        <n v="298.1"/>
        <n v="435.5"/>
        <n v="363.65"/>
        <n v="136.36"/>
        <n v="393.7"/>
        <n v="260.15"/>
        <n v="311.6"/>
        <n v="1285.1"/>
        <n v="956.35"/>
        <n v="1594.0"/>
        <n v="300.2"/>
        <n v="362.25"/>
        <n v="137.67"/>
        <n v="397.15"/>
        <n v="263.6"/>
        <n v="312.0"/>
        <n v="1286.15"/>
        <n v="1009.0"/>
        <n v="1636.7"/>
        <n v="307.25"/>
        <n v="431.2"/>
        <n v="377.15"/>
        <n v="141.37"/>
        <n v="403.15"/>
        <n v="264.4"/>
        <n v="313.9"/>
        <n v="1300.2"/>
        <n v="956.3"/>
        <n v="1635.0"/>
        <n v="311.1"/>
        <n v="434.65"/>
        <n v="385.35"/>
        <n v="143.12"/>
        <n v="264.8"/>
        <n v="311.7"/>
        <n v="1302.6"/>
        <n v="934.0"/>
        <n v="1581.4"/>
        <n v="306.8"/>
        <n v="380.3"/>
        <n v="140.0"/>
        <n v="395.55"/>
        <n v="259.65"/>
        <n v="308.7"/>
        <n v="1275.0"/>
        <n v="897.0"/>
        <n v="1550.3"/>
        <n v="304.05"/>
        <n v="417.35"/>
        <n v="375.15"/>
        <n v="391.8"/>
        <n v="256.0"/>
        <n v="312.8"/>
        <n v="1267.0"/>
        <n v="901.55"/>
        <n v="1511.0"/>
        <n v="309.05"/>
        <n v="412.8"/>
        <n v="374.05"/>
        <n v="138.5"/>
        <n v="379.05"/>
        <n v="255.4"/>
        <n v="321.8"/>
        <n v="1267.5"/>
        <n v="885.1"/>
        <n v="1459.55"/>
        <n v="302.0"/>
        <n v="405.7"/>
        <n v="367.75"/>
        <n v="135.5"/>
        <n v="379.35"/>
        <n v="249.0"/>
        <n v="317.15"/>
        <n v="1249.5"/>
        <n v="875.85"/>
        <n v="1473.85"/>
        <n v="296.4"/>
        <n v="402.6"/>
        <n v="365.45"/>
        <n v="133.75"/>
        <n v="371.35"/>
        <n v="310.6"/>
        <n v="1251.1"/>
        <n v="855.0"/>
        <n v="1450.0"/>
        <n v="288.3"/>
        <n v="411.0"/>
        <n v="366.4"/>
        <n v="133.33"/>
        <n v="362.65"/>
        <n v="247.1"/>
        <n v="310.1"/>
        <n v="1243.9"/>
        <n v="865.25"/>
        <n v="1400.1"/>
        <n v="286.5"/>
        <n v="410.7"/>
        <n v="360.2"/>
        <n v="132.65"/>
        <n v="365.05"/>
        <n v="312.25"/>
        <n v="1235.15"/>
        <n v="697.25"/>
        <n v="1132.0"/>
        <n v="279.35"/>
        <n v="404.15"/>
        <n v="354.9"/>
        <n v="129.5"/>
        <n v="354.8"/>
        <n v="240.8"/>
        <n v="313.0"/>
        <n v="1217.25"/>
        <n v="627.5"/>
        <n v="1021.0"/>
        <n v="281.05"/>
        <n v="406.4"/>
        <n v="358.6"/>
        <n v="130.73"/>
        <n v="355.7"/>
        <n v="243.5"/>
        <n v="324.0"/>
        <n v="1222.45"/>
        <n v="620.0"/>
        <n v="933.0"/>
        <n v="292.0"/>
        <n v="415.7"/>
        <n v="367.95"/>
        <n v="135.18"/>
        <n v="367.5"/>
        <n v="247.95"/>
        <n v="336.15"/>
        <n v="1282.45"/>
        <n v="593.05"/>
        <n v="891.85"/>
        <n v="293.35"/>
        <n v="409.7"/>
        <n v="378.0"/>
        <n v="136.14"/>
        <n v="360.25"/>
        <n v="252.55"/>
        <n v="337.9"/>
        <n v="1284.2"/>
        <n v="588.0"/>
        <n v="870.25"/>
        <n v="291.05"/>
        <n v="412.7"/>
        <n v="375.8"/>
        <n v="135.25"/>
        <n v="361.35"/>
        <n v="250.55"/>
        <n v="336.5"/>
        <n v="1286.0"/>
        <n v="685.0"/>
        <n v="1014.0"/>
        <n v="413.5"/>
        <n v="377.25"/>
        <n v="137.25"/>
        <n v="359.6"/>
        <n v="251.2"/>
        <n v="332.2"/>
        <n v="1269.05"/>
        <n v="742.0"/>
        <n v="1138.5"/>
        <n v="289.4"/>
        <n v="376.4"/>
        <n v="136.87"/>
        <n v="252.25"/>
        <n v="326.5"/>
        <n v="1275.25"/>
        <n v="802.5"/>
        <n v="1301.9"/>
        <n v="290.5"/>
        <n v="416.8"/>
        <n v="379.2"/>
        <n v="136.88"/>
        <n v="357.0"/>
        <n v="252.7"/>
        <n v="326.2"/>
        <n v="1277.05"/>
        <n v="798.0"/>
        <n v="1305.0"/>
        <n v="292.05"/>
        <n v="419.35"/>
        <n v="382.55"/>
        <n v="137.92"/>
        <n v="358.2"/>
        <n v="258.85"/>
        <n v="324.25"/>
        <n v="1307.0"/>
        <n v="797.0"/>
        <n v="1251.9"/>
        <n v="292.85"/>
        <n v="415.0"/>
        <n v="382.7"/>
        <n v="139.15"/>
        <n v="368.0"/>
        <n v="260.0"/>
        <n v="321.1"/>
        <n v="1304.05"/>
        <n v="806.0"/>
        <n v="1220.0"/>
        <n v="291.3"/>
        <n v="412.0"/>
        <n v="384.5"/>
        <n v="138.06"/>
        <n v="364.4"/>
        <n v="256.9"/>
        <n v="319.55"/>
        <n v="1306.15"/>
        <n v="805.3"/>
        <n v="1205.15"/>
        <n v="416.4"/>
        <n v="392.05"/>
        <n v="140.3"/>
        <n v="368.05"/>
        <n v="259.55"/>
        <n v="326.7"/>
        <n v="1310.0"/>
        <n v="1180.0"/>
        <n v="299.1"/>
        <n v="412.5"/>
        <n v="397.65"/>
        <n v="141.31"/>
        <n v="257.7"/>
        <n v="1293.1"/>
        <n v="775.8"/>
        <n v="1165.35"/>
        <n v="300.85"/>
        <n v="411.5"/>
        <n v="397.25"/>
        <n v="141.93"/>
        <n v="254.5"/>
        <n v="325.35"/>
        <n v="1280.2"/>
        <n v="773.0"/>
        <n v="1143.0"/>
        <n v="302.1"/>
        <n v="415.55"/>
        <n v="142.94"/>
        <n v="364.7"/>
        <n v="255.65"/>
        <n v="326.85"/>
        <n v="1276.05"/>
        <n v="783.25"/>
        <n v="1124.2"/>
        <n v="301.3"/>
        <n v="407.1"/>
        <n v="140.87"/>
        <n v="353.0"/>
        <n v="253.6"/>
        <n v="325.85"/>
        <n v="1260.6"/>
        <n v="807.0"/>
        <n v="1179.3"/>
        <n v="296.0"/>
        <n v="409.45"/>
        <n v="140.88"/>
        <n v="249.5"/>
        <n v="325.05"/>
        <n v="1239.6"/>
        <n v="809.0"/>
        <n v="1163.65"/>
        <n v="295.8"/>
        <n v="406.5"/>
        <n v="400.3"/>
        <n v="142.2"/>
        <n v="351.7"/>
        <n v="331.6"/>
        <n v="1266.55"/>
        <n v="806.4"/>
        <n v="1138.0"/>
        <n v="292.1"/>
        <n v="404.6"/>
        <n v="347.25"/>
        <n v="246.5"/>
        <n v="328.0"/>
        <n v="1242.8"/>
        <n v="790.2"/>
        <n v="1102.0"/>
        <n v="287.65"/>
        <n v="394.55"/>
        <n v="396.95"/>
        <n v="136.33"/>
        <n v="243.4"/>
        <n v="320.65"/>
        <n v="1240.65"/>
        <n v="770.05"/>
        <n v="1062.55"/>
        <n v="282.05"/>
        <n v="387.0"/>
        <n v="388.85"/>
        <n v="133.54"/>
        <n v="238.55"/>
        <n v="316.85"/>
        <n v="1229.0"/>
        <n v="761.85"/>
        <n v="1015.1"/>
        <n v="287.0"/>
        <n v="380.5"/>
        <n v="397.95"/>
        <n v="136.6"/>
        <n v="331.0"/>
        <n v="235.3"/>
        <n v="313.6"/>
        <n v="1201.5"/>
        <n v="765.3"/>
        <n v="1023.6"/>
        <n v="288.0"/>
        <n v="382.4"/>
        <n v="399.3"/>
        <n v="137.27"/>
        <n v="330.5"/>
        <n v="236.85"/>
        <n v="311.55"/>
        <n v="1213.2"/>
        <n v="766.05"/>
        <n v="1020.0"/>
        <n v="287.35"/>
        <n v="381.4"/>
        <n v="401.6"/>
        <n v="137.41"/>
        <n v="331.75"/>
        <n v="238.6"/>
        <n v="308.75"/>
        <n v="1221.0"/>
        <n v="769.0"/>
        <n v="1023.0"/>
        <n v="292.55"/>
        <n v="385.05"/>
        <n v="408.8"/>
        <n v="137.11"/>
        <n v="332.25"/>
        <n v="239.0"/>
        <n v="1214.25"/>
        <n v="791.0"/>
        <n v="1044.25"/>
        <n v="292.5"/>
        <n v="379.55"/>
        <n v="409.1"/>
        <n v="136.1"/>
        <n v="334.2"/>
        <n v="236.3"/>
        <n v="308.8"/>
        <n v="1217.0"/>
        <n v="805.25"/>
        <n v="1042.0"/>
        <n v="289.75"/>
        <n v="375.7"/>
        <n v="400.9"/>
        <n v="134.1"/>
        <n v="327.4"/>
        <n v="231.15"/>
        <n v="306.3"/>
        <n v="1208.1"/>
        <n v="800.0"/>
        <n v="1029.0"/>
        <n v="290.8"/>
        <n v="376.1"/>
        <n v="134.22"/>
        <n v="232.35"/>
        <n v="305.15"/>
        <n v="1206.15"/>
        <n v="800.95"/>
        <n v="1038.95"/>
        <n v="290.3"/>
        <n v="382.5"/>
        <n v="404.7"/>
        <n v="135.7"/>
        <n v="328.8"/>
        <n v="236.35"/>
        <n v="305.9"/>
        <n v="1211.6"/>
        <n v="793.5"/>
        <n v="1035.0"/>
        <n v="291.8"/>
        <n v="384.05"/>
        <n v="404.5"/>
        <n v="135.65"/>
        <n v="330.0"/>
        <n v="237.0"/>
        <n v="810.0"/>
        <n v="294.35"/>
        <n v="389.5"/>
        <n v="407.7"/>
        <n v="137.13"/>
        <n v="247.99"/>
        <n v="313.65"/>
        <n v="1235.5"/>
        <n v="765.1"/>
        <n v="980.0"/>
        <n v="284.1"/>
        <n v="388.0"/>
        <n v="132.05"/>
        <n v="326.45"/>
        <n v="251.45"/>
        <n v="304.8"/>
        <n v="1215.0"/>
        <n v="773.8"/>
        <n v="985.1"/>
        <n v="280.7"/>
        <n v="376.5"/>
        <n v="385.15"/>
        <n v="133.2"/>
        <n v="325.1"/>
        <n v="258.05"/>
        <n v="303.0"/>
        <n v="1221.25"/>
        <n v="761.4"/>
        <n v="981.0"/>
        <n v="280.5"/>
        <n v="376.0"/>
        <n v="381.7"/>
        <n v="133.09"/>
        <n v="321.85"/>
        <n v="265.75"/>
        <n v="1245.35"/>
        <n v="749.2"/>
        <n v="975.1"/>
        <n v="279.05"/>
        <n v="370.8"/>
        <n v="383.45"/>
        <n v="132.0"/>
        <n v="319.8"/>
        <n v="261.71"/>
        <n v="303.65"/>
        <n v="1248.05"/>
        <n v="726.35"/>
        <n v="940.4"/>
        <n v="275.6"/>
        <n v="129.75"/>
        <n v="307.6"/>
        <n v="258.47"/>
        <n v="298.5"/>
        <n v="1236.0"/>
        <n v="682.45"/>
        <n v="885.0"/>
        <n v="264.25"/>
        <n v="361.25"/>
        <n v="121.16"/>
        <n v="296.85"/>
        <n v="254.61"/>
        <n v="286.75"/>
        <n v="1226.4"/>
        <n v="700.1"/>
        <n v="897.5"/>
        <n v="266.0"/>
        <n v="363.0"/>
        <n v="363.85"/>
        <n v="122.72"/>
        <n v="256.82"/>
        <n v="286.8"/>
        <n v="1227.25"/>
        <n v="773.5"/>
        <n v="1023.5"/>
        <n v="265.25"/>
        <n v="369.3"/>
        <n v="360.6"/>
        <n v="126.22"/>
        <n v="312.55"/>
        <n v="257.69"/>
        <n v="291.1"/>
        <n v="1241.85"/>
        <n v="786.55"/>
        <n v="1063.4"/>
        <n v="263.5"/>
        <n v="374.8"/>
        <n v="357.4"/>
        <n v="126.55"/>
        <n v="321.65"/>
        <n v="296.6"/>
        <n v="1251.3"/>
        <n v="786.0"/>
        <n v="1056.15"/>
        <n v="267.25"/>
        <n v="378.55"/>
        <n v="355.2"/>
        <n v="126.3"/>
        <n v="323.35"/>
        <n v="261.3"/>
        <n v="295.7"/>
        <n v="1285.0"/>
        <n v="801.15"/>
        <n v="1054.25"/>
        <n v="268.8"/>
        <n v="382.65"/>
        <n v="126.81"/>
        <n v="324.55"/>
        <n v="265.01"/>
        <n v="301.95"/>
        <n v="1300.25"/>
        <n v="803.2"/>
        <n v="1037.75"/>
        <n v="278.15"/>
        <n v="381.0"/>
        <n v="358.0"/>
        <n v="130.65"/>
        <n v="323.8"/>
        <n v="264.81"/>
        <n v="301.5"/>
        <n v="1270.2"/>
        <n v="785.1"/>
        <n v="1007.0"/>
        <n v="274.05"/>
        <n v="374.65"/>
        <n v="363.2"/>
        <n v="128.44"/>
        <n v="317.35"/>
        <n v="1268.7"/>
        <n v="791.35"/>
        <n v="270.3"/>
        <n v="376.2"/>
        <n v="359.85"/>
        <n v="128.84"/>
        <n v="261.17"/>
        <n v="293.6"/>
        <n v="1261.6"/>
        <n v="781.0"/>
        <n v="1006.0"/>
        <n v="263.0"/>
        <n v="351.25"/>
        <n v="127.9"/>
        <n v="322.1"/>
        <n v="255.75"/>
        <n v="1243.5"/>
        <n v="750.8"/>
        <n v="982.95"/>
        <n v="258.35"/>
        <n v="372.75"/>
        <n v="343.35"/>
        <n v="122.5"/>
        <n v="315.0"/>
        <n v="249.51"/>
        <n v="283.75"/>
        <n v="735.3"/>
        <n v="965.7"/>
        <n v="254.3"/>
        <n v="341.45"/>
        <n v="121.84"/>
        <n v="308.15"/>
        <n v="246.71"/>
        <n v="1218.5"/>
        <n v="738.1"/>
        <n v="982.4"/>
        <n v="251.5"/>
        <n v="343.7"/>
        <n v="122.9"/>
        <n v="313.3"/>
        <n v="247.0"/>
        <n v="283.3"/>
        <n v="1228.05"/>
        <n v="728.3"/>
        <n v="256.5"/>
        <n v="380.4"/>
        <n v="346.0"/>
        <n v="123.86"/>
        <n v="321.15"/>
        <n v="250.94"/>
        <n v="287.85"/>
        <n v="1232.4"/>
        <n v="737.85"/>
        <n v="971.55"/>
        <n v="254.25"/>
        <n v="349.4"/>
        <n v="126.15"/>
        <n v="317.55"/>
        <n v="255.21"/>
        <n v="295.9"/>
        <n v="1249.0"/>
        <n v="725.35"/>
        <n v="967.5"/>
        <n v="242.2"/>
        <n v="366.5"/>
        <n v="318.7"/>
        <n v="120.1"/>
        <n v="304.0"/>
        <n v="244.85"/>
        <n v="278.0"/>
        <n v="1237.55"/>
        <n v="731.0"/>
        <n v="973.2"/>
        <n v="250.2"/>
        <n v="374.9"/>
        <n v="327.15"/>
        <n v="310.3"/>
        <n v="252.0"/>
        <n v="272.1"/>
        <n v="1246.6"/>
        <n v="751.8"/>
        <n v="987.05"/>
        <n v="260.25"/>
        <n v="377.9"/>
        <n v="340.1"/>
        <n v="125.46"/>
        <n v="318.4"/>
        <n v="257.75"/>
        <n v="284.55"/>
        <n v="1276.7"/>
        <n v="767.15"/>
        <n v="993.5"/>
        <n v="261.65"/>
        <n v="377.2"/>
        <n v="340.6"/>
        <n v="125.32"/>
        <n v="311.4"/>
        <n v="279.75"/>
        <n v="1270.35"/>
        <n v="759.2"/>
        <n v="984.1"/>
        <n v="260.05"/>
        <n v="339.55"/>
        <n v="124.43"/>
        <n v="312.1"/>
        <n v="247.5"/>
        <n v="1262.0"/>
        <n v="738.05"/>
        <n v="950.05"/>
        <n v="257.5"/>
        <n v="369.0"/>
        <n v="122.86"/>
        <n v="309.0"/>
        <n v="241.8"/>
        <n v="268.1"/>
        <n v="1245.55"/>
        <n v="725.2"/>
        <n v="938.05"/>
        <n v="253.75"/>
        <n v="357.5"/>
        <n v="120.0"/>
        <n v="304.15"/>
        <n v="236.8"/>
        <n v="1230.1"/>
        <n v="728.65"/>
        <n v="897.05"/>
        <n v="249.05"/>
        <n v="351.55"/>
        <n v="318.65"/>
        <n v="117.28"/>
        <n v="300.0"/>
        <n v="234.15"/>
        <n v="254.0"/>
        <n v="1193.35"/>
        <n v="740.0"/>
        <n v="908.05"/>
        <n v="255.0"/>
        <n v="319.2"/>
        <n v="119.95"/>
        <n v="234.2"/>
        <n v="256.1"/>
        <n v="1212.0"/>
        <n v="696.75"/>
        <n v="873.0"/>
        <n v="247.45"/>
        <n v="350.5"/>
        <n v="304.4"/>
        <n v="116.0"/>
        <n v="298.35"/>
        <n v="226.75"/>
        <n v="254.75"/>
        <n v="1205.45"/>
        <n v="677.4"/>
        <n v="840.45"/>
        <n v="246.35"/>
        <n v="349.25"/>
        <n v="303.25"/>
        <n v="114.4"/>
        <n v="292.8"/>
        <n v="225.05"/>
        <n v="252.2"/>
        <n v="1204.5"/>
        <n v="668.0"/>
        <n v="870.1"/>
        <n v="246.85"/>
        <n v="353.8"/>
        <n v="312.4"/>
        <n v="116.31"/>
        <n v="297.5"/>
        <n v="229.55"/>
        <n v="260.2"/>
        <n v="1216.1"/>
        <n v="660.0"/>
        <n v="860.95"/>
        <n v="249.55"/>
        <n v="316.65"/>
        <n v="117.9"/>
        <n v="234.5"/>
        <n v="262.3"/>
        <n v="1217.55"/>
        <n v="662.35"/>
        <n v="845.0"/>
        <n v="253.2"/>
        <n v="360.0"/>
        <n v="321.25"/>
        <n v="118.98"/>
        <n v="311.5"/>
        <n v="236.5"/>
        <n v="1222.0"/>
        <n v="667.2"/>
        <n v="841.0"/>
        <n v="250.65"/>
        <n v="365.3"/>
        <n v="321.9"/>
        <n v="120.83"/>
        <n v="321.55"/>
        <n v="238.1"/>
        <n v="1222.15"/>
        <n v="656.65"/>
        <n v="819.1"/>
        <n v="248.75"/>
        <n v="361.15"/>
        <n v="317.65"/>
        <n v="119.4"/>
        <n v="319.45"/>
        <n v="234.0"/>
        <n v="257.25"/>
        <n v="1210.5"/>
        <n v="665.7"/>
        <n v="828.65"/>
        <n v="247.7"/>
        <n v="358.7"/>
        <n v="309.35"/>
        <n v="118.4"/>
        <n v="315.75"/>
        <n v="232.55"/>
        <n v="254.9"/>
        <n v="806.3"/>
        <n v="242.1"/>
        <n v="356.15"/>
        <n v="302.3"/>
        <n v="116.09"/>
        <n v="314.5"/>
        <n v="228.5"/>
        <n v="253.45"/>
        <n v="1200.65"/>
        <n v="648.05"/>
        <n v="760.15"/>
        <n v="236.15"/>
        <n v="292.45"/>
        <n v="112.92"/>
        <n v="306.55"/>
        <n v="223.15"/>
        <n v="247.3"/>
        <n v="1193.3"/>
        <n v="639.45"/>
        <n v="758.0"/>
        <n v="234.01"/>
        <n v="352.4"/>
        <n v="110.72"/>
        <n v="307.7"/>
        <n v="218.36"/>
        <n v="248.5"/>
        <n v="1156.0"/>
        <n v="641.15"/>
        <n v="765.6"/>
        <n v="236.1"/>
        <n v="352.6"/>
        <n v="290.1"/>
        <n v="111.91"/>
        <n v="308.0"/>
        <n v="215.48"/>
        <n v="249.45"/>
        <n v="1159.55"/>
        <n v="646.0"/>
        <n v="249.9"/>
        <n v="362.05"/>
        <n v="314.05"/>
        <n v="117.75"/>
        <n v="313.5"/>
        <n v="226.76"/>
        <n v="1157.0"/>
        <n v="707.6"/>
        <n v="836.0"/>
        <n v="259.0"/>
        <n v="368.1"/>
        <n v="331.8"/>
        <n v="123.95"/>
        <n v="323.2"/>
        <n v="226.71"/>
        <n v="260.7"/>
        <n v="1185.15"/>
        <n v="724.0"/>
        <n v="823.15"/>
        <n v="379.4"/>
        <n v="330.15"/>
        <n v="123.7"/>
        <n v="328.7"/>
        <n v="231.17"/>
        <n v="738.0"/>
        <n v="823.25"/>
        <n v="256.06"/>
        <n v="121.1"/>
        <n v="326.3"/>
        <n v="222.48"/>
        <n v="1235.4"/>
        <n v="810.6"/>
        <n v="254.35"/>
        <n v="320.5"/>
        <n v="120.34"/>
        <n v="323.7"/>
        <n v="220.1"/>
        <n v="265.85"/>
        <n v="1229.75"/>
        <n v="744.05"/>
        <n v="806.35"/>
        <n v="263.4"/>
        <n v="373.8"/>
        <n v="325.8"/>
        <n v="124.18"/>
        <n v="326.4"/>
        <n v="222.36"/>
        <n v="1244.0"/>
        <n v="776.85"/>
        <n v="858.0"/>
        <n v="262.01"/>
        <n v="377.35"/>
        <n v="323.0"/>
        <n v="124.33"/>
        <n v="328.45"/>
        <n v="224.87"/>
        <n v="265.5"/>
        <n v="1243.85"/>
        <n v="776.8"/>
        <n v="868.85"/>
        <n v="258.31"/>
        <n v="226.24"/>
        <n v="264.95"/>
        <n v="1233.1"/>
        <n v="786.3"/>
        <n v="889.1"/>
        <n v="259.51"/>
        <n v="386.45"/>
        <n v="319.5"/>
        <n v="123.68"/>
        <n v="331.35"/>
        <n v="228.52"/>
        <n v="267.3"/>
        <n v="1235.0"/>
        <n v="799.15"/>
        <n v="901.4"/>
        <n v="263.01"/>
        <n v="388.8"/>
        <n v="324.1"/>
        <n v="125.31"/>
        <n v="336.35"/>
        <n v="231.6"/>
        <n v="269.8"/>
        <n v="1238.8"/>
        <n v="800.9"/>
        <n v="902.05"/>
        <n v="264.75"/>
        <n v="327.05"/>
        <n v="127.42"/>
        <n v="340.3"/>
        <n v="232.01"/>
        <n v="277.05"/>
        <n v="1250.05"/>
        <n v="811.85"/>
        <n v="920.55"/>
        <n v="271.06"/>
        <n v="334.1"/>
        <n v="128.75"/>
        <n v="341.75"/>
        <n v="235.8"/>
        <n v="280.05"/>
        <n v="1270.1"/>
        <n v="817.55"/>
        <n v="949.05"/>
        <n v="280.0"/>
        <n v="405.05"/>
        <n v="354.3"/>
        <n v="131.37"/>
        <n v="353.65"/>
        <n v="242.75"/>
        <n v="284.45"/>
        <n v="1284.25"/>
        <n v="812.35"/>
        <n v="916.0"/>
        <n v="277.18"/>
        <n v="397.1"/>
        <n v="352.7"/>
        <n v="130.45"/>
        <n v="240.55"/>
        <n v="1282.6"/>
        <n v="800.5"/>
        <n v="910.0"/>
        <n v="272.13"/>
        <n v="393.15"/>
        <n v="351.05"/>
        <n v="128.9"/>
        <n v="353.3"/>
        <n v="239.37"/>
        <n v="289.55"/>
        <n v="1268.75"/>
        <n v="796.05"/>
        <n v="905.2"/>
        <n v="272.18"/>
        <n v="349.15"/>
        <n v="128.52"/>
        <n v="351.0"/>
        <n v="238.65"/>
        <n v="289.0"/>
        <n v="1271.3"/>
        <n v="864.0"/>
        <n v="942.05"/>
        <n v="276.3"/>
        <n v="393.5"/>
        <n v="358.05"/>
        <n v="127.5"/>
        <n v="356.45"/>
        <n v="243.26"/>
        <n v="1269.0"/>
        <n v="856.1"/>
        <n v="916.65"/>
        <n v="275.0"/>
        <n v="395.05"/>
        <n v="349.6"/>
        <n v="127.25"/>
        <n v="350.85"/>
        <n v="246.7"/>
        <n v="1249.3"/>
        <n v="839.3"/>
        <n v="910.7"/>
        <n v="277.7"/>
        <n v="391.5"/>
        <n v="353.05"/>
        <n v="128.0"/>
        <n v="347.05"/>
        <n v="248.0"/>
        <n v="284.5"/>
        <n v="927.0"/>
        <n v="283.0"/>
        <n v="393.2"/>
        <n v="359.35"/>
        <n v="129.88"/>
        <n v="351.75"/>
        <n v="242.51"/>
        <n v="285.1"/>
        <n v="1233.05"/>
        <n v="852.1"/>
        <n v="917.65"/>
        <n v="382.6"/>
        <n v="350.6"/>
        <n v="128.88"/>
        <n v="348.55"/>
        <n v="224.2"/>
        <n v="1193.15"/>
        <n v="780.5"/>
        <n v="850.0"/>
        <n v="262.0"/>
        <n v="356.0"/>
        <n v="341.5"/>
        <n v="122.35"/>
        <n v="205.0"/>
        <n v="282.3"/>
        <n v="1114.85"/>
        <n v="826.85"/>
        <n v="873.3"/>
        <n v="275.1"/>
        <n v="376.65"/>
        <n v="128.2"/>
        <n v="350.0"/>
        <n v="219.18"/>
        <n v="284.65"/>
        <n v="1163.3"/>
        <n v="827.6"/>
        <n v="850.5"/>
        <n v="279.6"/>
        <n v="373.1"/>
        <n v="365.15"/>
        <n v="128.78"/>
        <n v="348.2"/>
        <n v="220.26"/>
        <n v="289.3"/>
        <n v="1168.0"/>
        <n v="833.75"/>
        <n v="878.7"/>
        <n v="382.15"/>
        <n v="377.05"/>
        <n v="131.06"/>
        <n v="225.25"/>
        <n v="293.25"/>
        <n v="1195.15"/>
        <n v="851.45"/>
        <n v="901.3"/>
        <n v="361.55"/>
        <n v="230.1"/>
        <n v="303.7"/>
        <n v="1237.1"/>
        <n v="881.05"/>
        <n v="931.5"/>
        <n v="392.5"/>
        <n v="377.3"/>
        <n v="132.31"/>
        <n v="357.9"/>
        <n v="231.72"/>
        <n v="302.8"/>
        <n v="891.65"/>
        <n v="940.0"/>
        <n v="295.45"/>
        <n v="388.3"/>
        <n v="132.9"/>
        <n v="357.25"/>
        <n v="239.26"/>
        <n v="1227.6"/>
        <n v="915.45"/>
        <n v="944.0"/>
        <n v="298.0"/>
        <n v="395.65"/>
        <n v="134.31"/>
        <n v="361.8"/>
        <n v="241.75"/>
        <n v="308.45"/>
        <n v="926.0"/>
        <n v="941.55"/>
        <n v="302.65"/>
        <n v="394.3"/>
        <n v="393.0"/>
        <n v="137.2"/>
        <n v="359.7"/>
        <n v="247.26"/>
        <n v="1286.3"/>
        <n v="901.6"/>
        <n v="298.3"/>
        <n v="394.0"/>
        <n v="383.85"/>
        <n v="135.77"/>
        <n v="244.92"/>
        <n v="309.45"/>
        <n v="1285.4"/>
        <n v="935.0"/>
        <n v="948.75"/>
        <n v="300.3"/>
        <n v="396.85"/>
        <n v="387.3"/>
        <n v="137.31"/>
        <n v="361.6"/>
        <n v="312.85"/>
        <n v="1290.3"/>
        <n v="905.9"/>
        <n v="903.7"/>
        <n v="293.3"/>
        <n v="389.65"/>
        <n v="378.25"/>
        <n v="132.82"/>
        <n v="351.1"/>
        <n v="244.4"/>
        <n v="303.4"/>
        <n v="1288.1"/>
        <n v="904.0"/>
        <n v="909.15"/>
        <n v="293.1"/>
        <n v="391.55"/>
        <n v="377.0"/>
        <n v="133.65"/>
        <n v="353.7"/>
        <n v="244.38"/>
        <n v="303.55"/>
        <n v="1320.2"/>
        <n v="912.05"/>
        <n v="918.9"/>
        <n v="309.8"/>
        <n v="388.45"/>
        <n v="389.25"/>
        <n v="135.53"/>
        <n v="354.1"/>
        <n v="245.1"/>
        <n v="301.2"/>
        <n v="1370.0"/>
        <n v="892.0"/>
        <n v="895.0"/>
        <n v="383.1"/>
        <n v="374.5"/>
        <n v="136.45"/>
        <n v="352.0"/>
        <n v="242.22"/>
        <n v="301.9"/>
        <n v="1369.0"/>
        <n v="900.05"/>
        <n v="900.0"/>
        <n v="309.9"/>
        <n v="379.95"/>
        <n v="138.11"/>
        <n v="347.6"/>
        <n v="1409.1"/>
        <n v="909.95"/>
        <n v="910.55"/>
        <n v="316.0"/>
        <n v="381.75"/>
        <n v="391.25"/>
        <n v="144.75"/>
        <n v="345.55"/>
        <n v="304.65"/>
        <n v="1426.9"/>
        <n v="901.1"/>
        <n v="918.0"/>
        <n v="310.55"/>
        <n v="377.4"/>
        <n v="143.63"/>
        <n v="236.0"/>
        <n v="305.55"/>
        <n v="1410.6"/>
        <n v="865.1"/>
        <n v="307.0"/>
        <n v="370.3"/>
        <n v="392.6"/>
        <n v="337.0"/>
        <n v="232.07"/>
        <n v="1402.7"/>
        <n v="826.3"/>
        <n v="870.2"/>
        <n v="305.7"/>
        <n v="382.25"/>
        <n v="385.0"/>
        <n v="139.5"/>
        <n v="338.4"/>
        <n v="231.4"/>
        <n v="1398.0"/>
        <n v="806.1"/>
        <n v="854.35"/>
        <n v="301.35"/>
        <n v="380.0"/>
        <n v="137.61"/>
        <n v="330.6"/>
        <n v="228.45"/>
        <n v="1374.5"/>
        <n v="851.05"/>
        <n v="911.05"/>
        <n v="307.15"/>
        <n v="387.5"/>
        <n v="386.0"/>
        <n v="141.71"/>
        <n v="338.1"/>
        <n v="238.11"/>
        <n v="1400.0"/>
        <n v="885.25"/>
        <n v="933.2"/>
        <n v="304.5"/>
        <n v="394.05"/>
        <n v="386.2"/>
        <n v="141.0"/>
        <n v="340.5"/>
        <n v="240.29"/>
        <n v="1412.4"/>
        <n v="886.0"/>
        <n v="957.8"/>
        <n v="308.4"/>
        <n v="396.45"/>
        <n v="391.45"/>
        <n v="141.95"/>
        <n v="241.16"/>
        <n v="294.05"/>
        <n v="1415.5"/>
        <n v="884.05"/>
        <n v="953.4"/>
        <n v="399.6"/>
        <n v="397.7"/>
        <n v="143.57"/>
        <n v="332.65"/>
        <n v="242.3"/>
        <n v="1412.7"/>
        <n v="965.2"/>
        <n v="315.8"/>
        <n v="403.6"/>
        <n v="144.43"/>
        <n v="342.0"/>
        <n v="246.2"/>
        <n v="295.5"/>
        <n v="1447.3"/>
        <n v="1010.05"/>
        <n v="316.15"/>
        <n v="401.05"/>
        <n v="404.1"/>
        <n v="144.1"/>
        <n v="342.4"/>
        <n v="244.91"/>
        <n v="299.0"/>
        <n v="1438.2"/>
        <n v="866.55"/>
        <n v="981.8"/>
        <n v="311.75"/>
        <n v="404.0"/>
        <n v="392.2"/>
        <n v="141.39"/>
        <n v="341.55"/>
        <n v="246.79"/>
        <n v="297.1"/>
        <n v="1421.8"/>
        <n v="860.5"/>
        <n v="977.2"/>
        <n v="404.25"/>
        <n v="390.55"/>
        <n v="140.55"/>
        <n v="339.85"/>
        <n v="247.76"/>
        <n v="295.65"/>
        <n v="1418.1"/>
        <n v="864.35"/>
        <n v="141.87"/>
        <n v="338.25"/>
        <n v="239.61"/>
        <n v="286.55"/>
        <n v="1396.9"/>
        <n v="871.1"/>
        <n v="976.0"/>
        <n v="399.0"/>
        <n v="143.0"/>
        <n v="340.15"/>
        <n v="240.15"/>
        <n v="291.75"/>
        <n v="1406.6"/>
        <n v="875.9"/>
        <n v="993.3"/>
        <n v="319.0"/>
        <n v="401.75"/>
        <n v="408.45"/>
        <n v="142.9"/>
        <n v="342.55"/>
        <n v="244.81"/>
        <n v="295.75"/>
        <n v="1425.1"/>
        <n v="874.25"/>
        <n v="1001.0"/>
        <n v="315.5"/>
        <n v="398.3"/>
        <n v="406.3"/>
        <n v="142.5"/>
        <n v="336.8"/>
        <n v="242.92"/>
        <n v="292.2"/>
        <n v="1413.9"/>
        <n v="865.75"/>
        <n v="999.6"/>
        <n v="313.75"/>
        <n v="396.5"/>
        <n v="142.71"/>
        <n v="337.1"/>
        <n v="241.3"/>
        <n v="1410.7"/>
        <n v="869.4"/>
        <n v="1000.55"/>
        <n v="317.6"/>
        <n v="397.0"/>
        <n v="412.6"/>
        <n v="142.62"/>
        <n v="338.05"/>
        <n v="241.35"/>
        <n v="1408.6"/>
        <n v="862.0"/>
        <n v="1004.2"/>
        <n v="317.0"/>
        <n v="396.35"/>
        <n v="408.9"/>
        <n v="141.21"/>
        <n v="332.85"/>
        <n v="238.89"/>
        <n v="288.25"/>
        <n v="1409.7"/>
        <n v="872.05"/>
        <n v="315.65"/>
        <n v="395.5"/>
        <n v="407.0"/>
        <n v="141.46"/>
        <n v="330.3"/>
        <n v="237.66"/>
        <n v="288.4"/>
        <n v="1395.6"/>
        <n v="854.0"/>
        <n v="988.0"/>
        <n v="390.5"/>
        <n v="401.1"/>
        <n v="140.6"/>
        <n v="327.0"/>
        <n v="236.6"/>
        <n v="287.75"/>
        <n v="1403.4"/>
        <n v="851.55"/>
        <n v="983.7"/>
        <n v="308.6"/>
        <n v="389.6"/>
        <n v="401.0"/>
        <n v="139.1"/>
        <n v="324.85"/>
        <n v="235.5"/>
        <n v="287.05"/>
        <n v="1406.1"/>
        <n v="864.05"/>
        <n v="1002.0"/>
        <n v="308.25"/>
        <n v="392.55"/>
        <n v="399.9"/>
        <n v="139.03"/>
        <n v="327.6"/>
        <n v="236.22"/>
        <n v="1423.6"/>
        <n v="872.45"/>
        <n v="1004.8"/>
        <n v="402.25"/>
        <n v="139.24"/>
        <n v="329.05"/>
        <n v="237.51"/>
        <n v="292.95"/>
        <n v="1437.0"/>
        <n v="876.0"/>
        <n v="400.0"/>
        <n v="404.85"/>
        <n v="140.83"/>
        <n v="332.75"/>
        <n v="240.5"/>
        <n v="296.15"/>
        <n v="1445.3"/>
        <n v="896.45"/>
        <n v="1034.7"/>
        <n v="319.4"/>
        <n v="398.85"/>
        <n v="142.0"/>
        <n v="242.59"/>
        <n v="298.25"/>
        <n v="1436.0"/>
        <n v="1033.3"/>
        <n v="320.3"/>
        <n v="398.4"/>
        <n v="142.19"/>
        <n v="337.45"/>
        <n v="243.55"/>
        <n v="294.0"/>
        <n v="1443.1"/>
        <n v="868.05"/>
        <n v="1012.0"/>
        <n v="317.75"/>
        <n v="390.4"/>
        <n v="141.5"/>
        <n v="246.75"/>
        <n v="288.5"/>
        <n v="1434.4"/>
        <n v="851.7"/>
        <n v="985.3"/>
        <n v="299.3"/>
        <n v="370.15"/>
        <n v="137.01"/>
        <n v="326.6"/>
        <n v="249.12"/>
        <n v="281.8"/>
        <n v="1414.3"/>
        <n v="849.45"/>
        <n v="968.6"/>
        <n v="308.5"/>
        <n v="383.05"/>
        <n v="138.9"/>
        <n v="252.19"/>
        <n v="286.3"/>
        <n v="1424.4"/>
        <n v="846.05"/>
        <n v="975.0"/>
        <n v="390.1"/>
        <n v="141.2"/>
        <n v="251.55"/>
        <n v="287.2"/>
        <n v="1425.8"/>
        <n v="834.6"/>
        <n v="963.2"/>
        <n v="309.7"/>
        <n v="388.1"/>
        <n v="330.75"/>
        <n v="249.77"/>
        <n v="285.5"/>
        <n v="1425.7"/>
        <n v="818.0"/>
        <n v="929.0"/>
        <n v="383.5"/>
        <n v="388.95"/>
        <n v="138.33"/>
        <n v="328.55"/>
        <n v="248.2"/>
        <n v="285.3"/>
        <n v="823.35"/>
        <n v="936.0"/>
        <n v="310.0"/>
        <n v="384.15"/>
        <n v="388.25"/>
        <n v="137.0"/>
        <n v="329.7"/>
        <n v="249.35"/>
        <n v="285.05"/>
        <n v="1428.1"/>
        <n v="817.8"/>
        <n v="308.2"/>
        <n v="384.7"/>
        <n v="383.55"/>
        <n v="136.4"/>
        <n v="330.35"/>
        <n v="250.33"/>
        <n v="288.1"/>
        <n v="1442.0"/>
        <n v="848.0"/>
        <n v="974.0"/>
        <n v="390.7"/>
        <n v="403.9"/>
        <n v="142.16"/>
        <n v="321.35"/>
        <n v="243.49"/>
        <n v="285.35"/>
        <n v="847.05"/>
        <n v="979.5"/>
        <n v="316.6"/>
        <n v="391.0"/>
        <n v="141.67"/>
        <n v="329.4"/>
        <n v="241.5"/>
        <n v="1460.5"/>
        <n v="851.0"/>
        <n v="976.1"/>
        <n v="318.85"/>
        <n v="390.65"/>
        <n v="142.01"/>
        <n v="241.54"/>
        <n v="1465.1"/>
        <n v="863.0"/>
        <n v="993.0"/>
        <n v="392.1"/>
        <n v="419.45"/>
        <n v="146.0"/>
        <n v="242.0"/>
        <n v="294.15"/>
        <n v="1496.9"/>
        <n v="874.7"/>
        <n v="390.8"/>
        <n v="436.25"/>
        <n v="146.42"/>
        <n v="333.65"/>
        <n v="243.0"/>
        <n v="296.25"/>
        <n v="1496.0"/>
        <n v="871.0"/>
        <n v="1007.2"/>
        <n v="330.9"/>
        <n v="389.0"/>
        <n v="433.75"/>
        <n v="146.19"/>
        <n v="332.15"/>
        <n v="297.0"/>
        <n v="1500.1"/>
        <n v="1012.1"/>
        <n v="385.45"/>
        <n v="433.3"/>
        <n v="147.02"/>
        <n v="240.2"/>
        <n v="293.4"/>
        <n v="1508.7"/>
        <n v="867.55"/>
        <n v="1005.0"/>
        <n v="330.55"/>
        <n v="385.5"/>
        <n v="147.5"/>
        <n v="1513.0"/>
        <n v="867.15"/>
        <n v="990.0"/>
        <n v="331.9"/>
        <n v="383.4"/>
        <n v="436.15"/>
        <n v="147.86"/>
        <n v="291.65"/>
        <n v="1517.2"/>
        <n v="871.05"/>
        <n v="988.7"/>
        <n v="343.45"/>
        <n v="384.0"/>
        <n v="441.25"/>
        <n v="151.81"/>
        <n v="333.75"/>
        <n v="240.83"/>
        <n v="293.5"/>
        <n v="1525.0"/>
        <n v="981.3"/>
        <n v="348.7"/>
        <n v="382.3"/>
        <n v="444.7"/>
        <n v="152.83"/>
        <n v="240.65"/>
        <n v="293.05"/>
        <n v="1530.2"/>
        <n v="885.55"/>
        <n v="993.2"/>
        <n v="347.65"/>
        <n v="382.85"/>
        <n v="442.65"/>
        <n v="150.09"/>
        <n v="342.8"/>
        <n v="242.27"/>
        <n v="1510.1"/>
        <n v="887.0"/>
        <n v="992.3"/>
        <n v="440.05"/>
        <n v="150.0"/>
        <n v="341.2"/>
        <n v="242.33"/>
        <n v="1507.5"/>
        <n v="869.1"/>
        <n v="985.2"/>
        <n v="343.3"/>
        <n v="380.6"/>
        <n v="433.05"/>
        <n v="150.26"/>
        <n v="339.5"/>
        <n v="296.95"/>
        <n v="1490.3"/>
        <n v="867.3"/>
        <n v="994.2"/>
        <n v="342.85"/>
        <n v="428.0"/>
        <n v="149.62"/>
        <n v="339.95"/>
        <n v="241.14"/>
        <n v="297.45"/>
        <n v="1479.1"/>
        <n v="1026.0"/>
        <n v="346.15"/>
        <n v="429.1"/>
        <n v="150.54"/>
        <n v="340.95"/>
        <n v="242.7"/>
        <n v="1482.4"/>
        <n v="875.05"/>
        <n v="1033.1"/>
        <n v="347.4"/>
        <n v="384.95"/>
        <n v="433.7"/>
        <n v="150.63"/>
        <n v="340.8"/>
        <n v="1471.5"/>
        <n v="872.0"/>
        <n v="1033.4"/>
        <n v="344.25"/>
        <n v="384.9"/>
        <n v="438.35"/>
        <n v="150.62"/>
        <n v="242.82"/>
        <n v="1473.9"/>
        <n v="867.0"/>
        <n v="1024.4"/>
        <n v="342.1"/>
        <n v="384.1"/>
        <n v="429.5"/>
        <n v="148.6"/>
        <n v="340.65"/>
        <n v="243.46"/>
        <n v="1469.1"/>
        <n v="862.1"/>
        <n v="1024.1"/>
        <n v="339.45"/>
        <n v="385.4"/>
        <n v="428.05"/>
        <n v="149.07"/>
        <n v="339.3"/>
        <n v="244.43"/>
        <n v="292.25"/>
        <n v="1423.1"/>
        <n v="864.2"/>
        <n v="1006.6"/>
        <n v="428.45"/>
        <n v="150.65"/>
        <n v="340.05"/>
        <n v="244.07"/>
        <n v="294.55"/>
        <n v="861.5"/>
        <n v="428.35"/>
        <n v="150.72"/>
        <n v="244.26"/>
        <n v="1414.4"/>
        <n v="844.05"/>
        <n v="1017.7"/>
        <n v="339.7"/>
        <n v="383.9"/>
        <n v="432.4"/>
        <n v="150.71"/>
        <n v="243.76"/>
        <n v="296.5"/>
        <n v="1396.0"/>
        <n v="812.15"/>
        <n v="973.0"/>
        <n v="331.05"/>
        <n v="420.2"/>
        <n v="146.58"/>
        <n v="332.55"/>
        <n v="239.25"/>
        <n v="290.9"/>
        <n v="1384.1"/>
        <n v="813.0"/>
        <n v="979.0"/>
        <n v="419.5"/>
        <n v="146.7"/>
        <n v="237.8"/>
        <n v="290.75"/>
        <n v="1385.0"/>
        <n v="800.35"/>
        <n v="333.2"/>
        <n v="376.95"/>
        <n v="146.5"/>
        <n v="328.5"/>
        <n v="239.82"/>
        <n v="289.8"/>
        <n v="1383.0"/>
        <n v="821.65"/>
        <n v="416.0"/>
        <n v="146.25"/>
        <n v="332.5"/>
        <n v="240.1"/>
        <n v="286.6"/>
        <n v="1401.3"/>
        <n v="806.55"/>
        <n v="980.1"/>
        <n v="323.1"/>
        <n v="374.7"/>
        <n v="410.6"/>
        <n v="144.32"/>
        <n v="333.0"/>
        <n v="239.66"/>
        <n v="284.95"/>
        <n v="1382.2"/>
        <n v="791.1"/>
        <n v="968.0"/>
        <n v="370.7"/>
        <n v="402.1"/>
        <n v="140.66"/>
        <n v="234.05"/>
        <n v="1384.3"/>
        <n v="793.05"/>
        <n v="971.65"/>
        <n v="314.9"/>
        <n v="370.2"/>
        <n v="399.7"/>
        <n v="139.72"/>
        <n v="327.2"/>
        <n v="285.7"/>
        <n v="1391.7"/>
        <n v="782.1"/>
        <n v="309.55"/>
        <n v="394.5"/>
        <n v="139.4"/>
        <n v="233.05"/>
        <n v="1388.1"/>
        <n v="779.05"/>
        <n v="314.4"/>
        <n v="373.55"/>
        <n v="232.91"/>
        <n v="284.05"/>
        <n v="1383.3"/>
        <n v="769.05"/>
        <n v="903.5"/>
        <n v="373.6"/>
        <n v="392.15"/>
        <n v="328.65"/>
        <n v="231.31"/>
        <n v="283.4"/>
        <n v="1366.0"/>
        <n v="786.4"/>
        <n v="909.05"/>
        <n v="378.15"/>
        <n v="399.5"/>
        <n v="139.31"/>
        <n v="329.65"/>
        <n v="232.68"/>
        <n v="283.6"/>
        <n v="1365.0"/>
        <n v="785.8"/>
        <n v="908.0"/>
        <n v="317.2"/>
        <n v="376.55"/>
        <n v="400.6"/>
        <n v="139.35"/>
        <n v="333.95"/>
        <n v="231.58"/>
        <n v="1361.2"/>
        <n v="784.3"/>
        <n v="927.5"/>
        <n v="320.7"/>
        <n v="381.2"/>
        <n v="140.86"/>
        <n v="335.75"/>
        <n v="233.61"/>
        <n v="284.0"/>
        <n v="1375.2"/>
        <n v="782.0"/>
        <n v="919.5"/>
        <n v="385.1"/>
        <n v="406.7"/>
        <n v="141.7"/>
        <n v="339.15"/>
        <n v="286.05"/>
        <n v="1377.5"/>
        <n v="774.45"/>
        <n v="914.05"/>
        <n v="393.8"/>
        <n v="139.86"/>
        <n v="336.3"/>
        <n v="234.43"/>
        <n v="287.15"/>
        <n v="1370.1"/>
        <n v="783.0"/>
        <n v="925.75"/>
        <n v="312.45"/>
        <n v="139.25"/>
        <n v="335.45"/>
        <n v="1377.0"/>
        <n v="813.05"/>
        <n v="937.45"/>
        <n v="312.7"/>
        <n v="384.25"/>
        <n v="386.15"/>
        <n v="138.8"/>
        <n v="334.15"/>
        <n v="236.68"/>
        <n v="1389.1"/>
        <n v="822.2"/>
        <n v="967.95"/>
        <n v="286.95"/>
        <n v="1410.0"/>
        <n v="812.0"/>
        <n v="964.15"/>
        <n v="318.75"/>
        <n v="390.2"/>
        <n v="141.28"/>
        <n v="336.9"/>
        <n v="237.23"/>
        <n v="1420.3"/>
        <n v="795.2"/>
        <n v="952.9"/>
        <n v="314.7"/>
        <n v="387.7"/>
        <n v="139.45"/>
        <n v="335.5"/>
        <n v="235.89"/>
        <n v="1407.9"/>
        <n v="795.05"/>
        <n v="958.35"/>
        <n v="387.6"/>
        <n v="139.19"/>
        <n v="235.65"/>
        <n v="282.2"/>
        <n v="1405.7"/>
        <n v="787.75"/>
        <n v="311.05"/>
        <n v="371.4"/>
        <n v="381.95"/>
        <n v="138.55"/>
        <n v="233.8"/>
        <n v="278.9"/>
        <n v="1381.6"/>
        <n v="767.3"/>
        <n v="917.1"/>
        <n v="368.65"/>
        <n v="380.8"/>
        <n v="138.1"/>
        <n v="232.38"/>
        <n v="273.6"/>
        <n v="1366.5"/>
        <n v="759.25"/>
        <n v="908.5"/>
        <n v="372.65"/>
        <n v="375.05"/>
        <n v="136.46"/>
        <n v="231.33"/>
        <n v="272.25"/>
        <n v="1350.0"/>
        <n v="763.3"/>
        <n v="918.05"/>
        <n v="375.1"/>
        <n v="376.6"/>
        <n v="136.76"/>
        <n v="233.07"/>
        <n v="276.0"/>
        <n v="1340.6"/>
        <n v="761.2"/>
        <n v="312.75"/>
        <n v="382.0"/>
        <n v="331.1"/>
        <n v="237.4"/>
        <n v="279.85"/>
        <n v="1354.5"/>
        <n v="760.1"/>
        <n v="931.15"/>
        <n v="383.0"/>
        <n v="139.51"/>
        <n v="333.5"/>
        <n v="238.46"/>
        <n v="285.6"/>
        <n v="1360.5"/>
        <n v="757.0"/>
        <n v="926.5"/>
        <n v="312.5"/>
        <n v="385.7"/>
        <n v="329.3"/>
        <n v="235.43"/>
        <n v="280.9"/>
        <n v="1357.1"/>
        <n v="744.9"/>
        <n v="916.25"/>
        <n v="380.2"/>
        <n v="138.47"/>
        <n v="325.95"/>
        <n v="233.01"/>
        <n v="282.35"/>
        <n v="1359.3"/>
        <n v="757.65"/>
        <n v="931.85"/>
        <n v="313.55"/>
        <n v="386.3"/>
        <n v="326.35"/>
        <n v="232.06"/>
        <n v="282.1"/>
        <n v="1372.4"/>
        <n v="773.55"/>
        <n v="935.8"/>
        <n v="386.75"/>
        <n v="389.3"/>
        <n v="140.5"/>
        <n v="323.65"/>
        <n v="230.76"/>
        <n v="281.7"/>
        <n v="1368.7"/>
        <n v="792.05"/>
        <n v="945.8"/>
        <n v="314.75"/>
        <n v="388.05"/>
        <n v="140.81"/>
        <n v="325.15"/>
        <n v="231.0"/>
        <n v="1374.1"/>
        <n v="811.6"/>
        <n v="317.5"/>
        <n v="326.0"/>
        <n v="232.1"/>
        <n v="282.55"/>
        <n v="1375.0"/>
        <n v="812.6"/>
        <n v="975.45"/>
        <n v="317.05"/>
        <n v="396.55"/>
        <n v="142.42"/>
        <n v="328.4"/>
        <n v="232.7"/>
        <n v="1380.5"/>
        <n v="830.05"/>
        <n v="983.45"/>
        <n v="315.7"/>
        <n v="396.2"/>
        <n v="142.31"/>
        <n v="330.65"/>
        <n v="232.0"/>
        <n v="285.75"/>
        <n v="1388.6"/>
        <n v="316.5"/>
        <n v="400.15"/>
        <n v="143.82"/>
        <n v="331.2"/>
        <n v="232.42"/>
        <n v="1398.2"/>
        <m/>
      </sharedItems>
    </cacheField>
    <cacheField name="Close" numFmtId="164">
      <sharedItems containsString="0" containsBlank="1" containsNumber="1">
        <n v="980.5"/>
        <n v="1930.8"/>
        <n v="340.65"/>
        <n v="493.25"/>
        <n v="410.2"/>
        <n v="171.82"/>
        <n v="411.1"/>
        <n v="292.5"/>
        <n v="338.25"/>
        <n v="1471.35"/>
        <n v="989.0"/>
        <n v="1954.4"/>
        <n v="338.4"/>
        <n v="488.5"/>
        <n v="408.7"/>
        <n v="170.51"/>
        <n v="416.3"/>
        <n v="294.65"/>
        <n v="336.9"/>
        <n v="1472.3"/>
        <n v="979.9"/>
        <n v="1950.8"/>
        <n v="336.1"/>
        <n v="487.1"/>
        <n v="407.45"/>
        <n v="168.45"/>
        <n v="414.15"/>
        <n v="290.4"/>
        <n v="334.3"/>
        <n v="1463.45"/>
        <n v="979.0"/>
        <n v="1962.95"/>
        <n v="324.45"/>
        <n v="477.95"/>
        <n v="398.05"/>
        <n v="165.04"/>
        <n v="423.95"/>
        <n v="285.25"/>
        <n v="334.9"/>
        <n v="1469.68"/>
        <n v="1007.15"/>
        <n v="2003.95"/>
        <n v="331.2"/>
        <n v="490.95"/>
        <n v="398.75"/>
        <n v="167.05"/>
        <n v="286.25"/>
        <n v="340.85"/>
        <n v="1485.93"/>
        <n v="1025.95"/>
        <n v="2031.2"/>
        <n v="338.1"/>
        <n v="500.6"/>
        <n v="403.45"/>
        <n v="169.73"/>
        <n v="428.35"/>
        <n v="295.45"/>
        <n v="341.15"/>
        <n v="1493.38"/>
        <n v="1051.15"/>
        <n v="2070.55"/>
        <n v="339.15"/>
        <n v="504.3"/>
        <n v="417.15"/>
        <n v="169.89"/>
        <n v="428.1"/>
        <n v="299.45"/>
        <n v="350.05"/>
        <n v="1489.38"/>
        <n v="1044.2"/>
        <n v="2066.75"/>
        <n v="339.8"/>
        <n v="505.3"/>
        <n v="417.4"/>
        <n v="169.82"/>
        <n v="436.1"/>
        <n v="298.7"/>
        <n v="363.75"/>
        <n v="1493.95"/>
        <n v="1036.7"/>
        <n v="2057.85"/>
        <n v="345.1"/>
        <n v="506.55"/>
        <n v="421.95"/>
        <n v="171.36"/>
        <n v="434.6"/>
        <n v="295.2"/>
        <n v="365.45"/>
        <n v="1497.95"/>
        <n v="1010.2"/>
        <n v="1981.85"/>
        <n v="367.3"/>
        <n v="516.1"/>
        <n v="437.95"/>
        <n v="180.01"/>
        <n v="436.9"/>
        <n v="297.2"/>
        <n v="354.25"/>
        <n v="1526.18"/>
        <n v="1009.65"/>
        <n v="1902.7"/>
        <n v="369.95"/>
        <n v="510.15"/>
        <n v="440.55"/>
        <n v="180.15"/>
        <n v="443.2"/>
        <n v="297.6"/>
        <n v="352.85"/>
        <n v="1476.58"/>
        <n v="1040.1"/>
        <n v="1884.95"/>
        <n v="368.25"/>
        <n v="508.5"/>
        <n v="444.9"/>
        <n v="179.06"/>
        <n v="440.1"/>
        <n v="291.95"/>
        <n v="350.8"/>
        <n v="1464.83"/>
        <n v="1015.85"/>
        <n v="1807.8"/>
        <n v="348.85"/>
        <n v="502.35"/>
        <n v="415.05"/>
        <n v="171.33"/>
        <n v="435.35"/>
        <n v="292.05"/>
        <n v="344.15"/>
        <n v="1406.98"/>
        <n v="962.75"/>
        <n v="1801.2"/>
        <n v="340.25"/>
        <n v="497.2"/>
        <n v="406.9"/>
        <n v="168.65"/>
        <n v="430.45"/>
        <n v="295.25"/>
        <n v="338.85"/>
        <n v="1386.53"/>
        <n v="934.2"/>
        <n v="1752.45"/>
        <n v="335.0"/>
        <n v="480.45"/>
        <n v="393.65"/>
        <n v="162.74"/>
        <n v="415.45"/>
        <n v="289.45"/>
        <n v="328.95"/>
        <n v="1370.73"/>
        <n v="1007.3"/>
        <n v="1813.85"/>
        <n v="338.0"/>
        <n v="491.85"/>
        <n v="390.25"/>
        <n v="164.24"/>
        <n v="420.95"/>
        <n v="293.45"/>
        <n v="327.15"/>
        <n v="1397.35"/>
        <n v="983.3"/>
        <n v="1784.45"/>
        <n v="486.95"/>
        <n v="394.85"/>
        <n v="164.74"/>
        <n v="418.45"/>
        <n v="288.5"/>
        <n v="329.75"/>
        <n v="1374.6"/>
        <n v="989.85"/>
        <n v="1780.5"/>
        <n v="335.45"/>
        <n v="488.1"/>
        <n v="392.5"/>
        <n v="164.39"/>
        <n v="422.7"/>
        <n v="288.75"/>
        <n v="334.35"/>
        <n v="1371.05"/>
        <n v="976.8"/>
        <n v="1792.2"/>
        <n v="337.65"/>
        <n v="492.95"/>
        <n v="395.5"/>
        <n v="163.15"/>
        <n v="422.5"/>
        <n v="292.55"/>
        <n v="330.05"/>
        <n v="1372.1"/>
        <n v="982.4"/>
        <n v="1775.35"/>
        <n v="340.75"/>
        <n v="498.3"/>
        <n v="405.85"/>
        <n v="165.47"/>
        <n v="424.5"/>
        <n v="286.5"/>
        <n v="330.7"/>
        <n v="1372.53"/>
        <n v="1004.7"/>
        <n v="1763.0"/>
        <n v="348.75"/>
        <n v="494.45"/>
        <n v="422.9"/>
        <n v="167.93"/>
        <n v="426.6"/>
        <n v="283.7"/>
        <n v="329.85"/>
        <n v="1344.03"/>
        <n v="1032.65"/>
        <n v="1751.05"/>
        <n v="350.75"/>
        <n v="495.75"/>
        <n v="434.65"/>
        <n v="168.39"/>
        <n v="424.25"/>
        <n v="285.4"/>
        <n v="327.2"/>
        <n v="1354.08"/>
        <n v="1021.65"/>
        <n v="1733.55"/>
        <n v="342.7"/>
        <n v="489.9"/>
        <n v="433.35"/>
        <n v="164.28"/>
        <n v="417.75"/>
        <n v="281.6"/>
        <n v="331.15"/>
        <n v="1356.43"/>
        <n v="1043.3"/>
        <n v="1736.05"/>
        <n v="342.5"/>
        <n v="492.2"/>
        <n v="431.6"/>
        <n v="165.35"/>
        <n v="424.95"/>
        <n v="283.3"/>
        <n v="332.05"/>
        <n v="1359.3"/>
        <n v="1017.55"/>
        <n v="1710.8"/>
        <n v="331.65"/>
        <n v="485.4"/>
        <n v="415.15"/>
        <n v="160.12"/>
        <n v="425.0"/>
        <n v="276.6"/>
        <n v="1369.2"/>
        <n v="1009.85"/>
        <n v="1684.45"/>
        <n v="322.9"/>
        <n v="468.35"/>
        <n v="402.1"/>
        <n v="155.31"/>
        <n v="415.75"/>
        <n v="270.8"/>
        <n v="322.75"/>
        <n v="1343.35"/>
        <n v="981.6"/>
        <n v="1702.1"/>
        <n v="323.05"/>
        <n v="474.1"/>
        <n v="397.85"/>
        <n v="152.94"/>
        <n v="408.3"/>
        <n v="270.85"/>
        <n v="316.9"/>
        <n v="1338.53"/>
        <n v="976.35"/>
        <n v="1692.4"/>
        <n v="321.45"/>
        <n v="477.25"/>
        <n v="404.75"/>
        <n v="153.27"/>
        <n v="411.9"/>
        <n v="269.1"/>
        <n v="319.15"/>
        <n v="1339.8"/>
        <n v="919.35"/>
        <n v="1644.0"/>
        <n v="306.3"/>
        <n v="461.1"/>
        <n v="372.4"/>
        <n v="146.31"/>
        <n v="398.9"/>
        <n v="264.05"/>
        <n v="315.8"/>
        <n v="1327.85"/>
        <n v="940.0"/>
        <n v="1613.15"/>
        <n v="310.4"/>
        <n v="441.65"/>
        <n v="383.3"/>
        <n v="147.02"/>
        <n v="403.9"/>
        <n v="263.35"/>
        <n v="318.3"/>
        <n v="1334.35"/>
        <n v="930.6"/>
        <n v="1639.0"/>
        <n v="311.45"/>
        <n v="445.55"/>
        <n v="388.5"/>
        <n v="144.12"/>
        <n v="412.15"/>
        <n v="265.0"/>
        <n v="320.55"/>
        <n v="1340.0"/>
        <n v="945.9"/>
        <n v="1634.2"/>
        <n v="311.3"/>
        <n v="449.15"/>
        <n v="377.65"/>
        <n v="143.4"/>
        <n v="408.5"/>
        <n v="261.65"/>
        <n v="318.45"/>
        <n v="1343.9"/>
        <n v="976.2"/>
        <n v="1598.3"/>
        <n v="310.75"/>
        <n v="452.05"/>
        <n v="380.9"/>
        <n v="142.62"/>
        <n v="408.15"/>
        <n v="266.15"/>
        <n v="320.8"/>
        <n v="1332.05"/>
        <n v="964.8"/>
        <n v="1611.95"/>
        <n v="303.45"/>
        <n v="443.3"/>
        <n v="368.5"/>
        <n v="138.93"/>
        <n v="400.95"/>
        <n v="265.3"/>
        <n v="315.45"/>
        <n v="1302.15"/>
        <n v="1015.0"/>
        <n v="1644.25"/>
        <n v="307.95"/>
        <n v="434.9"/>
        <n v="374.85"/>
        <n v="140.8"/>
        <n v="403.1"/>
        <n v="267.4"/>
        <n v="316.6"/>
        <n v="1305.3"/>
        <n v="1076.3"/>
        <n v="1721.15"/>
        <n v="317.0"/>
        <n v="435.8"/>
        <n v="391.6"/>
        <n v="144.61"/>
        <n v="408.9"/>
        <n v="269.05"/>
        <n v="318.5"/>
        <n v="1325.35"/>
        <n v="964.05"/>
        <n v="1642.7"/>
        <n v="315.0"/>
        <n v="396.5"/>
        <n v="144.15"/>
        <n v="403.8"/>
        <n v="265.2"/>
        <n v="312.95"/>
        <n v="1305.65"/>
        <n v="936.25"/>
        <n v="1598.55"/>
        <n v="310.45"/>
        <n v="424.05"/>
        <n v="383.05"/>
        <n v="140.34"/>
        <n v="397.65"/>
        <n v="262.55"/>
        <n v="316.25"/>
        <n v="1283.75"/>
        <n v="901.95"/>
        <n v="1557.4"/>
        <n v="312.55"/>
        <n v="421.55"/>
        <n v="380.95"/>
        <n v="139.43"/>
        <n v="392.55"/>
        <n v="256.9"/>
        <n v="329.8"/>
        <n v="1272.7"/>
        <n v="924.05"/>
        <n v="1524.15"/>
        <n v="309.8"/>
        <n v="414.05"/>
        <n v="375.55"/>
        <n v="138.79"/>
        <n v="380.3"/>
        <n v="256.15"/>
        <n v="322.7"/>
        <n v="1274.25"/>
        <n v="889.85"/>
        <n v="1468.45"/>
        <n v="305.85"/>
        <n v="371.4"/>
        <n v="135.99"/>
        <n v="381.35"/>
        <n v="252.55"/>
        <n v="318.0"/>
        <n v="1252.05"/>
        <n v="879.7"/>
        <n v="1490.3"/>
        <n v="298.2"/>
        <n v="409.75"/>
        <n v="134.76"/>
        <n v="372.5"/>
        <n v="250.8"/>
        <n v="312.1"/>
        <n v="1267.6"/>
        <n v="866.55"/>
        <n v="1456.95"/>
        <n v="289.2"/>
        <n v="413.35"/>
        <n v="134.14"/>
        <n v="366.7"/>
        <n v="250.65"/>
        <n v="312.05"/>
        <n v="1260.75"/>
        <n v="871.55"/>
        <n v="1412.7"/>
        <n v="287.5"/>
        <n v="412.25"/>
        <n v="362.15"/>
        <n v="133.12"/>
        <n v="248.0"/>
        <n v="315.05"/>
        <n v="1241.65"/>
        <n v="697.25"/>
        <n v="1145.7"/>
        <n v="282.4"/>
        <n v="406.0"/>
        <n v="360.1"/>
        <n v="130.71"/>
        <n v="356.15"/>
        <n v="242.15"/>
        <n v="325.9"/>
        <n v="1223.0"/>
        <n v="648.95"/>
        <n v="1051.8"/>
        <n v="285.85"/>
        <n v="360.7"/>
        <n v="132.61"/>
        <n v="245.6"/>
        <n v="336.95"/>
        <n v="1265.4"/>
        <n v="625.2"/>
        <n v="968.8"/>
        <n v="296.55"/>
        <n v="417.45"/>
        <n v="376.85"/>
        <n v="136.4"/>
        <n v="368.4"/>
        <n v="257.9"/>
        <n v="342.75"/>
        <n v="1287.0"/>
        <n v="600.75"/>
        <n v="898.55"/>
        <n v="293.85"/>
        <n v="411.5"/>
        <n v="379.6"/>
        <n v="136.96"/>
        <n v="361.65"/>
        <n v="254.25"/>
        <n v="338.8"/>
        <n v="1295.7"/>
        <n v="660.8"/>
        <n v="988.4"/>
        <n v="380.15"/>
        <n v="139.0"/>
        <n v="369.3"/>
        <n v="254.3"/>
        <n v="339.25"/>
        <n v="1293.2"/>
        <n v="726.85"/>
        <n v="1087.2"/>
        <n v="290.95"/>
        <n v="415.2"/>
        <n v="380.0"/>
        <n v="137.75"/>
        <n v="362.05"/>
        <n v="252.2"/>
        <n v="333.65"/>
        <n v="1270.8"/>
        <n v="840.5"/>
        <n v="1323.9"/>
        <n v="292.1"/>
        <n v="416.4"/>
        <n v="383.1"/>
        <n v="138.63"/>
        <n v="363.65"/>
        <n v="256.7"/>
        <n v="329.4"/>
        <n v="1292.2"/>
        <n v="807.0"/>
        <n v="1327.95"/>
        <n v="294.15"/>
        <n v="421.7"/>
        <n v="137.65"/>
        <n v="358.2"/>
        <n v="257.55"/>
        <n v="327.85"/>
        <n v="1309.15"/>
        <n v="801.85"/>
        <n v="1312.8"/>
        <n v="294.25"/>
        <n v="422.1"/>
        <n v="384.55"/>
        <n v="139.51"/>
        <n v="367.45"/>
        <n v="262.35"/>
        <n v="329.65"/>
        <n v="1323.3"/>
        <n v="813.45"/>
        <n v="1260.85"/>
        <n v="293.65"/>
        <n v="416.65"/>
        <n v="387.65"/>
        <n v="139.86"/>
        <n v="372.75"/>
        <n v="260.7"/>
        <n v="325.05"/>
        <n v="1308.95"/>
        <n v="822.8"/>
        <n v="1229.6"/>
        <n v="297.0"/>
        <n v="418.4"/>
        <n v="391.8"/>
        <n v="139.44"/>
        <n v="369.15"/>
        <n v="261.3"/>
        <n v="328.35"/>
        <n v="1322.05"/>
        <n v="808.35"/>
        <n v="1210.65"/>
        <n v="300.35"/>
        <n v="399.2"/>
        <n v="141.96"/>
        <n v="369.5"/>
        <n v="260.05"/>
        <n v="328.9"/>
        <n v="1311.55"/>
        <n v="803.45"/>
        <n v="1216.95"/>
        <n v="414.0"/>
        <n v="399.7"/>
        <n v="142.33"/>
        <n v="369.85"/>
        <n v="258.9"/>
        <n v="329.1"/>
        <n v="1295.15"/>
        <n v="784.55"/>
        <n v="1176.65"/>
        <n v="303.5"/>
        <n v="404.9"/>
        <n v="143.54"/>
        <n v="327.9"/>
        <n v="1284.85"/>
        <n v="791.5"/>
        <n v="1148.05"/>
        <n v="307.45"/>
        <n v="416.95"/>
        <n v="410.1"/>
        <n v="143.19"/>
        <n v="365.5"/>
        <n v="256.6"/>
        <n v="327.55"/>
        <n v="1278.2"/>
        <n v="818.15"/>
        <n v="1217.95"/>
        <n v="302.15"/>
        <n v="409.1"/>
        <n v="411.7"/>
        <n v="141.48"/>
        <n v="355.6"/>
        <n v="254.05"/>
        <n v="329.2"/>
        <n v="1262.9"/>
        <n v="832.4"/>
        <n v="1198.4"/>
        <n v="301.7"/>
        <n v="410.3"/>
        <n v="144.24"/>
        <n v="357.15"/>
        <n v="333.85"/>
        <n v="1272.85"/>
        <n v="811.9"/>
        <n v="1168.05"/>
        <n v="297.95"/>
        <n v="410.45"/>
        <n v="407.1"/>
        <n v="143.16"/>
        <n v="352.9"/>
        <n v="251.8"/>
        <n v="1268.3"/>
        <n v="813.35"/>
        <n v="1143.25"/>
        <n v="293.0"/>
        <n v="402.9"/>
        <n v="140.32"/>
        <n v="349.05"/>
        <n v="247.4"/>
        <n v="1245.3"/>
        <n v="793.85"/>
        <n v="1105.5"/>
        <n v="288.3"/>
        <n v="395.8"/>
        <n v="136.71"/>
        <n v="341.75"/>
        <n v="244.15"/>
        <n v="321.55"/>
        <n v="1253.25"/>
        <n v="796.0"/>
        <n v="1073.65"/>
        <n v="294.55"/>
        <n v="391.95"/>
        <n v="407.4"/>
        <n v="139.62"/>
        <n v="337.4"/>
        <n v="241.85"/>
        <n v="321.65"/>
        <n v="1230.45"/>
        <n v="767.55"/>
        <n v="1034.35"/>
        <n v="289.05"/>
        <n v="382.0"/>
        <n v="399.5"/>
        <n v="137.08"/>
        <n v="333.25"/>
        <n v="237.1"/>
        <n v="1205.3"/>
        <n v="773.3"/>
        <n v="1034.65"/>
        <n v="289.1"/>
        <n v="382.95"/>
        <n v="403.6"/>
        <n v="137.78"/>
        <n v="240.85"/>
        <n v="315.3"/>
        <n v="1222.3"/>
        <n v="771.3"/>
        <n v="1031.05"/>
        <n v="292.0"/>
        <n v="384.5"/>
        <n v="412.85"/>
        <n v="138.27"/>
        <n v="335.3"/>
        <n v="238.95"/>
        <n v="310.1"/>
        <n v="1222.75"/>
        <n v="792.3"/>
        <n v="1064.25"/>
        <n v="295.6"/>
        <n v="386.6"/>
        <n v="419.3"/>
        <n v="137.85"/>
        <n v="334.65"/>
        <n v="240.25"/>
        <n v="310.3"/>
        <n v="1216.55"/>
        <n v="805.95"/>
        <n v="1054.0"/>
        <n v="293.55"/>
        <n v="380.5"/>
        <n v="410.7"/>
        <n v="136.25"/>
        <n v="236.9"/>
        <n v="309.4"/>
        <n v="1221.05"/>
        <n v="826.25"/>
        <n v="1075.65"/>
        <n v="293.3"/>
        <n v="377.9"/>
        <n v="405.8"/>
        <n v="134.61"/>
        <n v="331.4"/>
        <n v="232.65"/>
        <n v="307.55"/>
        <n v="1210.7"/>
        <n v="806.2"/>
        <n v="1040.7"/>
        <n v="292.45"/>
        <n v="384.15"/>
        <n v="408.75"/>
        <n v="136.41"/>
        <n v="333.35"/>
        <n v="239.25"/>
        <n v="308.7"/>
        <n v="1215.45"/>
        <n v="805.45"/>
        <n v="1046.4"/>
        <n v="295.3"/>
        <n v="386.4"/>
        <n v="412.35"/>
        <n v="137.04"/>
        <n v="236.95"/>
        <n v="1221.25"/>
        <n v="809.05"/>
        <n v="1046.5"/>
        <n v="296.9"/>
        <n v="392.95"/>
        <n v="412.7"/>
        <n v="137.96"/>
        <n v="246.07"/>
        <n v="315.15"/>
        <n v="1241.8"/>
        <n v="821.25"/>
        <n v="1038.25"/>
        <n v="296.4"/>
        <n v="413.05"/>
        <n v="138.14"/>
        <n v="339.85"/>
        <n v="258.89"/>
        <n v="316.05"/>
        <n v="1251.15"/>
        <n v="768.6"/>
        <n v="982.6"/>
        <n v="284.85"/>
        <n v="378.75"/>
        <n v="388.95"/>
        <n v="132.88"/>
        <n v="327.5"/>
        <n v="254.36"/>
        <n v="306.0"/>
        <n v="1218.0"/>
        <n v="781.55"/>
        <n v="1005.5"/>
        <n v="282.8"/>
        <n v="379.8"/>
        <n v="386.2"/>
        <n v="134.33"/>
        <n v="328.6"/>
        <n v="263.49"/>
        <n v="305.05"/>
        <n v="1240.85"/>
        <n v="770.2"/>
        <n v="988.95"/>
        <n v="286.8"/>
        <n v="380.35"/>
        <n v="391.35"/>
        <n v="134.6"/>
        <n v="325.4"/>
        <n v="271.33"/>
        <n v="306.65"/>
        <n v="1265.5"/>
        <n v="751.5"/>
        <n v="977.7"/>
        <n v="280.0"/>
        <n v="372.2"/>
        <n v="384.8"/>
        <n v="132.2"/>
        <n v="320.35"/>
        <n v="263.18"/>
        <n v="305.25"/>
        <n v="1254.75"/>
        <n v="729.25"/>
        <n v="943.05"/>
        <n v="277.65"/>
        <n v="388.45"/>
        <n v="130.28"/>
        <n v="308.25"/>
        <n v="263.02"/>
        <n v="299.7"/>
        <n v="1241.9"/>
        <n v="688.75"/>
        <n v="889.75"/>
        <n v="362.9"/>
        <n v="364.4"/>
        <n v="121.99"/>
        <n v="255.73"/>
        <n v="287.6"/>
        <n v="1239.85"/>
        <n v="1006.85"/>
        <n v="270.2"/>
        <n v="369.25"/>
        <n v="373.25"/>
        <n v="126.63"/>
        <n v="260.37"/>
        <n v="290.25"/>
        <n v="1238.75"/>
        <n v="780.15"/>
        <n v="1035.05"/>
        <n v="267.0"/>
        <n v="374.6"/>
        <n v="363.25"/>
        <n v="126.95"/>
        <n v="321.35"/>
        <n v="258.18"/>
        <n v="298.65"/>
        <n v="1252.2"/>
        <n v="792.5"/>
        <n v="1070.25"/>
        <n v="266.9"/>
        <n v="378.85"/>
        <n v="127.1"/>
        <n v="325.5"/>
        <n v="297.65"/>
        <n v="1266.45"/>
        <n v="805.15"/>
        <n v="1078.2"/>
        <n v="273.6"/>
        <n v="358.9"/>
        <n v="128.07"/>
        <n v="326.15"/>
        <n v="266.57"/>
        <n v="302.6"/>
        <n v="1302.35"/>
        <n v="815.75"/>
        <n v="1066.75"/>
        <n v="277.3"/>
        <n v="387.05"/>
        <n v="360.35"/>
        <n v="130.5"/>
        <n v="336.05"/>
        <n v="269.36"/>
        <n v="306.25"/>
        <n v="1305.45"/>
        <n v="1045.7"/>
        <n v="280.2"/>
        <n v="381.55"/>
        <n v="131.08"/>
        <n v="324.3"/>
        <n v="265.8"/>
        <n v="302.35"/>
        <n v="1273.7"/>
        <n v="802.8"/>
        <n v="1031.7"/>
        <n v="277.6"/>
        <n v="379.2"/>
        <n v="370.1"/>
        <n v="130.52"/>
        <n v="322.4"/>
        <n v="297.55"/>
        <n v="1277.1"/>
        <n v="808.8"/>
        <n v="1030.25"/>
        <n v="271.25"/>
        <n v="385.8"/>
        <n v="362.1"/>
        <n v="129.83"/>
        <n v="323.65"/>
        <n v="263.05"/>
        <n v="294.35"/>
        <n v="1263.65"/>
        <n v="790.45"/>
        <n v="1012.1"/>
        <n v="263.8"/>
        <n v="128.26"/>
        <n v="256.51"/>
        <n v="295.85"/>
        <n v="1246.3"/>
        <n v="755.65"/>
        <n v="998.95"/>
        <n v="375.75"/>
        <n v="345.95"/>
        <n v="124.17"/>
        <n v="322.2"/>
        <n v="250.78"/>
        <n v="287.0"/>
        <n v="1229.35"/>
        <n v="747.6"/>
        <n v="987.3"/>
        <n v="258.05"/>
        <n v="370.65"/>
        <n v="349.5"/>
        <n v="122.58"/>
        <n v="318.25"/>
        <n v="248.68"/>
        <n v="283.95"/>
        <n v="1234.4"/>
        <n v="744.7"/>
        <n v="987.65"/>
        <n v="257.0"/>
        <n v="379.45"/>
        <n v="345.25"/>
        <n v="123.64"/>
        <n v="321.25"/>
        <n v="251.4"/>
        <n v="287.85"/>
        <n v="1235.5"/>
        <n v="740.25"/>
        <n v="971.85"/>
        <n v="257.15"/>
        <n v="385.05"/>
        <n v="351.6"/>
        <n v="127.12"/>
        <n v="323.0"/>
        <n v="256.72"/>
        <n v="295.35"/>
        <n v="1253.05"/>
        <n v="748.35"/>
        <n v="997.55"/>
        <n v="261.1"/>
        <n v="395.9"/>
        <n v="358.25"/>
        <n v="128.49"/>
        <n v="324.0"/>
        <n v="262.61"/>
        <n v="301.65"/>
        <n v="1265.1"/>
        <n v="728.15"/>
        <n v="970.1"/>
        <n v="249.55"/>
        <n v="374.0"/>
        <n v="324.9"/>
        <n v="120.96"/>
        <n v="311.25"/>
        <n v="249.0"/>
        <n v="283.8"/>
        <n v="1245.9"/>
        <n v="751.8"/>
        <n v="983.15"/>
        <n v="255.95"/>
        <n v="376.55"/>
        <n v="333.7"/>
        <n v="124.46"/>
        <n v="319.1"/>
        <n v="254.1"/>
        <n v="285.65"/>
        <n v="1285.2"/>
        <n v="775.5"/>
        <n v="1017.8"/>
        <n v="261.25"/>
        <n v="382.85"/>
        <n v="342.9"/>
        <n v="126.43"/>
        <n v="319.6"/>
        <n v="285.2"/>
        <n v="773.15"/>
        <n v="997.6"/>
        <n v="343.1"/>
        <n v="126.02"/>
        <n v="312.8"/>
        <n v="281.15"/>
        <n v="1281.55"/>
        <n v="773.4"/>
        <n v="989.5"/>
        <n v="264.3"/>
        <n v="378.25"/>
        <n v="125.11"/>
        <n v="316.95"/>
        <n v="248.9"/>
        <n v="278.15"/>
        <n v="1266.7"/>
        <n v="741.7"/>
        <n v="954.05"/>
        <n v="259.9"/>
        <n v="370.5"/>
        <n v="338.3"/>
        <n v="123.18"/>
        <n v="310.5"/>
        <n v="242.45"/>
        <n v="268.7"/>
        <n v="1253.65"/>
        <n v="732.05"/>
        <n v="946.2"/>
        <n v="255.15"/>
        <n v="359.0"/>
        <n v="330.0"/>
        <n v="120.47"/>
        <n v="305.6"/>
        <n v="261.45"/>
        <n v="1234.85"/>
        <n v="756.8"/>
        <n v="916.9"/>
        <n v="255.6"/>
        <n v="323.95"/>
        <n v="120.42"/>
        <n v="237.4"/>
        <n v="257.05"/>
        <n v="744.0"/>
        <n v="913.75"/>
        <n v="255.75"/>
        <n v="320.15"/>
        <n v="120.08"/>
        <n v="306.7"/>
        <n v="234.95"/>
        <n v="259.15"/>
        <n v="1216.1"/>
        <n v="708.4"/>
        <n v="884.4"/>
        <n v="251.0"/>
        <n v="354.2"/>
        <n v="312.35"/>
        <n v="117.25"/>
        <n v="230.5"/>
        <n v="257.35"/>
        <n v="1217.25"/>
        <n v="702.0"/>
        <n v="890.35"/>
        <n v="252.3"/>
        <n v="318.1"/>
        <n v="118.45"/>
        <n v="233.65"/>
        <n v="263.2"/>
        <n v="1224.9"/>
        <n v="677.15"/>
        <n v="897.55"/>
        <n v="252.75"/>
        <n v="361.1"/>
        <n v="319.95"/>
        <n v="119.0"/>
        <n v="311.2"/>
        <n v="236.6"/>
        <n v="266.95"/>
        <n v="1225.4"/>
        <n v="670.65"/>
        <n v="864.7"/>
        <n v="362.3"/>
        <n v="324.6"/>
        <n v="119.87"/>
        <n v="314.8"/>
        <n v="238.3"/>
        <n v="1227.45"/>
        <n v="678.0"/>
        <n v="864.95"/>
        <n v="258.6"/>
        <n v="367.95"/>
        <n v="331.7"/>
        <n v="122.79"/>
        <n v="325.15"/>
        <n v="241.9"/>
        <n v="265.75"/>
        <n v="1233.0"/>
        <n v="670.95"/>
        <n v="849.35"/>
        <n v="251.3"/>
        <n v="121.33"/>
        <n v="326.25"/>
        <n v="239.9"/>
        <n v="261.9"/>
        <n v="1228.15"/>
        <n v="669.6"/>
        <n v="836.05"/>
        <n v="364.8"/>
        <n v="319.3"/>
        <n v="120.22"/>
        <n v="320.1"/>
        <n v="234.35"/>
        <n v="1214.55"/>
        <n v="669.7"/>
        <n v="840.65"/>
        <n v="248.45"/>
        <n v="361.15"/>
        <n v="309.85"/>
        <n v="118.65"/>
        <n v="318.7"/>
        <n v="233.0"/>
        <n v="1204.0"/>
        <n v="661.7"/>
        <n v="811.75"/>
        <n v="244.75"/>
        <n v="363.85"/>
        <n v="307.0"/>
        <n v="116.42"/>
        <n v="315.7"/>
        <n v="231.0"/>
        <n v="256.25"/>
        <n v="1207.1"/>
        <n v="650.9"/>
        <n v="774.4"/>
        <n v="237.3"/>
        <n v="369.35"/>
        <n v="293.75"/>
        <n v="113.49"/>
        <n v="225.25"/>
        <n v="250.85"/>
        <n v="1200.1"/>
        <n v="654.05"/>
        <n v="804.1"/>
        <n v="242.41"/>
        <n v="297.8"/>
        <n v="114.56"/>
        <n v="314.4"/>
        <n v="225.13"/>
        <n v="252.5"/>
        <n v="1171.25"/>
        <n v="646.65"/>
        <n v="768.55"/>
        <n v="249.92"/>
        <n v="315.2"/>
        <n v="118.04"/>
        <n v="313.75"/>
        <n v="226.76"/>
        <n v="254.0"/>
        <n v="1161.9"/>
        <n v="709.45"/>
        <n v="848.7"/>
        <n v="255.84"/>
        <n v="122.25"/>
        <n v="326.2"/>
        <n v="228.94"/>
        <n v="264.4"/>
        <n v="1175.6"/>
        <n v="733.25"/>
        <n v="845.95"/>
        <n v="265.04"/>
        <n v="382.6"/>
        <n v="125.84"/>
        <n v="337.9"/>
        <n v="232.6"/>
        <n v="266.65"/>
        <n v="1209.6"/>
        <n v="837.2"/>
        <n v="261.26"/>
        <n v="380.65"/>
        <n v="332.45"/>
        <n v="124.84"/>
        <n v="329.55"/>
        <n v="232.89"/>
        <n v="263.3"/>
        <n v="1249.8"/>
        <n v="759.1"/>
        <n v="826.05"/>
        <n v="256.93"/>
        <n v="375.15"/>
        <n v="325.8"/>
        <n v="121.59"/>
        <n v="223.19"/>
        <n v="271.3"/>
        <n v="1238.4"/>
        <n v="761.05"/>
        <n v="824.2"/>
        <n v="264.58"/>
        <n v="379.05"/>
        <n v="329.7"/>
        <n v="124.82"/>
        <n v="330.3"/>
        <n v="226.72"/>
        <n v="267.3"/>
        <n v="1247.3"/>
        <n v="781.75"/>
        <n v="853.45"/>
        <n v="266.32"/>
        <n v="380.7"/>
        <n v="327.35"/>
        <n v="125.29"/>
        <n v="330.15"/>
        <n v="224.4"/>
        <n v="267.1"/>
        <n v="1257.05"/>
        <n v="783.2"/>
        <n v="873.65"/>
        <n v="264.41"/>
        <n v="378.3"/>
        <n v="323.7"/>
        <n v="125.67"/>
        <n v="331.9"/>
        <n v="225.43"/>
        <n v="267.65"/>
        <n v="1247.9"/>
        <n v="795.6"/>
        <n v="896.0"/>
        <n v="261.41"/>
        <n v="385.75"/>
        <n v="325.0"/>
        <n v="229.74"/>
        <n v="267.35"/>
        <n v="1238.85"/>
        <n v="798.55"/>
        <n v="900.9"/>
        <n v="262.18"/>
        <n v="389.3"/>
        <n v="125.15"/>
        <n v="337.35"/>
        <n v="232.12"/>
        <n v="1238.8"/>
        <n v="813.9"/>
        <n v="911.2"/>
        <n v="265.26"/>
        <n v="395.85"/>
        <n v="328.0"/>
        <n v="127.75"/>
        <n v="341.3"/>
        <n v="232.57"/>
        <n v="277.2"/>
        <n v="1247.15"/>
        <n v="815.1"/>
        <n v="923.4"/>
        <n v="272.13"/>
        <n v="396.4"/>
        <n v="336.55"/>
        <n v="129.21"/>
        <n v="235.59"/>
        <n v="280.35"/>
        <n v="1269.15"/>
        <n v="831.7"/>
        <n v="954.25"/>
        <n v="279.66"/>
        <n v="405.4"/>
        <n v="356.95"/>
        <n v="131.51"/>
        <n v="351.3"/>
        <n v="242.42"/>
        <n v="283.1"/>
        <n v="1276.35"/>
        <n v="820.25"/>
        <n v="952.9"/>
        <n v="280.44"/>
        <n v="361.9"/>
        <n v="133.67"/>
        <n v="366.95"/>
        <n v="243.83"/>
        <n v="291.85"/>
        <n v="1302.1"/>
        <n v="816.55"/>
        <n v="279.11"/>
        <n v="398.3"/>
        <n v="361.45"/>
        <n v="131.03"/>
        <n v="242.25"/>
        <n v="291.0"/>
        <n v="1285.45"/>
        <n v="803.0"/>
        <n v="912.1"/>
        <n v="273.01"/>
        <n v="394.8"/>
        <n v="351.9"/>
        <n v="129.09"/>
        <n v="354.65"/>
        <n v="239.72"/>
        <n v="290.85"/>
        <n v="1273.05"/>
        <n v="872.85"/>
        <n v="959.9"/>
        <n v="276.06"/>
        <n v="396.85"/>
        <n v="359.55"/>
        <n v="130.36"/>
        <n v="360.65"/>
        <n v="242.17"/>
        <n v="295.5"/>
        <n v="872.0"/>
        <n v="948.65"/>
        <n v="278.47"/>
        <n v="398.2"/>
        <n v="127.7"/>
        <n v="357.6"/>
        <n v="246.38"/>
        <n v="290.35"/>
        <n v="1275.1"/>
        <n v="866.35"/>
        <n v="919.15"/>
        <n v="284.6"/>
        <n v="361.7"/>
        <n v="131.24"/>
        <n v="352.15"/>
        <n v="248.07"/>
        <n v="289.3"/>
        <n v="1252.6"/>
        <n v="867.9"/>
        <n v="397.5"/>
        <n v="131.31"/>
        <n v="351.75"/>
        <n v="250.64"/>
        <n v="286.75"/>
        <n v="884.35"/>
        <n v="955.3"/>
        <n v="397.05"/>
        <n v="362.45"/>
        <n v="131.06"/>
        <n v="243.31"/>
        <n v="299.1"/>
        <n v="1248.7"/>
        <n v="859.4"/>
        <n v="923.8"/>
        <n v="279.45"/>
        <n v="358.35"/>
        <n v="130.14"/>
        <n v="350.4"/>
        <n v="226.01"/>
        <n v="293.9"/>
        <n v="1204.7"/>
        <n v="815.05"/>
        <n v="873.3"/>
        <n v="273.7"/>
        <n v="377.5"/>
        <n v="352.8"/>
        <n v="128.09"/>
        <n v="349.8"/>
        <n v="219.84"/>
        <n v="289.4"/>
        <n v="1165.7"/>
        <n v="841.15"/>
        <n v="875.8"/>
        <n v="285.9"/>
        <n v="130.98"/>
        <n v="352.95"/>
        <n v="226.66"/>
        <n v="288.95"/>
        <n v="1182.2"/>
        <n v="837.4"/>
        <n v="860.75"/>
        <n v="287.95"/>
        <n v="379.3"/>
        <n v="131.62"/>
        <n v="349.35"/>
        <n v="221.94"/>
        <n v="293.4"/>
        <n v="1185.35"/>
        <n v="844.8"/>
        <n v="893.65"/>
        <n v="293.2"/>
        <n v="392.1"/>
        <n v="382.2"/>
        <n v="131.83"/>
        <n v="230.37"/>
        <n v="304.1"/>
        <n v="1218.95"/>
        <n v="887.4"/>
        <n v="936.65"/>
        <n v="294.4"/>
        <n v="395.25"/>
        <n v="379.1"/>
        <n v="132.87"/>
        <n v="362.5"/>
        <n v="232.69"/>
        <n v="304.55"/>
        <n v="1240.1"/>
        <n v="895.15"/>
        <n v="945.6"/>
        <n v="298.75"/>
        <n v="399.25"/>
        <n v="390.05"/>
        <n v="133.83"/>
        <n v="359.3"/>
        <n v="241.22"/>
        <n v="305.75"/>
        <n v="1239.3"/>
        <n v="914.15"/>
        <n v="947.15"/>
        <n v="298.35"/>
        <n v="398.85"/>
        <n v="387.7"/>
        <n v="134.3"/>
        <n v="364.0"/>
        <n v="243.49"/>
        <n v="309.0"/>
        <n v="1274.5"/>
        <n v="937.5"/>
        <n v="956.25"/>
        <n v="304.05"/>
        <n v="400.5"/>
        <n v="138.68"/>
        <n v="364.55"/>
        <n v="249.78"/>
        <n v="320.0"/>
        <n v="1295.5"/>
        <n v="929.6"/>
        <n v="943.3"/>
        <n v="306.1"/>
        <n v="398.6"/>
        <n v="398.45"/>
        <n v="138.31"/>
        <n v="360.25"/>
        <n v="247.78"/>
        <n v="1291.2"/>
        <n v="938.8"/>
        <n v="952.5"/>
        <n v="300.45"/>
        <n v="398.95"/>
        <n v="388.8"/>
        <n v="363.8"/>
        <n v="252.17"/>
        <n v="314.95"/>
        <n v="1300.0"/>
        <n v="961.7"/>
        <n v="968.95"/>
        <n v="302.0"/>
        <n v="399.85"/>
        <n v="390.45"/>
        <n v="138.39"/>
        <n v="363.2"/>
        <n v="249.37"/>
        <n v="1301.6"/>
        <n v="914.35"/>
        <n v="912.55"/>
        <n v="295.7"/>
        <n v="393.15"/>
        <n v="134.65"/>
        <n v="356.45"/>
        <n v="246.33"/>
        <n v="306.5"/>
        <n v="1300.4"/>
        <n v="925.3"/>
        <n v="941.0"/>
        <n v="310.0"/>
        <n v="397.15"/>
        <n v="392.2"/>
        <n v="136.49"/>
        <n v="361.5"/>
        <n v="250.6"/>
        <n v="308.55"/>
        <n v="1368.8"/>
        <n v="917.65"/>
        <n v="922.4"/>
        <n v="311.7"/>
        <n v="389.1"/>
        <n v="391.1"/>
        <n v="135.78"/>
        <n v="245.68"/>
        <n v="302.95"/>
        <n v="1399.7"/>
        <n v="899.65"/>
        <n v="900.7"/>
        <n v="310.05"/>
        <n v="385.3"/>
        <n v="378.7"/>
        <n v="137.86"/>
        <n v="354.55"/>
        <n v="244.45"/>
        <n v="1405.0"/>
        <n v="907.15"/>
        <n v="905.25"/>
        <n v="311.15"/>
        <n v="384.4"/>
        <n v="143.28"/>
        <n v="348.45"/>
        <n v="243.42"/>
        <n v="303.95"/>
        <n v="1422.4"/>
        <n v="937.2"/>
        <n v="965.7"/>
        <n v="321.05"/>
        <n v="385.6"/>
        <n v="409.85"/>
        <n v="148.56"/>
        <n v="348.6"/>
        <n v="239.2"/>
        <n v="308.2"/>
        <n v="1431.3"/>
        <n v="907.4"/>
        <n v="923.25"/>
        <n v="396.8"/>
        <n v="144.08"/>
        <n v="341.8"/>
        <n v="237.0"/>
        <n v="307.6"/>
        <n v="1420.9"/>
        <n v="871.6"/>
        <n v="917.25"/>
        <n v="396.95"/>
        <n v="144.49"/>
        <n v="342.05"/>
        <n v="238.67"/>
        <n v="311.1"/>
        <n v="1406.0"/>
        <n v="839.0"/>
        <n v="880.5"/>
        <n v="385.45"/>
        <n v="388.1"/>
        <n v="140.99"/>
        <n v="340.0"/>
        <n v="233.22"/>
        <n v="1407.0"/>
        <n v="827.1"/>
        <n v="879.45"/>
        <n v="306.85"/>
        <n v="382.4"/>
        <n v="386.25"/>
        <n v="139.99"/>
        <n v="334.75"/>
        <n v="234.96"/>
        <n v="299.3"/>
        <n v="1377.2"/>
        <n v="894.3"/>
        <n v="940.55"/>
        <n v="309.05"/>
        <n v="142.35"/>
        <n v="348.55"/>
        <n v="244.02"/>
        <n v="1436.5"/>
        <n v="904.2"/>
        <n v="958.05"/>
        <n v="306.9"/>
        <n v="395.15"/>
        <n v="388.9"/>
        <n v="141.69"/>
        <n v="341.5"/>
        <n v="241.16"/>
        <n v="298.45"/>
        <n v="1415.7"/>
        <n v="890.8"/>
        <n v="967.25"/>
        <n v="312.5"/>
        <n v="396.6"/>
        <n v="143.47"/>
        <n v="338.55"/>
        <n v="246.01"/>
        <n v="295.95"/>
        <n v="1424.4"/>
        <n v="910.8"/>
        <n v="967.9"/>
        <n v="404.65"/>
        <n v="402.7"/>
        <n v="145.0"/>
        <n v="341.95"/>
        <n v="247.61"/>
        <n v="299.65"/>
        <n v="1454.2"/>
        <n v="915.05"/>
        <n v="1020.1"/>
        <n v="404.8"/>
        <n v="410.05"/>
        <n v="144.72"/>
        <n v="247.27"/>
        <n v="300.2"/>
        <n v="1456.4"/>
        <n v="888.9"/>
        <n v="1014.0"/>
        <n v="317.2"/>
        <n v="144.69"/>
        <n v="345.15"/>
        <n v="246.58"/>
        <n v="1440.8"/>
        <n v="869.75"/>
        <n v="983.95"/>
        <n v="312.9"/>
        <n v="408.1"/>
        <n v="397.4"/>
        <n v="141.92"/>
        <n v="342.6"/>
        <n v="249.26"/>
        <n v="297.9"/>
        <n v="1424.6"/>
        <n v="872.15"/>
        <n v="996.5"/>
        <n v="315.85"/>
        <n v="405.35"/>
        <n v="143.39"/>
        <n v="346.15"/>
        <n v="296.15"/>
        <n v="1429.2"/>
        <n v="879.0"/>
        <n v="985.85"/>
        <n v="313.05"/>
        <n v="401.25"/>
        <n v="143.29"/>
        <n v="341.4"/>
        <n v="241.67"/>
        <n v="290.9"/>
        <n v="1409.4"/>
        <n v="876.55"/>
        <n v="986.95"/>
        <n v="318.9"/>
        <n v="401.5"/>
        <n v="144.06"/>
        <n v="344.6"/>
        <n v="244.24"/>
        <n v="298.1"/>
        <n v="1426.8"/>
        <n v="878.7"/>
        <n v="1011.85"/>
        <n v="322.95"/>
        <n v="414.6"/>
        <n v="143.58"/>
        <n v="343.5"/>
        <n v="245.94"/>
        <n v="296.7"/>
        <n v="1434.8"/>
        <n v="879.15"/>
        <n v="1013.0"/>
        <n v="399.95"/>
        <n v="143.41"/>
        <n v="244.54"/>
        <n v="1422.1"/>
        <n v="869.0"/>
        <n v="1001.85"/>
        <n v="321.7"/>
        <n v="418.1"/>
        <n v="144.2"/>
        <n v="340.05"/>
        <n v="242.67"/>
        <n v="291.15"/>
        <n v="1412.9"/>
        <n v="880.95"/>
        <n v="1019.05"/>
        <n v="414.75"/>
        <n v="143.7"/>
        <n v="339.35"/>
        <n v="243.04"/>
        <n v="293.1"/>
        <n v="1417.8"/>
        <n v="867.2"/>
        <n v="1014.35"/>
        <n v="318.4"/>
        <n v="397.3"/>
        <n v="411.05"/>
        <n v="141.97"/>
        <n v="333.9"/>
        <n v="239.4"/>
        <n v="289.75"/>
        <n v="874.85"/>
        <n v="1009.1"/>
        <n v="408.2"/>
        <n v="143.38"/>
        <n v="332.55"/>
        <n v="238.31"/>
        <n v="293.05"/>
        <n v="1413.7"/>
        <n v="856.55"/>
        <n v="992.6"/>
        <n v="309.75"/>
        <n v="392.85"/>
        <n v="402.0"/>
        <n v="141.04"/>
        <n v="328.25"/>
        <n v="237.27"/>
        <n v="288.25"/>
        <n v="1405.5"/>
        <n v="866.0"/>
        <n v="1004.8"/>
        <n v="311.55"/>
        <n v="394.6"/>
        <n v="406.6"/>
        <n v="140.67"/>
        <n v="329.25"/>
        <n v="238.05"/>
        <n v="288.55"/>
        <n v="1423.5"/>
        <n v="872.2"/>
        <n v="1003.6"/>
        <n v="394.9"/>
        <n v="401.0"/>
        <n v="139.24"/>
        <n v="328.65"/>
        <n v="237.77"/>
        <n v="1442.4"/>
        <n v="884.1"/>
        <n v="1018.8"/>
        <n v="316.7"/>
        <n v="407.05"/>
        <n v="140.78"/>
        <n v="332.85"/>
        <n v="240.06"/>
        <n v="295.8"/>
        <n v="1443.5"/>
        <n v="901.4"/>
        <n v="1034.3"/>
        <n v="320.4"/>
        <n v="408.45"/>
        <n v="143.32"/>
        <n v="337.1"/>
        <n v="242.8"/>
        <n v="300.5"/>
        <n v="1448.8"/>
        <n v="915.5"/>
        <n v="1060.5"/>
        <n v="399.55"/>
        <n v="405.1"/>
        <n v="142.19"/>
        <n v="339.2"/>
        <n v="244.68"/>
        <n v="301.05"/>
        <n v="1438.5"/>
        <n v="904.5"/>
        <n v="1046.8"/>
        <n v="414.85"/>
        <n v="145.15"/>
        <n v="247.32"/>
        <n v="1448.9"/>
        <n v="876.95"/>
        <n v="1015.8"/>
        <n v="318.65"/>
        <n v="392.7"/>
        <n v="142.99"/>
        <n v="247.88"/>
        <n v="289.0"/>
        <n v="1441.6"/>
        <n v="861.0"/>
        <n v="312.3"/>
        <n v="391.2"/>
        <n v="331.95"/>
        <n v="251.51"/>
        <n v="285.5"/>
        <n v="1427.9"/>
        <n v="865.7"/>
        <n v="992.0"/>
        <n v="316.4"/>
        <n v="394.35"/>
        <n v="395.35"/>
        <n v="141.85"/>
        <n v="256.79"/>
        <n v="288.65"/>
        <n v="1437.8"/>
        <n v="848.85"/>
        <n v="977.5"/>
        <n v="391.3"/>
        <n v="393.25"/>
        <n v="141.68"/>
        <n v="335.2"/>
        <n v="252.31"/>
        <n v="1431.2"/>
        <n v="846.45"/>
        <n v="968.9"/>
        <n v="390.35"/>
        <n v="393.95"/>
        <n v="140.82"/>
        <n v="332.4"/>
        <n v="250.36"/>
        <n v="287.3"/>
        <n v="1430.1"/>
        <n v="823.6"/>
        <n v="934.0"/>
        <n v="313.45"/>
        <n v="384.25"/>
        <n v="390.0"/>
        <n v="138.67"/>
        <n v="251.56"/>
        <n v="286.45"/>
        <n v="1433.3"/>
        <n v="828.1"/>
        <n v="947.7"/>
        <n v="313.5"/>
        <n v="389.05"/>
        <n v="392.25"/>
        <n v="138.65"/>
        <n v="251.89"/>
        <n v="1466.2"/>
        <n v="960.5"/>
        <n v="139.92"/>
        <n v="332.6"/>
        <n v="251.38"/>
        <n v="1456.8"/>
        <n v="851.85"/>
        <n v="319.25"/>
        <n v="392.65"/>
        <n v="406.25"/>
        <n v="142.84"/>
        <n v="329.95"/>
        <n v="243.92"/>
        <n v="285.95"/>
        <n v="1450.8"/>
        <n v="850.2"/>
        <n v="981.1"/>
        <n v="391.75"/>
        <n v="141.98"/>
        <n v="330.85"/>
        <n v="241.91"/>
        <n v="290.45"/>
        <n v="1467.3"/>
        <n v="864.75"/>
        <n v="394.15"/>
        <n v="420.3"/>
        <n v="146.28"/>
        <n v="337.15"/>
        <n v="244.73"/>
        <n v="293.5"/>
        <n v="1495.3"/>
        <n v="883.7"/>
        <n v="1015.6"/>
        <n v="333.0"/>
        <n v="439.0"/>
        <n v="147.22"/>
        <n v="242.83"/>
        <n v="299.25"/>
        <n v="1515.4"/>
        <n v="881.75"/>
        <n v="1025.6"/>
        <n v="438.05"/>
        <n v="146.96"/>
        <n v="244.21"/>
        <n v="299.9"/>
        <n v="1500.6"/>
        <n v="872.4"/>
        <n v="1015.7"/>
        <n v="389.75"/>
        <n v="440.45"/>
        <n v="147.14"/>
        <n v="243.37"/>
        <n v="1528.4"/>
        <n v="878.8"/>
        <n v="1019.0"/>
        <n v="331.8"/>
        <n v="386.9"/>
        <n v="436.55"/>
        <n v="147.91"/>
        <n v="333.75"/>
        <n v="241.07"/>
        <n v="294.85"/>
        <n v="1518.8"/>
        <n v="875.25"/>
        <n v="1008.5"/>
        <n v="331.5"/>
        <n v="386.45"/>
        <n v="436.6"/>
        <n v="147.87"/>
        <n v="334.6"/>
        <n v="244.05"/>
        <n v="293.7"/>
        <n v="1517.8"/>
        <n v="877.2"/>
        <n v="996.8"/>
        <n v="346.2"/>
        <n v="386.1"/>
        <n v="444.6"/>
        <n v="151.62"/>
        <n v="335.5"/>
        <n v="245.24"/>
        <n v="294.0"/>
        <n v="1527.3"/>
        <n v="883.35"/>
        <n v="991.1"/>
        <n v="350.5"/>
        <n v="447.9"/>
        <n v="153.75"/>
        <n v="337.45"/>
        <n v="241.52"/>
        <n v="295.9"/>
        <n v="1541.5"/>
        <n v="881.25"/>
        <n v="452.7"/>
        <n v="153.82"/>
        <n v="343.2"/>
        <n v="243.24"/>
        <n v="297.75"/>
        <n v="1537.6"/>
        <n v="890.15"/>
        <n v="995.2"/>
        <n v="348.5"/>
        <n v="387.45"/>
        <n v="445.45"/>
        <n v="150.25"/>
        <n v="344.0"/>
        <n v="243.35"/>
        <n v="1519.0"/>
        <n v="891.05"/>
        <n v="995.8"/>
        <n v="350.95"/>
        <n v="384.05"/>
        <n v="441.25"/>
        <n v="152.33"/>
        <n v="341.45"/>
        <n v="243.09"/>
        <n v="1517.2"/>
        <n v="874.05"/>
        <n v="344.85"/>
        <n v="435.9"/>
        <n v="150.65"/>
        <n v="241.76"/>
        <n v="298.55"/>
        <n v="1495.2"/>
        <n v="1025.9"/>
        <n v="344.4"/>
        <n v="383.85"/>
        <n v="429.9"/>
        <n v="150.1"/>
        <n v="342.1"/>
        <n v="244.22"/>
        <n v="1483.7"/>
        <n v="879.75"/>
        <n v="1033.1"/>
        <n v="348.05"/>
        <n v="433.45"/>
        <n v="151.4"/>
        <n v="342.0"/>
        <n v="243.67"/>
        <n v="298.05"/>
        <n v="1485.4"/>
        <n v="876.6"/>
        <n v="1038.6"/>
        <n v="347.85"/>
        <n v="446.1"/>
        <n v="152.04"/>
        <n v="342.45"/>
        <n v="242.85"/>
        <n v="297.05"/>
        <n v="1485.6"/>
        <n v="873.35"/>
        <n v="1050.1"/>
        <n v="346.75"/>
        <n v="385.9"/>
        <n v="440.0"/>
        <n v="150.96"/>
        <n v="342.65"/>
        <n v="243.87"/>
        <n v="296.6"/>
        <n v="1476.4"/>
        <n v="869.35"/>
        <n v="1030.2"/>
        <n v="430.6"/>
        <n v="150.06"/>
        <n v="246.31"/>
        <n v="1476.0"/>
        <n v="871.65"/>
        <n v="1036.6"/>
        <n v="386.8"/>
        <n v="431.7"/>
        <n v="151.07"/>
        <n v="341.55"/>
        <n v="245.04"/>
        <n v="1428.6"/>
        <n v="1013.7"/>
        <n v="340.35"/>
        <n v="429.25"/>
        <n v="151.98"/>
        <n v="246.41"/>
        <n v="1412.8"/>
        <n v="863.1"/>
        <n v="1033.9"/>
        <n v="344.45"/>
        <n v="390.75"/>
        <n v="434.5"/>
        <n v="152.35"/>
        <n v="343.05"/>
        <n v="245.55"/>
        <n v="849.05"/>
        <n v="1020.7"/>
        <n v="385.55"/>
        <n v="151.22"/>
        <n v="338.9"/>
        <n v="244.83"/>
        <n v="299.35"/>
        <n v="1402.9"/>
        <n v="817.15"/>
        <n v="975.9"/>
        <n v="332.9"/>
        <n v="380.8"/>
        <n v="421.8"/>
        <n v="333.2"/>
        <n v="240.29"/>
        <n v="1391.7"/>
        <n v="815.95"/>
        <n v="1003.9"/>
        <n v="333.4"/>
        <n v="378.35"/>
        <n v="421.9"/>
        <n v="147.56"/>
        <n v="332.95"/>
        <n v="240.02"/>
        <n v="291.9"/>
        <n v="1387.6"/>
        <n v="826.95"/>
        <n v="334.95"/>
        <n v="383.65"/>
        <n v="425.8"/>
        <n v="147.94"/>
        <n v="241.44"/>
        <n v="1417.1"/>
        <n v="823.9"/>
        <n v="1009.7"/>
        <n v="337.05"/>
        <n v="379.9"/>
        <n v="426.25"/>
        <n v="149.04"/>
        <n v="241.81"/>
        <n v="1410.1"/>
        <n v="808.4"/>
        <n v="984.7"/>
        <n v="329.3"/>
        <n v="376.35"/>
        <n v="145.62"/>
        <n v="334.25"/>
        <n v="241.0"/>
        <n v="1390.2"/>
        <n v="793.05"/>
        <n v="972.6"/>
        <n v="317.85"/>
        <n v="141.03"/>
        <n v="330.9"/>
        <n v="236.79"/>
        <n v="291.25"/>
        <n v="1393.7"/>
        <n v="799.55"/>
        <n v="989.8"/>
        <n v="374.7"/>
        <n v="408.65"/>
        <n v="142.38"/>
        <n v="332.0"/>
        <n v="234.83"/>
        <n v="1411.5"/>
        <n v="802.05"/>
        <n v="971.75"/>
        <n v="315.1"/>
        <n v="379.5"/>
        <n v="402.45"/>
        <n v="141.27"/>
        <n v="333.6"/>
        <n v="234.48"/>
        <n v="286.0"/>
        <n v="791.1"/>
        <n v="957.55"/>
        <n v="315.75"/>
        <n v="401.4"/>
        <n v="142.27"/>
        <n v="332.1"/>
        <n v="233.77"/>
        <n v="284.8"/>
        <n v="1392.8"/>
        <n v="794.6"/>
        <n v="936.7"/>
        <n v="310.35"/>
        <n v="379.55"/>
        <n v="402.4"/>
        <n v="141.67"/>
        <n v="233.93"/>
        <n v="285.55"/>
        <n v="1389.4"/>
        <n v="790.15"/>
        <n v="914.05"/>
        <n v="319.45"/>
        <n v="379.7"/>
        <n v="409.5"/>
        <n v="139.91"/>
        <n v="233.44"/>
        <n v="1367.8"/>
        <n v="792.0"/>
        <n v="929.1"/>
        <n v="320.95"/>
        <n v="382.5"/>
        <n v="410.35"/>
        <n v="141.41"/>
        <n v="336.15"/>
        <n v="233.79"/>
        <n v="1386.2"/>
        <n v="786.75"/>
        <n v="930.9"/>
        <n v="385.35"/>
        <n v="408.05"/>
        <n v="142.65"/>
        <n v="340.1"/>
        <n v="235.52"/>
        <n v="284.65"/>
        <n v="1380.4"/>
        <n v="786.3"/>
        <n v="924.15"/>
        <n v="322.5"/>
        <n v="142.43"/>
        <n v="339.95"/>
        <n v="288.2"/>
        <n v="1382.6"/>
        <n v="775.8"/>
        <n v="917.5"/>
        <n v="318.05"/>
        <n v="384.45"/>
        <n v="140.13"/>
        <n v="236.94"/>
        <n v="288.7"/>
        <n v="1373.8"/>
        <n v="818.75"/>
        <n v="941.65"/>
        <n v="314.0"/>
        <n v="387.8"/>
        <n v="140.31"/>
        <n v="238.16"/>
        <n v="1381.7"/>
        <n v="828.2"/>
        <n v="973.4"/>
        <n v="395.6"/>
        <n v="142.01"/>
        <n v="335.05"/>
        <n v="237.94"/>
        <n v="288.0"/>
        <n v="1420.1"/>
        <n v="975.95"/>
        <n v="384.7"/>
        <n v="390.8"/>
        <n v="141.44"/>
        <n v="237.93"/>
        <n v="288.4"/>
        <n v="1413.0"/>
        <n v="815.15"/>
        <n v="966.6"/>
        <n v="378.15"/>
        <n v="238.29"/>
        <n v="284.0"/>
        <n v="1424.8"/>
        <n v="800.15"/>
        <n v="957.2"/>
        <n v="316.45"/>
        <n v="374.45"/>
        <n v="139.95"/>
        <n v="337.0"/>
        <n v="236.29"/>
        <n v="283.35"/>
        <n v="1409.2"/>
        <n v="805.75"/>
        <n v="964.1"/>
        <n v="139.96"/>
        <n v="337.85"/>
        <n v="236.76"/>
        <n v="284.15"/>
        <n v="1412.6"/>
        <n v="788.65"/>
        <n v="931.25"/>
        <n v="372.45"/>
        <n v="138.96"/>
        <n v="234.19"/>
        <n v="279.9"/>
        <n v="1384.9"/>
        <n v="770.95"/>
        <n v="921.15"/>
        <n v="310.7"/>
        <n v="374.3"/>
        <n v="381.75"/>
        <n v="138.49"/>
        <n v="330.8"/>
        <n v="233.39"/>
        <n v="274.45"/>
        <n v="1385.9"/>
        <n v="764.15"/>
        <n v="913.5"/>
        <n v="374.8"/>
        <n v="375.9"/>
        <n v="136.62"/>
        <n v="233.71"/>
        <n v="275.25"/>
        <n v="1357.2"/>
        <n v="766.65"/>
        <n v="931.55"/>
        <n v="314.75"/>
        <n v="385.25"/>
        <n v="139.56"/>
        <n v="238.72"/>
        <n v="279.85"/>
        <n v="1353.9"/>
        <n v="763.05"/>
        <n v="933.85"/>
        <n v="380.1"/>
        <n v="384.6"/>
        <n v="336.3"/>
        <n v="239.49"/>
        <n v="286.7"/>
        <n v="1366.5"/>
        <n v="763.7"/>
        <n v="935.7"/>
        <n v="314.85"/>
        <n v="389.8"/>
        <n v="387.25"/>
        <n v="140.49"/>
        <n v="239.07"/>
        <n v="286.05"/>
        <n v="1372.6"/>
        <n v="758.35"/>
        <n v="929.15"/>
        <n v="391.45"/>
        <n v="139.68"/>
        <n v="235.72"/>
        <n v="281.8"/>
        <n v="755.95"/>
        <n v="929.35"/>
        <n v="383.6"/>
        <n v="139.65"/>
        <n v="328.7"/>
        <n v="234.13"/>
        <n v="285.35"/>
        <n v="1375.0"/>
        <n v="776.25"/>
        <n v="393.9"/>
        <n v="140.9"/>
        <n v="326.7"/>
        <n v="232.53"/>
        <n v="1378.5"/>
        <n v="794.15"/>
        <n v="943.7"/>
        <n v="313.95"/>
        <n v="387.95"/>
        <n v="389.9"/>
        <n v="140.94"/>
        <n v="324.1"/>
        <n v="231.33"/>
        <n v="283.85"/>
        <n v="1376.2"/>
        <n v="963.35"/>
        <n v="317.95"/>
        <n v="391.9"/>
        <n v="392.45"/>
        <n v="141.14"/>
        <n v="325.65"/>
        <n v="231.74"/>
        <n v="282.95"/>
        <n v="1377.0"/>
        <n v="813.7"/>
        <n v="393.35"/>
        <n v="397.8"/>
        <n v="143.93"/>
        <n v="331.05"/>
        <n v="233.76"/>
        <n v="1383.3"/>
        <n v="829.9"/>
        <n v="981.7"/>
        <n v="142.61"/>
        <n v="233.25"/>
        <n v="287.65"/>
        <n v="1395.0"/>
        <n v="837.15"/>
        <n v="986.7"/>
        <n v="317.75"/>
        <n v="394.75"/>
        <n v="143.99"/>
        <n v="331.1"/>
        <n v="232.26"/>
        <n v="1399.3"/>
        <n v="144.98"/>
        <n v="235.09"/>
        <n v="1405.3"/>
        <m/>
      </sharedItems>
    </cacheField>
    <cacheField name="Volume" numFmtId="0">
      <sharedItems containsString="0" containsBlank="1" containsNumber="1" containsInteger="1">
        <n v="1787723.0"/>
        <n v="5342579.0"/>
        <n v="4850244.0"/>
        <n v="5244657.0"/>
        <n v="4415935.0"/>
        <n v="8492383.0"/>
        <n v="1.1479712E7"/>
        <n v="1.097111E7"/>
        <n v="7748570.0"/>
        <n v="2740887.0"/>
        <n v="1320871.0"/>
        <n v="4392980.0"/>
        <n v="7237522.0"/>
        <n v="5063902.0"/>
        <n v="3296568.0"/>
        <n v="6417946.0"/>
        <n v="1.4432501E7"/>
        <n v="1.1873436E7"/>
        <n v="1.1451846E7"/>
        <n v="2967664.0"/>
        <n v="2847382.0"/>
        <n v="2911792.0"/>
        <n v="4111826.0"/>
        <n v="6527832.0"/>
        <n v="2255708.0"/>
        <n v="1.072665E7"/>
        <n v="1.030384E7"/>
        <n v="1.342176E7"/>
        <n v="6583254.0"/>
        <n v="4287357.0"/>
        <n v="3414484.0"/>
        <n v="4625834.0"/>
        <n v="1.2549677E7"/>
        <n v="1.001445E7"/>
        <n v="4541604.0"/>
        <n v="1.9197503E7"/>
        <n v="5.9601773E7"/>
        <n v="1.7067311E7"/>
        <n v="1.058961E7"/>
        <n v="8477951.0"/>
        <n v="4788824.0"/>
        <n v="5657903.0"/>
        <n v="1.4642546E7"/>
        <n v="1.2982128E7"/>
        <n v="9159103.0"/>
        <n v="2.0652037E7"/>
        <n v="3.6084164E7"/>
        <n v="1.658553E7"/>
        <n v="3.1236123E7"/>
        <n v="1.544866E7"/>
        <n v="2323963.0"/>
        <n v="3976960.0"/>
        <n v="6110287.0"/>
        <n v="6123879.0"/>
        <n v="4899097.0"/>
        <n v="9393577.0"/>
        <n v="1.4139629E7"/>
        <n v="1.4621229E7"/>
        <n v="6542941.0"/>
        <n v="4416157.0"/>
        <n v="4131050.0"/>
        <n v="2241165.0"/>
        <n v="7068491.0"/>
        <n v="7306001.0"/>
        <n v="9274367.0"/>
        <n v="1.0027795E7"/>
        <n v="1.2539885E7"/>
        <n v="1.6986759E7"/>
        <n v="2.6145769E7"/>
        <n v="8568722.0"/>
        <n v="1091528.0"/>
        <n v="1112406.0"/>
        <n v="6087353.0"/>
        <n v="5059851.0"/>
        <n v="4872324.0"/>
        <n v="8749024.0"/>
        <n v="1.9443168E7"/>
        <n v="1.0609614E7"/>
        <n v="4.0770462E7"/>
        <n v="3534501.0"/>
        <n v="641975.0"/>
        <n v="804165.0"/>
        <n v="9517367.0"/>
        <n v="6877039.0"/>
        <n v="6065915.0"/>
        <n v="1.1349547E7"/>
        <n v="2.0041825E7"/>
        <n v="2.7812412E7"/>
        <n v="1.8733959E7"/>
        <n v="9409499.0"/>
        <n v="1537355.0"/>
        <n v="2301548.0"/>
        <n v="4.0756678E7"/>
        <n v="1.5443031E7"/>
        <n v="1.2190119E7"/>
        <n v="5.2095985E7"/>
        <n v="5.3885913E7"/>
        <n v="3.570613E7"/>
        <n v="3.3148043E7"/>
        <n v="1.0298739E7"/>
        <n v="1170771.0"/>
        <n v="1369027.0"/>
        <n v="2.3860696E7"/>
        <n v="8881502.0"/>
        <n v="7949959.0"/>
        <n v="3.3375167E7"/>
        <n v="2.0903229E7"/>
        <n v="1.6294341E7"/>
        <n v="1.6356171E7"/>
        <n v="1.3504407E7"/>
        <n v="4058979.0"/>
        <n v="798097.0"/>
        <n v="9440793.0"/>
        <n v="4743517.0"/>
        <n v="5525180.0"/>
        <n v="1.7390545E7"/>
        <n v="1.5984996E7"/>
        <n v="1.0919818E7"/>
        <n v="9856291.0"/>
        <n v="8215821.0"/>
        <n v="983956.0"/>
        <n v="1694940.0"/>
        <n v="2.0754875E7"/>
        <n v="1.1285134E7"/>
        <n v="1.4169317E7"/>
        <n v="2.5392543E7"/>
        <n v="1.3563784E7"/>
        <n v="2.8124665E7"/>
        <n v="1.9350466E7"/>
        <n v="1.8878647E7"/>
        <n v="5174616.0"/>
        <n v="883170.0"/>
        <n v="1.8185208E7"/>
        <n v="7170285.0"/>
        <n v="1.235434E7"/>
        <n v="2.5223563E7"/>
        <n v="1.8347292E7"/>
        <n v="2.3104209E7"/>
        <n v="2.0121706E7"/>
        <n v="1.8536438E7"/>
        <n v="4321395.0"/>
        <n v="694897.0"/>
        <n v="7847806.0"/>
        <n v="8940891.0"/>
        <n v="5679436.0"/>
        <n v="1.9798152E7"/>
        <n v="2.3431004E7"/>
        <n v="2.0917962E7"/>
        <n v="1.3851446E7"/>
        <n v="1.109067E7"/>
        <n v="4982440.0"/>
        <n v="752389.0"/>
        <n v="9565667.0"/>
        <n v="6049075.0"/>
        <n v="1.2815777E7"/>
        <n v="1.4948163E7"/>
        <n v="1.8706355E7"/>
        <n v="1.057236E7"/>
        <n v="2.1148292E7"/>
        <n v="8510404.0"/>
        <n v="1752790.0"/>
        <n v="542956.0"/>
        <n v="1.3523561E7"/>
        <n v="6874313.0"/>
        <n v="1.1902837E7"/>
        <n v="2.0278252E7"/>
        <n v="1.3916492E7"/>
        <n v="1.3147475E7"/>
        <n v="9228363.0"/>
        <n v="7155305.0"/>
        <n v="1981159.0"/>
        <n v="595689.0"/>
        <n v="5706365.0"/>
        <n v="4700891.0"/>
        <n v="3363159.0"/>
        <n v="1.0145184E7"/>
        <n v="1.5866037E7"/>
        <n v="7237212.0"/>
        <n v="2.0773976E7"/>
        <n v="1.1179323E7"/>
        <n v="1055225.0"/>
        <n v="475444.0"/>
        <n v="4046559.0"/>
        <n v="4364566.0"/>
        <n v="2978692.0"/>
        <n v="8750905.0"/>
        <n v="8639087.0"/>
        <n v="7011704.0"/>
        <n v="6098468.0"/>
        <n v="3990061.0"/>
        <n v="1363315.0"/>
        <n v="369972.0"/>
        <n v="7967181.0"/>
        <n v="5369297.0"/>
        <n v="6151692.0"/>
        <n v="1.434512E7"/>
        <n v="8483177.0"/>
        <n v="1.2690951E7"/>
        <n v="5944216.0"/>
        <n v="6110716.0"/>
        <n v="2474266.0"/>
        <n v="335436.0"/>
        <n v="1.7183945E7"/>
        <n v="4279311.0"/>
        <n v="1.6856309E7"/>
        <n v="2.2551022E7"/>
        <n v="9365964.0"/>
        <n v="1.5087155E7"/>
        <n v="1.2415489E7"/>
        <n v="1.6881397E7"/>
        <n v="3045843.0"/>
        <n v="377378.0"/>
        <n v="1.70737E7"/>
        <n v="8000451.0"/>
        <n v="1.6355809E7"/>
        <n v="2.1433632E7"/>
        <n v="6219440.0"/>
        <n v="1.8188885E7"/>
        <n v="2.2085298E7"/>
        <n v="1.0017219E7"/>
        <n v="1487254.0"/>
        <n v="355958.0"/>
        <n v="1.1023063E7"/>
        <n v="4334990.0"/>
        <n v="1.1762175E7"/>
        <n v="1.3215492E7"/>
        <n v="1.1968387E7"/>
        <n v="1.3343303E7"/>
        <n v="1.7039729E7"/>
        <n v="7771830.0"/>
        <n v="2162032.0"/>
        <n v="410948.0"/>
        <n v="7328694.0"/>
        <n v="4573163.0"/>
        <n v="4941502.0"/>
        <n v="1.1701011E7"/>
        <n v="8828971.0"/>
        <n v="1.4028398E7"/>
        <n v="1.0569021E7"/>
        <n v="6041226.0"/>
        <n v="799922.0"/>
        <n v="298218.0"/>
        <n v="8609636.0"/>
        <n v="4737527.0"/>
        <n v="9263679.0"/>
        <n v="2.0627025E7"/>
        <n v="9139781.0"/>
        <n v="1.0299773E7"/>
        <n v="8745904.0"/>
        <n v="7033704.0"/>
        <n v="3785445.0"/>
        <n v="809408.0"/>
        <n v="6372285.0"/>
        <n v="8671135.0"/>
        <n v="5951071.0"/>
        <n v="1.5190259E7"/>
        <n v="1.4242323E7"/>
        <n v="1.0028511E7"/>
        <n v="1.1219831E7"/>
        <n v="7915980.0"/>
        <n v="3268890.0"/>
        <n v="1504049.0"/>
        <n v="6639274.0"/>
        <n v="1.0686743E7"/>
        <n v="3779746.0"/>
        <n v="1.650329E7"/>
        <n v="2.2522821E7"/>
        <n v="1.8823321E7"/>
        <n v="1.2541589E7"/>
        <n v="8607371.0"/>
        <n v="1904115.0"/>
        <n v="472958.0"/>
        <n v="5706821.0"/>
        <n v="5045880.0"/>
        <n v="7703516.0"/>
        <n v="8648491.0"/>
        <n v="9400171.0"/>
        <n v="7488521.0"/>
        <n v="8327779.0"/>
        <n v="1.1077967E7"/>
        <n v="1689777.0"/>
        <n v="707626.0"/>
        <n v="1.1583887E7"/>
        <n v="1.0330954E7"/>
        <n v="8522829.0"/>
        <n v="2.0505003E7"/>
        <n v="1.9642277E7"/>
        <n v="1.2961181E7"/>
        <n v="1.297941E7"/>
        <n v="9298748.0"/>
        <n v="2004705.0"/>
        <n v="850381.0"/>
        <n v="1.3299872E7"/>
        <n v="2.1378247E7"/>
        <n v="1.2990859E7"/>
        <n v="2.1349891E7"/>
        <n v="1.1716022E7"/>
        <n v="1.3835091E7"/>
        <n v="9610615.0"/>
        <n v="1.082435E7"/>
        <n v="2125174.0"/>
        <n v="471118.0"/>
        <n v="8437903.0"/>
        <n v="7680865.0"/>
        <n v="5115112.0"/>
        <n v="3.5275184E7"/>
        <n v="2.0284308E7"/>
        <n v="9122757.0"/>
        <n v="1.5856332E7"/>
        <n v="1.2008361E7"/>
        <n v="1785038.0"/>
        <n v="713381.0"/>
        <n v="6248318.0"/>
        <n v="7818123.0"/>
        <n v="5110158.0"/>
        <n v="1.7388536E7"/>
        <n v="1.2264297E7"/>
        <n v="1.1166643E7"/>
        <n v="1.449811E7"/>
        <n v="1.1984423E7"/>
        <n v="1546658.0"/>
        <n v="716981.0"/>
        <n v="1.1375689E7"/>
        <n v="8475238.0"/>
        <n v="6864561.0"/>
        <n v="1.865793E7"/>
        <n v="1.2204072E7"/>
        <n v="1.6173656E7"/>
        <n v="9900390.0"/>
        <n v="9331650.0"/>
        <n v="773086.0"/>
        <n v="388291.0"/>
        <n v="1.4063318E7"/>
        <n v="1.572099E7"/>
        <n v="8846874.0"/>
        <n v="4.6651179E7"/>
        <n v="1.3866505E7"/>
        <n v="1.4355959E7"/>
        <n v="9249409.0"/>
        <n v="1.979689E7"/>
        <n v="2100961.0"/>
        <n v="379955.0"/>
        <n v="9542018.0"/>
        <n v="1.0186343E7"/>
        <n v="8163853.0"/>
        <n v="1.8594095E7"/>
        <n v="6665326.0"/>
        <n v="1.1676017E7"/>
        <n v="7518195.0"/>
        <n v="1.6267479E7"/>
        <n v="5200238.0"/>
        <n v="966147.0"/>
        <n v="1.0787602E7"/>
        <n v="9130749.0"/>
        <n v="8284664.0"/>
        <n v="1.8107864E7"/>
        <n v="9700643.0"/>
        <n v="1.9244545E7"/>
        <n v="1.101925E7"/>
        <n v="2.1625209E7"/>
        <n v="1.023073E7"/>
        <n v="848208.0"/>
        <n v="7387875.0"/>
        <n v="5861077.0"/>
        <n v="5850910.0"/>
        <n v="1.4637973E7"/>
        <n v="7589295.0"/>
        <n v="6766663.0"/>
        <n v="1.4504208E7"/>
        <n v="9611974.0"/>
        <n v="2473648.0"/>
        <n v="546531.0"/>
        <n v="9304376.0"/>
        <n v="9934413.0"/>
        <n v="5067482.0"/>
        <n v="1.5316464E7"/>
        <n v="7536509.0"/>
        <n v="7836093.0"/>
        <n v="1.5740539E7"/>
        <n v="1.9814406E7"/>
        <n v="3421527.0"/>
        <n v="430658.0"/>
        <n v="5277147.0"/>
        <n v="7201246.0"/>
        <n v="6123412.0"/>
        <n v="1.7669364E7"/>
        <n v="1.2243693E7"/>
        <n v="8450657.0"/>
        <n v="2.2838987E7"/>
        <n v="9056552.0"/>
        <n v="3720874.0"/>
        <n v="523181.0"/>
        <n v="7192998.0"/>
        <n v="6564348.0"/>
        <n v="6589595.0"/>
        <n v="1.0561738E7"/>
        <n v="1.0549517E7"/>
        <n v="2.24454E7"/>
        <n v="1.2069181E7"/>
        <n v="1.0671091E7"/>
        <n v="2753677.0"/>
        <n v="632049.0"/>
        <n v="7306795.0"/>
        <n v="7170870.0"/>
        <n v="4346895.0"/>
        <n v="1.2503679E7"/>
        <n v="2.0602407E7"/>
        <n v="1.7483332E7"/>
        <n v="1.2918639E7"/>
        <n v="1.4633633E7"/>
        <n v="1903461.0"/>
        <n v="571469.0"/>
        <n v="1.1061057E7"/>
        <n v="8776485.0"/>
        <n v="5809877.0"/>
        <n v="1.7425507E7"/>
        <n v="1.5086601E7"/>
        <n v="1.245454E7"/>
        <n v="1.2500377E7"/>
        <n v="1.2612633E7"/>
        <n v="1743209.0"/>
        <n v="626638.0"/>
        <n v="7940666.0"/>
        <n v="7352509.0"/>
        <n v="5010823.0"/>
        <n v="1.2693551E7"/>
        <n v="1.6383636E7"/>
        <n v="1.4636541E7"/>
        <n v="9408101.0"/>
        <n v="1.3620611E7"/>
        <n v="1551260.0"/>
        <n v="972102.0"/>
        <n v="9912544.0"/>
        <n v="6291292.0"/>
        <n v="2933169.0"/>
        <n v="1.2696762E7"/>
        <n v="1.7055094E7"/>
        <n v="1.7397559E7"/>
        <n v="1.3157158E7"/>
        <n v="1.4183746E7"/>
        <n v="2.1316268E7"/>
        <n v="9523600.0"/>
        <n v="8273120.0"/>
        <n v="1.4141967E7"/>
        <n v="4403773.0"/>
        <n v="1.578741E7"/>
        <n v="2.127615E7"/>
        <n v="1.618944E7"/>
        <n v="2.5406386E7"/>
        <n v="1.9433843E7"/>
        <n v="2.2987433E7"/>
        <n v="2.2036694E7"/>
        <n v="6539977.0"/>
        <n v="8155453.0"/>
        <n v="2571975.0"/>
        <n v="1.2070416E7"/>
        <n v="1.5949254E7"/>
        <n v="9637581.0"/>
        <n v="3.1523269E7"/>
        <n v="2.0471957E7"/>
        <n v="1.3113479E7"/>
        <n v="2.86232E7"/>
        <n v="1.6903527E7"/>
        <n v="1.0903727E7"/>
        <n v="9614696.0"/>
        <n v="2.2201129E7"/>
        <n v="1.8388844E7"/>
        <n v="3.1973671E7"/>
        <n v="2.9419152E7"/>
        <n v="2.8923341E7"/>
        <n v="7755657.0"/>
        <n v="7526340.0"/>
        <n v="5160007.0"/>
        <n v="5798977.0"/>
        <n v="3574299.0"/>
        <n v="9265539.0"/>
        <n v="1.1222231E7"/>
        <n v="9242451.0"/>
        <n v="1.3997179E7"/>
        <n v="9247557.0"/>
        <n v="9030869.0"/>
        <n v="1.0995732E7"/>
        <n v="5995425.0"/>
        <n v="9219932.0"/>
        <n v="6106128.0"/>
        <n v="1.8242345E7"/>
        <n v="1.4225274E7"/>
        <n v="1.168997E7"/>
        <n v="1.217726E7"/>
        <n v="9572746.0"/>
        <n v="9255642.0"/>
        <n v="7840622.0"/>
        <n v="1.3130411E7"/>
        <n v="7788912.0"/>
        <n v="5435933.0"/>
        <n v="1.7331637E7"/>
        <n v="1.683786E7"/>
        <n v="1.4202863E7"/>
        <n v="1.6920231E7"/>
        <n v="1.5027412E7"/>
        <n v="3.091852E7"/>
        <n v="2.3771119E7"/>
        <n v="8125467.0"/>
        <n v="7057742.0"/>
        <n v="4384830.0"/>
        <n v="1.4012364E7"/>
        <n v="1.4280017E7"/>
        <n v="1.1476347E7"/>
        <n v="1.3890537E7"/>
        <n v="1.3202307E7"/>
        <n v="8433923.0"/>
        <n v="1.9679024E7"/>
        <n v="5193026.0"/>
        <n v="6404844.0"/>
        <n v="2355565.0"/>
        <n v="1.6069119E7"/>
        <n v="1.251035E7"/>
        <n v="1.3677959E7"/>
        <n v="1.6003524E7"/>
        <n v="1.1024152E7"/>
        <n v="4239248.0"/>
        <n v="7685780.0"/>
        <n v="9198285.0"/>
        <n v="7928558.0"/>
        <n v="5317630.0"/>
        <n v="1.308977E7"/>
        <n v="1.420576E7"/>
        <n v="1.5345326E7"/>
        <n v="2.3174488E7"/>
        <n v="1.6869482E7"/>
        <n v="4086092.0"/>
        <n v="5109679.0"/>
        <n v="9840659.0"/>
        <n v="6836472.0"/>
        <n v="3476461.0"/>
        <n v="1.274561E7"/>
        <n v="2.2035954E7"/>
        <n v="1.0713838E7"/>
        <n v="1.7880011E7"/>
        <n v="1.960854E7"/>
        <n v="3190458.0"/>
        <n v="4522158.0"/>
        <n v="9287638.0"/>
        <n v="9500273.0"/>
        <n v="3583458.0"/>
        <n v="1.4056789E7"/>
        <n v="1.8758283E7"/>
        <n v="1.2896743E7"/>
        <n v="1.9785053E7"/>
        <n v="1.6858723E7"/>
        <n v="1763438.0"/>
        <n v="3815815.0"/>
        <n v="9586531.0"/>
        <n v="4252732.0"/>
        <n v="8107943.0"/>
        <n v="2.0687458E7"/>
        <n v="9736086.0"/>
        <n v="8783386.0"/>
        <n v="8802058.0"/>
        <n v="9037514.0"/>
        <n v="1461945.0"/>
        <n v="3505936.0"/>
        <n v="1.1637358E7"/>
        <n v="6662023.0"/>
        <n v="4763280.0"/>
        <n v="1.6119047E7"/>
        <n v="1.0878679E7"/>
        <n v="6800856.0"/>
        <n v="9376929.0"/>
        <n v="1.4650002E7"/>
        <n v="1881212.0"/>
        <n v="3096278.0"/>
        <n v="8649367.0"/>
        <n v="6035289.0"/>
        <n v="6662197.0"/>
        <n v="1.3694082E7"/>
        <n v="7913822.0"/>
        <n v="1.1318782E7"/>
        <n v="1.4994365E7"/>
        <n v="1.6043729E7"/>
        <n v="1601918.0"/>
        <n v="2666340.0"/>
        <n v="1.0867782E7"/>
        <n v="5353413.0"/>
        <n v="8783167.0"/>
        <n v="9714837.0"/>
        <n v="9998662.0"/>
        <n v="5353032.0"/>
        <n v="5013051.0"/>
        <n v="1.1724373E7"/>
        <n v="7753669.0"/>
        <n v="1.0821668E7"/>
        <n v="7454904.0"/>
        <n v="9409378.0"/>
        <n v="4832913.0"/>
        <n v="1.4929334E7"/>
        <n v="2.2538216E7"/>
        <n v="7123877.0"/>
        <n v="1.0414162E7"/>
        <n v="2.0906813E7"/>
        <n v="3750259.0"/>
        <n v="6893497.0"/>
        <n v="7726611.0"/>
        <n v="9439175.0"/>
        <n v="7106881.0"/>
        <n v="3.6825429E7"/>
        <n v="1.4269143E7"/>
        <n v="1.1143128E7"/>
        <n v="1.4973536E7"/>
        <n v="2.8630222E7"/>
        <n v="1588379.0"/>
        <n v="2717545.0"/>
        <n v="8696443.0"/>
        <n v="5434635.0"/>
        <n v="7360302.0"/>
        <n v="1.2428446E7"/>
        <n v="1.2168143E7"/>
        <n v="7283872.0"/>
        <n v="1.2695136E7"/>
        <n v="9486781.0"/>
        <n v="1352971.0"/>
        <n v="2303877.0"/>
        <n v="8415828.0"/>
        <n v="5070262.0"/>
        <n v="3735357.0"/>
        <n v="1.1896291E7"/>
        <n v="1.5646176E7"/>
        <n v="1.0066884E7"/>
        <n v="1.7360248E7"/>
        <n v="1.7462791E7"/>
        <n v="1503369.0"/>
        <n v="2654966.0"/>
        <n v="6535229.0"/>
        <n v="7176597.0"/>
        <n v="4286929.0"/>
        <n v="1.2013629E7"/>
        <n v="1.4672392E7"/>
        <n v="8430930.0"/>
        <n v="1.5037099E7"/>
        <n v="1.2670179E7"/>
        <n v="978345.0"/>
        <n v="2938214.0"/>
        <n v="1.1822064E7"/>
        <n v="5745829.0"/>
        <n v="7226543.0"/>
        <n v="1.8879012E7"/>
        <n v="1.4513129E7"/>
        <n v="9518542.0"/>
        <n v="1.0234715E7"/>
        <n v="1.4244653E7"/>
        <n v="1799045.0"/>
        <n v="1.4340608E7"/>
        <n v="9979749.0"/>
        <n v="7923854.0"/>
        <n v="8035990.0"/>
        <n v="1.9545043E7"/>
        <n v="2.0375797E7"/>
        <n v="1.5556528E7"/>
        <n v="1.3973399E7"/>
        <n v="2.0312896E7"/>
        <n v="971855.0"/>
        <n v="2775914.0"/>
        <n v="6819725.0"/>
        <n v="5163415.0"/>
        <n v="3951645.0"/>
        <n v="1.2517478E7"/>
        <n v="8884187.0"/>
        <n v="7722901.0"/>
        <n v="5984169.0"/>
        <n v="1.0052824E7"/>
        <n v="986887.0"/>
        <n v="2494981.0"/>
        <n v="7937629.0"/>
        <n v="4242999.0"/>
        <n v="6334203.0"/>
        <n v="7802858.0"/>
        <n v="7755462.0"/>
        <n v="3577400.0"/>
        <n v="4833589.0"/>
        <n v="6734917.0"/>
        <n v="1941859.0"/>
        <n v="5614636.0"/>
        <n v="1.1310555E7"/>
        <n v="4190081.0"/>
        <n v="6201557.0"/>
        <n v="8620779.0"/>
        <n v="9030212.0"/>
        <n v="6330006.0"/>
        <n v="3775101.0"/>
        <n v="1.0016178E7"/>
        <n v="1699411.0"/>
        <n v="2871766.0"/>
        <n v="3708404.0"/>
        <n v="5909271.0"/>
        <n v="3440755.0"/>
        <n v="6146307.0"/>
        <n v="9090597.0"/>
        <n v="6487888.0"/>
        <n v="3981693.0"/>
        <n v="7000397.0"/>
        <n v="5993093.0"/>
        <n v="6974681.0"/>
        <n v="8236910.0"/>
        <n v="2.2328728E7"/>
        <n v="6858610.0"/>
        <n v="2.922952E7"/>
        <n v="3.6657549E7"/>
        <n v="1.9401112E7"/>
        <n v="1.2489142E7"/>
        <n v="8818766.0"/>
        <n v="1187100.0"/>
        <n v="2589661.0"/>
        <n v="4161509.0"/>
        <n v="7686615.0"/>
        <n v="3103194.0"/>
        <n v="8243910.0"/>
        <n v="8580998.0"/>
        <n v="1.2004845E7"/>
        <n v="8402716.0"/>
        <n v="6405475.0"/>
        <n v="1104434.0"/>
        <n v="1560588.0"/>
        <n v="3545200.0"/>
        <n v="3584876.0"/>
        <n v="2185656.0"/>
        <n v="4144374.0"/>
        <n v="7843971.0"/>
        <n v="9418453.0"/>
        <n v="4239498.0"/>
        <n v="5892590.0"/>
        <n v="877729.0"/>
        <n v="1415783.0"/>
        <n v="6846413.0"/>
        <n v="7538972.0"/>
        <n v="2391474.0"/>
        <n v="1.0625223E7"/>
        <n v="1.6543382E7"/>
        <n v="1.974581E7"/>
        <n v="1.0766571E7"/>
        <n v="1.5486276E7"/>
        <n v="2550810.0"/>
        <n v="2143236.0"/>
        <n v="4806469.0"/>
        <n v="7122319.0"/>
        <n v="4037493.0"/>
        <n v="1.456705E7"/>
        <n v="8689629.0"/>
        <n v="4.976041E7"/>
        <n v="7636948.0"/>
        <n v="1.5521102E7"/>
        <n v="2710372.0"/>
        <n v="3322540.0"/>
        <n v="7361716.0"/>
        <n v="8774141.0"/>
        <n v="5016149.0"/>
        <n v="1.9711596E7"/>
        <n v="1.0538077E7"/>
        <n v="1.9265884E7"/>
        <n v="6722495.0"/>
        <n v="1.4816766E7"/>
        <n v="1188943.0"/>
        <n v="2637204.0"/>
        <n v="8306436.0"/>
        <n v="6542121.0"/>
        <n v="3195402.0"/>
        <n v="1.3658286E7"/>
        <n v="1.3891401E7"/>
        <n v="5.2956766E7"/>
        <n v="1.0137739E7"/>
        <n v="1.0070505E7"/>
        <n v="869142.0"/>
        <n v="1702163.0"/>
        <n v="6037032.0"/>
        <n v="7407778.0"/>
        <n v="3631344.0"/>
        <n v="1.4259056E7"/>
        <n v="8993608.0"/>
        <n v="4.2237794E7"/>
        <n v="6907996.0"/>
        <n v="1.9346579E7"/>
        <n v="770057.0"/>
        <n v="1237540.0"/>
        <n v="6215902.0"/>
        <n v="6247612.0"/>
        <n v="2525567.0"/>
        <n v="9734279.0"/>
        <n v="1.2403467E7"/>
        <n v="1.4706472E7"/>
        <n v="8244909.0"/>
        <n v="1.2794704E7"/>
        <n v="1204613.0"/>
        <n v="2096676.0"/>
        <n v="9073218.0"/>
        <n v="4893721.0"/>
        <n v="3504508.0"/>
        <n v="1.2948066E7"/>
        <n v="1.5941143E7"/>
        <n v="1.3053552E7"/>
        <n v="6540783.0"/>
        <n v="8120332.0"/>
        <n v="1424633.0"/>
        <n v="2618478.0"/>
        <n v="1.0488655E7"/>
        <n v="8661589.0"/>
        <n v="1.3439614E7"/>
        <n v="3.0291583E7"/>
        <n v="2.9630336E7"/>
        <n v="2.041637E7"/>
        <n v="1.9474228E7"/>
        <n v="1.3764861E7"/>
        <n v="9525701.0"/>
        <n v="1.719831E7"/>
        <n v="6710730.0"/>
        <n v="5698113.0"/>
        <n v="3392260.0"/>
        <n v="1.7430438E7"/>
        <n v="2.2732888E7"/>
        <n v="8470150.0"/>
        <n v="1.5954608E7"/>
        <n v="1.3095266E7"/>
        <n v="3599461.0"/>
        <n v="1.3279463E7"/>
        <n v="1.3448052E7"/>
        <n v="1.1117714E7"/>
        <n v="4162695.0"/>
        <n v="1.1472116E7"/>
        <n v="2.1894626E7"/>
        <n v="9344731.0"/>
        <n v="1.2198882E7"/>
        <n v="9578856.0"/>
        <n v="2448865.0"/>
        <n v="7083726.0"/>
        <n v="1.3754046E7"/>
        <n v="6923722.0"/>
        <n v="5072603.0"/>
        <n v="1.1843193E7"/>
        <n v="1.4865186E7"/>
        <n v="1.419545E7"/>
        <n v="1.1694289E7"/>
        <n v="1.4117603E7"/>
        <n v="2391368.0"/>
        <n v="3486290.0"/>
        <n v="9300647.0"/>
        <n v="8380692.0"/>
        <n v="3122954.0"/>
        <n v="2.4617689E7"/>
        <n v="7129232.0"/>
        <n v="1.2148143E7"/>
        <n v="7593230.0"/>
        <n v="2.9366277E7"/>
        <n v="2108088.0"/>
        <n v="2463260.0"/>
        <n v="9623368.0"/>
        <n v="1.4597375E7"/>
        <n v="6963879.0"/>
        <n v="8234561.0"/>
        <n v="1.799188E7"/>
        <n v="9676264.0"/>
        <n v="9435937.0"/>
        <n v="1.4040244E7"/>
        <n v="3026174.0"/>
        <n v="1985986.0"/>
        <n v="1.5304149E7"/>
        <n v="2.0854879E7"/>
        <n v="1.2344913E7"/>
        <n v="2.0272605E7"/>
        <n v="1.277463E7"/>
        <n v="8989218.0"/>
        <n v="1.3911546E7"/>
        <n v="1.4562976E7"/>
        <n v="2316536.0"/>
        <n v="2656247.0"/>
        <n v="6301894.0"/>
        <n v="1.065369E7"/>
        <n v="6676035.0"/>
        <n v="9202153.0"/>
        <n v="1.1068145E7"/>
        <n v="7919682.0"/>
        <n v="9723333.0"/>
        <n v="1.027359E7"/>
        <n v="3765979.0"/>
        <n v="3052259.0"/>
        <n v="1.8806324E7"/>
        <n v="5844752.0"/>
        <n v="5143368.0"/>
        <n v="7058477.0"/>
        <n v="6477347.0"/>
        <n v="5026675.0"/>
        <n v="1.2228286E7"/>
        <n v="8720682.0"/>
        <n v="2773445.0"/>
        <n v="4978974.0"/>
        <n v="1.8480516E7"/>
        <n v="5351964.0"/>
        <n v="1.8088473E7"/>
        <n v="1.2630632E7"/>
        <n v="7492600.0"/>
        <n v="6306281.0"/>
        <n v="1.1142914E7"/>
        <n v="1.423597E7"/>
        <n v="2319145.0"/>
        <n v="2286903.0"/>
        <n v="1.0083126E7"/>
        <n v="6645109.0"/>
        <n v="4454025.0"/>
        <n v="1.8934026E7"/>
        <n v="1.3803855E7"/>
        <n v="6944911.0"/>
        <n v="1.3477947E7"/>
        <n v="9536019.0"/>
        <n v="1860951.0"/>
        <n v="2102556.0"/>
        <n v="1.3321189E7"/>
        <n v="1.0866038E7"/>
        <n v="5097372.0"/>
        <n v="1.9861475E7"/>
        <n v="2.2008929E7"/>
        <n v="8029472.0"/>
        <n v="1.1298068E7"/>
        <n v="1.0568025E7"/>
        <n v="1398816.0"/>
        <n v="1865241.0"/>
        <n v="9435973.0"/>
        <n v="6680927.0"/>
        <n v="3747258.0"/>
        <n v="1.2017314E7"/>
        <n v="1.6056888E7"/>
        <n v="5651586.0"/>
        <n v="4800024.0"/>
        <n v="5928156.0"/>
        <n v="1380777.0"/>
        <n v="1871049.0"/>
        <n v="9410974.0"/>
        <n v="6300164.0"/>
        <n v="4412278.0"/>
        <n v="1.7776744E7"/>
        <n v="1.037572E7"/>
        <n v="1.2588155E7"/>
        <n v="1.0969499E7"/>
        <n v="9269259.0"/>
        <n v="3073984.0"/>
        <n v="3123886.0"/>
        <n v="8790578.0"/>
        <n v="1.0339434E7"/>
        <n v="2019592.0"/>
        <n v="9686000.0"/>
        <n v="1.3195557E7"/>
        <n v="8850307.0"/>
        <n v="1.4141459E7"/>
        <n v="6584612.0"/>
        <n v="861101.0"/>
        <n v="1672435.0"/>
        <n v="2.1517136E7"/>
        <n v="7689700.0"/>
        <n v="2.6282943E7"/>
        <n v="2.6047332E7"/>
        <n v="1.5881217E7"/>
        <n v="2.5719512E7"/>
        <n v="1.4978897E7"/>
        <n v="9252345.0"/>
        <n v="1007055.0"/>
        <n v="1333100.0"/>
        <n v="7000612.0"/>
        <n v="4649921.0"/>
        <n v="7377189.0"/>
        <n v="1.4405748E7"/>
        <n v="1.2141064E7"/>
        <n v="8402532.0"/>
        <n v="1.9836427E7"/>
        <n v="1.6691069E7"/>
        <n v="1664111.0"/>
        <n v="2434579.0"/>
        <n v="1.0088345E7"/>
        <n v="5914200.0"/>
        <n v="7113783.0"/>
        <n v="1.1469878E7"/>
        <n v="1.2226722E7"/>
        <n v="1.1590755E7"/>
        <n v="1.5337191E7"/>
        <n v="1.0112028E7"/>
        <n v="1009247.0"/>
        <n v="1097383.0"/>
        <n v="1.4058587E7"/>
        <n v="4652107.0"/>
        <n v="3123836.0"/>
        <n v="9804040.0"/>
        <n v="1.3384442E7"/>
        <n v="1.2327998E7"/>
        <n v="2.1418561E7"/>
        <n v="9956001.0"/>
        <n v="771037.0"/>
        <n v="1238324.0"/>
        <n v="6557480.0"/>
        <n v="3006598.0"/>
        <n v="1712683.0"/>
        <n v="8892600.0"/>
        <n v="8937447.0"/>
        <n v="1.0098454E7"/>
        <n v="1.7193482E7"/>
        <n v="8764283.0"/>
        <n v="1132859.0"/>
        <n v="1527205.0"/>
        <n v="8052376.0"/>
        <n v="3380494.0"/>
        <n v="1957224.0"/>
        <n v="1.2773729E7"/>
        <n v="6806132.0"/>
        <n v="7582536.0"/>
        <n v="1.670967E7"/>
        <n v="6970972.0"/>
        <n v="1530185.0"/>
        <n v="3770394.0"/>
        <n v="6819100.0"/>
        <n v="6803431.0"/>
        <n v="1562978.0"/>
        <n v="1.453281E7"/>
        <n v="1.324183E7"/>
        <n v="6711630.0"/>
        <n v="2.2083955E7"/>
        <n v="8859714.0"/>
        <n v="3137758.0"/>
        <n v="4095054.0"/>
        <n v="6568833.0"/>
        <n v="4565992.0"/>
        <n v="3179345.0"/>
        <n v="1.4799271E7"/>
        <n v="7616083.0"/>
        <n v="5985956.0"/>
        <n v="1.7861265E7"/>
        <n v="2.1131654E7"/>
        <n v="1310157.0"/>
        <n v="2474769.0"/>
        <n v="5514711.0"/>
        <n v="3712240.0"/>
        <n v="9771116.0"/>
        <n v="1.0136689E7"/>
        <n v="9086906.0"/>
        <n v="1.007921E7"/>
        <n v="1.2257226E7"/>
        <n v="8511216.0"/>
        <n v="1779389.0"/>
        <n v="2874948.0"/>
        <n v="5205573.0"/>
        <n v="4464446.0"/>
        <n v="9525190.0"/>
        <n v="1.2351973E7"/>
        <n v="7446248.0"/>
        <n v="8065352.0"/>
        <n v="1.1339563E7"/>
        <n v="1.0298145E7"/>
        <n v="2394243.0"/>
        <n v="4343277.0"/>
        <n v="5899597.0"/>
        <n v="6017586.0"/>
        <n v="4591304.0"/>
        <n v="1.2518983E7"/>
        <n v="6464173.0"/>
        <n v="6692422.0"/>
        <n v="8332653.0"/>
        <n v="8166683.0"/>
        <n v="2968321.0"/>
        <n v="2718141.0"/>
        <n v="5534272.0"/>
        <n v="3843725.0"/>
        <n v="1673581.0"/>
        <n v="8678689.0"/>
        <n v="1.5793327E7"/>
        <n v="6170974.0"/>
        <n v="1.0483635E7"/>
        <n v="6673250.0"/>
        <n v="1883969.0"/>
        <n v="4121742.0"/>
        <n v="6887175.0"/>
        <n v="3097726.0"/>
        <n v="2325236.0"/>
        <n v="9158990.0"/>
        <n v="1.3079903E7"/>
        <n v="6168581.0"/>
        <n v="1.4602009E7"/>
        <n v="6217338.0"/>
        <n v="1271876.0"/>
        <n v="3499937.0"/>
        <n v="8155780.0"/>
        <n v="4624287.0"/>
        <n v="1771611.0"/>
        <n v="9940851.0"/>
        <n v="2.2888146E7"/>
        <n v="8929816.0"/>
        <n v="1.5312926E7"/>
        <n v="7795582.0"/>
        <n v="1211108.0"/>
        <n v="2895228.0"/>
        <n v="9845416.0"/>
        <n v="5235241.0"/>
        <n v="2193356.0"/>
        <n v="9657933.0"/>
        <n v="1.0809296E7"/>
        <n v="5697387.0"/>
        <n v="1.0757038E7"/>
        <n v="6904025.0"/>
        <n v="1237728.0"/>
        <n v="3682290.0"/>
        <n v="6773845.0"/>
        <n v="4533486.0"/>
        <n v="3307496.0"/>
        <n v="8764985.0"/>
        <n v="6034113.0"/>
        <n v="6883143.0"/>
        <n v="1.4599185E7"/>
        <n v="7172498.0"/>
        <n v="1654419.0"/>
        <n v="5299509.0"/>
        <n v="4172676.0"/>
        <n v="4525493.0"/>
        <n v="4356438.0"/>
        <n v="7607411.0"/>
        <n v="1.0686112E7"/>
        <n v="5519036.0"/>
        <n v="2.1287363E7"/>
        <n v="1.1552182E7"/>
        <n v="1109229.0"/>
        <n v="5612214.0"/>
        <n v="7376510.0"/>
        <n v="6196610.0"/>
        <n v="4865436.0"/>
        <n v="1.0709253E7"/>
        <n v="7302366.0"/>
        <n v="9664032.0"/>
        <n v="1.3614799E7"/>
        <n v="1.1509215E7"/>
        <n v="1766312.0"/>
        <n v="4.3947584E7"/>
        <n v="1.4066882E7"/>
        <n v="2.1899478E7"/>
        <n v="6517549.0"/>
        <n v="2.4161878E7"/>
        <n v="2.112718E7"/>
        <n v="1.7237276E7"/>
        <n v="3.8512868E7"/>
        <n v="2.3007298E7"/>
        <n v="1160382.0"/>
        <n v="5720645.0"/>
        <n v="6864635.0"/>
        <n v="1.2675744E7"/>
        <n v="3792065.0"/>
        <n v="1.8881646E7"/>
        <n v="9779703.0"/>
        <n v="1.1928529E7"/>
        <n v="9873539.0"/>
        <n v="1.7944938E7"/>
        <n v="1074477.0"/>
        <n v="7726332.0"/>
        <n v="7201075.0"/>
        <n v="5535218.0"/>
        <n v="7276713.0"/>
        <n v="1.4145658E7"/>
        <n v="8734999.0"/>
        <n v="1.2428265E7"/>
        <n v="1.1947033E7"/>
        <n v="1.1377373E7"/>
        <n v="6265335.0"/>
        <n v="1.790224E7"/>
        <n v="7802519.0"/>
        <n v="5730797.0"/>
        <n v="1.2406494E7"/>
        <n v="1.9577861E7"/>
        <n v="1.0493615E7"/>
        <n v="7466729.0"/>
        <n v="1.4536637E7"/>
        <n v="8664095.0"/>
        <n v="4897354.0"/>
        <n v="1.0166566E7"/>
        <n v="1.2828381E7"/>
        <n v="1.1247215E7"/>
        <n v="1.2790937E7"/>
        <n v="1.9384187E7"/>
        <n v="2.6294903E7"/>
        <n v="1.0439208E7"/>
        <n v="1.1926868E7"/>
        <n v="1.4468014E7"/>
        <n v="2622387.0"/>
        <n v="6078435.0"/>
        <n v="7057204.0"/>
        <n v="8321771.0"/>
        <n v="3825464.0"/>
        <n v="1.4763396E7"/>
        <n v="8992315.0"/>
        <n v="9079049.0"/>
        <n v="1.0043068E7"/>
        <n v="1.6474965E7"/>
        <n v="6861685.0"/>
        <n v="6595111.0"/>
        <n v="8487911.0"/>
        <n v="5541001.0"/>
        <n v="7154245.0"/>
        <n v="1.27273E7"/>
        <n v="1.1383132E7"/>
        <n v="1.6489167E7"/>
        <n v="3.0233763E7"/>
        <n v="1.1931051E7"/>
        <n v="2785862.0"/>
        <n v="3495317.0"/>
        <n v="1.2306539E7"/>
        <n v="5340552.0"/>
        <n v="6272107.0"/>
        <n v="1.8090217E7"/>
        <n v="1.0299324E7"/>
        <n v="1.0941588E7"/>
        <n v="9255499.0"/>
        <n v="1.0089838E7"/>
        <n v="2734197.0"/>
        <n v="4826264.0"/>
        <n v="1.0648004E7"/>
        <n v="3951912.0"/>
        <n v="8497676.0"/>
        <n v="1.4079943E7"/>
        <n v="6984859.0"/>
        <n v="6994310.0"/>
        <n v="1.1875548E7"/>
        <n v="1.1977555E7"/>
        <n v="2201144.0"/>
        <n v="1.177918E7"/>
        <n v="4545159.0"/>
        <n v="3918004.0"/>
        <n v="4696394.0"/>
        <n v="1.0882226E7"/>
        <n v="8965150.0"/>
        <n v="1.6105085E7"/>
        <n v="9270442.0"/>
        <n v="9505270.0"/>
        <n v="1850753.0"/>
        <n v="5903492.0"/>
        <n v="6482574.0"/>
        <n v="5456631.0"/>
        <n v="5417463.0"/>
        <n v="4353562.0"/>
        <n v="8789001.0"/>
        <n v="1.1987667E7"/>
        <n v="1.6640952E7"/>
        <n v="1344527.0"/>
        <n v="4222109.0"/>
        <n v="5548862.0"/>
        <n v="6211943.0"/>
        <n v="5203598.0"/>
        <n v="8940367.0"/>
        <n v="8580255.0"/>
        <n v="9647391.0"/>
        <n v="8899126.0"/>
        <n v="1.5745877E7"/>
        <n v="1417575.0"/>
        <n v="2980425.0"/>
        <n v="4955027.0"/>
        <n v="5827114.0"/>
        <n v="5942282.0"/>
        <n v="1.1273526E7"/>
        <n v="3.0582397E7"/>
        <n v="8626593.0"/>
        <n v="1.308995E7"/>
        <n v="1.6162399E7"/>
        <n v="1286932.0"/>
        <n v="3210117.0"/>
        <n v="1.0789615E7"/>
        <n v="7025398.0"/>
        <n v="4833173.0"/>
        <n v="1.3947925E7"/>
        <n v="1.5002119E7"/>
        <n v="1.8955995E7"/>
        <n v="1.3710249E7"/>
        <n v="1.5971477E7"/>
        <n v="2711820.0"/>
        <n v="8147557.0"/>
        <n v="2.6173451E7"/>
        <n v="1.6564019E7"/>
        <n v="1.573359E7"/>
        <n v="4.292851E7"/>
        <n v="3.6406837E7"/>
        <n v="2.9285333E7"/>
        <n v="2.6003527E7"/>
        <n v="2.1780769E7"/>
        <n v="1808999.0"/>
        <n v="3632791.0"/>
        <n v="1.1376607E7"/>
        <n v="5260300.0"/>
        <n v="9399628.0"/>
        <n v="1.3965745E7"/>
        <n v="2.4588471E7"/>
        <n v="1.0566066E7"/>
        <n v="1.9966817E7"/>
        <n v="2.0299319E7"/>
        <n v="2713855.0"/>
        <n v="3504686.0"/>
        <n v="1.2143699E7"/>
        <n v="5636291.0"/>
        <n v="6724910.0"/>
        <n v="1.2380949E7"/>
        <n v="2.3189083E7"/>
        <n v="8915800.0"/>
        <n v="1.6983852E7"/>
        <n v="1.3713899E7"/>
        <n v="2042407.0"/>
        <n v="3194761.0"/>
        <n v="9475308.0"/>
        <n v="5025274.0"/>
        <n v="4094188.0"/>
        <n v="1.6379725E7"/>
        <n v="1.8668095E7"/>
        <n v="7543985.0"/>
        <n v="2.0367015E7"/>
        <n v="1.2074747E7"/>
        <n v="8208182.0"/>
        <n v="5918219.0"/>
        <n v="1.07524873E8"/>
        <n v="7697174.0"/>
        <n v="4545137.0"/>
        <n v="1.3141045E7"/>
        <n v="3.7930538E7"/>
        <n v="9935664.0"/>
        <n v="3.7203166E7"/>
        <n v="1.5028056E7"/>
        <n v="3727492.0"/>
        <n v="4083088.0"/>
        <n v="1.2687883E7"/>
        <n v="6923988.0"/>
        <n v="5348515.0"/>
        <n v="1.5396398E7"/>
        <n v="1.1327077E7"/>
        <n v="3.2905564E7"/>
        <n v="1.08349E7"/>
        <n v="1.8147129E7"/>
        <n v="1899810.0"/>
        <n v="3393666.0"/>
        <n v="2.0780255E7"/>
        <n v="4332950.0"/>
        <n v="5111753.0"/>
        <n v="1.2740476E7"/>
        <n v="1.873632E7"/>
        <n v="1.1258957E7"/>
        <n v="1.1603556E7"/>
        <n v="1.2099648E7"/>
        <n v="1554834.0"/>
        <n v="2965379.0"/>
        <n v="1.2058406E7"/>
        <n v="4197123.0"/>
        <n v="2536402.0"/>
        <n v="8531198.0"/>
        <n v="1.3593404E7"/>
        <n v="1.5337906E7"/>
        <n v="1.1679536E7"/>
        <n v="1.014259E7"/>
        <n v="2165750.0"/>
        <n v="3305378.0"/>
        <n v="6663148.0"/>
        <n v="4970602.0"/>
        <n v="5566330.0"/>
        <n v="9909642.0"/>
        <n v="1.031741E7"/>
        <n v="1.114137E7"/>
        <n v="2.3478876E7"/>
        <n v="7434366.0"/>
        <n v="1475762.0"/>
        <n v="3226540.0"/>
        <n v="1.8852567E7"/>
        <n v="6718760.0"/>
        <n v="1.2874209E7"/>
        <n v="2.1497796E7"/>
        <n v="1.0872963E7"/>
        <n v="3.8336194E7"/>
        <n v="2.1020875E7"/>
        <n v="1.7908652E7"/>
        <n v="2669587.0"/>
        <n v="3317613.0"/>
        <n v="1.5010047E7"/>
        <n v="1.02024E7"/>
        <n v="1.548962E7"/>
        <n v="2.4739154E7"/>
        <n v="1.8025165E7"/>
        <n v="2.7024128E7"/>
        <n v="2.2847548E7"/>
        <n v="2.2156106E7"/>
        <n v="1707784.0"/>
        <n v="3363547.0"/>
        <n v="1.8994276E7"/>
        <n v="3577328.0"/>
        <n v="1.0576907E7"/>
        <n v="1.2634136E7"/>
        <n v="1.7506712E7"/>
        <n v="1.1309092E7"/>
        <n v="2.0831596E7"/>
        <n v="1.955504E7"/>
        <n v="1026681.0"/>
        <n v="2518172.0"/>
        <n v="1.4519066E7"/>
        <n v="5781453.0"/>
        <n v="1.11804E7"/>
        <n v="1.4769184E7"/>
        <n v="7462119.0"/>
        <n v="1.6889575E7"/>
        <n v="2.1342531E7"/>
        <n v="1.0223104E7"/>
        <n v="1878535.0"/>
        <n v="2380909.0"/>
        <n v="1.4955235E7"/>
        <n v="6185984.0"/>
        <n v="7217670.0"/>
        <n v="1.0020795E7"/>
        <n v="1.1246077E7"/>
        <n v="1.3886447E7"/>
        <n v="1.9831004E7"/>
        <n v="1.1224242E7"/>
        <n v="2537147.0"/>
        <n v="2944940.0"/>
        <n v="8516322.0"/>
        <n v="4371156.0"/>
        <n v="4572204.0"/>
        <n v="1.0142685E7"/>
        <n v="1.7497327E7"/>
        <n v="1.2102239E7"/>
        <n v="1.6563441E7"/>
        <n v="1.3378535E7"/>
        <n v="2669664.0"/>
        <n v="2203548.0"/>
        <n v="9064723.0"/>
        <n v="4992290.0"/>
        <n v="3731014.0"/>
        <n v="9200167.0"/>
        <n v="1.1541484E7"/>
        <n v="1.8748952E7"/>
        <n v="7032401.0"/>
        <n v="8248464.0"/>
        <n v="3849304.0"/>
        <n v="2905274.0"/>
        <n v="7510897.0"/>
        <n v="8364450.0"/>
        <n v="2358710.0"/>
        <n v="1.0404917E7"/>
        <n v="1.2288196E7"/>
        <n v="1.2891813E7"/>
        <n v="8528993.0"/>
        <n v="1.5398401E7"/>
        <n v="2153406.0"/>
        <n v="2149379.0"/>
        <n v="6455955.0"/>
        <n v="8987570.0"/>
        <n v="2836553.0"/>
        <n v="2.0249817E7"/>
        <n v="7375594.0"/>
        <n v="1.1698653E7"/>
        <n v="1.3369014E7"/>
        <n v="1.0429964E7"/>
        <n v="1654173.0"/>
        <n v="2283380.0"/>
        <n v="7096150.0"/>
        <n v="7558174.0"/>
        <n v="5630844.0"/>
        <n v="1.2648948E7"/>
        <n v="1.2077119E7"/>
        <n v="9896443.0"/>
        <n v="1.0027332E7"/>
        <n v="1.3051707E7"/>
        <n v="2500136.0"/>
        <n v="2614789.0"/>
        <n v="7400827.0"/>
        <n v="7429142.0"/>
        <n v="4742867.0"/>
        <n v="1.2689457E7"/>
        <n v="9719205.0"/>
        <n v="1.6555874E7"/>
        <n v="8225575.0"/>
        <n v="1.0480888E7"/>
        <n v="3695638.0"/>
        <n v="3604578.0"/>
        <n v="5773985.0"/>
        <n v="5762303.0"/>
        <n v="4385172.0"/>
        <n v="8177419.0"/>
        <n v="7491123.0"/>
        <n v="6538518.0"/>
        <n v="8021180.0"/>
        <n v="1.046894E7"/>
        <n v="5736784.0"/>
        <n v="6824718.0"/>
        <n v="7773037.0"/>
        <n v="7337588.0"/>
        <n v="2552932.0"/>
        <n v="1.4663542E7"/>
        <n v="9785640.0"/>
        <n v="1.5616265E7"/>
        <n v="1.1475773E7"/>
        <n v="1.4431012E7"/>
        <n v="2404027.0"/>
        <n v="3691409.0"/>
        <n v="1.4414879E7"/>
        <n v="3458518.0"/>
        <n v="6104973.0"/>
        <n v="1.0943944E7"/>
        <n v="5315840.0"/>
        <n v="7669983.0"/>
        <n v="7314824.0"/>
        <n v="3.1104496E7"/>
        <n v="1466481.0"/>
        <n v="6040053.0"/>
        <n v="9522966.0"/>
        <n v="6274213.0"/>
        <n v="4419920.0"/>
        <n v="1.5222917E7"/>
        <n v="9472828.0"/>
        <n v="8030552.0"/>
        <n v="1.4678005E7"/>
        <n v="3.253897E7"/>
        <n v="1191673.0"/>
        <n v="3000004.0"/>
        <n v="2.1424437E7"/>
        <n v="4559122.0"/>
        <n v="9150558.0"/>
        <n v="3.9902398E7"/>
        <n v="1.6739088E7"/>
        <n v="9822483.0"/>
        <n v="1.7619987E7"/>
        <n v="2.5480745E7"/>
        <n v="1720419.0"/>
        <n v="3047594.0"/>
        <n v="6850147.0"/>
        <n v="5045851.0"/>
        <n v="3503397.0"/>
        <n v="4.5858781E7"/>
        <n v="8221620.0"/>
        <n v="1.020319E7"/>
        <n v="5688285.0"/>
        <n v="1.3007841E7"/>
        <n v="5711254.0"/>
        <n v="1.365218E7"/>
        <n v="1.6037327E7"/>
        <n v="6395704.0"/>
        <n v="2.8073682E7"/>
        <n v="4.7549493E7"/>
        <n v="9492646.0"/>
        <n v="2.0086323E7"/>
        <n v="4342960.0"/>
        <n v="1.2685649E7"/>
        <n v="2569364.0"/>
        <n v="4153763.0"/>
        <n v="5444873.0"/>
        <n v="5982166.0"/>
        <n v="5485163.0"/>
        <n v="1.8018626E7"/>
        <n v="8904223.0"/>
        <n v="1.1350559E7"/>
        <n v="9124804.0"/>
        <n v="1.4084117E7"/>
        <n v="5712060.0"/>
        <n v="3179762.0"/>
        <n v="7970668.0"/>
        <n v="9162368.0"/>
        <n v="8825404.0"/>
        <n v="1.931674E7"/>
        <n v="8465490.0"/>
        <n v="1.6689539E7"/>
        <n v="1.4679327E7"/>
        <n v="1.3440169E7"/>
        <n v="3262818.0"/>
        <n v="4281975.0"/>
        <n v="5918739.0"/>
        <n v="1.4258083E7"/>
        <n v="5347464.0"/>
        <n v="1.2047287E7"/>
        <n v="1.4286109E7"/>
        <n v="1.5026122E7"/>
        <n v="1.9253478E7"/>
        <n v="1.6106175E7"/>
        <n v="2639860.0"/>
        <n v="3051122.0"/>
        <n v="4955934.0"/>
        <n v="3809943.0"/>
        <n v="3757854.0"/>
        <n v="1.5348575E7"/>
        <n v="1.1322011E7"/>
        <n v="1.1184507E7"/>
        <n v="1.1981497E7"/>
        <n v="1.3668904E7"/>
        <n v="3286835.0"/>
        <n v="6222615.0"/>
        <n v="6844271.0"/>
        <n v="6743279.0"/>
        <n v="4957935.0"/>
        <n v="1.3526883E7"/>
        <n v="7978210.0"/>
        <n v="1.1374237E7"/>
        <n v="7145884.0"/>
        <n v="1.0674081E7"/>
        <n v="2246532.0"/>
        <n v="4260617.0"/>
        <n v="7241358.0"/>
        <n v="6307140.0"/>
        <n v="3665291.0"/>
        <n v="9484801.0"/>
        <n v="1.473898E7"/>
        <n v="9336026.0"/>
        <n v="1.7988336E7"/>
        <n v="1.1407896E7"/>
        <n v="1929234.0"/>
        <n v="3634440.0"/>
        <n v="7733320.0"/>
        <n v="6822756.0"/>
        <n v="4370060.0"/>
        <n v="9987794.0"/>
        <n v="2.2485535E7"/>
        <n v="8234859.0"/>
        <n v="1.0359258E7"/>
        <n v="5570160.0"/>
        <n v="1755815.0"/>
        <n v="4951675.0"/>
        <n v="7055032.0"/>
        <n v="1.0511989E7"/>
        <n v="5828155.0"/>
        <n v="1.0181275E7"/>
        <n v="4.3307763E7"/>
        <n v="1.681275E7"/>
        <n v="2.2640626E7"/>
        <n v="2.0177211E7"/>
        <n v="2288025.0"/>
        <n v="7644511.0"/>
        <n v="6861786.0"/>
        <n v="4702603.0"/>
        <n v="5353067.0"/>
        <n v="1.4529013E7"/>
        <n v="6920351.0"/>
        <n v="8030229.0"/>
        <n v="1.6763668E7"/>
        <n v="9036695.0"/>
        <n v="2120510.0"/>
        <n v="3176879.0"/>
        <n v="2956007.0"/>
        <n v="5446656.0"/>
        <n v="2489091.0"/>
        <n v="6802870.0"/>
        <n v="6218209.0"/>
        <n v="8043270.0"/>
        <n v="1.2575289E7"/>
        <n v="6195791.0"/>
        <n v="1301836.0"/>
        <n v="2713486.0"/>
        <n v="5016433.0"/>
        <n v="1.8755291E7"/>
        <n v="3231580.0"/>
        <n v="1.1330045E7"/>
        <n v="9986143.0"/>
        <n v="1.3183059E7"/>
        <n v="2.1339095E7"/>
        <n v="1.127056E7"/>
        <n v="1239047.0"/>
        <n v="2228757.0"/>
        <n v="5232094.0"/>
        <n v="7393102.0"/>
        <n v="3723167.0"/>
        <n v="8705960.0"/>
        <n v="5930972.0"/>
        <n v="7158307.0"/>
        <n v="1.1997632E7"/>
        <n v="6136364.0"/>
        <n v="1121955.0"/>
        <n v="2233560.0"/>
        <n v="4876801.0"/>
        <n v="7936875.0"/>
        <n v="1971376.0"/>
        <n v="7157328.0"/>
        <n v="8717514.0"/>
        <n v="1.8502235E7"/>
        <n v="2.6158839E7"/>
        <n v="1.2134466E7"/>
        <n v="816889.0"/>
        <n v="2538927.0"/>
        <n v="4257721.0"/>
        <n v="4178408.0"/>
        <n v="5540517.0"/>
        <n v="9699995.0"/>
        <n v="4045937.0"/>
        <n v="8725218.0"/>
        <n v="9872024.0"/>
        <n v="6474883.0"/>
        <n v="966027.0"/>
        <n v="3403161.0"/>
        <n v="5050848.0"/>
        <n v="6067873.0"/>
        <n v="2976520.0"/>
        <n v="5996548.0"/>
        <n v="1.6655082E7"/>
        <n v="7159571.0"/>
        <n v="1.646913E7"/>
        <n v="4842944.0"/>
        <n v="1772369.0"/>
        <n v="1740741.0"/>
        <n v="4716473.0"/>
        <n v="6553758.0"/>
        <n v="4849935.0"/>
        <n v="4970656.0"/>
        <n v="2.493733E7"/>
        <n v="9712093.0"/>
        <n v="1.707471E7"/>
        <n v="1.2640414E7"/>
        <n v="990253.0"/>
        <n v="2099725.0"/>
        <n v="7112876.0"/>
        <n v="6002200.0"/>
        <n v="5630546.0"/>
        <n v="6390053.0"/>
        <n v="1.0985957E7"/>
        <n v="7385958.0"/>
        <n v="1.0099453E7"/>
        <n v="5944611.0"/>
        <n v="2045238.0"/>
        <n v="2700851.0"/>
        <n v="4000772.0"/>
        <n v="7724668.0"/>
        <n v="3108847.0"/>
        <n v="7054326.0"/>
        <n v="1.5884093E7"/>
        <n v="1.2938112E7"/>
        <n v="9773818.0"/>
        <n v="1.3771917E7"/>
        <n v="1258500.0"/>
        <n v="1669801.0"/>
        <n v="9148638.0"/>
        <n v="6565658.0"/>
        <n v="6164496.0"/>
        <n v="2.8315951E7"/>
        <n v="1.914301E7"/>
        <n v="1.010884E7"/>
        <n v="2.1788566E7"/>
        <n v="1.3788484E7"/>
        <n v="1911879.0"/>
        <n v="2230527.0"/>
        <n v="3086437.0"/>
        <n v="6119571.0"/>
        <n v="2200493.0"/>
        <n v="7051525.0"/>
        <n v="2.9479727E7"/>
        <n v="6278145.0"/>
        <n v="7255782.0"/>
        <n v="8098668.0"/>
        <n v="5811649.0"/>
        <n v="2438866.0"/>
        <n v="7853488.0"/>
        <n v="7360608.0"/>
        <n v="2570008.0"/>
        <n v="7002799.0"/>
        <n v="1.4081719E7"/>
        <n v="9515918.0"/>
        <n v="1.0989055E7"/>
        <n v="1.1252626E7"/>
        <n v="5947467.0"/>
        <n v="1700483.0"/>
        <n v="5925942.0"/>
        <n v="3861957.0"/>
        <n v="2415724.0"/>
        <n v="1.1904779E7"/>
        <n v="1.5654279E7"/>
        <n v="6733580.0"/>
        <n v="8580196.0"/>
        <n v="8126827.0"/>
        <n v="5723306.0"/>
        <n v="1454736.0"/>
        <n v="5900170.0"/>
        <n v="6097293.0"/>
        <n v="2588378.0"/>
        <n v="9478214.0"/>
        <n v="1.627036E7"/>
        <n v="8941808.0"/>
        <n v="1.3110486E7"/>
        <n v="1.3716817E7"/>
        <n v="6679702.0"/>
        <n v="2617425.0"/>
        <n v="5825337.0"/>
        <n v="7633919.0"/>
        <n v="1443804.0"/>
        <n v="5702365.0"/>
        <n v="1.1402511E7"/>
        <n v="5985346.0"/>
        <n v="7935393.0"/>
        <n v="8182161.0"/>
        <n v="6802393.0"/>
        <n v="3700815.0"/>
        <n v="3787426.0"/>
        <n v="9626374.0"/>
        <n v="1139355.0"/>
        <n v="9972191.0"/>
        <n v="1.9416373E7"/>
        <n v="7719525.0"/>
        <n v="8666186.0"/>
        <n v="7885125.0"/>
        <n v="8134942.0"/>
        <n v="5441911.0"/>
        <n v="6489933.0"/>
        <n v="6362912.0"/>
        <n v="2079819.0"/>
        <n v="7906157.0"/>
        <n v="1.2061248E7"/>
        <n v="7659657.0"/>
        <n v="7273892.0"/>
        <n v="7913181.0"/>
        <n v="5473555.0"/>
        <n v="2515373.0"/>
        <n v="2.1739121E7"/>
        <n v="1.1946342E7"/>
        <n v="8990781.0"/>
        <n v="2.865244E7"/>
        <n v="1.0807496E7"/>
        <n v="2.0842417E7"/>
        <n v="1.0941604E7"/>
        <n v="8195700.0"/>
        <n v="3852260.0"/>
        <n v="2183895.0"/>
        <n v="1.3568848E7"/>
        <n v="1.1262656E7"/>
        <n v="1.2405231E7"/>
        <n v="3.0425949E7"/>
        <n v="1.1881618E7"/>
        <n v="3.5613271E7"/>
        <n v="1.4071159E7"/>
        <n v="8828114.0"/>
        <n v="4262332.0"/>
        <n v="2435259.0"/>
        <n v="1.3958229E7"/>
        <n v="5253032.0"/>
        <n v="1.7736231E7"/>
        <n v="2.3705826E7"/>
        <n v="1.1711773E7"/>
        <n v="3.9320377E7"/>
        <n v="1.6028417E7"/>
        <n v="9757276.0"/>
        <n v="2424281.0"/>
        <n v="1898670.0"/>
        <n v="6893567.0"/>
        <n v="3706240.0"/>
        <n v="5792606.0"/>
        <n v="1.517681E7"/>
        <n v="8065112.0"/>
        <n v="4.1444122E7"/>
        <n v="1.1067299E7"/>
        <n v="8458093.0"/>
        <n v="1247192.0"/>
        <n v="1281462.0"/>
        <n v="7219608.0"/>
        <n v="3248476.0"/>
        <n v="3815275.0"/>
        <n v="9983651.0"/>
        <n v="6796992.0"/>
        <n v="1.8781097E7"/>
        <n v="7286868.0"/>
        <n v="1.0366599E7"/>
        <n v="1943400.0"/>
        <n v="1632269.0"/>
        <n v="1.0011198E7"/>
        <n v="4118145.0"/>
        <n v="3440848.0"/>
        <n v="9045315.0"/>
        <n v="1.7835507E7"/>
        <n v="1.2691905E7"/>
        <n v="1.1904855E7"/>
        <n v="6681735.0"/>
        <n v="1666745.0"/>
        <n v="2415130.0"/>
        <n v="5399948.0"/>
        <n v="4416367.0"/>
        <n v="3390334.0"/>
        <n v="5943647.0"/>
        <n v="1.1610604E7"/>
        <n v="1.0790997E7"/>
        <n v="1.3573824E7"/>
        <n v="1.000723E7"/>
        <n v="6345674.0"/>
        <n v="3308667.0"/>
        <n v="8522458.0"/>
        <n v="6531957.0"/>
        <n v="6244473.0"/>
        <n v="3.3690253E7"/>
        <n v="1.6592862E7"/>
        <n v="1.5907673E7"/>
        <n v="3.3014151E7"/>
        <n v="2.9010635E7"/>
        <n v="1079104.0"/>
        <n v="1728394.0"/>
        <n v="6848410.0"/>
        <n v="3359491.0"/>
        <n v="4641365.0"/>
        <n v="1.4001242E7"/>
        <n v="8277787.0"/>
        <n v="1.6776881E7"/>
        <n v="6833477.0"/>
        <n v="5989078.0"/>
        <n v="1922183.0"/>
        <n v="3498494.0"/>
        <n v="1.1172373E7"/>
        <n v="4606984.0"/>
        <n v="1.5143931E7"/>
        <n v="2.5393037E7"/>
        <n v="1.00814893E8"/>
        <n v="2.2215004E7"/>
        <n v="1.5007849E7"/>
        <n v="1.6402744E7"/>
        <n v="2316935.0"/>
        <n v="2294587.0"/>
        <n v="6658747.0"/>
        <n v="4672204.0"/>
        <n v="4125652.0"/>
        <n v="1.5297425E7"/>
        <n v="1.7963666E7"/>
        <n v="1.3056178E7"/>
        <n v="1.0838516E7"/>
        <n v="7525851.0"/>
        <n v="2717149.0"/>
        <n v="2254782.0"/>
        <n v="1.552818E7"/>
        <n v="5569101.0"/>
        <n v="1.1364641E7"/>
        <n v="2.4194161E7"/>
        <n v="1.3754087E7"/>
        <n v="1.5769123E7"/>
        <n v="1.023222E7"/>
        <n v="1.4657893E7"/>
        <n v="3118143.0"/>
        <n v="6044564.0"/>
        <n v="9911738.0"/>
        <n v="1.6253653E7"/>
        <n v="1.535297E7"/>
        <n v="1.9189378E7"/>
        <n v="5.0845169E7"/>
        <n v="2.169196E7"/>
        <n v="1.5523628E7"/>
        <n v="1.1117052E7"/>
        <n v="1673237.0"/>
        <n v="2020543.0"/>
        <n v="5840638.0"/>
        <n v="4870935.0"/>
        <n v="3398554.0"/>
        <n v="1.0645295E7"/>
        <n v="1.185889E7"/>
        <n v="8783448.0"/>
        <n v="8415241.0"/>
        <n v="8409527.0"/>
        <n v="1874380.0"/>
        <n v="1836549.0"/>
        <n v="3921773.0"/>
        <n v="5997283.0"/>
        <n v="4624750.0"/>
        <n v="9899904.0"/>
        <n v="8903292.0"/>
        <n v="8470489.0"/>
        <n v="1.234927E7"/>
        <n v="1.0368523E7"/>
        <n v="2946152.0"/>
        <n v="1307248.0"/>
        <n v="3799017.0"/>
        <n v="7752338.0"/>
        <n v="3566248.0"/>
        <n v="7881728.0"/>
        <n v="1.132688E7"/>
        <n v="1.0419419E7"/>
        <n v="1.0826029E7"/>
        <n v="6361002.0"/>
        <n v="3905266.0"/>
        <n v="1234996.0"/>
        <n v="5049883.0"/>
        <n v="3851213.0"/>
        <n v="2130326.0"/>
        <n v="8006482.0"/>
        <n v="1.5786429E7"/>
        <n v="1.3891239E7"/>
        <n v="1.0373094E7"/>
        <n v="1.1283291E7"/>
        <n v="4081958.0"/>
        <n v="1565915.0"/>
        <n v="1.3743465E7"/>
        <n v="3990767.0"/>
        <n v="4318402.0"/>
        <n v="2.2612766E7"/>
        <n v="5899185.0"/>
        <n v="7717259.0"/>
        <n v="1.4193884E7"/>
        <n v="6603501.0"/>
        <n v="3740997.0"/>
        <n v="863077.0"/>
        <n v="8603937.0"/>
        <n v="2810768.0"/>
        <n v="8516084.0"/>
        <n v="2.4354631E7"/>
        <n v="9454556.0"/>
        <n v="9222263.0"/>
        <n v="6220756.0"/>
        <n v="7251074.0"/>
        <n v="2733928.0"/>
        <n v="1069668.0"/>
        <n v="1.2905482E7"/>
        <n v="5231160.0"/>
        <n v="3860453.0"/>
        <n v="1.3876094E7"/>
        <n v="1.2092302E7"/>
        <n v="7537067.0"/>
        <n v="6254288.0"/>
        <n v="7171261.0"/>
        <n v="3094384.0"/>
        <n v="1480019.0"/>
        <n v="8039090.0"/>
        <n v="4497121.0"/>
        <n v="5207942.0"/>
        <n v="1.244015E7"/>
        <n v="9079872.0"/>
        <n v="9590680.0"/>
        <n v="5650646.0"/>
        <n v="8870660.0"/>
        <n v="1367248.0"/>
        <n v="1057492.0"/>
        <n v="6580919.0"/>
        <n v="4668066.0"/>
        <n v="4470700.0"/>
        <n v="1.4545796E7"/>
        <n v="6426072.0"/>
        <n v="8012201.0"/>
        <n v="9307817.0"/>
        <n v="1.0047129E7"/>
        <n v="989521.0"/>
        <n v="1850757.0"/>
        <n v="4803470.0"/>
        <n v="4677164.0"/>
        <n v="2627116.0"/>
        <n v="1.2767735E7"/>
        <n v="1.7234194E7"/>
        <n v="5608382.0"/>
        <n v="7073217.0"/>
        <n v="7234991.0"/>
        <n v="857740.0"/>
        <n v="5134094.0"/>
        <n v="5372218.0"/>
        <n v="5109504.0"/>
        <n v="4575393.0"/>
        <n v="8021902.0"/>
        <n v="1.1516965E7"/>
        <n v="7568906.0"/>
        <n v="5484223.0"/>
        <n v="1.0311846E7"/>
        <n v="767520.0"/>
        <n v="2064201.0"/>
        <n v="6270256.0"/>
        <n v="4586811.0"/>
        <n v="6427673.0"/>
        <n v="4853043.0"/>
        <n v="8450777.0"/>
        <n v="7843083.0"/>
        <n v="6173407.0"/>
        <n v="8132454.0"/>
        <n v="593638.0"/>
        <n v="2548383.0"/>
        <n v="8426412.0"/>
        <n v="5205724.0"/>
        <n v="6690619.0"/>
        <n v="7218210.0"/>
        <n v="6001484.0"/>
        <n v="5656962.0"/>
        <n v="8144630.0"/>
        <n v="1.0409983E7"/>
        <n v="614709.0"/>
        <n v="2304002.0"/>
        <n v="4026086.0"/>
        <n v="3749218.0"/>
        <n v="2643122.0"/>
        <n v="6727858.0"/>
        <n v="7562006.0"/>
        <n v="7006298.0"/>
        <n v="8318287.0"/>
        <n v="1.1854613E7"/>
        <n v="1444579.0"/>
        <n v="1787665.0"/>
        <n v="5631392.0"/>
        <n v="5172481.0"/>
        <n v="3796647.0"/>
        <n v="9017783.0"/>
        <n v="6370338.0"/>
        <n v="1.0293817E7"/>
        <n v="8702106.0"/>
        <n v="1.0296318E7"/>
        <n v="833172.0"/>
        <n v="877276.0"/>
        <n v="5051058.0"/>
        <n v="4396850.0"/>
        <n v="3426999.0"/>
        <n v="5030900.0"/>
        <n v="4463318.0"/>
        <n v="5424455.0"/>
        <n v="5298012.0"/>
        <n v="2.2442744E7"/>
        <n v="650289.0"/>
        <n v="1332756.0"/>
        <n v="4447293.0"/>
        <n v="5043629.0"/>
        <n v="4216517.0"/>
        <n v="1.1381024E7"/>
        <n v="4728372.0"/>
        <n v="5869862.0"/>
        <n v="7775653.0"/>
        <n v="2.039632E7"/>
        <n v="724832.0"/>
        <n v="1733780.0"/>
        <n v="5089227.0"/>
        <n v="3670943.0"/>
        <n v="2793895.0"/>
        <n v="7597121.0"/>
        <n v="5058422.0"/>
        <n v="7357753.0"/>
        <n v="5310964.0"/>
        <n v="8354596.0"/>
        <n v="2179235.0"/>
        <n v="1295384.0"/>
        <n v="3270996.0"/>
        <n v="4022204.0"/>
        <n v="2805754.0"/>
        <n v="5879844.0"/>
        <n v="9098453.0"/>
        <n v="4590999.0"/>
        <n v="6294709.0"/>
        <n v="1.4740507E7"/>
        <n v="1813942.0"/>
        <n v="2521495.0"/>
        <n v="3514659.0"/>
        <n v="4616856.0"/>
        <n v="3196808.0"/>
        <n v="1.1646131E7"/>
        <n v="7790739.0"/>
        <n v="7427827.0"/>
        <n v="8202572.0"/>
        <n v="1.1854722E7"/>
        <n v="831296.0"/>
        <n v="4051716.0"/>
        <n v="5630809.0"/>
        <n v="4521716.0"/>
        <n v="2551271.0"/>
        <n v="6023438.0"/>
        <n v="4605823.0"/>
        <n v="6865890.0"/>
        <n v="7037396.0"/>
        <n v="7748361.0"/>
        <n v="1171033.0"/>
        <n v="3489498.0"/>
        <n v="7809814.0"/>
        <n v="4872086.0"/>
        <n v="4743610.0"/>
        <n v="4240012.0"/>
        <n v="7551356.0"/>
        <n v="6157824.0"/>
        <n v="6586034.0"/>
        <n v="1.0750072E7"/>
        <n v="438934.0"/>
        <n v="1365437.0"/>
        <n v="1.136601E7"/>
        <n v="5107774.0"/>
        <n v="6890461.0"/>
        <n v="9331773.0"/>
        <n v="1.2537358E7"/>
        <n v="8767763.0"/>
        <n v="1.0515572E7"/>
        <n v="7209849.0"/>
        <n v="1026102.0"/>
        <n v="2062250.0"/>
        <n v="6867024.0"/>
        <n v="6461803.0"/>
        <n v="9826520.0"/>
        <n v="1.1960546E7"/>
        <n v="8935384.0"/>
        <n v="1.0254214E7"/>
        <n v="1.4283621E7"/>
        <n v="1.7065827E7"/>
        <n v="945768.0"/>
        <n v="1800185.0"/>
        <n v="4105518.0"/>
        <n v="1.3769152E7"/>
        <n v="3787580.0"/>
        <n v="8981850.0"/>
        <n v="7107542.0"/>
        <n v="1.2629251E7"/>
        <n v="6697683.0"/>
        <n v="1.0321171E7"/>
        <n v="909667.0"/>
        <n v="1280378.0"/>
        <n v="3536322.0"/>
        <n v="1.975693E7"/>
        <n v="3277835.0"/>
        <n v="8163596.0"/>
        <n v="8193399.0"/>
        <n v="1.6174972E7"/>
        <n v="1.0397121E7"/>
        <n v="6312820.0"/>
        <n v="1100031.0"/>
        <n v="1365079.0"/>
        <n v="6730701.0"/>
        <n v="6846687.0"/>
        <n v="7973897.0"/>
        <n v="1.1034758E7"/>
        <n v="9855535.0"/>
        <n v="9562689.0"/>
        <n v="1.5561914E7"/>
        <n v="9315972.0"/>
        <n v="1.5323608E7"/>
        <n v="1204140.0"/>
        <n v="3601019.0"/>
        <n v="5808208.0"/>
        <n v="2150509.0"/>
        <n v="7574568.0"/>
        <n v="1.3872826E7"/>
        <n v="7568954.0"/>
        <n v="1.2985269E7"/>
        <n v="5834312.0"/>
        <n v="2218077.0"/>
        <n v="3658631.0"/>
        <n v="5018154.0"/>
        <n v="3468573.0"/>
        <n v="6318838.0"/>
        <n v="8365458.0"/>
        <n v="8731389.0"/>
        <n v="5560413.0"/>
        <n v="8893659.0"/>
        <n v="9976705.0"/>
        <n v="7822530.0"/>
        <n v="2051171.0"/>
        <n v="1.0028343E7"/>
        <n v="4172600.0"/>
        <n v="1.2286666E7"/>
        <n v="9551412.0"/>
        <n v="1.1247218E7"/>
        <n v="5249568.0"/>
        <n v="6172968.0"/>
        <n v="8793606.0"/>
        <n v="950117.0"/>
        <n v="1612977.0"/>
        <n v="7957794.0"/>
        <n v="5740719.0"/>
        <n v="8713932.0"/>
        <n v="1.1260944E7"/>
        <n v="1.199328E7"/>
        <n v="4699743.0"/>
        <n v="8755499.0"/>
        <n v="9997486.0"/>
        <n v="658384.0"/>
        <n v="1096445.0"/>
        <n v="4392686.0"/>
        <n v="4860757.0"/>
        <n v="4526566.0"/>
        <n v="1.2858483E7"/>
        <n v="7221182.0"/>
        <n v="7036778.0"/>
        <n v="1.3184438E7"/>
        <n v="1.2244664E7"/>
        <n v="536807.0"/>
        <n v="1023795.0"/>
        <n v="2707971.0"/>
        <n v="4216888.0"/>
        <n v="3543374.0"/>
        <n v="4990372.0"/>
        <n v="5417151.0"/>
        <n v="8501906.0"/>
        <n v="9928283.0"/>
        <n v="7457021.0"/>
        <n v="6581262.0"/>
        <n v="1031515.0"/>
        <n v="1.0549386E7"/>
        <n v="4034887.0"/>
        <n v="6536476.0"/>
        <n v="1.1453732E7"/>
        <n v="5689423.0"/>
        <n v="7258450.0"/>
        <n v="8464495.0"/>
        <n v="7126128.0"/>
        <n v="1776385.0"/>
        <n v="1856211.0"/>
        <n v="8091527.0"/>
        <n v="3520271.0"/>
        <n v="6525577.0"/>
        <n v="1.1766741E7"/>
        <n v="6511340.0"/>
        <n v="8501972.0"/>
        <n v="9836105.0"/>
        <n v="1.1785109E7"/>
        <n v="967227.0"/>
        <n v="1886130.0"/>
        <n v="4343312.0"/>
        <n v="5219052.0"/>
        <n v="4227710.0"/>
        <n v="8913748.0"/>
        <n v="1.0316115E7"/>
        <n v="5538059.0"/>
        <n v="7196772.0"/>
        <n v="1.4384719E7"/>
        <n v="381123.0"/>
        <n v="1584174.0"/>
        <n v="3670375.0"/>
        <n v="4904231.0"/>
        <n v="5553949.0"/>
        <n v="5531826.0"/>
        <n v="1.0824544E7"/>
        <n v="7438061.0"/>
        <n v="3106073.0"/>
        <n v="8725641.0"/>
        <n v="558969.0"/>
        <n v="820006.0"/>
        <n v="3790333.0"/>
        <n v="6212604.0"/>
        <n v="2094370.0"/>
        <n v="8746473.0"/>
        <n v="1.1135121E7"/>
        <n v="8111371.0"/>
        <n v="7389271.0"/>
        <n v="1.1021323E7"/>
        <n v="537046.0"/>
        <n v="946994.0"/>
        <n v="3007303.0"/>
        <n v="4699261.0"/>
        <n v="2627075.0"/>
        <n v="5874783.0"/>
        <n v="8534844.0"/>
        <n v="5423818.0"/>
        <n v="6824793.0"/>
        <n v="5818868.0"/>
        <n v="718727.0"/>
        <n v="943859.0"/>
        <n v="2841339.0"/>
        <n v="4349832.0"/>
        <n v="1235196.0"/>
        <n v="8282860.0"/>
        <n v="7142387.0"/>
        <n v="8854258.0"/>
        <n v="7426789.0"/>
        <n v="5979407.0"/>
        <n v="501821.0"/>
        <n v="1462770.0"/>
        <n v="1.081977E7"/>
        <n v="6381642.0"/>
        <n v="4825204.0"/>
        <n v="1.0846493E7"/>
        <n v="1.3113388E7"/>
        <n v="1.4671897E7"/>
        <n v="2.290591E7"/>
        <n v="1.2145259E7"/>
        <n v="891046.0"/>
        <n v="1308868.0"/>
        <n v="8888325.0"/>
        <n v="4372269.0"/>
        <n v="3975225.0"/>
        <n v="8420916.0"/>
        <n v="1.0486948E7"/>
        <n v="1.3870643E7"/>
        <n v="1.2455072E7"/>
        <n v="1.3161813E7"/>
        <n v="1341814.0"/>
        <n v="1477870.0"/>
        <n v="4334416.0"/>
        <n v="4578400.0"/>
        <n v="3112442.0"/>
        <n v="1.0577763E7"/>
        <n v="1.1813425E7"/>
        <n v="9928988.0"/>
        <n v="1.2841075E7"/>
        <n v="1.8758842E7"/>
        <n v="891853.0"/>
        <n v="839458.0"/>
        <n v="3672180.0"/>
        <n v="2829114.0"/>
        <n v="2360108.0"/>
        <n v="6229505.0"/>
        <n v="6897558.0"/>
        <n v="4366396.0"/>
        <n v="1.0820878E7"/>
        <n v="1.1232238E7"/>
        <n v="567133.0"/>
        <n v="967218.0"/>
        <n v="3405312.0"/>
        <n v="7511709.0"/>
        <n v="1630216.0"/>
        <n v="3714758.0"/>
        <n v="9224639.0"/>
        <n v="5921193.0"/>
        <n v="1.6983677E7"/>
        <n v="1.1517006E7"/>
        <n v="565805.0"/>
        <n v="626485.0"/>
        <n v="6616690.0"/>
        <n v="8111851.0"/>
        <n v="2725471.0"/>
        <n v="4902101.0"/>
        <n v="1.0778333E7"/>
        <n v="4364007.0"/>
        <n v="3.0178885E7"/>
        <n v="7847563.0"/>
        <n v="514778.0"/>
        <n v="865803.0"/>
        <n v="5225640.0"/>
        <n v="5515006.0"/>
        <n v="2609930.0"/>
        <n v="4768126.0"/>
        <n v="7934237.0"/>
        <n v="8778730.0"/>
        <n v="5946090.0"/>
        <n v="1.3223177E7"/>
        <n v="880798.0"/>
        <n v="847676.0"/>
        <n v="6159420.0"/>
        <n v="4535470.0"/>
        <n v="2017875.0"/>
        <n v="4533550.0"/>
        <n v="5678244.0"/>
        <n v="7210683.0"/>
        <n v="9695914.0"/>
        <n v="5777575.0"/>
        <n v="769043.0"/>
        <n v="1662382.0"/>
        <n v="2002604.0"/>
        <n v="4607020.0"/>
        <n v="2956578.0"/>
        <n v="5069174.0"/>
        <n v="5239184.0"/>
        <n v="8418326.0"/>
        <n v="5186605.0"/>
        <n v="6986720.0"/>
        <n v="1363001.0"/>
        <n v="868754.0"/>
        <n v="6476251.0"/>
        <n v="4376579.0"/>
        <n v="1921681.0"/>
        <n v="3636766.0"/>
        <n v="9735495.0"/>
        <n v="1.1665314E7"/>
        <n v="7093190.0"/>
        <n v="9754452.0"/>
        <n v="1040743.0"/>
        <n v="1995294.0"/>
        <n v="5214899.0"/>
        <n v="4285507.0"/>
        <n v="1897568.0"/>
        <n v="4302236.0"/>
        <n v="6509477.0"/>
        <n v="1.1775053E7"/>
        <n v="7767863.0"/>
        <n v="7790815.0"/>
        <n v="1366037.0"/>
        <n v="3601127.0"/>
        <n v="7529271.0"/>
        <n v="3442373.0"/>
        <n v="3642055.0"/>
        <n v="1.5031791E7"/>
        <n v="1.0309925E7"/>
        <n v="1.1047708E7"/>
        <n v="7406625.0"/>
        <n v="9766072.0"/>
        <n v="1214068.0"/>
        <n v="1086098.0"/>
        <n v="4705998.0"/>
        <n v="4276055.0"/>
        <n v="1389746.0"/>
        <n v="9001678.0"/>
        <n v="5257048.0"/>
        <n v="6073522.0"/>
        <n v="7618852.0"/>
        <n v="7403368.0"/>
        <n v="1406308.0"/>
        <n v="924070.0"/>
        <n v="4653626.0"/>
        <n v="4618798.0"/>
        <n v="1227975.0"/>
        <n v="8158591.0"/>
        <n v="6566824.0"/>
        <n v="6153784.0"/>
        <n v="5420800.0"/>
        <n v="5396697.0"/>
        <n v="5381837.0"/>
        <n v="1344352.0"/>
        <n v="6389553.0"/>
        <n v="8784885.0"/>
        <n v="7319845.0"/>
        <n v="8686919.0"/>
        <m/>
      </sharedItems>
    </cacheField>
    <cacheField name="Company" numFmtId="0">
      <sharedItems containsBlank="1">
        <s v="ADANIENSOL.NS"/>
        <s v="ADANIGREEN.NS"/>
        <s v="BPCL.NS"/>
        <s v="COALINDIA.NS"/>
        <s v="HINDPETRO.NS"/>
        <s v="IOC.NS"/>
        <s v="NTPC.NS"/>
        <s v="ONGC.NS"/>
        <s v="POWERGRID.NS"/>
        <s v="RELIANCE.NS"/>
        <m/>
      </sharedItems>
    </cacheField>
    <cacheField name="Daily % Change" numFmtId="10">
      <sharedItems containsString="0" containsBlank="1" containsNumber="1">
        <n v="-0.010095911155981827"/>
        <n v="0.04367567567567565"/>
        <n v="-0.012322412293418383"/>
        <n v="0.0015228426395939086"/>
        <n v="-0.0019464720194647478"/>
        <n v="-0.011392405063291243"/>
        <n v="0.021493353211579164"/>
        <n v="-0.007801899592944407"/>
        <n v="0.0029651593773165306"/>
        <n v="-0.004196135494568743"/>
        <n v="0.0040609137055837565"/>
        <n v="0.012222912782266488"/>
        <n v="-0.004559494043241687"/>
        <n v="-0.00963000506842372"/>
        <n v="-0.004384896467722318"/>
        <n v="-0.0047279943964510995"/>
        <n v="0.010804904698312464"/>
        <n v="0.003234593122233533"/>
        <n v="5.940005940005602E-4"/>
        <n v="-0.0011533242876526767"/>
        <n v="-0.008198380566801642"/>
        <n v="0.005567010309278327"/>
        <n v="-0.008554572271386363"/>
        <n v="-0.005512454062882786"/>
        <n v="0.002213749846267316"/>
        <n v="-0.012602579132473656"/>
        <n v="-0.010394265232974965"/>
        <n v="-0.024193548387096926"/>
        <n v="-0.012407680945347086"/>
        <n v="-0.004455782312925139"/>
        <n v="-0.014197965965159624"/>
        <n v="0.011308603812467824"/>
        <n v="-0.03994673768308921"/>
        <n v="-0.022597137014314952"/>
        <n v="-0.024387254901960757"/>
        <n v="-0.022795902658535108"/>
        <n v="-1.179245283019136E-4"/>
        <n v="-0.007480862908837778"/>
        <n v="-0.00386674598453305"/>
        <n v="0.0023393009377664542"/>
        <n v="0.0317045687359147"/>
        <n v="0.020886930385389336"/>
        <n v="0.014550467146576812"/>
        <n v="0.020792182139515544"/>
        <n v="0.0017585730435874605"/>
        <n v="0.009975816203143927"/>
        <n v="-0.009578320289685837"/>
        <n v="-0.002613240418118467"/>
        <n v="0.007984622209078945"/>
        <n v="0.008093622795115376"/>
        <n v="7.315645727662895E-4"/>
        <n v="0.0011089479780181867"/>
        <n v="0.015315315315315384"/>
        <n v="0.01438703140830805"/>
        <n v="0.00988735919899872"/>
        <n v="0.013011041480155047"/>
        <n v="0.0019883040935673047"/>
        <n v="0.024445214979195603"/>
        <n v="-0.002485380116959131"/>
        <n v="0.0015962441314554723"/>
        <n v="0.02053398058252436"/>
        <n v="0.016170985473105748"/>
        <n v="0.0017722640673459337"/>
        <n v="-0.0013861386138613637"/>
        <n v="0.03536857781087119"/>
        <n v="0.004256073771945374"/>
        <n v="-0.00776451500753266"/>
        <n v="0.010631117111036035"/>
        <n v="0.015962850094325933"/>
        <n v="5.911991938193545E-4"/>
        <n v="-0.004575786463298336"/>
        <n v="-0.005892255892255892"/>
        <n v="-0.003519061583577679"/>
        <n v="-0.00236920039486671"/>
        <n v="5.993048064245475E-4"/>
        <n v="0.0012971698113207481"/>
        <n v="0.01868722261153936"/>
        <n v="-0.0025045917515444985"/>
        <n v="0.027977956761339486"/>
        <n v="0.006772693577734318"/>
        <n v="-0.007942583732057373"/>
        <n v="-0.010649038461538505"/>
        <n v="0.015000000000000067"/>
        <n v="0.001086956521739153"/>
        <n v="0.008967001434720229"/>
        <n v="0.006756359790846635"/>
        <n v="-0.0076492750313962"/>
        <n v="-0.006227907759636501"/>
        <n v="0.0038456256008789374"/>
        <n v="0.004897192499916114"/>
        <n v="-0.024997587105491617"/>
        <n v="-0.03793689320388354"/>
        <n v="0.058501440922190236"/>
        <n v="0.01885302536768337"/>
        <n v="0.03290094339622639"/>
        <n v="0.04900932400932399"/>
        <n v="0.002064220183486186"/>
        <n v="0.015374103177314658"/>
        <n v="-0.02194919933738263"/>
        <n v="0.018132088058705847"/>
        <n v="-2.475492623031983E-4"/>
        <n v="-0.04146095717884129"/>
        <n v="0.0076263107721639975"/>
        <n v="-0.0055555555555556"/>
        <n v="0.010435779816513788"/>
        <n v="0.0024483890712814964"/>
        <n v="0.014419775692378145"/>
        <n v="0.002020202020202097"/>
        <n v="-0.003952011291460769"/>
        <n v="-0.028182177175200843"/>
        <n v="0.025790226342521684"/>
        <n v="-0.015974524288063435"/>
        <n v="-0.00472972972972973"/>
        <n v="-0.0068359375"/>
        <n v="0.011136363636363585"/>
        <n v="-0.00522222222222221"/>
        <n v="-0.013228699551569455"/>
        <n v="-0.01700336700336704"/>
        <n v="-8.544574195386253E-4"/>
        <n v="-0.010684496673758257"/>
        <n v="-0.007765188513381454"/>
        <n v="-0.030670241286863294"/>
        <n v="-0.013851590106007002"/>
        <n v="0.005705705705705751"/>
        <n v="-0.03251748251748249"/>
        <n v="-0.010910980256321362"/>
        <n v="0.0077546296296296825"/>
        <n v="-0.009999999999999962"/>
        <n v="0.0033527696793002252"/>
        <n v="-0.020604491222208237"/>
        <n v="-0.05241141732283464"/>
        <n v="-0.005905403167945276"/>
        <n v="-0.006569343065693431"/>
        <n v="-0.004803843074459636"/>
        <n v="-2.457002457003016E-4"/>
        <n v="-0.005014749262536839"/>
        <n v="-0.005659505659505634"/>
        <n v="-0.012099125364431421"/>
        <n v="-0.01239378031668252"/>
        <n v="-0.04282786885245897"/>
        <n v="-0.027038281098187292"/>
        <n v="-0.02046783625730994"/>
        <n v="-0.03543465167637028"/>
        <n v="-0.03327603143418471"/>
        <n v="-0.04713390713742013"/>
        <n v="-0.03518346493265219"/>
        <n v="-0.022128378378378416"/>
        <n v="-0.032500000000000036"/>
        <n v="-0.01634015069967706"/>
        <n v="0.08195488721804506"/>
        <n v="0.03589377498572239"/>
        <n v="0.0196078431372549"/>
        <n v="0.022982529118136464"/>
        <n v="0.005798969072164949"/>
        <n v="0.013514347423634665"/>
        <n v="0.016787439613526543"/>
        <n v="0.018393197987159507"/>
        <n v="-4.5829514207159825E-4"/>
        <n v="0.017749712304621985"/>
        <n v="-0.031994487103760585"/>
        <n v="-0.02328954570333878"/>
        <n v="-0.017826086956521672"/>
        <n v="-0.010264227642276446"/>
        <n v="-0.012874999999999944"/>
        <n v="-0.01817748375946113"/>
        <n v="-0.014135940629049359"/>
        <n v="-0.00944206008583691"/>
        <n v="0.008409785932721712"/>
        <n v="-0.01640751897991461"/>
        <n v="-0.003122010171710582"/>
        <n v="-0.013409430930348559"/>
        <n v="-0.019152046783625764"/>
        <n v="-0.0012277470841006056"/>
        <n v="-0.012578616352201259"/>
        <n v="-0.004722407216806933"/>
        <n v="0.004753981459472308"/>
        <n v="1.7319016279879242E-4"/>
        <n v="0.012568140520896531"/>
        <n v="-0.006507104918009042"/>
        <n v="-0.021144403246818343"/>
        <n v="0.005723905723905749"/>
        <n v="0.006558354449247246"/>
        <n v="0.011179487179487156"/>
        <n v="0.008928571428571428"/>
        <n v="-0.0075430378976822235"/>
        <n v="-0.0034202146479537414"/>
        <n v="0.004291108822519739"/>
        <n v="-0.0131559276423979"/>
        <n v="0.0015328467153284007"/>
        <n v="-0.01167002012072437"/>
        <n v="-0.009843837144450692"/>
        <n v="0.0022058823529411764"/>
        <n v="0.006768360440448576"/>
        <n v="0.02100628930817616"/>
        <n v="0.008041425525434012"/>
        <n v="-2.3551577955728388E-4"/>
        <n v="-0.02118209771096682"/>
        <n v="0.0019693985759732685"/>
        <n v="-0.0050164920801769345"/>
        <n v="0.02015535360714832"/>
        <n v="-0.007878446820483961"/>
        <n v="0.013219058686810028"/>
        <n v="-0.007726269315673335"/>
        <n v="0.021497584541062747"/>
        <n v="-4.166666666666261E-4"/>
        <n v="-1.1719207781543309E-4"/>
        <n v="-0.009427374301675938"/>
        <n v="-0.010796221322537011"/>
        <n v="-0.010673301288893142"/>
        <n v="0.02166707890180568"/>
        <n v="-0.0050852272727272985"/>
        <n v="-0.0035511363636363635"/>
        <n v="0.0015151515151515152"/>
        <n v="0.017915690866510486"/>
        <n v="8.320950965823855E-4"/>
        <n v="-0.0024688455208088673"/>
        <n v="0.008480565371024654"/>
        <n v="-0.013566475731082304"/>
        <n v="0.010507462686567109"/>
        <n v="-0.005257777128669468"/>
        <n v="-0.0094283020485129"/>
        <n v="-0.018473435486180693"/>
        <n v="-0.011800302571860863"/>
        <n v="0.0032411158698924278"/>
        <n v="-0.022142857142857138"/>
        <n v="-0.013926590345804266"/>
        <n v="-0.01192982456140343"/>
        <n v="0.008066971080669642"/>
        <n v="-0.006787727905103597"/>
        <n v="0.02732509477622963"/>
        <n v="6.051873198847E-4"/>
        <n v="-5.836008170411107E-4"/>
        <n v="0.008606557377049157"/>
        <n v="0.0027881040892194365"/>
        <n v="0.012553582363747599"/>
        <n v="0.017356954752214507"/>
        <n v="0.004609929078014225"/>
        <n v="0.0016591251885369875"/>
        <n v="0.005265571151769653"/>
        <n v="-0.024681299722035848"/>
        <n v="-0.01734635267087883"/>
        <n v="-0.03182017223762964"/>
        <n v="-0.01341463414634151"/>
        <n v="-0.04122401847575063"/>
        <n v="-0.030163537250151362"/>
        <n v="-0.002464499471892997"/>
        <n v="-0.01618353192246116"/>
        <n v="-0.005555555555555623"/>
        <n v="0.001514120822452829"/>
        <n v="-0.0075184275184274965"/>
        <n v="-0.027453810623556556"/>
        <n v="-0.027409638554216936"/>
        <n v="-0.034329896907216446"/>
        <n v="-0.028978507606858245"/>
        <n v="-0.029312499999999984"/>
        <n v="-0.01679082416932724"/>
        <n v="-0.025899280575539526"/>
        <n v="-0.030489636527485667"/>
        <n v="-0.01887963774466852"/>
        <n v="-0.02710738886961695"/>
        <n v="0.010478197631274222"/>
        <n v="0.0032608695652174267"/>
        <n v="0.012277143162165046"/>
        <n v="-0.010569510072121362"/>
        <n v="-0.01265332472562949"/>
        <n v="-0.013768115942028957"/>
        <n v="0.0031481481481482323"/>
        <n v="-0.007205513784461189"/>
        <n v="7.700934579439048E-4"/>
        <n v="-0.005652306752215047"/>
        <n v="8.279124778238267E-4"/>
        <n v="-0.0047987616099071555"/>
        <n v="0.006644167897068081"/>
        <n v="0.022095959595959596"/>
        <n v="0.0021577089054532006"/>
        <n v="0.006475259621258344"/>
        <n v="-0.010297903641044335"/>
        <n v="0.012371134020618485"/>
        <n v="0.0033850578155892263"/>
        <n v="-0.05707692307692305"/>
        <n v="-0.03294117647058824"/>
        <n v="-0.053022105425877195"/>
        <n v="-0.035557414766785186"/>
        <n v="-0.08275862068965523"/>
        <n v="-0.04684039087947881"/>
        <n v="-0.008944099378882044"/>
        <n v="-0.022037037037036994"/>
        <n v="-0.017729393468118162"/>
        <n v="-0.011648678823967317"/>
        <n v="0.01627114979188059"/>
        <n v="-0.01876520681265201"/>
        <n v="0.010087862024080591"/>
        <n v="-0.022898230088495626"/>
        <n v="0.008684210526315819"/>
        <n v="-0.010632570659488453"/>
        <n v="0.012534469791927802"/>
        <n v="0.010358718588145197"/>
        <n v="0.012082670906200355"/>
        <n v="-0.001982049364248385"/>
        <n v="-0.020421052631578923"/>
        <n v="0.014860681114551083"/>
        <n v="-0.0017628205128205493"/>
        <n v="0.0030391715443494434"/>
        <n v="0.00922197688011433"/>
        <n v="0.022055173391958116"/>
        <n v="0.007701711491442487"/>
        <n v="0.0062654262388455555"/>
        <n v="0.014077823473584272"/>
        <n v="0.008960168661998412"/>
        <n v="0.017096774193548363"/>
        <n v="0.011888544891640896"/>
        <n v="0.007443365695792917"/>
        <n v="0.002566964285714235"/>
        <n v="-0.027927927927927986"/>
        <n v="-0.0013927576601670518"/>
        <n v="-0.01364240009658331"/>
        <n v="-0.012641509433962349"/>
        <n v="-3.139224611521668E-4"/>
        <n v="0.006666666666666735"/>
        <n v="0.03520678685047725"/>
        <n v="-0.02667316241398207"/>
        <n v="8.051529790660225E-4"/>
        <n v="1.1061946902657382E-4"/>
        <n v="0.010344827586206836"/>
        <n v="-0.005439330543933062"/>
        <n v="-0.002078239608802012"/>
        <n v="0.01044039483675019"/>
        <n v="0.0012484394506867482"/>
        <n v="-0.005932835820895556"/>
        <n v="-0.014454262219725308"/>
        <n v="-0.008030769230769202"/>
        <n v="-0.030511182108626234"/>
        <n v="-0.03209606986899561"/>
        <n v="-0.03534031413612566"/>
        <n v="-0.039078710748374636"/>
        <n v="-0.031170714026821394"/>
        <n v="-0.031751824817518204"/>
        <n v="-0.028038822985672538"/>
        <n v="-0.026684605897522008"/>
        <n v="0.04757972959025702"/>
        <n v="0.02765625"/>
        <n v="0.023089700996677703"/>
        <n v="0.01351666278256806"/>
        <n v="0.026986301369863075"/>
        <n v="0.02036379447786073"/>
        <n v="0.007750000000000057"/>
        <n v="0.008295625942684723"/>
        <n v="0.013606531134944772"/>
        <n v="0.009512761020881635"/>
        <n v="0.06039408866995069"/>
        <n v="0.04185835351089594"/>
        <n v="0.016677357280307854"/>
        <n v="-0.0045682960255824575"/>
        <n v="0.030933263130182964"/>
        <n v="0.021184944566061716"/>
        <n v="0.005409392672731716"/>
        <n v="0.005042958535674347"/>
        <n v="0.003465658475110343"/>
        <n v="0.011717557251908328"/>
        <n v="-0.041890280262373375"/>
        <n v="-0.04817915809601059"/>
        <n v="-0.0042674253200569705"/>
        <n v="-0.005596162631338485"/>
        <n v="0.014455673532045483"/>
        <n v="-0.0035255080879302565"/>
        <n v="-0.017279143343879207"/>
        <n v="-0.01959334565619228"/>
        <n v="-0.018965517241379345"/>
        <n v="-0.01385951661631413"/>
        <n v="-0.029792746113989636"/>
        <n v="-0.0253041065821164"/>
        <n v="-0.01444444444444448"/>
        <n v="-0.02595612725393364"/>
        <n v="-0.032335480611342705"/>
        <n v="-0.024129059175300737"/>
        <n v="-0.013642564802182811"/>
        <n v="-0.012784357962022852"/>
        <n v="0.014109347442680702"/>
        <n v="-0.010711671097753702"/>
        <n v="-0.03663551401869154"/>
        <n v="-0.020564744355700788"/>
        <n v="0.014772727272727309"/>
        <n v="-0.0034278959810874437"/>
        <n v="-0.005352480417754599"/>
        <n v="0.0045389048991354135"/>
        <n v="-0.014065050860228473"/>
        <n v="-0.020773775490756794"/>
        <n v="0.05182586509328656"/>
        <n v="-0.004886821220532468"/>
        <n v="0.022631695440460304"/>
        <n v="-0.01667741935483865"/>
        <n v="-0.013689907672715732"/>
        <n v="-0.019999999999999973"/>
        <n v="-0.02225982816974749"/>
        <n v="-0.005802292263610332"/>
        <n v="-0.032684725931578194"/>
        <n v="-0.01801801801801819"/>
        <n v="-0.026546003016591286"/>
        <n v="-0.0010191682019520636"/>
        <n v="-0.03277173913043476"/>
        <n v="-0.0229873586161011"/>
        <n v="-0.006819288845591707"/>
        <n v="-0.017149758454106333"/>
        <n v="-0.00960000000000006"/>
        <n v="-0.016276041666666664"/>
        <n v="-0.0069010416666666075"/>
        <n v="-0.01405426507905511"/>
        <n v="-0.014411901441190075"/>
        <n v="-0.014327888210982126"/>
        <n v="-0.022555555555555506"/>
        <n v="0.006959459459459429"/>
        <n v="-0.02485284499672996"/>
        <n v="0.0062622789783890265"/>
        <n v="-2.684563758389872E-4"/>
        <n v="-0.005461254612546192"/>
        <n v="-0.019865807130640734"/>
        <n v="-0.006929320926549198"/>
        <n v="-0.00952078705172961"/>
        <n v="0.01116783663050415"/>
        <n v="-0.024155405405405457"/>
        <n v="-0.03669542794803134"/>
        <n v="-0.030018447090390706"/>
        <n v="-0.0014494504167169124"/>
        <n v="-0.013694951664876387"/>
        <n v="-0.007326278398579213"/>
        <n v="-0.03500000000000003"/>
        <n v="-0.0017921146953404565"/>
        <n v="-0.006210191082802512"/>
        <n v="-0.005403912906279512"/>
        <n v="0.005770007501009752"/>
        <n v="-0.024412140464762894"/>
        <n v="-0.01759781308730558"/>
        <n v="-0.008895299915855245"/>
        <n v="-0.010519125683060172"/>
        <n v="-0.012902269019724225"/>
        <n v="-0.0035326086956522047"/>
        <n v="-0.008"/>
        <n v="0.006388755789809934"/>
        <n v="-0.015149712472734412"/>
        <n v="0.0"/>
        <n v="-0.012327586206896512"/>
        <n v="-0.017568272743085794"/>
        <n v="-0.017068151555501784"/>
        <n v="-0.00566063785724135"/>
        <n v="-0.01810396634615382"/>
        <n v="-0.02075886719824034"/>
        <n v="-0.023588709677419332"/>
        <n v="0.031329113924050564"/>
        <n v="-0.015020335843434212"/>
        <n v="-0.01397857631239069"/>
        <n v="-0.030599078341013868"/>
        <n v="0.011500353857041755"/>
        <n v="0.016323024054982902"/>
        <n v="-0.0035911602209945065"/>
        <n v="0.008517758004411015"/>
        <n v="0.02352611679036543"/>
        <n v="0.0032679738562090806"/>
        <n v="0.03422344996930625"/>
        <n v="0.029282576866764273"/>
        <n v="-0.0778761061946902"/>
        <n v="-0.10312905017589344"/>
        <n v="0.015408320493066256"/>
        <n v="-0.008432304038004778"/>
        <n v="0.02141211546279993"/>
        <n v="0.004640200338808245"/>
        <n v="-0.014973262032085622"/>
        <n v="0.037826961770623654"/>
        <n v="0.0026327336551118245"/>
        <n v="-0.002325581395348837"/>
        <n v="-0.058016464131713054"/>
        <n v="-0.07251238645747317"/>
        <n v="-0.013760698103708563"/>
        <n v="-0.01660891384872742"/>
        <n v="-0.006542789845590159"/>
        <n v="-0.0024763292061180144"/>
        <n v="-0.02256756756756763"/>
        <n v="-0.010507880910682969"/>
        <n v="-0.009356725146198798"/>
        <n v="5.791729410401945E-4"/>
        <n v="0.09931791715188809"/>
        <n v="0.11056179775280896"/>
        <n v="-0.0117864960431049"/>
        <n v="-0.00678571428571434"/>
        <n v="-0.014900233221041722"/>
        <n v="0.006225568264080018"/>
        <n v="0.015118196811434854"/>
        <n v="-0.0027450980392156417"/>
        <n v="0.005930318754633061"/>
        <n v="-2.3192887514492038E-4"/>
        <n v="0.05355848673720836"/>
        <n v="0.06588235294117652"/>
        <n v="-0.011886568177958906"/>
        <n v="-0.011428571428571456"/>
        <n v="-0.004975124378109394"/>
        <n v="-0.010416666666666586"/>
        <n v="-0.020692453340546327"/>
        <n v="-0.01098039215686279"/>
        <n v="-0.01650700073691974"/>
        <n v="-0.014845536648707384"/>
        <n v="0.12366310160427807"/>
        <n v="0.15221932114882514"/>
        <n v="-0.001025991792065508"/>
        <n v="0.0026486876956416227"/>
        <n v="0.004325599685411022"/>
        <n v="0.011897810218978068"/>
        <n v="0.001101169993117625"/>
        <n v="0.011426319936958146"/>
        <n v="-0.005885015844273564"/>
        <n v="0.009531250000000036"/>
        <n v="-0.0448573795715469"/>
        <n v="-0.02396089816618273"/>
        <n v="0.00512557662737058"/>
        <n v="0.007887189292543048"/>
        <n v="-0.005612111720177588"/>
        <n v="-0.004123860512226836"/>
        <n v="-0.01498693798982535"/>
        <n v="0.008023483365949165"/>
        <n v="-9.14216059728644E-4"/>
        <n v="0.01642080745341622"/>
        <n v="-0.006443219131404413"/>
        <n v="-0.02321428571428575"/>
        <n v="-0.010924369747899159"/>
        <n v="-0.006823529411764653"/>
        <n v="-0.0011688311688311393"/>
        <n v="0.01094202898550718"/>
        <n v="0.02353760445682448"/>
        <n v="0.007488479262672986"/>
        <n v="0.016653816499614425"/>
        <n v="0.004783599088838234"/>
        <n v="-0.008048289738430473"/>
        <n v="-0.04481060606060613"/>
        <n v="-0.001869476546567"/>
        <n v="-0.012911632314617496"/>
        <n v="0.009505208333333274"/>
        <n v="0.002508780732564137"/>
        <n v="0.01029949857704299"/>
        <n v="-0.011938601478112692"/>
        <n v="-0.01215620726333384"/>
        <n v="-0.012858220211161354"/>
        <n v="-0.007598600892534156"/>
        <n v="-0.03181102362204732"/>
        <n v="0.0064384954252794885"/>
        <n v="5.978715771852207E-4"/>
        <n v="0.003329065300896316"/>
        <n v="-0.006766863736733305"/>
        <n v="-0.00965794768611676"/>
        <n v="0.0023014959723821355"/>
        <n v="0.010307692307692377"/>
        <n v="0.005858409099554948"/>
        <n v="-0.02136803874092007"/>
        <n v="-0.020549330528700185"/>
        <n v="0.008224236320913212"/>
        <n v="0.013583851720197958"/>
        <n v="0.009313899751155366"/>
        <n v="1.353363107322002E-4"/>
        <n v="-0.002875766871165644"/>
        <n v="0.005502904310608237"/>
        <n v="-0.009328499131354435"/>
        <n v="-0.0060617306859652095"/>
        <n v="0.0052038161318299705"/>
        <n v="0.00830702774547267"/>
        <n v="-0.009569377990430622"/>
        <n v="0.0016288685628366802"/>
        <n v="0.0026063679909834074"/>
        <n v="-0.0028309517390130885"/>
        <n v="-0.004422226494904957"/>
        <n v="0.004118993135011511"/>
        <n v="-0.00602455871066762"/>
        <n v="-0.025948227698802024"/>
        <n v="-0.03943018082370705"/>
        <n v="0.003969566655640055"/>
        <n v="-0.0034897713598074334"/>
        <n v="0.012249999999999943"/>
        <n v="0.010133708655876128"/>
        <n v="4.0650406504058877E-4"/>
        <n v="-0.002910925674364448"/>
        <n v="-0.011902968208528085"/>
        <n v="-0.0034128369206903944"/>
        <n v="0.008858581352367658"/>
        <n v="-0.01959863364645606"/>
        <n v="0.013181743285549514"/>
        <n v="0.002283653846153819"/>
        <n v="0.012842677204248075"/>
        <n v="-0.0020907380305248543"/>
        <n v="-0.010155721056194989"/>
        <n v="-0.0034951456310678727"/>
        <n v="9.167303284950691E-4"/>
        <n v="-0.0052918287937742834"/>
        <n v="0.03826142131979693"/>
        <n v="0.0647812213139836"/>
        <n v="-0.0159583129783424"/>
        <n v="-0.01776710684273704"/>
        <n v="0.004146341463414607"/>
        <n v="-0.005413005272407805"/>
        <n v="-0.028415300546448027"/>
        <n v="-0.015310077519379801"/>
        <n v="0.003658536585365819"/>
        <n v="-0.00559055118110229"/>
        <n v="0.016485529368665285"/>
        <n v="-0.01770491803278681"/>
        <n v="-9.933774834437463E-4"/>
        <n v="0.0029332681495966477"/>
        <n v="0.008136992956036005"/>
        <n v="-0.00345447008428907"/>
        <n v="0.003935347856640836"/>
        <n v="0.004940711462450593"/>
        <n v="0.009677907152578394"/>
        <n v="0.010198412698412627"/>
        <n v="-0.02180722891566268"/>
        <n v="-0.027394978974978217"/>
        <n v="-0.009968433294567204"/>
        <n v="-1.2180267965898019E-4"/>
        <n v="-0.018799710773680298"/>
        <n v="-0.008037694013303747"/>
        <n v="-0.011899762004759906"/>
        <n v="-0.0086614173228346"/>
        <n v="0.0034446607757974454"/>
        <n v="-0.005254901960784349"/>
        <n v="0.002279728897104156"/>
        <n v="-0.02110625909752555"/>
        <n v="-0.022844755711189"/>
        <n v="-0.01839444512120846"/>
        <n v="-0.002205882352941121"/>
        <n v="-0.01874125874125879"/>
        <n v="-0.008380681818181785"/>
        <n v="-0.017279046673286967"/>
        <n v="-0.008120300751879665"/>
        <n v="-0.012489592006661117"/>
        <n v="-0.02702537075622007"/>
        <n v="-0.03453997642024362"/>
        <n v="-0.011825192802056517"/>
        <n v="-0.01908302354399006"/>
        <n v="-0.01958128078817731"/>
        <n v="-0.017535034135824634"/>
        <n v="-0.022314404234015196"/>
        <n v="-0.013136620856911883"/>
        <n v="-0.01966463414634143"/>
        <n v="0.010155966630395283"/>
        <n v="0.027096774193548386"/>
        <n v="-0.0058796296296295455"/>
        <n v="0.04431838326537848"/>
        <n v="0.002557871850620284"/>
        <n v="0.03928571428571423"/>
        <n v="0.04194029850746272"/>
        <n v="0.001186943620177974"/>
        <n v="0.007708333333333309"/>
        <n v="0.011477987421383576"/>
        <n v="-0.006900726392251779"/>
        <n v="-0.03936170212765963"/>
        <n v="-0.03772443948274275"/>
        <n v="-0.015329586101175267"/>
        <n v="-0.027989821882951654"/>
        <n v="-0.023227383863080684"/>
        <n v="-0.018613974799541768"/>
        <n v="-0.01346950858496155"/>
        <n v="-0.01821946169772259"/>
        <n v="-0.017117958294428883"/>
        <n v="-0.015277777777777815"/>
        <n v="-0.010302681256799217"/>
        <n v="-0.014337429741830955"/>
        <n v="-0.009931506849314991"/>
        <n v="-0.007901554404145108"/>
        <n v="0.00887389076365457"/>
        <n v="-0.0021726535341831644"/>
        <n v="-0.006698422149449241"/>
        <n v="0.01091290661070302"/>
        <n v="-0.008490566037735812"/>
        <n v="0.00600823045267486"/>
        <n v="-0.0047741935483871555"/>
        <n v="-0.004393588258014634"/>
        <n v="0.0070701845145715175"/>
        <n v="-9.094452384046322E-4"/>
        <n v="0.021905940594059464"/>
        <n v="0.0026103980857081696"/>
        <n v="5.968367651446989E-4"/>
        <n v="-0.00850622406639009"/>
        <n v="-0.012734797835084367"/>
        <n v="3.6815838992067864E-4"/>
        <n v="0.024835079549864095"/>
        <n v="0.033001698616840575"/>
        <n v="0.0025436662709852464"/>
        <n v="5.175983436854179E-4"/>
        <n v="0.01562310766622257"/>
        <n v="-0.0032537960954448085"/>
        <n v="-0.001938562481360078"/>
        <n v="0.0010416666666666667"/>
        <n v="6.449532408899988E-4"/>
        <n v="-0.006289565039820335"/>
        <n v="0.008761499468051817"/>
        <n v="-0.010328638497652582"/>
        <n v="-0.005083884087442806"/>
        <n v="-0.01806451612903226"/>
        <n v="-0.023073263558515675"/>
        <n v="-0.01303875407461073"/>
        <n v="-0.004901232734293709"/>
        <n v="-0.012916666666666642"/>
        <n v="-0.004344328238133621"/>
        <n v="0.0022572437002380367"/>
        <n v="0.021891039515181555"/>
        <n v="0.014764150943396313"/>
        <n v="-8.516436722875148E-4"/>
        <n v="-0.0068331143232589295"/>
        <n v="-0.00782396088019557"/>
        <n v="-0.012036697247706321"/>
        <n v="-0.010746268656716487"/>
        <n v="-0.01440372802372381"/>
        <n v="-0.0046925566343041705"/>
        <n v="-0.004685958566261136"/>
        <n v="-0.014907135874877728"/>
        <n v="-0.02824594985760306"/>
        <n v="0.00343112026076514"/>
        <n v="0.01653876686954221"/>
        <n v="0.0072695909314933185"/>
        <n v="0.014049955396966891"/>
        <n v="0.009845501363223265"/>
        <n v="0.02836879432624111"/>
        <n v="0.00439238653001453"/>
        <n v="0.0061672185430463955"/>
        <n v="-0.0041419386745795116"/>
        <n v="0.00547708273277606"/>
        <n v="0.010263427984946972"/>
        <n v="0.007430582714118018"/>
        <n v="0.005731707317073226"/>
        <n v="0.00913107511045641"/>
        <n v="0.0019519519519518836"/>
        <n v="-0.0036163323661747345"/>
        <n v="0.0055069646906381236"/>
        <n v="0.005268140099600849"/>
        <n v="0.0012995049504949932"/>
        <n v="-0.0014312977099236641"/>
        <n v="0.005418218760582343"/>
        <n v="0.011714727085478919"/>
        <n v="0.0010915706488780804"/>
        <n v="0.011362803313540146"/>
        <n v="0.013037614266446944"/>
        <n v="0.0380510440835266"/>
        <n v="0.017105050831047134"/>
        <n v="0.016827021494370483"/>
        <n v="0.012826046741074152"/>
        <n v="-0.010860763111513447"/>
        <n v="0.0013513513513512744"/>
        <n v="0.0016539440203561762"/>
        <n v="-0.001088270858524761"/>
        <n v="0.0030496659889630226"/>
        <n v="0.0053246561159592115"/>
        <n v="0.042020527269068214"/>
        <n v="-9.483167377904579E-4"/>
        <n v="0.005828442800868237"/>
        <n v="-0.0569903686890374"/>
        <n v="-0.0542829643888354"/>
        <n v="-0.038967611336032236"/>
        <n v="-0.038827559954320544"/>
        <n v="-0.058346447161360664"/>
        <n v="-0.03807731287100037"/>
        <n v="-0.04155692127597305"/>
        <n v="-0.018331982555671335"/>
        <n v="-0.031032298923369256"/>
        <n v="-0.02866940468120742"/>
        <n v="0.005855855855855797"/>
        <n v="0.018795278382896758"/>
        <n v="-0.01497735980494605"/>
        <n v="-0.001970831690973591"/>
        <n v="-0.014544526664965524"/>
        <n v="0.006292606187729443"/>
        <n v="0.004892966360856339"/>
        <n v="0.016747057688597463"/>
        <n v="-0.0031045751633986558"/>
        <n v="0.015425531914893542"/>
        <n v="-0.015026536223543704"/>
        <n v="-0.020841584158415798"/>
        <n v="0.014144271570014143"/>
        <n v="7.893698197605877E-4"/>
        <n v="0.012548512289780137"/>
        <n v="0.0033544539694371125"/>
        <n v="-0.015431164901664214"/>
        <n v="0.01831488084068304"/>
        <n v="0.001633186346562143"/>
        <n v="0.01321056845476381"/>
        <n v="-0.03113517694836586"/>
        <n v="-0.011925214754926685"/>
        <n v="-0.024390243902439025"/>
        <n v="-0.024505307299174477"/>
        <n v="-0.020865139949109386"/>
        <n v="-0.018122400475341638"/>
        <n v="-0.011417991050763736"/>
        <n v="-0.03253317648788724"/>
        <n v="-0.004565465514430058"/>
        <n v="-0.009668508287292817"/>
        <n v="-0.029607451763140388"/>
        <n v="-0.02783361682387506"/>
        <n v="-0.010160427807486713"/>
        <n v="-0.00780829294561114"/>
        <n v="0.0023222809960004574"/>
        <n v="-0.01452344931921322"/>
        <n v="-0.03777118776338387"/>
        <n v="-0.003712121212121281"/>
        <n v="-0.014306857424765737"/>
        <n v="-0.009530645611516385"/>
        <n v="-0.04207232267037552"/>
        <n v="-0.05123693751332902"/>
        <n v="-0.0219354838709677"/>
        <n v="-0.008740781207320528"/>
        <n v="-0.03226663125746922"/>
        <n v="-0.04717644302116696"/>
        <n v="-0.009631351710395331"/>
        <n v="-0.038717437882945474"/>
        <n v="-0.025084745762711788"/>
        <n v="0.00800813008130074"/>
        <n v="0.09723308912440416"/>
        <n v="0.12115138355325436"/>
        <n v="0.011606140022463369"/>
        <n v="0.011643835616438357"/>
        <n v="0.022602739726027398"/>
        <n v="0.029512195121951183"/>
        <n v="0.03311699117989678"/>
        <n v="0.011067101584343052"/>
        <n v="0.008688097306689836"/>
        <n v="-0.004300297403745607"/>
        <n v="-0.004466279589102278"/>
        <n v="-0.004759615384615428"/>
        <n v="-0.025191675794085353"/>
        <n v="0.007260016133369308"/>
        <n v="-0.03774834437086093"/>
        <n v="-0.010213628566973243"/>
        <n v="0.02815549512078071"/>
        <n v="-0.010425450364124074"/>
        <n v="0.012372881355932126"/>
        <n v="0.005823527049279087"/>
        <n v="-0.031114371294088936"/>
        <n v="-0.03324149767399842"/>
        <n v="-0.001683186833738715"/>
        <n v="0.0010569427929714207"/>
        <n v="-0.015934065934065964"/>
        <n v="-0.00664322000781562"/>
        <n v="0.0024638127502310176"/>
        <n v="0.012230769230769257"/>
        <n v="-0.004515050167224156"/>
        <n v="0.005997299229486022"/>
        <n v="0.01149497487437183"/>
        <n v="-6.488089721012563E-4"/>
        <n v="0.017857142857142898"/>
        <n v="0.02013157894736836"/>
        <n v="0.001534812334309905"/>
        <n v="0.008425196850393647"/>
        <n v="0.002612972640639305"/>
        <n v="0.017442748091603028"/>
        <n v="0.01663027045187316"/>
        <n v="-0.015050103989412056"/>
        <n v="9.202453987730061E-4"/>
        <n v="-0.014094269870609981"/>
        <n v="0.008363636363636405"/>
        <n v="-0.006545174537987708"/>
        <n v="9.722222222222854E-4"/>
        <n v="0.012805587892898764"/>
        <n v="0.030196198651134345"/>
        <n v="0.004699738903394222"/>
        <n v="0.012062128222075271"/>
        <n v="-0.00801671732522793"/>
        <n v="-0.006898656898656871"/>
        <n v="-0.01655224301702239"/>
        <n v="0.005923532579429105"/>
        <n v="-0.016623711340206158"/>
        <n v="0.019146005509641843"/>
        <n v="-0.004707668944570814"/>
        <n v="-0.03996447602131439"/>
        <n v="-0.008393956351426972"/>
        <n v="-0.015146579804560186"/>
        <n v="-0.02808088515833648"/>
        <n v="-0.026909090909090966"/>
        <n v="-0.007980769230769187"/>
        <n v="-0.015602836879432544"/>
        <n v="-0.006028833551769361"/>
        <n v="-0.009898341359015485"/>
        <n v="-0.012708018154311487"/>
        <n v="-0.014067278287461843"/>
        <n v="-0.0073308270676691305"/>
        <n v="-0.014735099337748307"/>
        <n v="-9.387467730580032E-4"/>
        <n v="0.017230537039366032"/>
        <n v="0.004142300194931774"/>
        <n v="-0.04151943462897526"/>
        <n v="0.021986754966887446"/>
        <n v="-0.029222520107238546"/>
        <n v="-0.004371165644171727"/>
        <n v="0.008255451713395567"/>
        <n v="1.9011406844110786E-4"/>
        <n v="-0.01058823529411757"/>
        <n v="-0.004999999999999928"/>
        <n v="-0.028931203931203877"/>
        <n v="-0.024246806459387784"/>
        <n v="-0.03722627737226273"/>
        <n v="-0.007771014117342313"/>
        <n v="-0.05705505077498655"/>
        <n v="-0.020841285594320316"/>
        <n v="-0.003540640394088775"/>
        <n v="-0.024639720141450314"/>
        <n v="0.0018625126989502585"/>
        <n v="-0.015560821484992137"/>
        <n v="-0.030285530959255725"/>
        <n v="0.00386895789367905"/>
        <n v="-0.00910125142207045"/>
        <n v="-0.013520609083748957"/>
        <n v="-0.012699771689497685"/>
        <n v="-0.029694459638977863"/>
        <n v="-0.004480148308357759"/>
        <n v="-0.01654901960784313"/>
        <n v="-0.02711864406779661"/>
        <n v="-0.00786861431684287"/>
        <n v="-0.007171314741035826"/>
        <n v="-0.011711711711711757"/>
        <n v="-0.016015252621544285"/>
        <n v="-0.01422872340425538"/>
        <n v="-0.0014285714285714286"/>
        <n v="-0.012805025368446512"/>
        <n v="-0.01317829457364341"/>
        <n v="-0.005279999999999973"/>
        <n v="-0.011144001393000135"/>
        <n v="-0.002907915993537891"/>
        <n v="-0.00832279113123377"/>
        <n v="-0.00136501516683521"/>
        <n v="1.9459038723491486E-4"/>
        <n v="0.018657718120805338"/>
        <n v="-0.015961236995867243"/>
        <n v="0.003652893903725975"/>
        <n v="0.00390625"/>
        <n v="0.010044194455604661"/>
        <n v="0.008761170492377781"/>
        <n v="-4.045307443365696E-4"/>
        <n v="-0.015559545182525494"/>
        <n v="-0.014350912778904643"/>
        <n v="-0.010580992689495961"/>
        <n v="0.00877652606759241"/>
        <n v="0.0075942112050438005"/>
        <n v="0.021864951768488735"/>
        <n v="0.0023273855702094647"/>
        <n v="0.01873015873015884"/>
        <n v="0.02605523710265763"/>
        <n v="0.0141637327505969"/>
        <n v="-7.344104686873475E-4"/>
        <n v="0.024283807372420144"/>
        <n v="0.012407910042652369"/>
        <n v="0.04321475625823446"/>
        <n v="0.020655270655270654"/>
        <n v="0.010777218376337355"/>
        <n v="0.004806946813459487"/>
        <n v="0.021789035446091683"/>
        <n v="0.01565656565656558"/>
        <n v="0.00736552932276944"/>
        <n v="-0.016013513513513544"/>
        <n v="-0.024927128354608457"/>
        <n v="-0.005578800557879965"/>
        <n v="-0.026041666666666668"/>
        <n v="-0.015454545454545523"/>
        <n v="-0.025380710659898522"/>
        <n v="0.00370848113511763"/>
        <n v="-0.025821596244131433"/>
        <n v="-0.021379310344827547"/>
        <n v="-0.004076738609112637"/>
        <n v="0.022996326030752454"/>
        <n v="0.01022400328812159"/>
        <n v="0.02114502294035501"/>
        <n v="-0.0025165562913906986"/>
        <n v="0.015829528158295247"/>
        <n v="0.014343928280358523"/>
        <n v="0.01349849134508496"/>
        <n v="0.00673534072900154"/>
        <n v="0.016548042704626252"/>
        <n v="0.029766435639597848"/>
        <n v="0.03125"/>
        <n v="0.03115343700927005"/>
        <n v="0.0038424591738712775"/>
        <n v="0.01283068783068789"/>
        <n v="0.0023384975153462567"/>
        <n v="0.007490636704119946"/>
        <n v="-0.004361370716510832"/>
        <n v="0.010231660231660144"/>
        <n v="-0.0014005602240897551"/>
        <n v="-0.003469379799633606"/>
        <n v="-0.009924446151876041"/>
        <n v="-0.02758553465250031"/>
        <n v="-0.0017110266159695384"/>
        <n v="-0.008359456635318674"/>
        <n v="-0.015777395295467584"/>
        <n v="-0.0158531823506444"/>
        <n v="-0.03037817730936147"/>
        <n v="-0.024747763182943083"/>
        <n v="-0.02208695652173921"/>
        <n v="0.006163146737850286"/>
        <n v="-7.106402222366667E-4"/>
        <n v="-0.010401040104010379"/>
        <n v="0.008393742846241848"/>
        <n v="-0.0032938076416337285"/>
        <n v="-0.007246376811594203"/>
        <n v="-0.0072998492422439235"/>
        <n v="0.011004784688995179"/>
        <n v="-0.016011069381300584"/>
        <n v="0.018491395093372224"/>
        <n v="-0.0074050856090585315"/>
        <n v="-0.045308276483459815"/>
        <n v="-0.042118473895582376"/>
        <n v="-0.017577017577017705"/>
        <n v="-0.017241379310344827"/>
        <n v="-0.013702623906705506"/>
        <n v="-0.014559999999999946"/>
        <n v="-0.018957345971563982"/>
        <n v="-0.026109660574412535"/>
        <n v="-0.022909090909090952"/>
        <n v="-0.008580466587583954"/>
        <n v="-0.013143704502561339"/>
        <n v="-0.019481865284974045"/>
        <n v="-0.0167630057803468"/>
        <n v="-0.02972972972972973"/>
        <n v="-0.024534436890334056"/>
        <n v="-0.02200032472804033"/>
        <n v="-0.021610372979029933"/>
        <n v="-0.014435966178593525"/>
        <n v="-0.02698176404912542"/>
        <n v="-0.02348661579217907"/>
        <n v="0.025474254742547362"/>
        <n v="-0.03489290037366452"/>
        <n v="0.0017636684303350525"/>
        <n v="0.0012503473186997653"/>
        <n v="-0.018333333333333368"/>
        <n v="-0.0022371364653243518"/>
        <n v="1.632919660353082E-4"/>
        <n v="-0.006694560669456043"/>
        <n v="-0.009441233140655063"/>
        <n v="-0.002378121284185568"/>
        <n v="-0.021310181531176066"/>
        <n v="-0.014346583247936957"/>
        <n v="-0.0017564402810304007"/>
        <n v="-9.668508287293446E-4"/>
        <n v="-0.023932926829268363"/>
        <n v="-0.007603305785123981"/>
        <n v="0.0017965049812183943"/>
        <n v="-0.014884696016771537"/>
        <n v="0.007385811467444032"/>
        <n v="-7.805759829095317E-4"/>
        <n v="-0.05224429727740995"/>
        <n v="-0.03869565217391307"/>
        <n v="-0.021060842433697262"/>
        <n v="-0.02665567463588895"/>
        <n v="-0.03297213622291015"/>
        <n v="-0.026970954356846474"/>
        <n v="-0.021182988430829393"/>
        <n v="-0.019148936170212766"/>
        <n v="-0.011712749615975248"/>
        <n v="-0.001435602953240361"/>
        <n v="-0.002628400937699826"/>
        <n v="0.012970021047841148"/>
        <n v="0.005179282868525942"/>
        <n v="0.016657255787690665"/>
        <n v="0.01743163281624835"/>
        <n v="0.010234541577825183"/>
        <n v="0.016302521008403438"/>
        <n v="0.01498696785404004"/>
        <n v="0.024523160762942826"/>
        <n v="0.011394599950458412"/>
        <n v="-0.0419496321448783"/>
        <n v="-0.0016129032258065021"/>
        <n v="0.0019821605550049554"/>
        <n v="0.0023594725884802854"/>
        <n v="0.0029780564263322527"/>
        <n v="0.004643309413254514"/>
        <n v="0.03337207371741661"/>
        <n v="0.01894918173987944"/>
        <n v="0.011749099867348742"/>
        <n v="4.490345756624745E-4"/>
        <n v="0.005321540998351003"/>
        <n v="-0.012053698943159045"/>
        <n v="0.01832669322709161"/>
        <n v="0.0063888888888889205"/>
        <n v="0.017714375293933327"/>
        <n v="0.014901363136059649"/>
        <n v="0.011568123393316268"/>
        <n v="0.009745762711864454"/>
        <n v="0.0020952380952381387"/>
        <n v="0.006519065190651944"/>
        <n v="0.01209135691894316"/>
        <n v="0.00458768873403025"/>
        <n v="0.01811023622047253"/>
        <n v="0.022083333333333302"/>
        <n v="0.024397776405188316"/>
        <n v="0.024616154873164243"/>
        <n v="0.040313549832026764"/>
        <n v="0.021537162162162136"/>
        <n v="0.011417697431018078"/>
        <n v="0.007394092895951595"/>
        <n v="-0.014685366032748365"/>
        <n v="-0.01803572460835889"/>
        <n v="-0.02596899224806197"/>
        <n v="0.006529723847095571"/>
        <n v="-0.02416918429003021"/>
        <n v="-0.005491803278688538"/>
        <n v="0.009124652025982024"/>
        <n v="-0.00826787928896238"/>
        <n v="-0.012815680361854632"/>
        <n v="-4.4762757385851266E-4"/>
        <n v="-5.970149253731004E-4"/>
        <n v="-0.0047023809523810065"/>
        <n v="-9.950248756218905E-4"/>
        <n v="-0.008830321967124032"/>
        <n v="-0.004985976939856547"/>
        <n v="-2.4948024948025894E-4"/>
        <n v="-0.0062092517851598875"/>
        <n v="-0.008252221752010229"/>
        <n v="0.004457364341085183"/>
        <n v="-0.0016439932596276356"/>
        <n v="-0.0038673211363973066"/>
        <n v="0.00496114763897188"/>
        <n v="-0.013695911075823807"/>
        <n v="-0.007829670329670392"/>
        <n v="-0.029595991230817378"/>
        <n v="-0.013059391116286751"/>
        <n v="-0.004373633239612727"/>
        <n v="-0.00851063829787234"/>
        <n v="-0.011785162287480723"/>
        <n v="-0.005780346820809248"/>
        <n v="-0.017520415738678477"/>
        <n v="-0.043480822482766725"/>
        <n v="-0.014892332461259766"/>
        <n v="0.013509749303621234"/>
        <n v="-0.012861736334405145"/>
        <n v="-0.015558937933367186"/>
        <n v="0.0011098779134294146"/>
        <n v="-0.010706638115631691"/>
        <n v="0.008858267716535433"/>
        <n v="-0.004699868073878666"/>
        <n v="-0.016321595889375953"/>
        <n v="-0.02603446107407879"/>
        <n v="-0.027658266748617086"/>
        <n v="0.006952017448200685"/>
        <n v="-0.036885245901639344"/>
        <n v="-0.0216379310344828"/>
        <n v="-0.008121019108280291"/>
        <n v="-0.020652173913043477"/>
        <n v="-0.01973427119968742"/>
        <n v="-0.001580698835274618"/>
        <n v="0.0022986744310780783"/>
        <n v="0.03754838709677422"/>
        <n v="0.014267782426778229"/>
        <n v="-0.02608108108108102"/>
        <n v="0.009491525423728851"/>
        <n v="-0.0012205754141238062"/>
        <n v="0.009958239640218329"/>
        <n v="0.0016907675194660532"/>
        <n v="-0.001976284584980237"/>
        <n v="-0.027200996677740865"/>
        <n v="-0.004311340364924272"/>
        <n v="-0.01870531154239031"/>
        <n v="0.03701244813278003"/>
        <n v="0.021763549564729007"/>
        <n v="0.07174430465827937"/>
        <n v="0.04367816091954034"/>
        <n v="0.007870221651140341"/>
        <n v="0.03025897319400271"/>
        <n v="0.016"/>
        <n v="-2.5813113061431297E-4"/>
        <n v="0.09652241112828445"/>
        <n v="0.10364109232769837"/>
        <n v="0.02376950780312124"/>
        <n v="0.017124706532246896"/>
        <n v="0.03852889667250427"/>
        <n v="0.03566587597424596"/>
        <n v="0.040344442672619926"/>
        <n v="0.008013384994716419"/>
        <n v="0.028993967697995678"/>
        <n v="0.012575366063738078"/>
        <n v="0.019819193324061197"/>
        <n v="-0.02630064456721905"/>
        <n v="0.019384615384615462"/>
        <n v="0.03391433590055401"/>
        <n v="0.013295488497161603"/>
        <n v="0.00995184590690216"/>
        <n v="0.027051671732522726"/>
        <n v="0.004795023543133548"/>
        <n v="0.005657175183858194"/>
        <n v="0.010526315789473608"/>
        <n v="0.024109589041095923"/>
        <n v="-0.0033333333333332793"/>
        <n v="-0.013964371980676286"/>
        <n v="-0.005096706743335194"/>
        <n v="-0.019032162879905546"/>
        <n v="-0.0072365805168985815"/>
        <n v="-0.0187583742742296"/>
        <n v="0.0012467755803954946"/>
        <n v="-0.010150375939849582"/>
        <n v="0.02779605263157891"/>
        <n v="0.016198125836680084"/>
        <n v="-0.01765965037459867"/>
        <n v="-0.016573528285998562"/>
        <n v="-0.014578408195429502"/>
        <n v="-0.03179791976225851"/>
        <n v="-0.019435483870967715"/>
        <n v="-1.5176809834576224E-4"/>
        <n v="-0.041650564644252604"/>
        <n v="0.03926450871480559"/>
        <n v="-0.0053012048192770354"/>
        <n v="0.021543624161073763"/>
        <n v="0.006042111687519128"/>
        <n v="0.03355599828118276"/>
        <n v="0.0216981132075472"/>
        <n v="0.01759259259259256"/>
        <n v="0.02995296641637095"/>
        <n v="0.01009174311926609"/>
        <n v="0.02634676324128562"/>
        <n v="-0.009999999999999959"/>
        <n v="0.005887096774193512"/>
        <n v="0.021895424836601306"/>
        <n v="0.022830776605944472"/>
        <n v="-6.754221388367986E-4"/>
        <n v="0.003029903833486964"/>
        <n v="-0.021521446719473886"/>
        <n v="0.00232000000000005"/>
        <n v="-0.0025679758308157787"/>
        <n v="-0.011889035667106952"/>
        <n v="-0.013298854820834748"/>
        <n v="-7.55166931637556E-4"/>
        <n v="-7.655014034191237E-4"/>
        <n v="-4.0045766590391616E-4"/>
        <n v="-0.0071718233703813765"/>
        <n v="-0.008387942332896432"/>
        <n v="-0.011150145104628178"/>
        <n v="0.005360000000000014"/>
        <n v="-3.0120481927717693E-4"/>
        <n v="-0.011921981152750378"/>
        <n v="-0.007968865826538302"/>
        <n v="-0.009642474504979853"/>
        <n v="0.02026160553988211"/>
        <n v="0.025582327018829076"/>
        <n v="0.0011489410593237001"/>
        <n v="0.01459758022093638"/>
        <n v="-0.0026085622218813033"/>
        <n v="-0.0039044901636882757"/>
        <n v="0.014215080346106298"/>
        <n v="-0.009814814814814731"/>
        <n v="-0.0026566839753654403"/>
        <n v="-0.0026851504933184597"/>
        <n v="-0.004200287388084523"/>
        <n v="1.1443829868407233E-4"/>
        <n v="0.004774809652858492"/>
        <n v="-0.005982512655315198"/>
        <n v="0.005220883534136592"/>
        <n v="0.012151215121512186"/>
        <n v="0.00554496621036216"/>
        <n v="0.006130410551737077"/>
        <n v="-0.004740098015586158"/>
        <n v="0.015978030208463306"/>
        <n v="0.00790885459875017"/>
        <n v="0.0066411141892148305"/>
        <n v="0.01486988847583646"/>
        <n v="0.006134969325153374"/>
        <n v="0.01947171015880614"/>
        <n v="0.006784660766961686"/>
        <n v="3.0107526881717494E-4"/>
        <n v="0.01911764705882349"/>
        <n v="0.0049151927803071085"/>
        <n v="-0.005975609756097533"/>
        <n v="0.0033684668043029694"/>
        <n v="0.02074268567141775"/>
        <n v="-0.0032687955745537125"/>
        <n v="0.01738210399032648"/>
        <n v="0.0063084112149532886"/>
        <n v="-0.008558166521612964"/>
        <n v="0.009037176631831479"/>
        <n v="-0.011111111111111032"/>
        <n v="0.01381954707033605"/>
        <n v="0.020490797546012327"/>
        <n v="0.031621621621621625"/>
        <n v="0.027406318883174272"/>
        <n v="0.02270433905146317"/>
        <n v="0.06235119047619044"/>
        <n v="0.017406777038527003"/>
        <n v="0.027192982456140383"/>
        <n v="0.0280746395250211"/>
        <n v="0.007473309608541006"/>
        <n v="0.0010588235294116933"/>
        <n v="-0.022056631892697468"/>
        <n v="-0.019650205761316895"/>
        <n v="-0.005531914893617029"/>
        <n v="-0.004779997548719178"/>
        <n v="-0.024528301886792513"/>
        <n v="0.005037593984962312"/>
        <n v="0.02787114845938372"/>
        <n v="-0.0014742618452843492"/>
        <n v="0.024035087719298326"/>
        <n v="0.008597986057319837"/>
        <n v="-0.0066301703163017586"/>
        <n v="-0.037122002085505756"/>
        <n v="-0.00520369248315921"/>
        <n v="-0.02377450980392154"/>
        <n v="0.006684305806990606"/>
        <n v="-0.022164179104477603"/>
        <n v="-0.005555555555555586"/>
        <n v="-0.007212819146756243"/>
        <n v="-0.017014605796436492"/>
        <n v="-0.017196010036105446"/>
        <n v="-0.010683876565974318"/>
        <n v="-0.017949640287769818"/>
        <n v="-0.00928481806775405"/>
        <n v="-0.022907122032486467"/>
        <n v="-0.013827349121466785"/>
        <n v="-0.03351955307262573"/>
        <n v="-0.014916786521471114"/>
        <n v="-0.002913952691120898"/>
        <n v="-0.013903950426026372"/>
        <n v="0.08698630136986304"/>
        <n v="0.05483516483516481"/>
        <n v="0.009766267968835788"/>
        <n v="0.009154481881754667"/>
        <n v="0.025089094796863897"/>
        <n v="0.010151104223169331"/>
        <n v="0.01907318451539983"/>
        <n v="0.013815045840833855"/>
        <n v="0.02249134948096886"/>
        <n v="3.911903923636077E-5"/>
        <n v="-9.738213897004328E-4"/>
        <n v="-0.019837784780699533"/>
        <n v="0.0053431531824254235"/>
        <n v="0.003022670025188888"/>
        <n v="-0.009347079037800625"/>
        <n v="-0.01769230769230767"/>
        <n v="-0.012154696132596622"/>
        <n v="0.012076897798225426"/>
        <n v="-0.012078938414426522"/>
        <n v="-0.003828125000000071"/>
        <n v="0.01043853510613488"/>
        <n v="-0.030432489451476818"/>
        <n v="0.034909090909090994"/>
        <n v="-3.770739064857569E-4"/>
        <n v="0.01944757609921076"/>
        <n v="0.02531250000000007"/>
        <n v="-5.676174258551028E-4"/>
        <n v="0.004331983805667988"/>
        <n v="-0.001035911602209984"/>
        <n v="-0.009489166534872688"/>
        <n v="0.0037007054469757506"/>
        <n v="0.01742367029884559"/>
        <n v="0.013248542660307366"/>
        <n v="-0.010209163346613603"/>
        <n v="0.005692863093584989"/>
        <n v="0.003745604647607469"/>
        <n v="-0.0011358795967626786"/>
        <n v="0.0023595280943810235"/>
        <n v="-3.4861425832324465E-4"/>
        <n v="0.0028856558855357593"/>
        <n v="0.034327485380116984"/>
        <n v="0.030528586839266403"/>
        <n v="0.013427561837455871"/>
        <n v="0.005189873417721548"/>
        <n v="0.004016620498614927"/>
        <n v="0.007378939277478924"/>
        <n v="0.02032693674484713"/>
        <n v="-0.018911290322580637"/>
        <n v="0.033696215655780196"/>
        <n v="0.012692104943027527"/>
        <n v="-0.024628305527181982"/>
        <n v="-0.027527764619190577"/>
        <n v="-0.043470819784357316"/>
        <n v="-0.02765151515151512"/>
        <n v="-0.03927613941018761"/>
        <n v="-0.020841170717026635"/>
        <n v="-0.023547443221401825"/>
        <n v="-0.06048387096774198"/>
        <n v="-0.020333333333333408"/>
        <n v="-0.029328821206993688"/>
        <n v="0.044266495836002506"/>
        <n v="0.0274117647058823"/>
        <n v="0.044656488549618276"/>
        <n v="0.05197157586735398"/>
        <n v="0.008000000000000033"/>
        <n v="0.04605961616986525"/>
        <n v="0.06646341463414637"/>
        <n v="0.05692307692307694"/>
        <n v="0.020451339915373602"/>
        <n v="0.029588411941353115"/>
        <n v="0.007365269461077817"/>
        <n v="-0.025806451612903278"/>
        <n v="0.0228980322003577"/>
        <n v="-0.005584415584415525"/>
        <n v="0.02513190780338782"/>
        <n v="0.011584800741427249"/>
        <n v="-0.010928961748633975"/>
        <n v="0.016412556053811644"/>
        <n v="-0.010275732145915397"/>
        <n v="0.008703071672354987"/>
        <n v="0.002454061171963793"/>
        <n v="-0.015160183066361556"/>
        <n v="-0.0025978524419812956"/>
        <n v="-0.02014125032696832"/>
        <n v="0.019623655913978525"/>
        <n v="-0.0028787878787878444"/>
        <n v="-0.013135593220338918"/>
        <n v="-2.702702702702805E-4"/>
        <n v="0.011898603207449522"/>
        <n v="0.01355280034202643"/>
        <n v="-0.018473335657023457"/>
        <n v="0.004101123595505593"/>
        <n v="-0.01096306291111486"/>
        <n v="0.005513527375304614"/>
        <n v="-0.005981794538361538"/>
        <n v="-0.0050566037735848115"/>
        <n v="0.02592592592592599"/>
        <n v="0.009067017082785778"/>
        <n v="0.03699914748508107"/>
        <n v="0.019913818349161155"/>
        <n v="0.03710629346111144"/>
        <n v="0.029285714285714262"/>
        <n v="-0.008086253369272352"/>
        <n v="-0.009398496240601503"/>
        <n v="-0.01927305652567582"/>
        <n v="-0.003973013493253382"/>
        <n v="-0.01226158038147139"/>
        <n v="-0.005598290598290608"/>
        <n v="-0.00862630208333326"/>
        <n v="-0.008713029576339001"/>
        <n v="0.011583229743473838"/>
        <n v="0.00923208282192217"/>
        <n v="0.016156462585034014"/>
        <n v="0.010120177103099304"/>
        <n v="0.030515191545574666"/>
        <n v="0.006316264380780535"/>
        <n v="-0.00882758620689652"/>
        <n v="0.03665821479221282"/>
        <n v="0.004269995073082645"/>
        <n v="0.004213596953245317"/>
        <n v="0.02019976563807826"/>
        <n v="0.001639170896785062"/>
        <n v="0.0011744966442953783"/>
        <n v="0.004913076341647885"/>
        <n v="-0.005642472428827876"/>
        <n v="0.005992509363295965"/>
        <n v="0.013221990257480862"/>
        <n v="0.010331950207468918"/>
        <n v="0.011622196758880378"/>
        <n v="0.027656829543621957"/>
        <n v="0.01461038961038961"/>
        <n v="0.0016235466638734204"/>
        <n v="0.014007003501750836"/>
        <n v="0.0031308703819661866"/>
        <n v="0.01844209440288892"/>
        <n v="0.025967300436487532"/>
        <n v="-0.003417167851284855"/>
        <n v="0.023646571861808983"/>
        <n v="0.03225806451612903"/>
        <n v="0.020078740157480315"/>
        <n v="-0.013058711115829657"/>
        <n v="-0.019438669438669485"/>
        <n v="0.003606557377049255"/>
        <n v="-0.012143742255266363"/>
        <n v="0.006441020459712078"/>
        <n v="-0.006036651095939658"/>
        <n v="-0.01852608636425558"/>
        <n v="-0.004779692332409518"/>
        <n v="-0.022517591868647345"/>
        <n v="-0.006769230769230734"/>
        <n v="0.003313027679811808"/>
        <n v="0.002631578947368421"/>
        <n v="-0.018458020254818797"/>
        <n v="-0.0026250000000000284"/>
        <n v="-0.024341279799247148"/>
        <n v="-0.009355883411298907"/>
        <n v="0.002341920374707323"/>
        <n v="0.013789499075339625"/>
        <n v="0.002546554193856474"/>
        <n v="0.002313030069390902"/>
        <n v="0.02308510638297877"/>
        <n v="0.012592747413522907"/>
        <n v="-0.003135830995213694"/>
        <n v="0.0023815492604663964"/>
        <n v="0.0011538461538461247"/>
        <n v="0.005375953505266841"/>
        <n v="-0.001512027491408966"/>
        <n v="-0.002519999999999982"/>
        <n v="-0.0015878056525881234"/>
        <n v="0.007118539151965195"/>
        <n v="-0.06508179959100202"/>
        <n v="-0.06309034907597541"/>
        <n v="-0.02199437737721195"/>
        <n v="-0.01786160379715222"/>
        <n v="-0.024846311475409808"/>
        <n v="-0.027095375722543353"/>
        <n v="-0.01858480176211454"/>
        <n v="-0.01072289156626501"/>
        <n v="-0.020766773162939296"/>
        <n v="-0.0023782125047947136"/>
        <n v="0.012363238512034962"/>
        <n v="0.028022068061397253"/>
        <n v="0.05765950187649258"/>
        <n v="0.010174233753020475"/>
        <n v="0.04031830238726788"/>
        <n v="0.020028398475450317"/>
        <n v="0.022052586938083155"/>
        <n v="0.018699186991869895"/>
        <n v="0.014299802761341298"/>
        <n v="0.021492537313432803"/>
        <n v="-0.01317345951177546"/>
        <n v="-0.03916666666666669"/>
        <n v="4.814636494943902E-4"/>
        <n v="-0.020269419614755018"/>
        <n v="-0.005087763927753752"/>
        <n v="-0.011070648215586381"/>
        <n v="-0.0193681318681319"/>
        <n v="-0.022130234039165746"/>
        <n v="-0.018149408523740147"/>
        <n v="0.020933625091174357"/>
        <n v="-0.02180058714798311"/>
        <n v="-0.02394885132206319"/>
        <n v="-0.028056426332288366"/>
        <n v="-0.009766126959650505"/>
        <n v="-0.041265822784810155"/>
        <n v="0.009963369963370064"/>
        <n v="-0.0068627450980391835"/>
        <n v="-0.004276985743380902"/>
        <n v="0.009853834784036787"/>
        <n v="0.0021398002853067048"/>
        <n v="0.007888450641631047"/>
        <n v="0.0035474751953883327"/>
        <n v="0.0019320560296247492"/>
        <n v="-0.0028534370946822897"/>
        <n v="0.01342281879194637"/>
        <n v="0.024966020459260385"/>
        <n v="-0.01720490762938943"/>
        <n v="0.010041493775933557"/>
        <n v="-0.005073649754500855"/>
        <n v="0.005940594059406005"/>
        <n v="0.02875960482985735"/>
        <n v="0.05806946422701873"/>
        <n v="0.012776025236593096"/>
        <n v="-9.068532193288402E-4"/>
        <n v="0.045535714285714346"/>
        <n v="0.02455172413793105"/>
        <n v="-0.0068376068376067725"/>
        <n v="-0.003333333333333381"/>
        <n v="0.011154855643044545"/>
        <n v="2.096436058699892E-4"/>
        <n v="-0.03365282215122473"/>
        <n v="-0.04425465838509317"/>
        <n v="-0.0300529430084087"/>
        <n v="-0.021345407503234153"/>
        <n v="-0.032195121951219485"/>
        <n v="-0.0349631614199598"/>
        <n v="-0.020630372492836644"/>
        <n v="-0.017127690457429585"/>
        <n v="-0.007058001397623976"/>
        <n v="-0.007289293849658289"/>
        <n v="0.01780958721704389"/>
        <n v="0.03224755700325725"/>
        <n v="0.035106670267350794"/>
        <n v="0.0074873096446700215"/>
        <n v="0.03207142857142864"/>
        <n v="0.011982248520710092"/>
        <n v="0.027421437795953404"/>
        <n v="0.01006493506493514"/>
        <n v="-0.010486311492715948"/>
        <n v="-0.04664507698426221"/>
        <n v="-0.049187408887209065"/>
        <n v="-0.023930269413629197"/>
        <n v="-0.011666666666666695"/>
        <n v="-0.027318295739348315"/>
        <n v="-0.024560675245606636"/>
        <n v="-0.003078727459316849"/>
        <n v="-0.018682150971976764"/>
        <n v="-0.016432673899170316"/>
        <n v="0.0020653799586924657"/>
        <n v="0.019852034525277465"/>
        <n v="0.023330230393297728"/>
        <n v="0.014212526855065315"/>
        <n v="0.008704827222368648"/>
        <n v="0.010596546310832055"/>
        <n v="0.01442028985507253"/>
        <n v="0.0016457211250748395"/>
        <n v="0.025578350065473654"/>
        <n v="-0.0023333333333332954"/>
        <n v="-0.005990617105737968"/>
        <n v="0.03988372093023251"/>
        <n v="0.028035850912668026"/>
        <n v="-0.018888888888888854"/>
        <n v="0.009057277713994161"/>
        <n v="-0.01569620253164554"/>
        <n v="-0.011458333333333372"/>
        <n v="0.023942420681551217"/>
        <n v="0.021004184100418453"/>
        <n v="0.0164446637066272"/>
        <n v="0.026071428571428572"/>
        <n v="0.015955056179775332"/>
        <n v="0.018606134708415288"/>
        <n v="-0.00695680310629359"/>
        <n v="-8.849557522124468E-4"/>
        <n v="-0.002820512820512879"/>
        <n v="-0.004636459430979955"/>
        <n v="-0.020367183017785492"/>
        <n v="-0.01224656973172234"/>
        <n v="-0.02147540983606561"/>
        <n v="-0.012417160795256333"/>
        <n v="-0.014547264782344256"/>
        <n v="0.0012939958592132505"/>
        <n v="0.012309685779073572"/>
        <n v="0.016005040957782036"/>
        <n v="0.009674134419551964"/>
        <n v="0.010423269244312907"/>
        <n v="-0.011388523872098051"/>
        <n v="0.020111129540553965"/>
        <n v="-0.010862299465240642"/>
        <n v="0.0030985915492958388"/>
        <n v="0.017710486619364106"/>
        <n v="-0.0043205431539965495"/>
        <n v="0.009554140127388535"/>
        <n v="0.002229102167182606"/>
        <n v="0.006749999999999971"/>
        <n v="0.006944444444444444"/>
        <n v="0.007216494845360791"/>
        <n v="0.010859359052868035"/>
        <n v="0.012673200405542415"/>
        <n v="0.02049122807017547"/>
        <n v="0.003234294485253735"/>
        <n v="0.05007977765196353"/>
        <n v="0.01297468354430387"/>
        <n v="-0.002955665024630514"/>
        <n v="0.013845963654345464"/>
        <n v="-0.0019310344827586285"/>
        <n v="2.9154518950443947E-4"/>
        <n v="8.499959524002589E-4"/>
        <n v="6.666666666666288E-4"/>
        <n v="0.0022020368841178402"/>
        <n v="-0.03380434782608698"/>
        <n v="-0.017394253597558064"/>
        <n v="-0.00423795322555336"/>
        <n v="-0.008005912058135238"/>
        <n v="-0.012679834186783822"/>
        <n v="-0.0021379310344827743"/>
        <n v="0.0059749344214513386"/>
        <n v="-0.005725806451612853"/>
        <n v="0.006788079470198713"/>
        <n v="-0.007781833207079371"/>
        <n v="-0.02761473531220308"/>
        <n v="-0.03154527559055113"/>
        <n v="-0.012933753943217738"/>
        <n v="0.0064118372379778615"/>
        <n v="-0.021182266009852273"/>
        <n v="-0.021241379310344914"/>
        <n v="-0.012395503026808748"/>
        <n v="0.010008509258884067"/>
        <n v="-0.02135348226018397"/>
        <n v="-0.009456264775413807"/>
        <n v="0.0025865041958845845"/>
        <n v="0.011675126903553299"/>
        <n v="0.0113672750560359"/>
        <n v="-0.0153042633304991"/>
        <n v="0.0237673830594184"/>
        <n v="0.012641242937853051"/>
        <n v="0.010509414683987639"/>
        <n v="-0.011212723658051663"/>
        <n v="-0.005373635600335928"/>
        <n v="0.0037221715008076087"/>
        <n v="0.011507479861910242"/>
        <n v="-0.010290131512900312"/>
        <n v="-0.005874880914575948"/>
        <n v="-0.01518518518518513"/>
        <n v="-0.009259259259259259"/>
        <n v="0.004909180166912046"/>
        <n v="-0.013722374693052146"/>
        <n v="-0.028188837059675162"/>
        <n v="-0.01689760054072322"/>
        <n v="-0.008302842668167713"/>
        <n v="-0.008988128886376536"/>
        <n v="-5.0658561296813094E-5"/>
        <n v="0.022115384615384544"/>
        <n v="0.0032483758120939814"/>
        <n v="0.010148514851485204"/>
        <n v="0.0054438860971524365"/>
        <n v="0.007602339181286616"/>
        <n v="0.0071752577319588"/>
        <n v="0.020890410958904187"/>
        <n v="0.014360870183421049"/>
        <n v="8.542627712284298E-4"/>
        <n v="0.014894684052156493"/>
        <n v="0.012382445141065795"/>
        <n v="3.726245186932735E-4"/>
        <n v="0.014187866927592982"/>
        <n v="-0.003331945022907051"/>
        <n v="-0.021367521367521368"/>
        <n v="0.002609050142682374"/>
        <n v="-0.011164805865689128"/>
        <n v="0.001955307262569801"/>
        <n v="-9.659090909091168E-4"/>
        <n v="0.0014829461196243204"/>
        <n v="-0.018271910808299714"/>
        <n v="-0.006335403726708102"/>
        <n v="-0.0067478009398723015"/>
        <n v="-0.0011840089148907641"/>
        <n v="-0.01584302325581392"/>
        <n v="-0.009357909661737907"/>
        <n v="-0.008249158249158211"/>
        <n v="-0.002804852394642732"/>
        <n v="-0.01451576321161256"/>
        <n v="-0.011202131859455214"/>
        <n v="0.014826498422712898"/>
        <n v="-0.0069825436408977835"/>
        <n v="0.014436491568603774"/>
        <n v="0.00564892949299116"/>
        <n v="0.0042823390431186905"/>
        <n v="-0.008052648790058858"/>
        <n v="-0.01154303174333741"/>
        <n v="-0.0050700654883457635"/>
        <n v="0.0037028597470661955"/>
        <n v="0.00976020610384454"/>
        <n v="-0.006382316313823199"/>
        <n v="-0.004500000000000028"/>
        <n v="-0.009788707174406166"/>
        <n v="-0.0038128249566725227"/>
        <n v="-0.004838709677419288"/>
        <n v="-0.002298850574712653"/>
        <n v="0.006006521366054573"/>
        <n v="0.004036541321436191"/>
        <n v="-0.015719879689007333"/>
        <n v="-0.005051495831289826"/>
        <n v="0.002676743819870779"/>
        <n v="-0.00413585662363699"/>
        <n v="-0.008921036769138007"/>
        <n v="-0.012038970076548295"/>
        <n v="-0.010666666666666734"/>
        <n v="-0.014976958525345566"/>
        <n v="-0.007705479452054794"/>
        <n v="0.002045133991537441"/>
        <n v="5.71559213535302E-5"/>
        <n v="-0.009229258713794774"/>
        <n v="-0.005653266331658149"/>
        <n v="0.0018799348289259307"/>
        <n v="-0.0034179687500000833"/>
        <n v="0.009931675706135075"/>
        <n v="-0.0040431266846360165"/>
        <n v="-0.0028870292887029194"/>
        <n v="0.009472959007922837"/>
        <n v="0.0011330642305786675"/>
        <n v="-0.022816724659175176"/>
        <n v="-0.016351204043206818"/>
        <n v="-0.016822726551341094"/>
        <n v="-0.017137853390042448"/>
        <n v="-0.013496932515337423"/>
        <n v="-0.01987491313412101"/>
        <n v="-0.014264264264264264"/>
        <n v="-0.013430353430353387"/>
        <n v="-0.01452991452991453"/>
        <n v="-0.011811854039232197"/>
        <n v="0.006391632771644393"/>
        <n v="0.0073182957393483255"/>
        <n v="0.005811138014527882"/>
        <n v="0.004454626447753595"/>
        <n v="0.006435643564356492"/>
        <n v="-0.0023404255319149823"/>
        <n v="7.598784194528875E-4"/>
        <n v="2.1008403361349315E-4"/>
        <n v="0.0010407632263660413"/>
        <n v="0.006220400084823605"/>
        <n v="0.0025863555376745787"/>
        <n v="-0.002385685884691826"/>
        <n v="-0.0041787206685953435"/>
        <n v="7.602635580333363E-4"/>
        <n v="-0.01835985312117503"/>
        <n v="-0.010095265178444387"/>
        <n v="-0.0016707168894289533"/>
        <n v="-0.0011762234824616725"/>
        <n v="0.011168384879725086"/>
        <n v="0.010084033613445441"/>
        <n v="0.0096499743048022"/>
        <n v="0.01071428571428567"/>
        <n v="0.02491909385113265"/>
        <n v="0.0027648611285659565"/>
        <n v="0.011932877563704192"/>
        <n v="0.011060040218328009"/>
        <n v="0.009707265281359156"/>
        <n v="0.009546238277471763"/>
        <n v="0.0076647930505876335"/>
        <n v="0.0017349063150589867"/>
        <n v="0.01451885199774899"/>
        <n v="0.009861355204061617"/>
        <n v="0.008181246066708513"/>
        <n v="2.494387627837933E-4"/>
        <n v="0.0034393809114358857"/>
        <n v="0.01645390070921981"/>
        <n v="0.009583707696915382"/>
        <n v="0.0042187112250806945"/>
        <n v="0.008389261744966443"/>
        <n v="-0.005628002745367224"/>
        <n v="0.009204651931874577"/>
        <n v="0.020005770895450567"/>
        <n v="-0.0034246575342464693"/>
        <n v="-0.008560794044664984"/>
        <n v="-0.009777560498655585"/>
        <n v="-0.006706252183024854"/>
        <n v="0.0011806375442738408"/>
        <n v="0.0017604912998976738"/>
        <n v="0.0016636167027116952"/>
        <n v="-0.007931034482758621"/>
        <n v="-0.016687503397293062"/>
        <n v="-0.01801125703564732"/>
        <n v="0.042304089915704064"/>
        <n v="0.0049987503124218945"/>
        <n v="0.020164760850854658"/>
        <n v="0.019311797752808987"/>
        <n v="-0.008504398826979405"/>
        <n v="0.011533742331288316"/>
        <n v="-0.01876453005645976"/>
        <n v="0.0021441416516808248"/>
        <n v="-0.03462131219726985"/>
        <n v="-0.03257142857142861"/>
        <n v="-0.03585476550680793"/>
        <n v="-0.023134328358208982"/>
        <n v="-0.04256097560975607"/>
        <n v="-0.01168095106441801"/>
        <n v="-0.013159840307555785"/>
        <n v="-0.014393638170974173"/>
        <n v="-0.020836862612230993"/>
        <n v="-0.00818713450292404"/>
        <n v="0.0011627906976744186"/>
        <n v="-0.006526104417670682"/>
        <n v="0.023934426229508234"/>
        <n v="0.003076923076923048"/>
        <n v="0.02726063829787234"/>
        <n v="0.009640287769784197"/>
        <n v="0.015758873929008498"/>
        <n v="-0.01580903932694197"/>
        <n v="0.01044062997699518"/>
        <n v="0.002738764044943884"/>
        <n v="0.005458768873403072"/>
        <n v="0.0025265285497726125"/>
        <n v="0.020809808033553763"/>
        <n v="0.008567774936061439"/>
        <n v="0.029289247591772975"/>
        <n v="0.013214285714285673"/>
        <n v="0.005120481927710809"/>
        <n v="0.011024056065199461"/>
        <n v="0.0024309776002777866"/>
        <n v="0.007638937556941525"/>
        <n v="-0.019803695150115447"/>
        <n v="-0.015410958904109543"/>
        <n v="-0.0038216560509553776"/>
        <n v="-0.00685279187817256"/>
        <n v="-0.0017768752379743334"/>
        <n v="0.0026893135173389625"/>
        <n v="0.003592814371257451"/>
        <n v="-0.018019771152798302"/>
        <n v="-3.46440325653788E-4"/>
        <n v="-0.01160220994475135"/>
        <n v="-0.0029448141822251014"/>
        <n v="-0.008797953964194397"/>
        <n v="0.012339743589743662"/>
        <n v="-0.0024278047533861195"/>
        <n v="0.009869264291207295"/>
        <n v="-0.0014182385477238479"/>
        <n v="-0.008353221957040607"/>
        <n v="-0.014447112545762262"/>
        <n v="-6.95652173913004E-4"/>
        <n v="6.993006993000633E-5"/>
        <n v="-0.025325443786982222"/>
        <n v="-0.03711340206185567"/>
        <n v="-0.011198738170347038"/>
        <n v="-0.015627001408991988"/>
        <n v="-0.009398018796037563"/>
        <n v="-0.014847968172776381"/>
        <n v="-0.007069795427196047"/>
        <n v="0.004231536926147713"/>
        <n v="-0.0012203626220363415"/>
        <n v="0.0022376057618348688"/>
        <n v="0.0025423728813559598"/>
        <n v="0.010341151385927554"/>
        <n v="0.008362817626246456"/>
        <n v="0.012623633524206201"/>
        <n v="0.007060333761232349"/>
        <n v="0.0026032251066600166"/>
        <n v="0.015757575757575724"/>
        <n v="-0.0014667406643938973"/>
        <n v="0.026440203116792193"/>
        <n v="0.02459818308874916"/>
        <n v="0.023534445870774495"/>
        <n v="0.02202596297084491"/>
        <n v="0.01112903225806448"/>
        <n v="0.014211886304909561"/>
        <n v="0.007429230178045285"/>
        <n v="0.021313868613138595"/>
        <n v="-0.003296373988612424"/>
        <n v="-0.0064424331054108355"/>
        <n v="-0.003946465339739112"/>
        <n v="0.0026152787336544765"/>
        <n v="-1.7605633802814232E-4"/>
        <n v="0.012615384615384568"/>
        <n v="-0.019201228878648235"/>
        <n v="-0.004563316009633696"/>
        <n v="-0.015151515151515152"/>
        <n v="-0.010803324099723007"/>
        <n v="-0.0031722054380664997"/>
        <n v="-0.014464646464646515"/>
        <n v="-0.025558016697904244"/>
        <n v="-0.00969283276450515"/>
        <n v="-0.007181643019793282"/>
        <n v="-0.005977710233029359"/>
        <n v="-0.008992248062015434"/>
        <n v="-0.005331979179890879"/>
        <n v="-0.004512195121951275"/>
        <n v="-0.009280580559626073"/>
        <n v="-0.0019607843137254216"/>
        <n v="-0.008565573770491818"/>
        <n v="0.013787085514834166"/>
        <n v="0.0022540983606557066"/>
        <n v="0.012291483757682178"/>
        <n v="0.008130081300813009"/>
        <n v="0.03418535361455222"/>
        <n v="0.005484693877550962"/>
        <n v="0.03014705882352944"/>
        <n v="0.02941590429275163"/>
        <n v="0.014290012033694345"/>
        <n v="0.011280991735537147"/>
        <n v="0.009284731774415366"/>
        <n v="0.017834048056633345"/>
        <n v="0.02161849710982664"/>
        <n v="0.02131938857602579"/>
        <n v="0.00909090909090909"/>
        <n v="-0.0021518987341772725"/>
        <n v="0.0428792018054401"/>
        <n v="0.0064260322668854095"/>
        <n v="-0.0019176869744799447"/>
        <n v="-0.008897596016489035"/>
        <n v="0.01440677966101695"/>
        <n v="0.010670935040682939"/>
        <n v="-0.004796839729119639"/>
        <n v="0.005490196078431283"/>
        <n v="-0.006137724550898237"/>
        <n v="-0.008975979772439979"/>
        <n v="-0.004431818181818156"/>
        <n v="-0.0020372130924893586"/>
        <n v="-0.002531645569620321"/>
        <n v="8.606557377049506E-4"/>
        <n v="-0.0016644474034620508"/>
        <n v="-0.008719778042013506"/>
        <n v="-0.013122171945701384"/>
        <n v="-0.013883495145631024"/>
        <n v="0.0015080681646810435"/>
        <n v="-0.0070063694267515925"/>
        <n v="0.002389622212107445"/>
        <n v="0.004300047778308617"/>
        <n v="-0.007904548844146092"/>
        <n v="-0.007867916836526729"/>
        <n v="-0.011461794019933517"/>
        <n v="0.018525922964147797"/>
        <n v="0.0031963470319634184"/>
        <n v="-9.80392156862745E-4"/>
        <n v="-0.005693736889421568"/>
        <n v="-0.007948717948718006"/>
        <n v="-0.016779279279279254"/>
        <n v="-6.081081081081312E-4"/>
        <n v="0.003306778896738382"/>
        <n v="-0.007533964594483378"/>
        <n v="-0.0090741051924046"/>
        <n v="-0.006281078251766642"/>
        <n v="-0.004096262160778316"/>
        <n v="-0.014173998044965786"/>
        <n v="-0.0045045045045045045"/>
        <n v="-0.0037380768239236627"/>
        <n v="-0.002513136851724848"/>
        <n v="-8.10865599026992E-4"/>
        <n v="0.008471074380165337"/>
        <n v="-0.015750670241286825"/>
        <n v="-0.0019726459758022093"/>
        <n v="0.0015985384791049224"/>
        <n v="-0.015019762845849847"/>
        <n v="0.0365269461077844"/>
        <n v="-0.004126902244003007"/>
        <n v="0.013217866909753899"/>
        <n v="0.012825651302605318"/>
        <n v="-5.95770032767318E-4"/>
        <n v="1.6313213703107856E-4"/>
        <n v="0.0010214504596527457"/>
        <n v="0.0021653543307086315"/>
        <n v="0.008390410958904136"/>
        <n v="-0.005917753259779315"/>
        <n v="0.013591671486408295"/>
        <n v="-0.005821474773609315"/>
        <n v="-2.2321428571433648E-4"/>
        <n v="0.01138008156821464"/>
        <n v="0.005812220566318893"/>
        <n v="-0.0162118126272912"/>
        <n v="0.004071937563623986"/>
        <n v="0.00976025153936859"/>
        <n v="-0.00536117381489842"/>
        <n v="2.0165355918536548E-4"/>
        <n v="0.016000000000000066"/>
        <n v="-0.0054552539290816104"/>
        <n v="0.012751677852348969"/>
        <n v="-0.006330749354005285"/>
        <n v="0.014784151389710232"/>
        <n v="0.003423951157130533"/>
        <n v="0.012238653748087788"/>
        <n v="0.0010416666666666075"/>
        <n v="0.003890831171760383"/>
        <n v="-0.0019055260254738514"/>
        <n v="-0.019966254218222786"/>
        <n v="0.011486751076882854"/>
        <n v="-0.01666666666666669"/>
        <n v="-0.020917502932360273"/>
        <n v="0.0021849963583394027"/>
        <n v="0.004694048616932027"/>
        <n v="-0.011518188325632879"/>
        <n v="-0.003188276093522791"/>
        <n v="-0.0039011703511054223"/>
        <n v="-0.0024161455372371313"/>
        <n v="-0.010307950006442468"/>
        <n v="-0.009428667639465683"/>
        <n v="0.010480928689883996"/>
        <n v="-0.007412790697674452"/>
        <n v="-0.0017247751632375981"/>
        <n v="-0.0025"/>
        <n v="-0.0016450615253010461"/>
        <n v="-0.022315436241610788"/>
        <n v="-0.004600920184036717"/>
        <n v="-0.019755542922114806"/>
        <n v="-0.008071865642494526"/>
        <n v="-0.019347581552306013"/>
        <n v="-0.02806451612903222"/>
        <n v="0.006461086637298058"/>
        <n v="-0.005307549886854641"/>
        <n v="-0.0023391812865496695"/>
        <n v="-0.01111111111111108"/>
        <n v="0.004219890510948957"/>
        <n v="0.030226953203454646"/>
        <n v="-0.004192569032817827"/>
        <n v="0.004842931937172834"/>
        <n v="-0.013764624913971095"/>
        <n v="-0.0036508463325589866"/>
        <n v="-0.002769275615799413"/>
        <n v="0.0054343351173322075"/>
        <n v="-0.004340567612687851"/>
        <n v="-0.005696287360943573"/>
        <n v="-0.0014188422247446084"/>
        <n v="0.005939629990262813"/>
        <n v="0.001150582482381804"/>
        <n v="0.0066423547798906265"/>
        <n v="-1.1534025374858447E-4"/>
        <n v="0.005645964795748882"/>
        <n v="-0.0033513040944192843"/>
        <n v="-0.0033131544502617897"/>
        <n v="-1.6772895001681103E-4"/>
        <n v="-5.382855604898093E-4"/>
        <n v="-0.004429301533219736"/>
        <n v="0.005323782789662182"/>
        <n v="-0.00628481645479214"/>
        <n v="-5.172636751583827E-4"/>
        <n v="0.026815513868109184"/>
        <n v="0.005555555555555578"/>
        <n v="0.0013157894736841773"/>
        <n v="-0.004713114754098384"/>
        <n v="-0.006355577855828658"/>
        <n v="0.008553971486761649"/>
        <n v="-0.007500426160577331"/>
        <n v="0.010683349374398373"/>
        <n v="-0.008152173913043542"/>
        <n v="-0.0029711923524093375"/>
        <n v="-0.01356350184956846"/>
        <n v="-0.009253790116164576"/>
        <n v="-0.004503195816385855"/>
        <n v="0.0035802469135802657"/>
        <n v="-0.003192740715846038"/>
        <n v="-0.007395455156649186"/>
        <n v="-0.008609875698483241"/>
        <n v="-0.011988107797065311"/>
        <n v="-0.011510791366906475"/>
        <n v="0.003875968992248062"/>
        <n v="-0.02136363636363631"/>
        <n v="-0.002989834562487467"/>
        <n v="-0.0026239067055392924"/>
        <n v="0.006414970989621611"/>
        <n v="-0.007925801011804462"/>
        <n v="-0.005926724137931004"/>
        <n v="8.037200757792431E-4"/>
        <n v="0.005236617532971163"/>
        <n v="-0.002620087336244475"/>
        <n v="-0.005655526992287888"/>
        <n v="-0.003002309468822197"/>
        <n v="0.010366506153022892"/>
        <n v="-0.0016077170418006762"/>
        <n v="-0.0039024390243902764"/>
        <n v="0.01020408163265306"/>
        <n v="-0.02484641638225262"/>
        <n v="-0.010045662100456569"/>
        <n v="-0.02246865959498549"/>
        <n v="-0.006567425569176882"/>
        <n v="0.005946225439503649"/>
        <n v="-0.008660508083140877"/>
        <n v="0.004494382022471767"/>
        <n v="-0.0020494803103498424"/>
        <n v="0.005590923930786829"/>
        <n v="0.0023561090541904697"/>
        <n v="-0.0102283872775677"/>
        <n v="-0.009865779511299785"/>
        <n v="0.015219952867242845"/>
        <n v="0.0076056750036564745"/>
        <n v="0.003466872110939966"/>
        <n v="0.009291521486643438"/>
        <n v="0.002236694954279346"/>
        <n v="0.003657109420713868"/>
        <n v="-0.0018292682926828805"/>
        <n v="0.0013384641124309093"/>
        <n v="-9.8176718092573E-4"/>
        <n v="-0.021831797235023095"/>
        <n v="-0.013816425120772902"/>
        <n v="-0.008854695892001775"/>
        <n v="-0.011663675980517844"/>
        <n v="-9.189065012635747E-4"/>
        <n v="-0.00526246546507046"/>
        <n v="-0.013678696158323764"/>
        <n v="-0.0029727968724547553"/>
        <n v="-0.001667500416875104"/>
        <n v="-0.011485343855693315"/>
        <n v="-0.0424210464639363"/>
        <n v="-0.04492072812683498"/>
        <n v="-0.021170244045868994"/>
        <n v="-0.012320062248735572"/>
        <n v="-0.029452369995398093"/>
        <n v="-0.026754966887417166"/>
        <n v="-0.016819120684567687"/>
        <n v="-0.015204918032786919"/>
        <n v="-0.016994783779235925"/>
        <n v="-0.005146901136607367"/>
        <n v="-0.00457484445528852"/>
        <n v="0.024701439216086488"/>
        <n v="0.0031593199939821104"/>
        <n v="-0.007476390346274832"/>
        <n v="-0.00142011834319532"/>
        <n v="0.004082743603701648"/>
        <n v="-0.00149947518368571"/>
        <n v="-0.0011236422655956629"/>
        <n v="-3.424657534247354E-4"/>
        <n v="-0.003375709258062232"/>
        <n v="0.009706959706959763"/>
        <n v="0.008540218470705086"/>
        <n v="-0.003125000000000034"/>
        <n v="0.017774240615466213"/>
        <n v="0.010201660735468592"/>
        <n v="0.009829351535836162"/>
        <n v="0.007831325301204888"/>
        <n v="0.005916173652195598"/>
        <n v="0.008950086058519872"/>
        <n v="0.024656543745480774"/>
        <n v="-0.012110311750599548"/>
        <n v="-0.01009803921568623"/>
        <n v="0.009131736526946143"/>
        <n v="-0.010677083333333393"/>
        <n v="0.005306603773584905"/>
        <n v="0.01044067796610164"/>
        <n v="0.011343283582089586"/>
        <n v="-0.003009812814381091"/>
        <n v="-0.013822525597269663"/>
        <n v="-0.00564135110358931"/>
        <n v="-0.0044947971184040115"/>
        <n v="-8.117706747843272E-4"/>
        <n v="-0.0021212121212120867"/>
        <n v="-0.004365079365079305"/>
        <n v="-7.164179104477883E-4"/>
        <n v="-0.006345957011259002"/>
        <n v="-0.00535634578187773"/>
        <n v="0.0033305578684430116"/>
        <n v="0.021231795051763508"/>
        <n v="0.0015128593040848186"/>
        <n v="-0.02104678434761149"/>
        <n v="-0.016383495145630998"/>
        <n v="-0.03389057750759872"/>
        <n v="-0.006666666666666667"/>
        <n v="-0.04062722736992152"/>
        <n v="-0.029587834583362078"/>
        <n v="-0.006306306306306375"/>
        <n v="-0.013785922532278228"/>
        <n v="-0.0013715069432538225"/>
        <n v="0.004903021126252761"/>
        <n v="0.0032624380450466265"/>
        <n v="0.009999999999999953"/>
        <n v="-0.007184132437919584"/>
        <n v="0.0060410793395086594"/>
        <n v="-8.557457212714492E-4"/>
        <n v="0.004657070279424193"/>
        <n v="0.003324267150196503"/>
        <n v="-0.007061310782240962"/>
        <n v="-0.011160714285714286"/>
        <n v="0.011755429718299829"/>
        <n v="-0.001431772908366647"/>
        <n v="-0.021399798590130917"/>
        <n v="-0.005993690851734944"/>
        <n v="0.009308510638297872"/>
        <n v="-0.008499630450849935"/>
        <n v="-0.00877069884928431"/>
        <n v="0.0034591667919988997"/>
        <n v="-0.004331210191082846"/>
        <n v="-0.0038314176245211515"/>
        <n v="-0.013678242381289833"/>
        <n v="-0.013714000748036404"/>
        <n v="-0.018803156061071854"/>
        <n v="7.92393026941363E-4"/>
        <n v="0.007620320855615034"/>
        <n v="-0.005204460966542807"/>
        <n v="-0.0015439679977542202"/>
        <n v="-0.0044964028776978415"/>
        <n v="-0.0033255169473459865"/>
        <n v="-0.009735744089012555"/>
        <n v="6.465981751561632E-4"/>
        <n v="0.008375634517766526"/>
        <n v="-0.016019748936393716"/>
        <n v="-0.009415895308011454"/>
        <n v="0.012133333333333364"/>
        <n v="0.003491271820448821"/>
        <n v="0.004680519112119684"/>
        <n v="-0.007076181872929908"/>
        <n v="0.003345485738794772"/>
        <n v="0.003690685413005312"/>
        <n v="0.0012250486416372742"/>
        <n v="-0.0056628704461083494"/>
        <n v="-0.027451189019524463"/>
        <n v="0.02882447665056357"/>
        <n v="0.0018469656992084133"/>
        <n v="0.006142506142506142"/>
        <n v="-5.714693906708515E-4"/>
        <n v="0.014393939393939395"/>
        <n v="-0.00196665241556224"/>
        <n v="1.755617977528489E-4"/>
        <n v="-0.012418772563176929"/>
        <n v="0.005076142131979695"/>
        <n v="0.01646518242984527"/>
        <n v="-0.0040341349883631075"/>
        <n v="0.011904761904761904"/>
        <n v="-0.00893611882622869"/>
        <n v="-0.0013418079096045037"/>
        <n v="0.0034328358208954544"/>
        <n v="0.0014993145990404144"/>
        <n v="0.011824817518248208"/>
        <n v="-0.007881462799495587"/>
        <n v="0.0019373587342589112"/>
        <n v="0.008411214953270992"/>
        <n v="0.009959376228541506"/>
        <n v="-0.01651000241021925"/>
        <n v="0.010913471759620097"/>
        <n v="0.01144981412639412"/>
        <n v="0.007356715141146273"/>
        <n v="8.79043600562588E-4"/>
        <n v="-0.0010854620450104927"/>
        <n v="-0.008448928121059325"/>
        <n v="-0.008529127775989749"/>
        <n v="-0.007692307692307693"/>
        <n v="3.8865137971248634E-4"/>
        <n v="-9.720534629404065E-4"/>
        <n v="-0.0015422362425516918"/>
        <n v="-0.0010285042609462908"/>
        <n v="0.003911836459998226"/>
        <n v="0.004181184668989507"/>
        <n v="-0.0038904899135447342"/>
        <n v="-0.01566960603945952"/>
        <n v="-0.008108108108108109"/>
        <n v="-0.02737003058103972"/>
        <n v="-0.0042735042735043615"/>
        <n v="-0.0190298507462686"/>
        <n v="-0.020069930069930103"/>
        <n v="-0.0017649654360934429"/>
        <n v="-0.006582533227118332"/>
        <n v="-0.0012108631724615905"/>
        <n v="-0.0025412038045451247"/>
        <n v="0.0403430749682338"/>
        <n v="0.013616792249730869"/>
        <n v="-0.021806853582554516"/>
        <n v="0.0029742661321609572"/>
        <n v="-0.025185744868404483"/>
        <n v="-0.011901408450704209"/>
        <n v="-0.015814907014204065"/>
        <n v="0.00383561643835615"/>
        <n v="0.0029360967184802167"/>
        <n v="-0.005971223021582701"/>
        <n v="0.011541984732824483"/>
        <n v="0.033278488402951036"/>
        <n v="0.019828680203045686"/>
        <n v="-0.00810810810810805"/>
        <n v="0.01958762886597944"/>
        <n v="0.011467236467236361"/>
        <n v="-0.011360283269400903"/>
        <n v="0.0018526315789473588"/>
        <n v="-0.006896551724137931"/>
        <n v="0.02165467625899274"/>
        <n v="-0.004829751267809708"/>
        <n v="0.007172342621259077"/>
        <n v="-1.5625000000003554E-4"/>
        <n v="-0.0033678756476684234"/>
        <n v="-0.009504498796096819"/>
        <n v="-0.004013801844940449"/>
        <n v="0.012433392539964443"/>
        <n v="0.003924050632911421"/>
        <n v="6.939625260235553E-4"/>
        <n v="-0.011939393939393967"/>
        <n v="-0.009631147540983584"/>
        <n v="-0.0034262575922754173"/>
        <n v="-0.007350045937787141"/>
        <n v="0.006270796007166595"/>
        <n v="-0.0014825273561596044"/>
        <n v="-0.01036950489265375"/>
        <n v="0.0012184873949579497"/>
        <n v="-0.015256588072121975"/>
        <n v="-1.4035087719301438E-4"/>
        <n v="-0.018401521192418575"/>
        <n v="-0.008082901554404097"/>
        <n v="-0.011711430356027484"/>
        <n v="-0.009784477059367946"/>
        <n v="-0.0057251908396946565"/>
        <n v="-0.010254596888260374"/>
        <n v="-0.004431314623338257"/>
        <n v="-0.007184873949579866"/>
        <n v="-0.002288732394366117"/>
        <n v="-0.007605633802816869"/>
        <n v="9.316770186335404E-4"/>
        <n v="0.005999895653988626"/>
        <n v="-0.009876156137325528"/>
        <n v="0.013333333333333334"/>
        <n v="-6.402048655569782E-4"/>
        <n v="7.145409074683336E-5"/>
        <n v="0.0023735350838154914"/>
        <n v="0.0019466779517561554"/>
        <n v="0.0028233633315685705"/>
        <n v="-0.0014844136566057372"/>
        <n v="-0.01554113094495075"/>
        <n v="-0.034123321060001016"/>
        <n v="-0.01638827607942007"/>
        <n v="-0.017282321899736178"/>
        <n v="-0.013523956723338487"/>
        <n v="-0.0038709677419354266"/>
        <n v="-0.008775844117209546"/>
        <n v="-0.010436913715879317"/>
        <n v="-0.010954063604240363"/>
        <n v="-0.016406249999999935"/>
        <n v="-0.01914758269720096"/>
        <n v="-0.010580021482277146"/>
        <n v="-0.015525982256020386"/>
        <n v="0.004832214765100702"/>
        <n v="-0.0075393214610684454"/>
        <n v="-0.0036690647482013733"/>
        <n v="-0.0013584905660377015"/>
        <n v="-0.003883909517712441"/>
        <n v="-0.02677304964539011"/>
        <n v="-0.0028779048852435427"/>
        <n v="-0.014508640701573382"/>
        <n v="-0.007227082540890048"/>
        <n v="-0.00804634695848085"/>
        <n v="0.005769488796457894"/>
        <n v="-0.015324165029469608"/>
        <n v="-0.01350277998411441"/>
        <n v="-0.010422960725075495"/>
        <n v="0.0013710955910708326"/>
        <n v="0.006030701754385881"/>
        <n v="-0.01730504670190418"/>
        <n v="-0.004544569239758489"/>
        <n v="0.012114298131247259"/>
        <n v="0.02025931928687196"/>
        <n v="0.0069277911004528795"/>
        <n v="0.021883289124668436"/>
        <n v="0.01868613138686133"/>
        <n v="0.008231707317073136"/>
        <n v="0.020170940170940167"/>
        <n v="0.013949275362318924"/>
        <n v="-0.0015486725663716144"/>
        <n v="-0.012744210117738417"/>
        <n v="-0.001016260162601553"/>
        <n v="-0.003007280785058527"/>
        <n v="-0.0027548209366389993"/>
        <n v="-0.0016872160934457553"/>
        <n v="4.2992261392950896E-4"/>
        <n v="0.015705225007550554"/>
        <n v="0.003099476439790614"/>
        <n v="0.023197715917202"/>
        <n v="0.00863596102745796"/>
        <n v="-0.00676290805046161"/>
        <n v="0.0019810462065642477"/>
        <n v="-3.1751071598655624E-4"/>
        <n v="0.023231395196220035"/>
        <n v="0.011096605744125326"/>
        <n v="0.006375358166189218"/>
        <n v="-0.006686478454680535"/>
        <n v="-0.001795407098121114"/>
        <n v="-0.010207612456747365"/>
        <n v="0.002117251952982305"/>
        <n v="-0.016407263294422797"/>
        <n v="-0.016147818720880985"/>
        <n v="-0.021728935438486932"/>
        <n v="-8.933129147524827E-4"/>
        <n v="-0.01156515034695451"/>
        <n v="-0.010624734381640459"/>
        <n v="-0.010344827586206862"/>
        <n v="-0.014012632283431607"/>
        <n v="-0.017605020045319893"/>
        <n v="-0.00911211546872722"/>
        <n v="-0.004018445322793089"/>
        <n v="-0.0028968402982671873"/>
        <n v="-0.001597444089456869"/>
        <n v="6.371049949031601E-4"/>
        <n v="-0.002859370938393465"/>
        <n v="0.001434205808533647"/>
        <n v="-0.004090289350098538"/>
        <n v="-0.006871686108165449"/>
        <n v="0.010625110678236231"/>
        <n v="0.00880410858400587"/>
        <n v="0.02138157894736842"/>
        <n v="0.002460156166434986"/>
        <n v="0.008123606244026797"/>
        <n v="-0.017639593908629413"/>
        <n v="0.02538071065989848"/>
        <n v="0.006428571428571469"/>
        <n v="-0.006235741444866954"/>
        <n v="-0.006833810276342179"/>
        <n v="-0.01256983240223452"/>
        <n v="-0.0010869565217391304"/>
        <n v="0.018010511472888034"/>
        <n v="0.0019110308949995417"/>
        <n v="-0.012114537444933992"/>
        <n v="-0.0019295086184718292"/>
        <n v="-0.010406091370558434"/>
        <n v="-0.0014170327334560625"/>
        <n v="-0.010683760683760682"/>
        <n v="-0.005160624435556653"/>
        <n v="0.002826355767532278"/>
        <n v="-2.905709719598021E-4"/>
        <n v="0.022162060064219634"/>
        <n v="0.017802430005282643"/>
        <n v="0.0077654516640253204"/>
        <n v="0.008751608751608693"/>
        <n v="0.0037084398976981806"/>
        <n v="-8.494973807164417E-4"/>
        <n v="4.608294930874877E-4"/>
        <n v="-0.005407725321888373"/>
        <n v="-0.006146821215314366"/>
        <n v="-0.004985909386516432"/>
        <n v="-3.685503685503127E-4"/>
        <n v="0.011761658031088107"/>
        <n v="0.005656819610308018"/>
        <n v="-7.620983106819625E-4"/>
        <n v="0.017391304347826115"/>
        <n v="0.020418291386033287"/>
        <n v="0.014090978710369193"/>
        <n v="0.007152089616544578"/>
        <n v="0.015041585560077862"/>
        <n v="0.005305232558139502"/>
        <n v="0.015354499296506948"/>
        <n v="7.135575942915856E-4"/>
        <n v="-0.009500077869490768"/>
        <n v="0.002032778554186282"/>
        <n v="-5.013159543802197E-4"/>
        <n v="-0.0163470823561869"/>
        <n v="-9.036144578313596E-4"/>
        <n v="-0.005372905206600959"/>
        <n v="0.0013925152306352559"/>
        <n v="0.008458035133376741"/>
        <n v="0.00377697841726616"/>
        <n v="0.0027439024390244365"/>
        <n v="-0.0017279296261388983"/>
        <n v="0.0010143273741599524"/>
        <n v="0.0027586206896552294"/>
        <n v="0.008757180888328428"/>
        <n v="3.0211480362544633E-4"/>
        <n v="-0.0038172850096505027"/>
        <n v="-0.007110648629899449"/>
        <n v="0.004522613065326601"/>
        <m/>
      </sharedItems>
    </cacheField>
    <cacheField name="Abs % Change" numFmtId="10">
      <sharedItems containsString="0" containsBlank="1" containsNumber="1">
        <n v="0.010095911155981827"/>
        <n v="0.04367567567567565"/>
        <n v="0.012322412293418383"/>
        <n v="0.0015228426395939086"/>
        <n v="0.0019464720194647478"/>
        <n v="0.011392405063291243"/>
        <n v="0.021493353211579164"/>
        <n v="0.007801899592944407"/>
        <n v="0.0029651593773165306"/>
        <n v="0.004196135494568743"/>
        <n v="0.0040609137055837565"/>
        <n v="0.012222912782266488"/>
        <n v="0.004559494043241687"/>
        <n v="0.00963000506842372"/>
        <n v="0.004384896467722318"/>
        <n v="0.0047279943964510995"/>
        <n v="0.010804904698312464"/>
        <n v="0.003234593122233533"/>
        <n v="5.940005940005602E-4"/>
        <n v="0.0011533242876526767"/>
        <n v="0.008198380566801642"/>
        <n v="0.005567010309278327"/>
        <n v="0.008554572271386363"/>
        <n v="0.005512454062882786"/>
        <n v="0.002213749846267316"/>
        <n v="0.012602579132473656"/>
        <n v="0.010394265232974965"/>
        <n v="0.024193548387096926"/>
        <n v="0.012407680945347086"/>
        <n v="0.004455782312925139"/>
        <n v="0.014197965965159624"/>
        <n v="0.011308603812467824"/>
        <n v="0.03994673768308921"/>
        <n v="0.022597137014314952"/>
        <n v="0.024387254901960757"/>
        <n v="0.022795902658535108"/>
        <n v="1.179245283019136E-4"/>
        <n v="0.007480862908837778"/>
        <n v="0.00386674598453305"/>
        <n v="0.0023393009377664542"/>
        <n v="0.0317045687359147"/>
        <n v="0.020886930385389336"/>
        <n v="0.014550467146576812"/>
        <n v="0.020792182139515544"/>
        <n v="0.0017585730435874605"/>
        <n v="0.009975816203143927"/>
        <n v="0.009578320289685837"/>
        <n v="0.002613240418118467"/>
        <n v="0.007984622209078945"/>
        <n v="0.008093622795115376"/>
        <n v="7.315645727662895E-4"/>
        <n v="0.0011089479780181867"/>
        <n v="0.015315315315315384"/>
        <n v="0.01438703140830805"/>
        <n v="0.00988735919899872"/>
        <n v="0.013011041480155047"/>
        <n v="0.0019883040935673047"/>
        <n v="0.024445214979195603"/>
        <n v="0.002485380116959131"/>
        <n v="0.0015962441314554723"/>
        <n v="0.02053398058252436"/>
        <n v="0.016170985473105748"/>
        <n v="0.0017722640673459337"/>
        <n v="0.0013861386138613637"/>
        <n v="0.03536857781087119"/>
        <n v="0.004256073771945374"/>
        <n v="0.00776451500753266"/>
        <n v="0.010631117111036035"/>
        <n v="0.015962850094325933"/>
        <n v="5.911991938193545E-4"/>
        <n v="0.004575786463298336"/>
        <n v="0.005892255892255892"/>
        <n v="0.003519061583577679"/>
        <n v="0.00236920039486671"/>
        <n v="5.993048064245475E-4"/>
        <n v="0.0012971698113207481"/>
        <n v="0.01868722261153936"/>
        <n v="0.0025045917515444985"/>
        <n v="0.027977956761339486"/>
        <n v="0.006772693577734318"/>
        <n v="0.007942583732057373"/>
        <n v="0.010649038461538505"/>
        <n v="0.015000000000000067"/>
        <n v="0.001086956521739153"/>
        <n v="0.008967001434720229"/>
        <n v="0.006756359790846635"/>
        <n v="0.0076492750313962"/>
        <n v="0.006227907759636501"/>
        <n v="0.0038456256008789374"/>
        <n v="0.004897192499916114"/>
        <n v="0.024997587105491617"/>
        <n v="0.03793689320388354"/>
        <n v="0.058501440922190236"/>
        <n v="0.01885302536768337"/>
        <n v="0.03290094339622639"/>
        <n v="0.04900932400932399"/>
        <n v="0.002064220183486186"/>
        <n v="0.015374103177314658"/>
        <n v="0.02194919933738263"/>
        <n v="0.018132088058705847"/>
        <n v="2.475492623031983E-4"/>
        <n v="0.04146095717884129"/>
        <n v="0.0076263107721639975"/>
        <n v="0.0055555555555556"/>
        <n v="0.010435779816513788"/>
        <n v="0.0024483890712814964"/>
        <n v="0.014419775692378145"/>
        <n v="0.002020202020202097"/>
        <n v="0.003952011291460769"/>
        <n v="0.028182177175200843"/>
        <n v="0.025790226342521684"/>
        <n v="0.015974524288063435"/>
        <n v="0.00472972972972973"/>
        <n v="0.0068359375"/>
        <n v="0.011136363636363585"/>
        <n v="0.00522222222222221"/>
        <n v="0.013228699551569455"/>
        <n v="0.01700336700336704"/>
        <n v="8.544574195386253E-4"/>
        <n v="0.010684496673758257"/>
        <n v="0.007765188513381454"/>
        <n v="0.030670241286863294"/>
        <n v="0.013851590106007002"/>
        <n v="0.005705705705705751"/>
        <n v="0.03251748251748249"/>
        <n v="0.010910980256321362"/>
        <n v="0.0077546296296296825"/>
        <n v="0.009999999999999962"/>
        <n v="0.0033527696793002252"/>
        <n v="0.020604491222208237"/>
        <n v="0.05241141732283464"/>
        <n v="0.005905403167945276"/>
        <n v="0.006569343065693431"/>
        <n v="0.004803843074459636"/>
        <n v="2.457002457003016E-4"/>
        <n v="0.005014749262536839"/>
        <n v="0.005659505659505634"/>
        <n v="0.012099125364431421"/>
        <n v="0.01239378031668252"/>
        <n v="0.04282786885245897"/>
        <n v="0.027038281098187292"/>
        <n v="0.02046783625730994"/>
        <n v="0.03543465167637028"/>
        <n v="0.03327603143418471"/>
        <n v="0.04713390713742013"/>
        <n v="0.03518346493265219"/>
        <n v="0.022128378378378416"/>
        <n v="0.032500000000000036"/>
        <n v="0.01634015069967706"/>
        <n v="0.08195488721804506"/>
        <n v="0.03589377498572239"/>
        <n v="0.0196078431372549"/>
        <n v="0.022982529118136464"/>
        <n v="0.005798969072164949"/>
        <n v="0.013514347423634665"/>
        <n v="0.016787439613526543"/>
        <n v="0.018393197987159507"/>
        <n v="4.5829514207159825E-4"/>
        <n v="0.017749712304621985"/>
        <n v="0.031994487103760585"/>
        <n v="0.02328954570333878"/>
        <n v="0.017826086956521672"/>
        <n v="0.010264227642276446"/>
        <n v="0.012874999999999944"/>
        <n v="0.01817748375946113"/>
        <n v="0.014135940629049359"/>
        <n v="0.00944206008583691"/>
        <n v="0.008409785932721712"/>
        <n v="0.01640751897991461"/>
        <n v="0.003122010171710582"/>
        <n v="0.013409430930348559"/>
        <n v="0.019152046783625764"/>
        <n v="0.0012277470841006056"/>
        <n v="0.012578616352201259"/>
        <n v="0.004722407216806933"/>
        <n v="0.004753981459472308"/>
        <n v="1.7319016279879242E-4"/>
        <n v="0.012568140520896531"/>
        <n v="0.006507104918009042"/>
        <n v="0.021144403246818343"/>
        <n v="0.005723905723905749"/>
        <n v="0.006558354449247246"/>
        <n v="0.011179487179487156"/>
        <n v="0.008928571428571428"/>
        <n v="0.0075430378976822235"/>
        <n v="0.0034202146479537414"/>
        <n v="0.004291108822519739"/>
        <n v="0.0131559276423979"/>
        <n v="0.0015328467153284007"/>
        <n v="0.01167002012072437"/>
        <n v="0.009843837144450692"/>
        <n v="0.0022058823529411764"/>
        <n v="0.006768360440448576"/>
        <n v="0.02100628930817616"/>
        <n v="0.008041425525434012"/>
        <n v="2.3551577955728388E-4"/>
        <n v="0.02118209771096682"/>
        <n v="0.0019693985759732685"/>
        <n v="0.0050164920801769345"/>
        <n v="0.02015535360714832"/>
        <n v="0.007878446820483961"/>
        <n v="0.013219058686810028"/>
        <n v="0.007726269315673335"/>
        <n v="0.021497584541062747"/>
        <n v="4.166666666666261E-4"/>
        <n v="1.1719207781543309E-4"/>
        <n v="0.009427374301675938"/>
        <n v="0.010796221322537011"/>
        <n v="0.010673301288893142"/>
        <n v="0.02166707890180568"/>
        <n v="0.0050852272727272985"/>
        <n v="0.0035511363636363635"/>
        <n v="0.0015151515151515152"/>
        <n v="0.017915690866510486"/>
        <n v="8.320950965823855E-4"/>
        <n v="0.0024688455208088673"/>
        <n v="0.008480565371024654"/>
        <n v="0.013566475731082304"/>
        <n v="0.010507462686567109"/>
        <n v="0.005257777128669468"/>
        <n v="0.0094283020485129"/>
        <n v="0.018473435486180693"/>
        <n v="0.011800302571860863"/>
        <n v="0.0032411158698924278"/>
        <n v="0.022142857142857138"/>
        <n v="0.013926590345804266"/>
        <n v="0.01192982456140343"/>
        <n v="0.008066971080669642"/>
        <n v="0.006787727905103597"/>
        <n v="0.02732509477622963"/>
        <n v="6.051873198847E-4"/>
        <n v="5.836008170411107E-4"/>
        <n v="0.008606557377049157"/>
        <n v="0.0027881040892194365"/>
        <n v="0.012553582363747599"/>
        <n v="0.017356954752214507"/>
        <n v="0.004609929078014225"/>
        <n v="0.0016591251885369875"/>
        <n v="0.005265571151769653"/>
        <n v="0.024681299722035848"/>
        <n v="0.01734635267087883"/>
        <n v="0.03182017223762964"/>
        <n v="0.01341463414634151"/>
        <n v="0.04122401847575063"/>
        <n v="0.030163537250151362"/>
        <n v="0.002464499471892997"/>
        <n v="0.01618353192246116"/>
        <n v="0.005555555555555623"/>
        <n v="0.001514120822452829"/>
        <n v="0.0075184275184274965"/>
        <n v="0.027453810623556556"/>
        <n v="0.027409638554216936"/>
        <n v="0.034329896907216446"/>
        <n v="0.028978507606858245"/>
        <n v="0.029312499999999984"/>
        <n v="0.01679082416932724"/>
        <n v="0.025899280575539526"/>
        <n v="0.030489636527485667"/>
        <n v="0.01887963774466852"/>
        <n v="0.02710738886961695"/>
        <n v="0.010478197631274222"/>
        <n v="0.0032608695652174267"/>
        <n v="0.012277143162165046"/>
        <n v="0.010569510072121362"/>
        <n v="0.01265332472562949"/>
        <n v="0.013768115942028957"/>
        <n v="0.0031481481481482323"/>
        <n v="0.007205513784461189"/>
        <n v="7.700934579439048E-4"/>
        <n v="0.005652306752215047"/>
        <n v="8.279124778238267E-4"/>
        <n v="0.0047987616099071555"/>
        <n v="0.006644167897068081"/>
        <n v="0.022095959595959596"/>
        <n v="0.0021577089054532006"/>
        <n v="0.006475259621258344"/>
        <n v="0.010297903641044335"/>
        <n v="0.012371134020618485"/>
        <n v="0.0033850578155892263"/>
        <n v="0.05707692307692305"/>
        <n v="0.03294117647058824"/>
        <n v="0.053022105425877195"/>
        <n v="0.035557414766785186"/>
        <n v="0.08275862068965523"/>
        <n v="0.04684039087947881"/>
        <n v="0.008944099378882044"/>
        <n v="0.022037037037036994"/>
        <n v="0.017729393468118162"/>
        <n v="0.011648678823967317"/>
        <n v="0.01627114979188059"/>
        <n v="0.01876520681265201"/>
        <n v="0.010087862024080591"/>
        <n v="0.022898230088495626"/>
        <n v="0.008684210526315819"/>
        <n v="0.010632570659488453"/>
        <n v="0.012534469791927802"/>
        <n v="0.010358718588145197"/>
        <n v="0.012082670906200355"/>
        <n v="0.001982049364248385"/>
        <n v="0.020421052631578923"/>
        <n v="0.014860681114551083"/>
        <n v="0.0017628205128205493"/>
        <n v="0.0030391715443494434"/>
        <n v="0.00922197688011433"/>
        <n v="0.022055173391958116"/>
        <n v="0.007701711491442487"/>
        <n v="0.0062654262388455555"/>
        <n v="0.014077823473584272"/>
        <n v="0.008960168661998412"/>
        <n v="0.017096774193548363"/>
        <n v="0.011888544891640896"/>
        <n v="0.007443365695792917"/>
        <n v="0.002566964285714235"/>
        <n v="0.027927927927927986"/>
        <n v="0.0013927576601670518"/>
        <n v="0.01364240009658331"/>
        <n v="0.012641509433962349"/>
        <n v="3.139224611521668E-4"/>
        <n v="0.006666666666666735"/>
        <n v="0.03520678685047725"/>
        <n v="0.02667316241398207"/>
        <n v="8.051529790660225E-4"/>
        <n v="1.1061946902657382E-4"/>
        <n v="0.010344827586206836"/>
        <n v="0.005439330543933062"/>
        <n v="0.002078239608802012"/>
        <n v="0.01044039483675019"/>
        <n v="0.0012484394506867482"/>
        <n v="0.005932835820895556"/>
        <n v="0.014454262219725308"/>
        <n v="0.008030769230769202"/>
        <n v="0.030511182108626234"/>
        <n v="0.03209606986899561"/>
        <n v="0.03534031413612566"/>
        <n v="0.039078710748374636"/>
        <n v="0.031170714026821394"/>
        <n v="0.031751824817518204"/>
        <n v="0.028038822985672538"/>
        <n v="0.026684605897522008"/>
        <n v="0.04757972959025702"/>
        <n v="0.02765625"/>
        <n v="0.023089700996677703"/>
        <n v="0.01351666278256806"/>
        <n v="0.026986301369863075"/>
        <n v="0.02036379447786073"/>
        <n v="0.007750000000000057"/>
        <n v="0.008295625942684723"/>
        <n v="0.013606531134944772"/>
        <n v="0.009512761020881635"/>
        <n v="0.06039408866995069"/>
        <n v="0.04185835351089594"/>
        <n v="0.016677357280307854"/>
        <n v="0.0045682960255824575"/>
        <n v="0.030933263130182964"/>
        <n v="0.021184944566061716"/>
        <n v="0.005409392672731716"/>
        <n v="0.005042958535674347"/>
        <n v="0.003465658475110343"/>
        <n v="0.011717557251908328"/>
        <n v="0.041890280262373375"/>
        <n v="0.04817915809601059"/>
        <n v="0.0042674253200569705"/>
        <n v="0.005596162631338485"/>
        <n v="0.014455673532045483"/>
        <n v="0.0035255080879302565"/>
        <n v="0.017279143343879207"/>
        <n v="0.01959334565619228"/>
        <n v="0.018965517241379345"/>
        <n v="0.01385951661631413"/>
        <n v="0.029792746113989636"/>
        <n v="0.0253041065821164"/>
        <n v="0.01444444444444448"/>
        <n v="0.02595612725393364"/>
        <n v="0.032335480611342705"/>
        <n v="0.024129059175300737"/>
        <n v="0.013642564802182811"/>
        <n v="0.012784357962022852"/>
        <n v="0.014109347442680702"/>
        <n v="0.010711671097753702"/>
        <n v="0.03663551401869154"/>
        <n v="0.020564744355700788"/>
        <n v="0.014772727272727309"/>
        <n v="0.0034278959810874437"/>
        <n v="0.005352480417754599"/>
        <n v="0.0045389048991354135"/>
        <n v="0.014065050860228473"/>
        <n v="0.020773775490756794"/>
        <n v="0.05182586509328656"/>
        <n v="0.004886821220532468"/>
        <n v="0.022631695440460304"/>
        <n v="0.01667741935483865"/>
        <n v="0.013689907672715732"/>
        <n v="0.019999999999999973"/>
        <n v="0.02225982816974749"/>
        <n v="0.005802292263610332"/>
        <n v="0.032684725931578194"/>
        <n v="0.01801801801801819"/>
        <n v="0.026546003016591286"/>
        <n v="0.0010191682019520636"/>
        <n v="0.03277173913043476"/>
        <n v="0.0229873586161011"/>
        <n v="0.006819288845591707"/>
        <n v="0.017149758454106333"/>
        <n v="0.00960000000000006"/>
        <n v="0.016276041666666664"/>
        <n v="0.0069010416666666075"/>
        <n v="0.01405426507905511"/>
        <n v="0.014411901441190075"/>
        <n v="0.014327888210982126"/>
        <n v="0.022555555555555506"/>
        <n v="0.006959459459459429"/>
        <n v="0.02485284499672996"/>
        <n v="0.0062622789783890265"/>
        <n v="2.684563758389872E-4"/>
        <n v="0.005461254612546192"/>
        <n v="0.019865807130640734"/>
        <n v="0.006929320926549198"/>
        <n v="0.00952078705172961"/>
        <n v="0.01116783663050415"/>
        <n v="0.024155405405405457"/>
        <n v="0.03669542794803134"/>
        <n v="0.030018447090390706"/>
        <n v="0.0014494504167169124"/>
        <n v="0.013694951664876387"/>
        <n v="0.007326278398579213"/>
        <n v="0.03500000000000003"/>
        <n v="0.0017921146953404565"/>
        <n v="0.006210191082802512"/>
        <n v="0.005403912906279512"/>
        <n v="0.005770007501009752"/>
        <n v="0.024412140464762894"/>
        <n v="0.01759781308730558"/>
        <n v="0.008895299915855245"/>
        <n v="0.010519125683060172"/>
        <n v="0.012902269019724225"/>
        <n v="0.0035326086956522047"/>
        <n v="0.008"/>
        <n v="0.006388755789809934"/>
        <n v="0.015149712472734412"/>
        <n v="0.0"/>
        <n v="0.012327586206896512"/>
        <n v="0.017568272743085794"/>
        <n v="0.017068151555501784"/>
        <n v="0.00566063785724135"/>
        <n v="0.01810396634615382"/>
        <n v="0.02075886719824034"/>
        <n v="0.023588709677419332"/>
        <n v="0.031329113924050564"/>
        <n v="0.015020335843434212"/>
        <n v="0.01397857631239069"/>
        <n v="0.030599078341013868"/>
        <n v="0.011500353857041755"/>
        <n v="0.016323024054982902"/>
        <n v="0.0035911602209945065"/>
        <n v="0.008517758004411015"/>
        <n v="0.02352611679036543"/>
        <n v="0.0032679738562090806"/>
        <n v="0.03422344996930625"/>
        <n v="0.029282576866764273"/>
        <n v="0.0778761061946902"/>
        <n v="0.10312905017589344"/>
        <n v="0.015408320493066256"/>
        <n v="0.008432304038004778"/>
        <n v="0.02141211546279993"/>
        <n v="0.004640200338808245"/>
        <n v="0.014973262032085622"/>
        <n v="0.037826961770623654"/>
        <n v="0.0026327336551118245"/>
        <n v="0.002325581395348837"/>
        <n v="0.058016464131713054"/>
        <n v="0.07251238645747317"/>
        <n v="0.013760698103708563"/>
        <n v="0.01660891384872742"/>
        <n v="0.006542789845590159"/>
        <n v="0.0024763292061180144"/>
        <n v="0.02256756756756763"/>
        <n v="0.010507880910682969"/>
        <n v="0.009356725146198798"/>
        <n v="5.791729410401945E-4"/>
        <n v="0.09931791715188809"/>
        <n v="0.11056179775280896"/>
        <n v="0.0117864960431049"/>
        <n v="0.00678571428571434"/>
        <n v="0.014900233221041722"/>
        <n v="0.006225568264080018"/>
        <n v="0.015118196811434854"/>
        <n v="0.0027450980392156417"/>
        <n v="0.005930318754633061"/>
        <n v="2.3192887514492038E-4"/>
        <n v="0.05355848673720836"/>
        <n v="0.06588235294117652"/>
        <n v="0.011886568177958906"/>
        <n v="0.011428571428571456"/>
        <n v="0.004975124378109394"/>
        <n v="0.010416666666666586"/>
        <n v="0.020692453340546327"/>
        <n v="0.01098039215686279"/>
        <n v="0.01650700073691974"/>
        <n v="0.014845536648707384"/>
        <n v="0.12366310160427807"/>
        <n v="0.15221932114882514"/>
        <n v="0.001025991792065508"/>
        <n v="0.0026486876956416227"/>
        <n v="0.004325599685411022"/>
        <n v="0.011897810218978068"/>
        <n v="0.001101169993117625"/>
        <n v="0.011426319936958146"/>
        <n v="0.005885015844273564"/>
        <n v="0.009531250000000036"/>
        <n v="0.0448573795715469"/>
        <n v="0.02396089816618273"/>
        <n v="0.00512557662737058"/>
        <n v="0.007887189292543048"/>
        <n v="0.005612111720177588"/>
        <n v="0.004123860512226836"/>
        <n v="0.01498693798982535"/>
        <n v="0.008023483365949165"/>
        <n v="9.14216059728644E-4"/>
        <n v="0.01642080745341622"/>
        <n v="0.006443219131404413"/>
        <n v="0.02321428571428575"/>
        <n v="0.010924369747899159"/>
        <n v="0.006823529411764653"/>
        <n v="0.0011688311688311393"/>
        <n v="0.01094202898550718"/>
        <n v="0.02353760445682448"/>
        <n v="0.007488479262672986"/>
        <n v="0.016653816499614425"/>
        <n v="0.004783599088838234"/>
        <n v="0.008048289738430473"/>
        <n v="0.04481060606060613"/>
        <n v="0.001869476546567"/>
        <n v="0.012911632314617496"/>
        <n v="0.009505208333333274"/>
        <n v="0.002508780732564137"/>
        <n v="0.01029949857704299"/>
        <n v="0.011938601478112692"/>
        <n v="0.01215620726333384"/>
        <n v="0.012858220211161354"/>
        <n v="0.007598600892534156"/>
        <n v="0.03181102362204732"/>
        <n v="0.0064384954252794885"/>
        <n v="5.978715771852207E-4"/>
        <n v="0.003329065300896316"/>
        <n v="0.006766863736733305"/>
        <n v="0.00965794768611676"/>
        <n v="0.0023014959723821355"/>
        <n v="0.010307692307692377"/>
        <n v="0.005858409099554948"/>
        <n v="0.02136803874092007"/>
        <n v="0.020549330528700185"/>
        <n v="0.008224236320913212"/>
        <n v="0.013583851720197958"/>
        <n v="0.009313899751155366"/>
        <n v="1.353363107322002E-4"/>
        <n v="0.002875766871165644"/>
        <n v="0.005502904310608237"/>
        <n v="0.009328499131354435"/>
        <n v="0.0060617306859652095"/>
        <n v="0.0052038161318299705"/>
        <n v="0.00830702774547267"/>
        <n v="0.009569377990430622"/>
        <n v="0.0016288685628366802"/>
        <n v="0.0026063679909834074"/>
        <n v="0.0028309517390130885"/>
        <n v="0.004422226494904957"/>
        <n v="0.004118993135011511"/>
        <n v="0.00602455871066762"/>
        <n v="0.025948227698802024"/>
        <n v="0.03943018082370705"/>
        <n v="0.003969566655640055"/>
        <n v="0.0034897713598074334"/>
        <n v="0.012249999999999943"/>
        <n v="0.010133708655876128"/>
        <n v="4.0650406504058877E-4"/>
        <n v="0.002910925674364448"/>
        <n v="0.011902968208528085"/>
        <n v="0.0034128369206903944"/>
        <n v="0.008858581352367658"/>
        <n v="0.01959863364645606"/>
        <n v="0.013181743285549514"/>
        <n v="0.002283653846153819"/>
        <n v="0.012842677204248075"/>
        <n v="0.0020907380305248543"/>
        <n v="0.010155721056194989"/>
        <n v="0.0034951456310678727"/>
        <n v="9.167303284950691E-4"/>
        <n v="0.0052918287937742834"/>
        <n v="0.03826142131979693"/>
        <n v="0.0647812213139836"/>
        <n v="0.0159583129783424"/>
        <n v="0.01776710684273704"/>
        <n v="0.004146341463414607"/>
        <n v="0.005413005272407805"/>
        <n v="0.028415300546448027"/>
        <n v="0.015310077519379801"/>
        <n v="0.003658536585365819"/>
        <n v="0.00559055118110229"/>
        <n v="0.016485529368665285"/>
        <n v="0.01770491803278681"/>
        <n v="9.933774834437463E-4"/>
        <n v="0.0029332681495966477"/>
        <n v="0.008136992956036005"/>
        <n v="0.00345447008428907"/>
        <n v="0.003935347856640836"/>
        <n v="0.004940711462450593"/>
        <n v="0.009677907152578394"/>
        <n v="0.010198412698412627"/>
        <n v="0.02180722891566268"/>
        <n v="0.027394978974978217"/>
        <n v="0.009968433294567204"/>
        <n v="1.2180267965898019E-4"/>
        <n v="0.018799710773680298"/>
        <n v="0.008037694013303747"/>
        <n v="0.011899762004759906"/>
        <n v="0.0086614173228346"/>
        <n v="0.0034446607757974454"/>
        <n v="0.005254901960784349"/>
        <n v="0.002279728897104156"/>
        <n v="0.02110625909752555"/>
        <n v="0.022844755711189"/>
        <n v="0.01839444512120846"/>
        <n v="0.002205882352941121"/>
        <n v="0.01874125874125879"/>
        <n v="0.008380681818181785"/>
        <n v="0.017279046673286967"/>
        <n v="0.008120300751879665"/>
        <n v="0.012489592006661117"/>
        <n v="0.02702537075622007"/>
        <n v="0.03453997642024362"/>
        <n v="0.011825192802056517"/>
        <n v="0.01908302354399006"/>
        <n v="0.01958128078817731"/>
        <n v="0.017535034135824634"/>
        <n v="0.022314404234015196"/>
        <n v="0.013136620856911883"/>
        <n v="0.01966463414634143"/>
        <n v="0.010155966630395283"/>
        <n v="0.027096774193548386"/>
        <n v="0.0058796296296295455"/>
        <n v="0.04431838326537848"/>
        <n v="0.002557871850620284"/>
        <n v="0.03928571428571423"/>
        <n v="0.04194029850746272"/>
        <n v="0.001186943620177974"/>
        <n v="0.007708333333333309"/>
        <n v="0.011477987421383576"/>
        <n v="0.006900726392251779"/>
        <n v="0.03936170212765963"/>
        <n v="0.03772443948274275"/>
        <n v="0.015329586101175267"/>
        <n v="0.027989821882951654"/>
        <n v="0.023227383863080684"/>
        <n v="0.018613974799541768"/>
        <n v="0.01346950858496155"/>
        <n v="0.01821946169772259"/>
        <n v="0.017117958294428883"/>
        <n v="0.015277777777777815"/>
        <n v="0.010302681256799217"/>
        <n v="0.014337429741830955"/>
        <n v="0.009931506849314991"/>
        <n v="0.007901554404145108"/>
        <n v="0.00887389076365457"/>
        <n v="0.0021726535341831644"/>
        <n v="0.006698422149449241"/>
        <n v="0.01091290661070302"/>
        <n v="0.008490566037735812"/>
        <n v="0.00600823045267486"/>
        <n v="0.0047741935483871555"/>
        <n v="0.004393588258014634"/>
        <n v="0.0070701845145715175"/>
        <n v="9.094452384046322E-4"/>
        <n v="0.021905940594059464"/>
        <n v="0.0026103980857081696"/>
        <n v="5.968367651446989E-4"/>
        <n v="0.00850622406639009"/>
        <n v="0.012734797835084367"/>
        <n v="3.6815838992067864E-4"/>
        <n v="0.024835079549864095"/>
        <n v="0.033001698616840575"/>
        <n v="0.0025436662709852464"/>
        <n v="5.175983436854179E-4"/>
        <n v="0.01562310766622257"/>
        <n v="0.0032537960954448085"/>
        <n v="0.001938562481360078"/>
        <n v="0.0010416666666666667"/>
        <n v="6.449532408899988E-4"/>
        <n v="0.006289565039820335"/>
        <n v="0.008761499468051817"/>
        <n v="0.010328638497652582"/>
        <n v="0.005083884087442806"/>
        <n v="0.01806451612903226"/>
        <n v="0.023073263558515675"/>
        <n v="0.01303875407461073"/>
        <n v="0.004901232734293709"/>
        <n v="0.012916666666666642"/>
        <n v="0.004344328238133621"/>
        <n v="0.0022572437002380367"/>
        <n v="0.021891039515181555"/>
        <n v="0.014764150943396313"/>
        <n v="8.516436722875148E-4"/>
        <n v="0.0068331143232589295"/>
        <n v="0.00782396088019557"/>
        <n v="0.012036697247706321"/>
        <n v="0.010746268656716487"/>
        <n v="0.01440372802372381"/>
        <n v="0.0046925566343041705"/>
        <n v="0.004685958566261136"/>
        <n v="0.014907135874877728"/>
        <n v="0.02824594985760306"/>
        <n v="0.00343112026076514"/>
        <n v="0.01653876686954221"/>
        <n v="0.0072695909314933185"/>
        <n v="0.014049955396966891"/>
        <n v="0.009845501363223265"/>
        <n v="0.02836879432624111"/>
        <n v="0.00439238653001453"/>
        <n v="0.0061672185430463955"/>
        <n v="0.0041419386745795116"/>
        <n v="0.00547708273277606"/>
        <n v="0.010263427984946972"/>
        <n v="0.007430582714118018"/>
        <n v="0.005731707317073226"/>
        <n v="0.00913107511045641"/>
        <n v="0.0019519519519518836"/>
        <n v="0.0036163323661747345"/>
        <n v="0.0055069646906381236"/>
        <n v="0.005268140099600849"/>
        <n v="0.0012995049504949932"/>
        <n v="0.0014312977099236641"/>
        <n v="0.005418218760582343"/>
        <n v="0.011714727085478919"/>
        <n v="0.0010915706488780804"/>
        <n v="0.011362803313540146"/>
        <n v="0.013037614266446944"/>
        <n v="0.0380510440835266"/>
        <n v="0.017105050831047134"/>
        <n v="0.016827021494370483"/>
        <n v="0.012826046741074152"/>
        <n v="0.010860763111513447"/>
        <n v="0.0013513513513512744"/>
        <n v="0.0016539440203561762"/>
        <n v="0.001088270858524761"/>
        <n v="0.0030496659889630226"/>
        <n v="0.0053246561159592115"/>
        <n v="0.042020527269068214"/>
        <n v="9.483167377904579E-4"/>
        <n v="0.005828442800868237"/>
        <n v="0.0569903686890374"/>
        <n v="0.0542829643888354"/>
        <n v="0.038967611336032236"/>
        <n v="0.038827559954320544"/>
        <n v="0.058346447161360664"/>
        <n v="0.03807731287100037"/>
        <n v="0.04155692127597305"/>
        <n v="0.018331982555671335"/>
        <n v="0.031032298923369256"/>
        <n v="0.02866940468120742"/>
        <n v="0.005855855855855797"/>
        <n v="0.018795278382896758"/>
        <n v="0.01497735980494605"/>
        <n v="0.001970831690973591"/>
        <n v="0.014544526664965524"/>
        <n v="0.006292606187729443"/>
        <n v="0.004892966360856339"/>
        <n v="0.016747057688597463"/>
        <n v="0.0031045751633986558"/>
        <n v="0.015425531914893542"/>
        <n v="0.015026536223543704"/>
        <n v="0.020841584158415798"/>
        <n v="0.014144271570014143"/>
        <n v="7.893698197605877E-4"/>
        <n v="0.012548512289780137"/>
        <n v="0.0033544539694371125"/>
        <n v="0.015431164901664214"/>
        <n v="0.01831488084068304"/>
        <n v="0.001633186346562143"/>
        <n v="0.01321056845476381"/>
        <n v="0.03113517694836586"/>
        <n v="0.011925214754926685"/>
        <n v="0.024390243902439025"/>
        <n v="0.024505307299174477"/>
        <n v="0.020865139949109386"/>
        <n v="0.018122400475341638"/>
        <n v="0.011417991050763736"/>
        <n v="0.03253317648788724"/>
        <n v="0.004565465514430058"/>
        <n v="0.009668508287292817"/>
        <n v="0.029607451763140388"/>
        <n v="0.02783361682387506"/>
        <n v="0.010160427807486713"/>
        <n v="0.00780829294561114"/>
        <n v="0.0023222809960004574"/>
        <n v="0.01452344931921322"/>
        <n v="0.03777118776338387"/>
        <n v="0.003712121212121281"/>
        <n v="0.014306857424765737"/>
        <n v="0.009530645611516385"/>
        <n v="0.04207232267037552"/>
        <n v="0.05123693751332902"/>
        <n v="0.0219354838709677"/>
        <n v="0.008740781207320528"/>
        <n v="0.03226663125746922"/>
        <n v="0.04717644302116696"/>
        <n v="0.009631351710395331"/>
        <n v="0.038717437882945474"/>
        <n v="0.025084745762711788"/>
        <n v="0.00800813008130074"/>
        <n v="0.09723308912440416"/>
        <n v="0.12115138355325436"/>
        <n v="0.011606140022463369"/>
        <n v="0.011643835616438357"/>
        <n v="0.022602739726027398"/>
        <n v="0.029512195121951183"/>
        <n v="0.03311699117989678"/>
        <n v="0.011067101584343052"/>
        <n v="0.008688097306689836"/>
        <n v="0.004300297403745607"/>
        <n v="0.004466279589102278"/>
        <n v="0.004759615384615428"/>
        <n v="0.025191675794085353"/>
        <n v="0.007260016133369308"/>
        <n v="0.03774834437086093"/>
        <n v="0.010213628566973243"/>
        <n v="0.02815549512078071"/>
        <n v="0.010425450364124074"/>
        <n v="0.012372881355932126"/>
        <n v="0.005823527049279087"/>
        <n v="0.031114371294088936"/>
        <n v="0.03324149767399842"/>
        <n v="0.001683186833738715"/>
        <n v="0.0010569427929714207"/>
        <n v="0.015934065934065964"/>
        <n v="0.00664322000781562"/>
        <n v="0.0024638127502310176"/>
        <n v="0.012230769230769257"/>
        <n v="0.004515050167224156"/>
        <n v="0.005997299229486022"/>
        <n v="0.01149497487437183"/>
        <n v="6.488089721012563E-4"/>
        <n v="0.017857142857142898"/>
        <n v="0.02013157894736836"/>
        <n v="0.001534812334309905"/>
        <n v="0.008425196850393647"/>
        <n v="0.002612972640639305"/>
        <n v="0.017442748091603028"/>
        <n v="0.01663027045187316"/>
        <n v="0.015050103989412056"/>
        <n v="9.202453987730061E-4"/>
        <n v="0.014094269870609981"/>
        <n v="0.008363636363636405"/>
        <n v="0.006545174537987708"/>
        <n v="9.722222222222854E-4"/>
        <n v="0.012805587892898764"/>
        <n v="0.030196198651134345"/>
        <n v="0.004699738903394222"/>
        <n v="0.012062128222075271"/>
        <n v="0.00801671732522793"/>
        <n v="0.006898656898656871"/>
        <n v="0.01655224301702239"/>
        <n v="0.005923532579429105"/>
        <n v="0.016623711340206158"/>
        <n v="0.019146005509641843"/>
        <n v="0.004707668944570814"/>
        <n v="0.03996447602131439"/>
        <n v="0.008393956351426972"/>
        <n v="0.015146579804560186"/>
        <n v="0.02808088515833648"/>
        <n v="0.026909090909090966"/>
        <n v="0.007980769230769187"/>
        <n v="0.015602836879432544"/>
        <n v="0.006028833551769361"/>
        <n v="0.009898341359015485"/>
        <n v="0.012708018154311487"/>
        <n v="0.014067278287461843"/>
        <n v="0.0073308270676691305"/>
        <n v="0.014735099337748307"/>
        <n v="9.387467730580032E-4"/>
        <n v="0.017230537039366032"/>
        <n v="0.004142300194931774"/>
        <n v="0.04151943462897526"/>
        <n v="0.021986754966887446"/>
        <n v="0.029222520107238546"/>
        <n v="0.004371165644171727"/>
        <n v="0.008255451713395567"/>
        <n v="1.9011406844110786E-4"/>
        <n v="0.01058823529411757"/>
        <n v="0.004999999999999928"/>
        <n v="0.028931203931203877"/>
        <n v="0.024246806459387784"/>
        <n v="0.03722627737226273"/>
        <n v="0.007771014117342313"/>
        <n v="0.05705505077498655"/>
        <n v="0.020841285594320316"/>
        <n v="0.003540640394088775"/>
        <n v="0.024639720141450314"/>
        <n v="0.0018625126989502585"/>
        <n v="0.015560821484992137"/>
        <n v="0.030285530959255725"/>
        <n v="0.00386895789367905"/>
        <n v="0.00910125142207045"/>
        <n v="0.013520609083748957"/>
        <n v="0.012699771689497685"/>
        <n v="0.029694459638977863"/>
        <n v="0.004480148308357759"/>
        <n v="0.01654901960784313"/>
        <n v="0.02711864406779661"/>
        <n v="0.00786861431684287"/>
        <n v="0.007171314741035826"/>
        <n v="0.011711711711711757"/>
        <n v="0.016015252621544285"/>
        <n v="0.01422872340425538"/>
        <n v="0.0014285714285714286"/>
        <n v="0.012805025368446512"/>
        <n v="0.01317829457364341"/>
        <n v="0.005279999999999973"/>
        <n v="0.011144001393000135"/>
        <n v="0.002907915993537891"/>
        <n v="0.00832279113123377"/>
        <n v="0.00136501516683521"/>
        <n v="1.9459038723491486E-4"/>
        <n v="0.018657718120805338"/>
        <n v="0.015961236995867243"/>
        <n v="0.003652893903725975"/>
        <n v="0.00390625"/>
        <n v="0.010044194455604661"/>
        <n v="0.008761170492377781"/>
        <n v="4.045307443365696E-4"/>
        <n v="0.015559545182525494"/>
        <n v="0.014350912778904643"/>
        <n v="0.010580992689495961"/>
        <n v="0.00877652606759241"/>
        <n v="0.0075942112050438005"/>
        <n v="0.021864951768488735"/>
        <n v="0.0023273855702094647"/>
        <n v="0.01873015873015884"/>
        <n v="0.02605523710265763"/>
        <n v="0.0141637327505969"/>
        <n v="7.344104686873475E-4"/>
        <n v="0.024283807372420144"/>
        <n v="0.012407910042652369"/>
        <n v="0.04321475625823446"/>
        <n v="0.020655270655270654"/>
        <n v="0.010777218376337355"/>
        <n v="0.004806946813459487"/>
        <n v="0.021789035446091683"/>
        <n v="0.01565656565656558"/>
        <n v="0.00736552932276944"/>
        <n v="0.016013513513513544"/>
        <n v="0.024927128354608457"/>
        <n v="0.005578800557879965"/>
        <n v="0.026041666666666668"/>
        <n v="0.015454545454545523"/>
        <n v="0.025380710659898522"/>
        <n v="0.00370848113511763"/>
        <n v="0.025821596244131433"/>
        <n v="0.021379310344827547"/>
        <n v="0.004076738609112637"/>
        <n v="0.022996326030752454"/>
        <n v="0.01022400328812159"/>
        <n v="0.02114502294035501"/>
        <n v="0.0025165562913906986"/>
        <n v="0.015829528158295247"/>
        <n v="0.014343928280358523"/>
        <n v="0.01349849134508496"/>
        <n v="0.00673534072900154"/>
        <n v="0.016548042704626252"/>
        <n v="0.029766435639597848"/>
        <n v="0.03125"/>
        <n v="0.03115343700927005"/>
        <n v="0.0038424591738712775"/>
        <n v="0.01283068783068789"/>
        <n v="0.0023384975153462567"/>
        <n v="0.007490636704119946"/>
        <n v="0.004361370716510832"/>
        <n v="0.010231660231660144"/>
        <n v="0.0014005602240897551"/>
        <n v="0.003469379799633606"/>
        <n v="0.009924446151876041"/>
        <n v="0.02758553465250031"/>
        <n v="0.0017110266159695384"/>
        <n v="0.008359456635318674"/>
        <n v="0.015777395295467584"/>
        <n v="0.0158531823506444"/>
        <n v="0.03037817730936147"/>
        <n v="0.024747763182943083"/>
        <n v="0.02208695652173921"/>
        <n v="0.006163146737850286"/>
        <n v="7.106402222366667E-4"/>
        <n v="0.010401040104010379"/>
        <n v="0.008393742846241848"/>
        <n v="0.0032938076416337285"/>
        <n v="0.007246376811594203"/>
        <n v="0.0072998492422439235"/>
        <n v="0.011004784688995179"/>
        <n v="0.016011069381300584"/>
        <n v="0.018491395093372224"/>
        <n v="0.0074050856090585315"/>
        <n v="0.045308276483459815"/>
        <n v="0.042118473895582376"/>
        <n v="0.017577017577017705"/>
        <n v="0.017241379310344827"/>
        <n v="0.013702623906705506"/>
        <n v="0.014559999999999946"/>
        <n v="0.018957345971563982"/>
        <n v="0.026109660574412535"/>
        <n v="0.022909090909090952"/>
        <n v="0.008580466587583954"/>
        <n v="0.013143704502561339"/>
        <n v="0.019481865284974045"/>
        <n v="0.0167630057803468"/>
        <n v="0.02972972972972973"/>
        <n v="0.024534436890334056"/>
        <n v="0.02200032472804033"/>
        <n v="0.021610372979029933"/>
        <n v="0.014435966178593525"/>
        <n v="0.02698176404912542"/>
        <n v="0.02348661579217907"/>
        <n v="0.025474254742547362"/>
        <n v="0.03489290037366452"/>
        <n v="0.0017636684303350525"/>
        <n v="0.0012503473186997653"/>
        <n v="0.018333333333333368"/>
        <n v="0.0022371364653243518"/>
        <n v="1.632919660353082E-4"/>
        <n v="0.006694560669456043"/>
        <n v="0.009441233140655063"/>
        <n v="0.002378121284185568"/>
        <n v="0.021310181531176066"/>
        <n v="0.014346583247936957"/>
        <n v="0.0017564402810304007"/>
        <n v="9.668508287293446E-4"/>
        <n v="0.023932926829268363"/>
        <n v="0.007603305785123981"/>
        <n v="0.0017965049812183943"/>
        <n v="0.014884696016771537"/>
        <n v="0.007385811467444032"/>
        <n v="7.805759829095317E-4"/>
        <n v="0.05224429727740995"/>
        <n v="0.03869565217391307"/>
        <n v="0.021060842433697262"/>
        <n v="0.02665567463588895"/>
        <n v="0.03297213622291015"/>
        <n v="0.026970954356846474"/>
        <n v="0.021182988430829393"/>
        <n v="0.019148936170212766"/>
        <n v="0.011712749615975248"/>
        <n v="0.001435602953240361"/>
        <n v="0.002628400937699826"/>
        <n v="0.012970021047841148"/>
        <n v="0.005179282868525942"/>
        <n v="0.016657255787690665"/>
        <n v="0.01743163281624835"/>
        <n v="0.010234541577825183"/>
        <n v="0.016302521008403438"/>
        <n v="0.01498696785404004"/>
        <n v="0.024523160762942826"/>
        <n v="0.011394599950458412"/>
        <n v="0.0419496321448783"/>
        <n v="0.0016129032258065021"/>
        <n v="0.0019821605550049554"/>
        <n v="0.0023594725884802854"/>
        <n v="0.0029780564263322527"/>
        <n v="0.004643309413254514"/>
        <n v="0.03337207371741661"/>
        <n v="0.01894918173987944"/>
        <n v="0.011749099867348742"/>
        <n v="4.490345756624745E-4"/>
        <n v="0.005321540998351003"/>
        <n v="0.012053698943159045"/>
        <n v="0.01832669322709161"/>
        <n v="0.0063888888888889205"/>
        <n v="0.017714375293933327"/>
        <n v="0.014901363136059649"/>
        <n v="0.011568123393316268"/>
        <n v="0.009745762711864454"/>
        <n v="0.0020952380952381387"/>
        <n v="0.006519065190651944"/>
        <n v="0.01209135691894316"/>
        <n v="0.00458768873403025"/>
        <n v="0.01811023622047253"/>
        <n v="0.022083333333333302"/>
        <n v="0.024397776405188316"/>
        <n v="0.024616154873164243"/>
        <n v="0.040313549832026764"/>
        <n v="0.021537162162162136"/>
        <n v="0.011417697431018078"/>
        <n v="0.007394092895951595"/>
        <n v="0.014685366032748365"/>
        <n v="0.01803572460835889"/>
        <n v="0.02596899224806197"/>
        <n v="0.006529723847095571"/>
        <n v="0.02416918429003021"/>
        <n v="0.005491803278688538"/>
        <n v="0.009124652025982024"/>
        <n v="0.00826787928896238"/>
        <n v="0.012815680361854632"/>
        <n v="4.4762757385851266E-4"/>
        <n v="5.970149253731004E-4"/>
        <n v="0.0047023809523810065"/>
        <n v="9.950248756218905E-4"/>
        <n v="0.008830321967124032"/>
        <n v="0.004985976939856547"/>
        <n v="2.4948024948025894E-4"/>
        <n v="0.0062092517851598875"/>
        <n v="0.008252221752010229"/>
        <n v="0.004457364341085183"/>
        <n v="0.0016439932596276356"/>
        <n v="0.0038673211363973066"/>
        <n v="0.00496114763897188"/>
        <n v="0.013695911075823807"/>
        <n v="0.007829670329670392"/>
        <n v="0.029595991230817378"/>
        <n v="0.013059391116286751"/>
        <n v="0.004373633239612727"/>
        <n v="0.00851063829787234"/>
        <n v="0.011785162287480723"/>
        <n v="0.005780346820809248"/>
        <n v="0.017520415738678477"/>
        <n v="0.043480822482766725"/>
        <n v="0.014892332461259766"/>
        <n v="0.013509749303621234"/>
        <n v="0.012861736334405145"/>
        <n v="0.015558937933367186"/>
        <n v="0.0011098779134294146"/>
        <n v="0.010706638115631691"/>
        <n v="0.008858267716535433"/>
        <n v="0.004699868073878666"/>
        <n v="0.016321595889375953"/>
        <n v="0.02603446107407879"/>
        <n v="0.027658266748617086"/>
        <n v="0.006952017448200685"/>
        <n v="0.036885245901639344"/>
        <n v="0.0216379310344828"/>
        <n v="0.008121019108280291"/>
        <n v="0.020652173913043477"/>
        <n v="0.01973427119968742"/>
        <n v="0.001580698835274618"/>
        <n v="0.0022986744310780783"/>
        <n v="0.03754838709677422"/>
        <n v="0.014267782426778229"/>
        <n v="0.02608108108108102"/>
        <n v="0.009491525423728851"/>
        <n v="0.0012205754141238062"/>
        <n v="0.009958239640218329"/>
        <n v="0.0016907675194660532"/>
        <n v="0.001976284584980237"/>
        <n v="0.027200996677740865"/>
        <n v="0.004311340364924272"/>
        <n v="0.01870531154239031"/>
        <n v="0.03701244813278003"/>
        <n v="0.021763549564729007"/>
        <n v="0.07174430465827937"/>
        <n v="0.04367816091954034"/>
        <n v="0.007870221651140341"/>
        <n v="0.03025897319400271"/>
        <n v="0.016"/>
        <n v="2.5813113061431297E-4"/>
        <n v="0.09652241112828445"/>
        <n v="0.10364109232769837"/>
        <n v="0.02376950780312124"/>
        <n v="0.017124706532246896"/>
        <n v="0.03852889667250427"/>
        <n v="0.03566587597424596"/>
        <n v="0.040344442672619926"/>
        <n v="0.008013384994716419"/>
        <n v="0.028993967697995678"/>
        <n v="0.012575366063738078"/>
        <n v="0.019819193324061197"/>
        <n v="0.02630064456721905"/>
        <n v="0.019384615384615462"/>
        <n v="0.03391433590055401"/>
        <n v="0.013295488497161603"/>
        <n v="0.00995184590690216"/>
        <n v="0.027051671732522726"/>
        <n v="0.004795023543133548"/>
        <n v="0.005657175183858194"/>
        <n v="0.010526315789473608"/>
        <n v="0.024109589041095923"/>
        <n v="0.0033333333333332793"/>
        <n v="0.013964371980676286"/>
        <n v="0.005096706743335194"/>
        <n v="0.019032162879905546"/>
        <n v="0.0072365805168985815"/>
        <n v="0.0187583742742296"/>
        <n v="0.0012467755803954946"/>
        <n v="0.010150375939849582"/>
        <n v="0.02779605263157891"/>
        <n v="0.016198125836680084"/>
        <n v="0.01765965037459867"/>
        <n v="0.016573528285998562"/>
        <n v="0.014578408195429502"/>
        <n v="0.03179791976225851"/>
        <n v="0.019435483870967715"/>
        <n v="1.5176809834576224E-4"/>
        <n v="0.041650564644252604"/>
        <n v="0.03926450871480559"/>
        <n v="0.0053012048192770354"/>
        <n v="0.021543624161073763"/>
        <n v="0.006042111687519128"/>
        <n v="0.03355599828118276"/>
        <n v="0.0216981132075472"/>
        <n v="0.01759259259259256"/>
        <n v="0.02995296641637095"/>
        <n v="0.01009174311926609"/>
        <n v="0.02634676324128562"/>
        <n v="0.009999999999999959"/>
        <n v="0.005887096774193512"/>
        <n v="0.021895424836601306"/>
        <n v="0.022830776605944472"/>
        <n v="6.754221388367986E-4"/>
        <n v="0.003029903833486964"/>
        <n v="0.021521446719473886"/>
        <n v="0.00232000000000005"/>
        <n v="0.0025679758308157787"/>
        <n v="0.011889035667106952"/>
        <n v="0.013298854820834748"/>
        <n v="7.55166931637556E-4"/>
        <n v="7.655014034191237E-4"/>
        <n v="4.0045766590391616E-4"/>
        <n v="0.0071718233703813765"/>
        <n v="0.008387942332896432"/>
        <n v="0.011150145104628178"/>
        <n v="0.005360000000000014"/>
        <n v="3.0120481927717693E-4"/>
        <n v="0.011921981152750378"/>
        <n v="0.007968865826538302"/>
        <n v="0.009642474504979853"/>
        <n v="0.02026160553988211"/>
        <n v="0.025582327018829076"/>
        <n v="0.0011489410593237001"/>
        <n v="0.01459758022093638"/>
        <n v="0.0026085622218813033"/>
        <n v="0.0039044901636882757"/>
        <n v="0.014215080346106298"/>
        <n v="0.009814814814814731"/>
        <n v="0.0026566839753654403"/>
        <n v="0.0026851504933184597"/>
        <n v="0.004200287388084523"/>
        <n v="1.1443829868407233E-4"/>
        <n v="0.004774809652858492"/>
        <n v="0.005982512655315198"/>
        <n v="0.005220883534136592"/>
        <n v="0.012151215121512186"/>
        <n v="0.00554496621036216"/>
        <n v="0.006130410551737077"/>
        <n v="0.004740098015586158"/>
        <n v="0.015978030208463306"/>
        <n v="0.00790885459875017"/>
        <n v="0.0066411141892148305"/>
        <n v="0.01486988847583646"/>
        <n v="0.006134969325153374"/>
        <n v="0.01947171015880614"/>
        <n v="0.006784660766961686"/>
        <n v="3.0107526881717494E-4"/>
        <n v="0.01911764705882349"/>
        <n v="0.0049151927803071085"/>
        <n v="0.005975609756097533"/>
        <n v="0.0033684668043029694"/>
        <n v="0.02074268567141775"/>
        <n v="0.0032687955745537125"/>
        <n v="0.01738210399032648"/>
        <n v="0.0063084112149532886"/>
        <n v="0.008558166521612964"/>
        <n v="0.009037176631831479"/>
        <n v="0.011111111111111032"/>
        <n v="0.01381954707033605"/>
        <n v="0.020490797546012327"/>
        <n v="0.031621621621621625"/>
        <n v="0.027406318883174272"/>
        <n v="0.02270433905146317"/>
        <n v="0.06235119047619044"/>
        <n v="0.017406777038527003"/>
        <n v="0.027192982456140383"/>
        <n v="0.0280746395250211"/>
        <n v="0.007473309608541006"/>
        <n v="0.0010588235294116933"/>
        <n v="0.022056631892697468"/>
        <n v="0.019650205761316895"/>
        <n v="0.005531914893617029"/>
        <n v="0.004779997548719178"/>
        <n v="0.024528301886792513"/>
        <n v="0.005037593984962312"/>
        <n v="0.02787114845938372"/>
        <n v="0.0014742618452843492"/>
        <n v="0.024035087719298326"/>
        <n v="0.008597986057319837"/>
        <n v="0.0066301703163017586"/>
        <n v="0.037122002085505756"/>
        <n v="0.00520369248315921"/>
        <n v="0.02377450980392154"/>
        <n v="0.006684305806990606"/>
        <n v="0.022164179104477603"/>
        <n v="0.005555555555555586"/>
        <n v="0.007212819146756243"/>
        <n v="0.017014605796436492"/>
        <n v="0.017196010036105446"/>
        <n v="0.010683876565974318"/>
        <n v="0.017949640287769818"/>
        <n v="0.00928481806775405"/>
        <n v="0.022907122032486467"/>
        <n v="0.013827349121466785"/>
        <n v="0.03351955307262573"/>
        <n v="0.014916786521471114"/>
        <n v="0.002913952691120898"/>
        <n v="0.013903950426026372"/>
        <n v="0.08698630136986304"/>
        <n v="0.05483516483516481"/>
        <n v="0.009766267968835788"/>
        <n v="0.009154481881754667"/>
        <n v="0.025089094796863897"/>
        <n v="0.010151104223169331"/>
        <n v="0.01907318451539983"/>
        <n v="0.013815045840833855"/>
        <n v="0.02249134948096886"/>
        <n v="3.911903923636077E-5"/>
        <n v="9.738213897004328E-4"/>
        <n v="0.019837784780699533"/>
        <n v="0.0053431531824254235"/>
        <n v="0.003022670025188888"/>
        <n v="0.009347079037800625"/>
        <n v="0.01769230769230767"/>
        <n v="0.012154696132596622"/>
        <n v="0.012076897798225426"/>
        <n v="0.012078938414426522"/>
        <n v="0.003828125000000071"/>
        <n v="0.01043853510613488"/>
        <n v="0.030432489451476818"/>
        <n v="0.034909090909090994"/>
        <n v="3.770739064857569E-4"/>
        <n v="0.01944757609921076"/>
        <n v="0.02531250000000007"/>
        <n v="5.676174258551028E-4"/>
        <n v="0.004331983805667988"/>
        <n v="0.001035911602209984"/>
        <n v="0.009489166534872688"/>
        <n v="0.0037007054469757506"/>
        <n v="0.01742367029884559"/>
        <n v="0.013248542660307366"/>
        <n v="0.010209163346613603"/>
        <n v="0.005692863093584989"/>
        <n v="0.003745604647607469"/>
        <n v="0.0011358795967626786"/>
        <n v="0.0023595280943810235"/>
        <n v="3.4861425832324465E-4"/>
        <n v="0.0028856558855357593"/>
        <n v="0.034327485380116984"/>
        <n v="0.030528586839266403"/>
        <n v="0.013427561837455871"/>
        <n v="0.005189873417721548"/>
        <n v="0.004016620498614927"/>
        <n v="0.007378939277478924"/>
        <n v="0.02032693674484713"/>
        <n v="0.018911290322580637"/>
        <n v="0.033696215655780196"/>
        <n v="0.012692104943027527"/>
        <n v="0.024628305527181982"/>
        <n v="0.027527764619190577"/>
        <n v="0.043470819784357316"/>
        <n v="0.02765151515151512"/>
        <n v="0.03927613941018761"/>
        <n v="0.020841170717026635"/>
        <n v="0.023547443221401825"/>
        <n v="0.06048387096774198"/>
        <n v="0.020333333333333408"/>
        <n v="0.029328821206993688"/>
        <n v="0.044266495836002506"/>
        <n v="0.0274117647058823"/>
        <n v="0.044656488549618276"/>
        <n v="0.05197157586735398"/>
        <n v="0.008000000000000033"/>
        <n v="0.04605961616986525"/>
        <n v="0.06646341463414637"/>
        <n v="0.05692307692307694"/>
        <n v="0.020451339915373602"/>
        <n v="0.029588411941353115"/>
        <n v="0.007365269461077817"/>
        <n v="0.025806451612903278"/>
        <n v="0.0228980322003577"/>
        <n v="0.005584415584415525"/>
        <n v="0.02513190780338782"/>
        <n v="0.011584800741427249"/>
        <n v="0.010928961748633975"/>
        <n v="0.016412556053811644"/>
        <n v="0.010275732145915397"/>
        <n v="0.008703071672354987"/>
        <n v="0.002454061171963793"/>
        <n v="0.015160183066361556"/>
        <n v="0.0025978524419812956"/>
        <n v="0.02014125032696832"/>
        <n v="0.019623655913978525"/>
        <n v="0.0028787878787878444"/>
        <n v="0.013135593220338918"/>
        <n v="2.702702702702805E-4"/>
        <n v="0.011898603207449522"/>
        <n v="0.01355280034202643"/>
        <n v="0.018473335657023457"/>
        <n v="0.004101123595505593"/>
        <n v="0.01096306291111486"/>
        <n v="0.005513527375304614"/>
        <n v="0.005981794538361538"/>
        <n v="0.0050566037735848115"/>
        <n v="0.02592592592592599"/>
        <n v="0.009067017082785778"/>
        <n v="0.03699914748508107"/>
        <n v="0.019913818349161155"/>
        <n v="0.03710629346111144"/>
        <n v="0.029285714285714262"/>
        <n v="0.008086253369272352"/>
        <n v="0.009398496240601503"/>
        <n v="0.01927305652567582"/>
        <n v="0.003973013493253382"/>
        <n v="0.01226158038147139"/>
        <n v="0.005598290598290608"/>
        <n v="0.00862630208333326"/>
        <n v="0.008713029576339001"/>
        <n v="0.011583229743473838"/>
        <n v="0.00923208282192217"/>
        <n v="0.016156462585034014"/>
        <n v="0.010120177103099304"/>
        <n v="0.030515191545574666"/>
        <n v="0.006316264380780535"/>
        <n v="0.00882758620689652"/>
        <n v="0.03665821479221282"/>
        <n v="0.004269995073082645"/>
        <n v="0.004213596953245317"/>
        <n v="0.02019976563807826"/>
        <n v="0.001639170896785062"/>
        <n v="0.0011744966442953783"/>
        <n v="0.004913076341647885"/>
        <n v="0.005642472428827876"/>
        <n v="0.005992509363295965"/>
        <n v="0.013221990257480862"/>
        <n v="0.010331950207468918"/>
        <n v="0.011622196758880378"/>
        <n v="0.027656829543621957"/>
        <n v="0.01461038961038961"/>
        <n v="0.0016235466638734204"/>
        <n v="0.014007003501750836"/>
        <n v="0.0031308703819661866"/>
        <n v="0.01844209440288892"/>
        <n v="0.025967300436487532"/>
        <n v="0.003417167851284855"/>
        <n v="0.023646571861808983"/>
        <n v="0.03225806451612903"/>
        <n v="0.020078740157480315"/>
        <n v="0.013058711115829657"/>
        <n v="0.019438669438669485"/>
        <n v="0.003606557377049255"/>
        <n v="0.012143742255266363"/>
        <n v="0.006441020459712078"/>
        <n v="0.006036651095939658"/>
        <n v="0.01852608636425558"/>
        <n v="0.004779692332409518"/>
        <n v="0.022517591868647345"/>
        <n v="0.006769230769230734"/>
        <n v="0.003313027679811808"/>
        <n v="0.002631578947368421"/>
        <n v="0.018458020254818797"/>
        <n v="0.0026250000000000284"/>
        <n v="0.024341279799247148"/>
        <n v="0.009355883411298907"/>
        <n v="0.002341920374707323"/>
        <n v="0.013789499075339625"/>
        <n v="0.002546554193856474"/>
        <n v="0.002313030069390902"/>
        <n v="0.02308510638297877"/>
        <n v="0.012592747413522907"/>
        <n v="0.003135830995213694"/>
        <n v="0.0023815492604663964"/>
        <n v="0.0011538461538461247"/>
        <n v="0.005375953505266841"/>
        <n v="0.001512027491408966"/>
        <n v="0.002519999999999982"/>
        <n v="0.0015878056525881234"/>
        <n v="0.007118539151965195"/>
        <n v="0.06508179959100202"/>
        <n v="0.06309034907597541"/>
        <n v="0.02199437737721195"/>
        <n v="0.01786160379715222"/>
        <n v="0.024846311475409808"/>
        <n v="0.027095375722543353"/>
        <n v="0.01858480176211454"/>
        <n v="0.01072289156626501"/>
        <n v="0.020766773162939296"/>
        <n v="0.0023782125047947136"/>
        <n v="0.012363238512034962"/>
        <n v="0.028022068061397253"/>
        <n v="0.05765950187649258"/>
        <n v="0.010174233753020475"/>
        <n v="0.04031830238726788"/>
        <n v="0.020028398475450317"/>
        <n v="0.022052586938083155"/>
        <n v="0.018699186991869895"/>
        <n v="0.014299802761341298"/>
        <n v="0.021492537313432803"/>
        <n v="0.01317345951177546"/>
        <n v="0.03916666666666669"/>
        <n v="4.814636494943902E-4"/>
        <n v="0.020269419614755018"/>
        <n v="0.005087763927753752"/>
        <n v="0.011070648215586381"/>
        <n v="0.0193681318681319"/>
        <n v="0.022130234039165746"/>
        <n v="0.018149408523740147"/>
        <n v="0.020933625091174357"/>
        <n v="0.02180058714798311"/>
        <n v="0.02394885132206319"/>
        <n v="0.028056426332288366"/>
        <n v="0.009766126959650505"/>
        <n v="0.041265822784810155"/>
        <n v="0.009963369963370064"/>
        <n v="0.0068627450980391835"/>
        <n v="0.004276985743380902"/>
        <n v="0.009853834784036787"/>
        <n v="0.0021398002853067048"/>
        <n v="0.007888450641631047"/>
        <n v="0.0035474751953883327"/>
        <n v="0.0019320560296247492"/>
        <n v="0.0028534370946822897"/>
        <n v="0.01342281879194637"/>
        <n v="0.024966020459260385"/>
        <n v="0.01720490762938943"/>
        <n v="0.010041493775933557"/>
        <n v="0.005073649754500855"/>
        <n v="0.005940594059406005"/>
        <n v="0.02875960482985735"/>
        <n v="0.05806946422701873"/>
        <n v="0.012776025236593096"/>
        <n v="9.068532193288402E-4"/>
        <n v="0.045535714285714346"/>
        <n v="0.02455172413793105"/>
        <n v="0.0068376068376067725"/>
        <n v="0.003333333333333381"/>
        <n v="0.011154855643044545"/>
        <n v="2.096436058699892E-4"/>
        <n v="0.03365282215122473"/>
        <n v="0.04425465838509317"/>
        <n v="0.0300529430084087"/>
        <n v="0.021345407503234153"/>
        <n v="0.032195121951219485"/>
        <n v="0.0349631614199598"/>
        <n v="0.020630372492836644"/>
        <n v="0.017127690457429585"/>
        <n v="0.007058001397623976"/>
        <n v="0.007289293849658289"/>
        <n v="0.01780958721704389"/>
        <n v="0.03224755700325725"/>
        <n v="0.035106670267350794"/>
        <n v="0.0074873096446700215"/>
        <n v="0.03207142857142864"/>
        <n v="0.011982248520710092"/>
        <n v="0.027421437795953404"/>
        <n v="0.01006493506493514"/>
        <n v="0.010486311492715948"/>
        <n v="0.04664507698426221"/>
        <n v="0.049187408887209065"/>
        <n v="0.023930269413629197"/>
        <n v="0.011666666666666695"/>
        <n v="0.027318295739348315"/>
        <n v="0.024560675245606636"/>
        <n v="0.003078727459316849"/>
        <n v="0.018682150971976764"/>
        <n v="0.016432673899170316"/>
        <n v="0.0020653799586924657"/>
        <n v="0.019852034525277465"/>
        <n v="0.023330230393297728"/>
        <n v="0.014212526855065315"/>
        <n v="0.008704827222368648"/>
        <n v="0.010596546310832055"/>
        <n v="0.01442028985507253"/>
        <n v="0.0016457211250748395"/>
        <n v="0.025578350065473654"/>
        <n v="0.0023333333333332954"/>
        <n v="0.005990617105737968"/>
        <n v="0.03988372093023251"/>
        <n v="0.028035850912668026"/>
        <n v="0.018888888888888854"/>
        <n v="0.009057277713994161"/>
        <n v="0.01569620253164554"/>
        <n v="0.011458333333333372"/>
        <n v="0.023942420681551217"/>
        <n v="0.021004184100418453"/>
        <n v="0.0164446637066272"/>
        <n v="0.026071428571428572"/>
        <n v="0.015955056179775332"/>
        <n v="0.018606134708415288"/>
        <n v="0.00695680310629359"/>
        <n v="8.849557522124468E-4"/>
        <n v="0.002820512820512879"/>
        <n v="0.004636459430979955"/>
        <n v="0.020367183017785492"/>
        <n v="0.01224656973172234"/>
        <n v="0.02147540983606561"/>
        <n v="0.012417160795256333"/>
        <n v="0.014547264782344256"/>
        <n v="0.0012939958592132505"/>
        <n v="0.012309685779073572"/>
        <n v="0.016005040957782036"/>
        <n v="0.009674134419551964"/>
        <n v="0.010423269244312907"/>
        <n v="0.011388523872098051"/>
        <n v="0.020111129540553965"/>
        <n v="0.010862299465240642"/>
        <n v="0.0030985915492958388"/>
        <n v="0.017710486619364106"/>
        <n v="0.0043205431539965495"/>
        <n v="0.009554140127388535"/>
        <n v="0.002229102167182606"/>
        <n v="0.006749999999999971"/>
        <n v="0.006944444444444444"/>
        <n v="0.007216494845360791"/>
        <n v="0.010859359052868035"/>
        <n v="0.012673200405542415"/>
        <n v="0.02049122807017547"/>
        <n v="0.003234294485253735"/>
        <n v="0.05007977765196353"/>
        <n v="0.01297468354430387"/>
        <n v="0.002955665024630514"/>
        <n v="0.013845963654345464"/>
        <n v="0.0019310344827586285"/>
        <n v="2.9154518950443947E-4"/>
        <n v="8.499959524002589E-4"/>
        <n v="6.666666666666288E-4"/>
        <n v="0.0022020368841178402"/>
        <n v="0.03380434782608698"/>
        <n v="0.017394253597558064"/>
        <n v="0.00423795322555336"/>
        <n v="0.008005912058135238"/>
        <n v="0.012679834186783822"/>
        <n v="0.0021379310344827743"/>
        <n v="0.0059749344214513386"/>
        <n v="0.005725806451612853"/>
        <n v="0.006788079470198713"/>
        <n v="0.007781833207079371"/>
        <n v="0.02761473531220308"/>
        <n v="0.03154527559055113"/>
        <n v="0.012933753943217738"/>
        <n v="0.0064118372379778615"/>
        <n v="0.021182266009852273"/>
        <n v="0.021241379310344914"/>
        <n v="0.012395503026808748"/>
        <n v="0.010008509258884067"/>
        <n v="0.02135348226018397"/>
        <n v="0.009456264775413807"/>
        <n v="0.0025865041958845845"/>
        <n v="0.011675126903553299"/>
        <n v="0.0113672750560359"/>
        <n v="0.0153042633304991"/>
        <n v="0.0237673830594184"/>
        <n v="0.012641242937853051"/>
        <n v="0.010509414683987639"/>
        <n v="0.011212723658051663"/>
        <n v="0.005373635600335928"/>
        <n v="0.0037221715008076087"/>
        <n v="0.011507479861910242"/>
        <n v="0.010290131512900312"/>
        <n v="0.005874880914575948"/>
        <n v="0.01518518518518513"/>
        <n v="0.009259259259259259"/>
        <n v="0.004909180166912046"/>
        <n v="0.013722374693052146"/>
        <n v="0.028188837059675162"/>
        <n v="0.01689760054072322"/>
        <n v="0.008302842668167713"/>
        <n v="0.008988128886376536"/>
        <n v="5.0658561296813094E-5"/>
        <n v="0.022115384615384544"/>
        <n v="0.0032483758120939814"/>
        <n v="0.010148514851485204"/>
        <n v="0.0054438860971524365"/>
        <n v="0.007602339181286616"/>
        <n v="0.0071752577319588"/>
        <n v="0.020890410958904187"/>
        <n v="0.014360870183421049"/>
        <n v="8.542627712284298E-4"/>
        <n v="0.014894684052156493"/>
        <n v="0.012382445141065795"/>
        <n v="3.726245186932735E-4"/>
        <n v="0.014187866927592982"/>
        <n v="0.003331945022907051"/>
        <n v="0.021367521367521368"/>
        <n v="0.002609050142682374"/>
        <n v="0.011164805865689128"/>
        <n v="0.001955307262569801"/>
        <n v="9.659090909091168E-4"/>
        <n v="0.0014829461196243204"/>
        <n v="0.018271910808299714"/>
        <n v="0.006335403726708102"/>
        <n v="0.0067478009398723015"/>
        <n v="0.0011840089148907641"/>
        <n v="0.01584302325581392"/>
        <n v="0.009357909661737907"/>
        <n v="0.008249158249158211"/>
        <n v="0.002804852394642732"/>
        <n v="0.01451576321161256"/>
        <n v="0.011202131859455214"/>
        <n v="0.014826498422712898"/>
        <n v="0.0069825436408977835"/>
        <n v="0.014436491568603774"/>
        <n v="0.00564892949299116"/>
        <n v="0.0042823390431186905"/>
        <n v="0.008052648790058858"/>
        <n v="0.01154303174333741"/>
        <n v="0.0050700654883457635"/>
        <n v="0.0037028597470661955"/>
        <n v="0.00976020610384454"/>
        <n v="0.006382316313823199"/>
        <n v="0.004500000000000028"/>
        <n v="0.009788707174406166"/>
        <n v="0.0038128249566725227"/>
        <n v="0.004838709677419288"/>
        <n v="0.002298850574712653"/>
        <n v="0.006006521366054573"/>
        <n v="0.004036541321436191"/>
        <n v="0.015719879689007333"/>
        <n v="0.005051495831289826"/>
        <n v="0.002676743819870779"/>
        <n v="0.00413585662363699"/>
        <n v="0.008921036769138007"/>
        <n v="0.012038970076548295"/>
        <n v="0.010666666666666734"/>
        <n v="0.014976958525345566"/>
        <n v="0.007705479452054794"/>
        <n v="0.002045133991537441"/>
        <n v="5.71559213535302E-5"/>
        <n v="0.009229258713794774"/>
        <n v="0.005653266331658149"/>
        <n v="0.0018799348289259307"/>
        <n v="0.0034179687500000833"/>
        <n v="0.009931675706135075"/>
        <n v="0.0040431266846360165"/>
        <n v="0.0028870292887029194"/>
        <n v="0.009472959007922837"/>
        <n v="0.0011330642305786675"/>
        <n v="0.022816724659175176"/>
        <n v="0.016351204043206818"/>
        <n v="0.016822726551341094"/>
        <n v="0.017137853390042448"/>
        <n v="0.013496932515337423"/>
        <n v="0.01987491313412101"/>
        <n v="0.014264264264264264"/>
        <n v="0.013430353430353387"/>
        <n v="0.01452991452991453"/>
        <n v="0.011811854039232197"/>
        <n v="0.006391632771644393"/>
        <n v="0.0073182957393483255"/>
        <n v="0.005811138014527882"/>
        <n v="0.004454626447753595"/>
        <n v="0.006435643564356492"/>
        <n v="0.0023404255319149823"/>
        <n v="7.598784194528875E-4"/>
        <n v="2.1008403361349315E-4"/>
        <n v="0.0010407632263660413"/>
        <n v="0.006220400084823605"/>
        <n v="0.0025863555376745787"/>
        <n v="0.002385685884691826"/>
        <n v="0.0041787206685953435"/>
        <n v="7.602635580333363E-4"/>
        <n v="0.01835985312117503"/>
        <n v="0.010095265178444387"/>
        <n v="0.0016707168894289533"/>
        <n v="0.0011762234824616725"/>
        <n v="0.011168384879725086"/>
        <n v="0.010084033613445441"/>
        <n v="0.0096499743048022"/>
        <n v="0.01071428571428567"/>
        <n v="0.02491909385113265"/>
        <n v="0.0027648611285659565"/>
        <n v="0.011932877563704192"/>
        <n v="0.011060040218328009"/>
        <n v="0.009707265281359156"/>
        <n v="0.009546238277471763"/>
        <n v="0.0076647930505876335"/>
        <n v="0.0017349063150589867"/>
        <n v="0.01451885199774899"/>
        <n v="0.009861355204061617"/>
        <n v="0.008181246066708513"/>
        <n v="2.494387627837933E-4"/>
        <n v="0.0034393809114358857"/>
        <n v="0.01645390070921981"/>
        <n v="0.009583707696915382"/>
        <n v="0.0042187112250806945"/>
        <n v="0.008389261744966443"/>
        <n v="0.005628002745367224"/>
        <n v="0.009204651931874577"/>
        <n v="0.020005770895450567"/>
        <n v="0.0034246575342464693"/>
        <n v="0.008560794044664984"/>
        <n v="0.009777560498655585"/>
        <n v="0.006706252183024854"/>
        <n v="0.0011806375442738408"/>
        <n v="0.0017604912998976738"/>
        <n v="0.0016636167027116952"/>
        <n v="0.007931034482758621"/>
        <n v="0.016687503397293062"/>
        <n v="0.01801125703564732"/>
        <n v="0.042304089915704064"/>
        <n v="0.0049987503124218945"/>
        <n v="0.020164760850854658"/>
        <n v="0.019311797752808987"/>
        <n v="0.008504398826979405"/>
        <n v="0.011533742331288316"/>
        <n v="0.01876453005645976"/>
        <n v="0.0021441416516808248"/>
        <n v="0.03462131219726985"/>
        <n v="0.03257142857142861"/>
        <n v="0.03585476550680793"/>
        <n v="0.023134328358208982"/>
        <n v="0.04256097560975607"/>
        <n v="0.01168095106441801"/>
        <n v="0.013159840307555785"/>
        <n v="0.014393638170974173"/>
        <n v="0.020836862612230993"/>
        <n v="0.00818713450292404"/>
        <n v="0.0011627906976744186"/>
        <n v="0.006526104417670682"/>
        <n v="0.023934426229508234"/>
        <n v="0.003076923076923048"/>
        <n v="0.02726063829787234"/>
        <n v="0.009640287769784197"/>
        <n v="0.015758873929008498"/>
        <n v="0.01580903932694197"/>
        <n v="0.01044062997699518"/>
        <n v="0.002738764044943884"/>
        <n v="0.005458768873403072"/>
        <n v="0.0025265285497726125"/>
        <n v="0.020809808033553763"/>
        <n v="0.008567774936061439"/>
        <n v="0.029289247591772975"/>
        <n v="0.013214285714285673"/>
        <n v="0.005120481927710809"/>
        <n v="0.011024056065199461"/>
        <n v="0.0024309776002777866"/>
        <n v="0.007638937556941525"/>
        <n v="0.019803695150115447"/>
        <n v="0.015410958904109543"/>
        <n v="0.0038216560509553776"/>
        <n v="0.00685279187817256"/>
        <n v="0.0017768752379743334"/>
        <n v="0.0026893135173389625"/>
        <n v="0.003592814371257451"/>
        <n v="0.018019771152798302"/>
        <n v="3.46440325653788E-4"/>
        <n v="0.01160220994475135"/>
        <n v="0.0029448141822251014"/>
        <n v="0.008797953964194397"/>
        <n v="0.012339743589743662"/>
        <n v="0.0024278047533861195"/>
        <n v="0.009869264291207295"/>
        <n v="0.0014182385477238479"/>
        <n v="0.008353221957040607"/>
        <n v="0.014447112545762262"/>
        <n v="6.95652173913004E-4"/>
        <n v="6.993006993000633E-5"/>
        <n v="0.025325443786982222"/>
        <n v="0.03711340206185567"/>
        <n v="0.011198738170347038"/>
        <n v="0.015627001408991988"/>
        <n v="0.009398018796037563"/>
        <n v="0.014847968172776381"/>
        <n v="0.007069795427196047"/>
        <n v="0.004231536926147713"/>
        <n v="0.0012203626220363415"/>
        <n v="0.0022376057618348688"/>
        <n v="0.0025423728813559598"/>
        <n v="0.010341151385927554"/>
        <n v="0.008362817626246456"/>
        <n v="0.012623633524206201"/>
        <n v="0.007060333761232349"/>
        <n v="0.0026032251066600166"/>
        <n v="0.015757575757575724"/>
        <n v="0.0014667406643938973"/>
        <n v="0.026440203116792193"/>
        <n v="0.02459818308874916"/>
        <n v="0.023534445870774495"/>
        <n v="0.02202596297084491"/>
        <n v="0.01112903225806448"/>
        <n v="0.014211886304909561"/>
        <n v="0.007429230178045285"/>
        <n v="0.021313868613138595"/>
        <n v="0.003296373988612424"/>
        <n v="0.0064424331054108355"/>
        <n v="0.003946465339739112"/>
        <n v="0.0026152787336544765"/>
        <n v="1.7605633802814232E-4"/>
        <n v="0.012615384615384568"/>
        <n v="0.019201228878648235"/>
        <n v="0.004563316009633696"/>
        <n v="0.015151515151515152"/>
        <n v="0.010803324099723007"/>
        <n v="0.0031722054380664997"/>
        <n v="0.014464646464646515"/>
        <n v="0.025558016697904244"/>
        <n v="0.00969283276450515"/>
        <n v="0.007181643019793282"/>
        <n v="0.005977710233029359"/>
        <n v="0.008992248062015434"/>
        <n v="0.005331979179890879"/>
        <n v="0.004512195121951275"/>
        <n v="0.009280580559626073"/>
        <n v="0.0019607843137254216"/>
        <n v="0.008565573770491818"/>
        <n v="0.013787085514834166"/>
        <n v="0.0022540983606557066"/>
        <n v="0.012291483757682178"/>
        <n v="0.008130081300813009"/>
        <n v="0.03418535361455222"/>
        <n v="0.005484693877550962"/>
        <n v="0.03014705882352944"/>
        <n v="0.02941590429275163"/>
        <n v="0.014290012033694345"/>
        <n v="0.011280991735537147"/>
        <n v="0.009284731774415366"/>
        <n v="0.017834048056633345"/>
        <n v="0.02161849710982664"/>
        <n v="0.02131938857602579"/>
        <n v="0.00909090909090909"/>
        <n v="0.0021518987341772725"/>
        <n v="0.0428792018054401"/>
        <n v="0.0064260322668854095"/>
        <n v="0.0019176869744799447"/>
        <n v="0.008897596016489035"/>
        <n v="0.01440677966101695"/>
        <n v="0.010670935040682939"/>
        <n v="0.004796839729119639"/>
        <n v="0.005490196078431283"/>
        <n v="0.006137724550898237"/>
        <n v="0.008975979772439979"/>
        <n v="0.004431818181818156"/>
        <n v="0.0020372130924893586"/>
        <n v="0.002531645569620321"/>
        <n v="8.606557377049506E-4"/>
        <n v="0.0016644474034620508"/>
        <n v="0.008719778042013506"/>
        <n v="0.013122171945701384"/>
        <n v="0.013883495145631024"/>
        <n v="0.0015080681646810435"/>
        <n v="0.0070063694267515925"/>
        <n v="0.002389622212107445"/>
        <n v="0.004300047778308617"/>
        <n v="0.007904548844146092"/>
        <n v="0.007867916836526729"/>
        <n v="0.011461794019933517"/>
        <n v="0.018525922964147797"/>
        <n v="0.0031963470319634184"/>
        <n v="9.80392156862745E-4"/>
        <n v="0.005693736889421568"/>
        <n v="0.007948717948718006"/>
        <n v="0.016779279279279254"/>
        <n v="6.081081081081312E-4"/>
        <n v="0.003306778896738382"/>
        <n v="0.007533964594483378"/>
        <n v="0.0090741051924046"/>
        <n v="0.006281078251766642"/>
        <n v="0.004096262160778316"/>
        <n v="0.014173998044965786"/>
        <n v="0.0045045045045045045"/>
        <n v="0.0037380768239236627"/>
        <n v="0.002513136851724848"/>
        <n v="8.10865599026992E-4"/>
        <n v="0.008471074380165337"/>
        <n v="0.015750670241286825"/>
        <n v="0.0019726459758022093"/>
        <n v="0.0015985384791049224"/>
        <n v="0.015019762845849847"/>
        <n v="0.0365269461077844"/>
        <n v="0.004126902244003007"/>
        <n v="0.013217866909753899"/>
        <n v="0.012825651302605318"/>
        <n v="5.95770032767318E-4"/>
        <n v="1.6313213703107856E-4"/>
        <n v="0.0010214504596527457"/>
        <n v="0.0021653543307086315"/>
        <n v="0.008390410958904136"/>
        <n v="0.005917753259779315"/>
        <n v="0.013591671486408295"/>
        <n v="0.005821474773609315"/>
        <n v="2.2321428571433648E-4"/>
        <n v="0.01138008156821464"/>
        <n v="0.005812220566318893"/>
        <n v="0.0162118126272912"/>
        <n v="0.004071937563623986"/>
        <n v="0.00976025153936859"/>
        <n v="0.00536117381489842"/>
        <n v="2.0165355918536548E-4"/>
        <n v="0.016000000000000066"/>
        <n v="0.0054552539290816104"/>
        <n v="0.012751677852348969"/>
        <n v="0.006330749354005285"/>
        <n v="0.014784151389710232"/>
        <n v="0.003423951157130533"/>
        <n v="0.012238653748087788"/>
        <n v="0.0010416666666666075"/>
        <n v="0.003890831171760383"/>
        <n v="0.0019055260254738514"/>
        <n v="0.019966254218222786"/>
        <n v="0.011486751076882854"/>
        <n v="0.01666666666666669"/>
        <n v="0.020917502932360273"/>
        <n v="0.0021849963583394027"/>
        <n v="0.004694048616932027"/>
        <n v="0.011518188325632879"/>
        <n v="0.003188276093522791"/>
        <n v="0.0039011703511054223"/>
        <n v="0.0024161455372371313"/>
        <n v="0.010307950006442468"/>
        <n v="0.009428667639465683"/>
        <n v="0.010480928689883996"/>
        <n v="0.007412790697674452"/>
        <n v="0.0017247751632375981"/>
        <n v="0.0025"/>
        <n v="0.0016450615253010461"/>
        <n v="0.022315436241610788"/>
        <n v="0.004600920184036717"/>
        <n v="0.019755542922114806"/>
        <n v="0.008071865642494526"/>
        <n v="0.019347581552306013"/>
        <n v="0.02806451612903222"/>
        <n v="0.006461086637298058"/>
        <n v="0.005307549886854641"/>
        <n v="0.0023391812865496695"/>
        <n v="0.01111111111111108"/>
        <n v="0.004219890510948957"/>
        <n v="0.030226953203454646"/>
        <n v="0.004192569032817827"/>
        <n v="0.004842931937172834"/>
        <n v="0.013764624913971095"/>
        <n v="0.0036508463325589866"/>
        <n v="0.002769275615799413"/>
        <n v="0.0054343351173322075"/>
        <n v="0.004340567612687851"/>
        <n v="0.005696287360943573"/>
        <n v="0.0014188422247446084"/>
        <n v="0.005939629990262813"/>
        <n v="0.001150582482381804"/>
        <n v="0.0066423547798906265"/>
        <n v="1.1534025374858447E-4"/>
        <n v="0.005645964795748882"/>
        <n v="0.0033513040944192843"/>
        <n v="0.0033131544502617897"/>
        <n v="1.6772895001681103E-4"/>
        <n v="5.382855604898093E-4"/>
        <n v="0.004429301533219736"/>
        <n v="0.005323782789662182"/>
        <n v="0.00628481645479214"/>
        <n v="5.172636751583827E-4"/>
        <n v="0.026815513868109184"/>
        <n v="0.005555555555555578"/>
        <n v="0.0013157894736841773"/>
        <n v="0.004713114754098384"/>
        <n v="0.006355577855828658"/>
        <n v="0.008553971486761649"/>
        <n v="0.007500426160577331"/>
        <n v="0.010683349374398373"/>
        <n v="0.008152173913043542"/>
        <n v="0.0029711923524093375"/>
        <n v="0.01356350184956846"/>
        <n v="0.009253790116164576"/>
        <n v="0.004503195816385855"/>
        <n v="0.0035802469135802657"/>
        <n v="0.003192740715846038"/>
        <n v="0.007395455156649186"/>
        <n v="0.008609875698483241"/>
        <n v="0.011988107797065311"/>
        <n v="0.011510791366906475"/>
        <n v="0.003875968992248062"/>
        <n v="0.02136363636363631"/>
        <n v="0.002989834562487467"/>
        <n v="0.0026239067055392924"/>
        <n v="0.006414970989621611"/>
        <n v="0.007925801011804462"/>
        <n v="0.005926724137931004"/>
        <n v="8.037200757792431E-4"/>
        <n v="0.005236617532971163"/>
        <n v="0.002620087336244475"/>
        <n v="0.005655526992287888"/>
        <n v="0.003002309468822197"/>
        <n v="0.010366506153022892"/>
        <n v="0.0016077170418006762"/>
        <n v="0.0039024390243902764"/>
        <n v="0.01020408163265306"/>
        <n v="0.02484641638225262"/>
        <n v="0.010045662100456569"/>
        <n v="0.02246865959498549"/>
        <n v="0.006567425569176882"/>
        <n v="0.005946225439503649"/>
        <n v="0.008660508083140877"/>
        <n v="0.004494382022471767"/>
        <n v="0.0020494803103498424"/>
        <n v="0.005590923930786829"/>
        <n v="0.0023561090541904697"/>
        <n v="0.0102283872775677"/>
        <n v="0.009865779511299785"/>
        <n v="0.015219952867242845"/>
        <n v="0.0076056750036564745"/>
        <n v="0.003466872110939966"/>
        <n v="0.009291521486643438"/>
        <n v="0.002236694954279346"/>
        <n v="0.003657109420713868"/>
        <n v="0.0018292682926828805"/>
        <n v="0.0013384641124309093"/>
        <n v="9.8176718092573E-4"/>
        <n v="0.021831797235023095"/>
        <n v="0.013816425120772902"/>
        <n v="0.008854695892001775"/>
        <n v="0.011663675980517844"/>
        <n v="9.189065012635747E-4"/>
        <n v="0.00526246546507046"/>
        <n v="0.013678696158323764"/>
        <n v="0.0029727968724547553"/>
        <n v="0.001667500416875104"/>
        <n v="0.011485343855693315"/>
        <n v="0.0424210464639363"/>
        <n v="0.04492072812683498"/>
        <n v="0.021170244045868994"/>
        <n v="0.012320062248735572"/>
        <n v="0.029452369995398093"/>
        <n v="0.026754966887417166"/>
        <n v="0.016819120684567687"/>
        <n v="0.015204918032786919"/>
        <n v="0.016994783779235925"/>
        <n v="0.005146901136607367"/>
        <n v="0.00457484445528852"/>
        <n v="0.024701439216086488"/>
        <n v="0.0031593199939821104"/>
        <n v="0.007476390346274832"/>
        <n v="0.00142011834319532"/>
        <n v="0.004082743603701648"/>
        <n v="0.00149947518368571"/>
        <n v="0.0011236422655956629"/>
        <n v="3.424657534247354E-4"/>
        <n v="0.003375709258062232"/>
        <n v="0.009706959706959763"/>
        <n v="0.008540218470705086"/>
        <n v="0.003125000000000034"/>
        <n v="0.017774240615466213"/>
        <n v="0.010201660735468592"/>
        <n v="0.009829351535836162"/>
        <n v="0.007831325301204888"/>
        <n v="0.005916173652195598"/>
        <n v="0.008950086058519872"/>
        <n v="0.024656543745480774"/>
        <n v="0.012110311750599548"/>
        <n v="0.01009803921568623"/>
        <n v="0.009131736526946143"/>
        <n v="0.010677083333333393"/>
        <n v="0.005306603773584905"/>
        <n v="0.01044067796610164"/>
        <n v="0.011343283582089586"/>
        <n v="0.003009812814381091"/>
        <n v="0.013822525597269663"/>
        <n v="0.00564135110358931"/>
        <n v="0.0044947971184040115"/>
        <n v="8.117706747843272E-4"/>
        <n v="0.0021212121212120867"/>
        <n v="0.004365079365079305"/>
        <n v="7.164179104477883E-4"/>
        <n v="0.006345957011259002"/>
        <n v="0.00535634578187773"/>
        <n v="0.0033305578684430116"/>
        <n v="0.021231795051763508"/>
        <n v="0.0015128593040848186"/>
        <n v="0.02104678434761149"/>
        <n v="0.016383495145630998"/>
        <n v="0.03389057750759872"/>
        <n v="0.006666666666666667"/>
        <n v="0.04062722736992152"/>
        <n v="0.029587834583362078"/>
        <n v="0.006306306306306375"/>
        <n v="0.013785922532278228"/>
        <n v="0.0013715069432538225"/>
        <n v="0.004903021126252761"/>
        <n v="0.0032624380450466265"/>
        <n v="0.009999999999999953"/>
        <n v="0.007184132437919584"/>
        <n v="0.0060410793395086594"/>
        <n v="8.557457212714492E-4"/>
        <n v="0.004657070279424193"/>
        <n v="0.003324267150196503"/>
        <n v="0.007061310782240962"/>
        <n v="0.011160714285714286"/>
        <n v="0.011755429718299829"/>
        <n v="0.001431772908366647"/>
        <n v="0.021399798590130917"/>
        <n v="0.005993690851734944"/>
        <n v="0.009308510638297872"/>
        <n v="0.008499630450849935"/>
        <n v="0.00877069884928431"/>
        <n v="0.0034591667919988997"/>
        <n v="0.004331210191082846"/>
        <n v="0.0038314176245211515"/>
        <n v="0.013678242381289833"/>
        <n v="0.013714000748036404"/>
        <n v="0.018803156061071854"/>
        <n v="7.92393026941363E-4"/>
        <n v="0.007620320855615034"/>
        <n v="0.005204460966542807"/>
        <n v="0.0015439679977542202"/>
        <n v="0.0044964028776978415"/>
        <n v="0.0033255169473459865"/>
        <n v="0.009735744089012555"/>
        <n v="6.465981751561632E-4"/>
        <n v="0.008375634517766526"/>
        <n v="0.016019748936393716"/>
        <n v="0.009415895308011454"/>
        <n v="0.012133333333333364"/>
        <n v="0.003491271820448821"/>
        <n v="0.004680519112119684"/>
        <n v="0.007076181872929908"/>
        <n v="0.003345485738794772"/>
        <n v="0.003690685413005312"/>
        <n v="0.0012250486416372742"/>
        <n v="0.0056628704461083494"/>
        <n v="0.027451189019524463"/>
        <n v="0.02882447665056357"/>
        <n v="0.0018469656992084133"/>
        <n v="0.006142506142506142"/>
        <n v="5.714693906708515E-4"/>
        <n v="0.014393939393939395"/>
        <n v="0.00196665241556224"/>
        <n v="1.755617977528489E-4"/>
        <n v="0.012418772563176929"/>
        <n v="0.005076142131979695"/>
        <n v="0.01646518242984527"/>
        <n v="0.0040341349883631075"/>
        <n v="0.011904761904761904"/>
        <n v="0.00893611882622869"/>
        <n v="0.0013418079096045037"/>
        <n v="0.0034328358208954544"/>
        <n v="0.0014993145990404144"/>
        <n v="0.011824817518248208"/>
        <n v="0.007881462799495587"/>
        <n v="0.0019373587342589112"/>
        <n v="0.008411214953270992"/>
        <n v="0.009959376228541506"/>
        <n v="0.01651000241021925"/>
        <n v="0.010913471759620097"/>
        <n v="0.01144981412639412"/>
        <n v="0.007356715141146273"/>
        <n v="8.79043600562588E-4"/>
        <n v="0.0010854620450104927"/>
        <n v="0.008448928121059325"/>
        <n v="0.008529127775989749"/>
        <n v="0.007692307692307693"/>
        <n v="3.8865137971248634E-4"/>
        <n v="9.720534629404065E-4"/>
        <n v="0.0015422362425516918"/>
        <n v="0.0010285042609462908"/>
        <n v="0.003911836459998226"/>
        <n v="0.004181184668989507"/>
        <n v="0.0038904899135447342"/>
        <n v="0.01566960603945952"/>
        <n v="0.008108108108108109"/>
        <n v="0.02737003058103972"/>
        <n v="0.0042735042735043615"/>
        <n v="0.0190298507462686"/>
        <n v="0.020069930069930103"/>
        <n v="0.0017649654360934429"/>
        <n v="0.006582533227118332"/>
        <n v="0.0012108631724615905"/>
        <n v="0.0025412038045451247"/>
        <n v="0.0403430749682338"/>
        <n v="0.013616792249730869"/>
        <n v="0.021806853582554516"/>
        <n v="0.0029742661321609572"/>
        <n v="0.025185744868404483"/>
        <n v="0.011901408450704209"/>
        <n v="0.015814907014204065"/>
        <n v="0.00383561643835615"/>
        <n v="0.0029360967184802167"/>
        <n v="0.005971223021582701"/>
        <n v="0.011541984732824483"/>
        <n v="0.033278488402951036"/>
        <n v="0.019828680203045686"/>
        <n v="0.00810810810810805"/>
        <n v="0.01958762886597944"/>
        <n v="0.011467236467236361"/>
        <n v="0.011360283269400903"/>
        <n v="0.0018526315789473588"/>
        <n v="0.006896551724137931"/>
        <n v="0.02165467625899274"/>
        <n v="0.004829751267809708"/>
        <n v="0.007172342621259077"/>
        <n v="1.5625000000003554E-4"/>
        <n v="0.0033678756476684234"/>
        <n v="0.009504498796096819"/>
        <n v="0.004013801844940449"/>
        <n v="0.012433392539964443"/>
        <n v="0.003924050632911421"/>
        <n v="6.939625260235553E-4"/>
        <n v="0.011939393939393967"/>
        <n v="0.009631147540983584"/>
        <n v="0.0034262575922754173"/>
        <n v="0.007350045937787141"/>
        <n v="0.006270796007166595"/>
        <n v="0.0014825273561596044"/>
        <n v="0.01036950489265375"/>
        <n v="0.0012184873949579497"/>
        <n v="0.015256588072121975"/>
        <n v="1.4035087719301438E-4"/>
        <n v="0.018401521192418575"/>
        <n v="0.008082901554404097"/>
        <n v="0.011711430356027484"/>
        <n v="0.009784477059367946"/>
        <n v="0.0057251908396946565"/>
        <n v="0.010254596888260374"/>
        <n v="0.004431314623338257"/>
        <n v="0.007184873949579866"/>
        <n v="0.002288732394366117"/>
        <n v="0.007605633802816869"/>
        <n v="9.316770186335404E-4"/>
        <n v="0.005999895653988626"/>
        <n v="0.009876156137325528"/>
        <n v="0.013333333333333334"/>
        <n v="6.402048655569782E-4"/>
        <n v="7.145409074683336E-5"/>
        <n v="0.0023735350838154914"/>
        <n v="0.0019466779517561554"/>
        <n v="0.0028233633315685705"/>
        <n v="0.0014844136566057372"/>
        <n v="0.01554113094495075"/>
        <n v="0.034123321060001016"/>
        <n v="0.01638827607942007"/>
        <n v="0.017282321899736178"/>
        <n v="0.013523956723338487"/>
        <n v="0.0038709677419354266"/>
        <n v="0.008775844117209546"/>
        <n v="0.010436913715879317"/>
        <n v="0.010954063604240363"/>
        <n v="0.016406249999999935"/>
        <n v="0.01914758269720096"/>
        <n v="0.010580021482277146"/>
        <n v="0.015525982256020386"/>
        <n v="0.004832214765100702"/>
        <n v="0.0075393214610684454"/>
        <n v="0.0036690647482013733"/>
        <n v="0.0013584905660377015"/>
        <n v="0.003883909517712441"/>
        <n v="0.02677304964539011"/>
        <n v="0.0028779048852435427"/>
        <n v="0.014508640701573382"/>
        <n v="0.007227082540890048"/>
        <n v="0.00804634695848085"/>
        <n v="0.005769488796457894"/>
        <n v="0.015324165029469608"/>
        <n v="0.01350277998411441"/>
        <n v="0.010422960725075495"/>
        <n v="0.0013710955910708326"/>
        <n v="0.006030701754385881"/>
        <n v="0.01730504670190418"/>
        <n v="0.004544569239758489"/>
        <n v="0.012114298131247259"/>
        <n v="0.02025931928687196"/>
        <n v="0.0069277911004528795"/>
        <n v="0.021883289124668436"/>
        <n v="0.01868613138686133"/>
        <n v="0.008231707317073136"/>
        <n v="0.020170940170940167"/>
        <n v="0.013949275362318924"/>
        <n v="0.0015486725663716144"/>
        <n v="0.012744210117738417"/>
        <n v="0.001016260162601553"/>
        <n v="0.003007280785058527"/>
        <n v="0.0027548209366389993"/>
        <n v="0.0016872160934457553"/>
        <n v="4.2992261392950896E-4"/>
        <n v="0.015705225007550554"/>
        <n v="0.003099476439790614"/>
        <n v="0.023197715917202"/>
        <n v="0.00863596102745796"/>
        <n v="0.00676290805046161"/>
        <n v="0.0019810462065642477"/>
        <n v="3.1751071598655624E-4"/>
        <n v="0.023231395196220035"/>
        <n v="0.011096605744125326"/>
        <n v="0.006375358166189218"/>
        <n v="0.006686478454680535"/>
        <n v="0.001795407098121114"/>
        <n v="0.010207612456747365"/>
        <n v="0.002117251952982305"/>
        <n v="0.016407263294422797"/>
        <n v="0.016147818720880985"/>
        <n v="0.021728935438486932"/>
        <n v="8.933129147524827E-4"/>
        <n v="0.01156515034695451"/>
        <n v="0.010624734381640459"/>
        <n v="0.010344827586206862"/>
        <n v="0.014012632283431607"/>
        <n v="0.017605020045319893"/>
        <n v="0.00911211546872722"/>
        <n v="0.004018445322793089"/>
        <n v="0.0028968402982671873"/>
        <n v="0.001597444089456869"/>
        <n v="6.371049949031601E-4"/>
        <n v="0.002859370938393465"/>
        <n v="0.001434205808533647"/>
        <n v="0.004090289350098538"/>
        <n v="0.006871686108165449"/>
        <n v="0.010625110678236231"/>
        <n v="0.00880410858400587"/>
        <n v="0.02138157894736842"/>
        <n v="0.002460156166434986"/>
        <n v="0.008123606244026797"/>
        <n v="0.017639593908629413"/>
        <n v="0.02538071065989848"/>
        <n v="0.006428571428571469"/>
        <n v="0.006235741444866954"/>
        <n v="0.006833810276342179"/>
        <n v="0.01256983240223452"/>
        <n v="0.0010869565217391304"/>
        <n v="0.018010511472888034"/>
        <n v="0.0019110308949995417"/>
        <n v="0.012114537444933992"/>
        <n v="0.0019295086184718292"/>
        <n v="0.010406091370558434"/>
        <n v="0.0014170327334560625"/>
        <n v="0.010683760683760682"/>
        <n v="0.005160624435556653"/>
        <n v="0.002826355767532278"/>
        <n v="2.905709719598021E-4"/>
        <n v="0.022162060064219634"/>
        <n v="0.017802430005282643"/>
        <n v="0.0077654516640253204"/>
        <n v="0.008751608751608693"/>
        <n v="0.0037084398976981806"/>
        <n v="8.494973807164417E-4"/>
        <n v="4.608294930874877E-4"/>
        <n v="0.005407725321888373"/>
        <n v="0.006146821215314366"/>
        <n v="0.004985909386516432"/>
        <n v="3.685503685503127E-4"/>
        <n v="0.011761658031088107"/>
        <n v="0.005656819610308018"/>
        <n v="7.620983106819625E-4"/>
        <n v="0.017391304347826115"/>
        <n v="0.020418291386033287"/>
        <n v="0.014090978710369193"/>
        <n v="0.007152089616544578"/>
        <n v="0.015041585560077862"/>
        <n v="0.005305232558139502"/>
        <n v="0.015354499296506948"/>
        <n v="7.135575942915856E-4"/>
        <n v="0.009500077869490768"/>
        <n v="0.002032778554186282"/>
        <n v="5.013159543802197E-4"/>
        <n v="0.0163470823561869"/>
        <n v="9.036144578313596E-4"/>
        <n v="0.005372905206600959"/>
        <n v="0.0013925152306352559"/>
        <n v="0.008458035133376741"/>
        <n v="0.00377697841726616"/>
        <n v="0.0027439024390244365"/>
        <n v="0.0017279296261388983"/>
        <n v="0.0010143273741599524"/>
        <n v="0.0027586206896552294"/>
        <n v="0.008757180888328428"/>
        <n v="3.0211480362544633E-4"/>
        <n v="0.0038172850096505027"/>
        <n v="0.007110648629899449"/>
        <n v="0.004522613065326601"/>
        <m/>
      </sharedItems>
    </cacheField>
    <cacheField name="Month" numFmtId="0">
      <sharedItems containsBlank="1">
        <s v="Sep-2024"/>
        <s v="Oct-2024"/>
        <s v="Nov-2024"/>
        <s v="Dec-2024"/>
        <s v="Jan-2025"/>
        <s v="Feb-2025"/>
        <s v="Mar-2025"/>
        <s v="Apr-2025"/>
        <s v="May-2025"/>
        <s v="Jun-2025"/>
        <s v="Jul-2025"/>
        <s v="Aug-2025"/>
        <s v="Sep-2025"/>
        <m/>
      </sharedItems>
    </cacheField>
    <cacheField name="MonthStart" numFmtId="14">
      <sharedItems containsDate="1" containsString="0" containsBlank="1">
        <d v="2024-09-01T00:00:00Z"/>
        <d v="2024-10-01T00:00:00Z"/>
        <d v="2024-11-01T00:00:00Z"/>
        <d v="2024-12-01T00:00:00Z"/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m/>
      </sharedItems>
    </cacheField>
    <cacheField name="ExceptionFlag" numFmtId="0">
      <sharedItems containsBlank="1">
        <s v=""/>
        <s v="PRICE_MOVE_5PCT+"/>
        <m/>
      </sharedItems>
    </cacheField>
    <cacheField name="VolSpike" numFmtId="0">
      <sharedItems containsBlank="1">
        <s v=""/>
        <s v="VOL_SPIKE_3X"/>
        <m/>
      </sharedItems>
    </cacheField>
    <cacheField name="ExceptionType" numFmtId="0">
      <sharedItems containsBlank="1">
        <s v=""/>
        <s v="PRICE_MOVE_5PCT+;VOL_SPIKE_3X"/>
        <s v="VOL_SPIKE_3X"/>
        <s v="PRICE_MOVE_5PCT+"/>
        <m/>
      </sharedItems>
    </cacheField>
    <cacheField name="DQC" numFmtId="0">
      <sharedItems containsBlank="1">
        <s v="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I_MonthlySummary (Management T" cacheId="0" dataCaption="" rowGrandTotals="0" colGrandTotals="0" compact="0" compactData="0">
  <location ref="A1:AQ13" firstHeaderRow="0" firstDataRow="2" firstDataCol="1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name="Ope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t="default"/>
      </items>
    </pivotField>
    <pivotField name="Hig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t="default"/>
      </items>
    </pivotField>
    <pivotField name="Low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t="default"/>
      </items>
    </pivotField>
    <pivotField name="Clos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t="default"/>
      </items>
    </pivotField>
    <pivotField name="Volu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t="default"/>
      </items>
    </pivotField>
    <pivotField name="Company" axis="axisRow" compact="0" outline="0" multipleItemSelectionAllowed="1" showAll="0" sortType="ascending">
      <items>
        <item h="1"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ily % Chan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t="default"/>
      </items>
    </pivotField>
    <pivotField name="Abs % Chang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hStart" axis="axisCol" compact="0" numFmtId="14" outline="0" multipleItemSelectionAllowed="1" showAll="0" sortType="ascending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xceptionFlag" compact="0" outline="0" multipleItemSelectionAllowed="1" showAll="0">
      <items>
        <item x="0"/>
        <item x="1"/>
        <item x="2"/>
        <item t="default"/>
      </items>
    </pivotField>
    <pivotField name="VolSpike" compact="0" outline="0" multipleItemSelectionAllowed="1" showAll="0">
      <items>
        <item x="0"/>
        <item x="1"/>
        <item x="2"/>
        <item t="default"/>
      </items>
    </pivotField>
    <pivotField name="Exception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QC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</pivotFields>
  <rowFields>
    <field x="6"/>
  </rowFields>
  <colFields>
    <field x="10"/>
    <field x="-2"/>
  </colFields>
  <dataFields>
    <dataField name="Avg Price" fld="4" subtotal="average" baseField="0"/>
    <dataField name="Avg Volume" fld="5" subtotal="average" baseField="0"/>
    <dataField name="Volatility %" fld="8" subtotal="average" baseField="0"/>
  </dataFields>
</pivotTableDefinition>
</file>

<file path=xl/pivotTables/pivotTable2.xml><?xml version="1.0" encoding="utf-8"?>
<pivotTableDefinition xmlns="http://schemas.openxmlformats.org/spreadsheetml/2006/main" name="MI_Exceptions (Breaks &amp; Anomali" cacheId="0" dataCaption="" colGrandTotals="0" compact="0" compactData="0">
  <location ref="A3:J16" firstHeaderRow="0" firstDataRow="1" firstDataCol="1" rowPageCount="1" colPageCount="1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name="Ope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t="default"/>
      </items>
    </pivotField>
    <pivotField name="Hig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t="default"/>
      </items>
    </pivotField>
    <pivotField name="Low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t="default"/>
      </items>
    </pivotField>
    <pivotField name="Clos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t="default"/>
      </items>
    </pivotField>
    <pivotField name="Volu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t="default"/>
      </items>
    </pivotField>
    <pivotField name="Company" axis="axisCol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ily % Chan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t="default"/>
      </items>
    </pivotField>
    <pivotField name="Abs % Chan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t="default"/>
      </items>
    </pivotField>
    <pivotField name="Month" axis="axisRow" compact="0" outline="0" multipleItemSelectionAllowed="1" showAll="0" sortType="ascending">
      <items>
        <item x="13"/>
        <item x="7"/>
        <item x="11"/>
        <item x="3"/>
        <item x="5"/>
        <item x="4"/>
        <item x="10"/>
        <item x="9"/>
        <item x="6"/>
        <item x="8"/>
        <item x="2"/>
        <item x="1"/>
        <item x="0"/>
        <item x="12"/>
        <item t="default"/>
      </items>
    </pivotField>
    <pivotField name="MonthStar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ExceptionFlag" compact="0" outline="0" multipleItemSelectionAllowed="1" showAll="0">
      <items>
        <item x="0"/>
        <item x="1"/>
        <item x="2"/>
        <item t="default"/>
      </items>
    </pivotField>
    <pivotField name="VolSpike" compact="0" outline="0" multipleItemSelectionAllowed="1" showAll="0">
      <items>
        <item x="0"/>
        <item x="1"/>
        <item x="2"/>
        <item t="default"/>
      </items>
    </pivotField>
    <pivotField name="ExceptionType" axis="axisPage" dataField="1" compact="0" outline="0" multipleItemSelectionAllowed="1" showAll="0">
      <items>
        <item h="1" x="0"/>
        <item x="1"/>
        <item x="2"/>
        <item x="3"/>
        <item h="1" x="4"/>
        <item t="default"/>
      </items>
    </pivotField>
    <pivotField name="DQC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</pivotFields>
  <rowFields>
    <field x="9"/>
  </rowFields>
  <colFields>
    <field x="6"/>
  </colFields>
  <pageFields>
    <pageField fld="13"/>
  </pageFields>
  <dataFields>
    <dataField name="COUNTA of ExceptionType" fld="13" subtotal="count" baseField="0"/>
  </dataFields>
</pivotTableDefinition>
</file>

<file path=xl/pivotTables/pivotTable3.xml><?xml version="1.0" encoding="utf-8"?>
<pivotTableDefinition xmlns="http://schemas.openxmlformats.org/spreadsheetml/2006/main" name="MI_Overview (Sector Snapshot)" cacheId="0" dataCaption="" rowGrandTotals="0" compact="0" compactData="0">
  <location ref="A3:D13" firstHeaderRow="0" firstDataRow="2" firstDataCol="0" rowPageCount="1" colPageCount="1"/>
  <pivotFields>
    <pivotField name="Date" axis="axisPa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h="1" x="247"/>
        <item h="1" x="248"/>
        <item t="default"/>
      </items>
    </pivotField>
    <pivotField name="Ope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t="default"/>
      </items>
    </pivotField>
    <pivotField name="Hig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t="default"/>
      </items>
    </pivotField>
    <pivotField name="Low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t="default"/>
      </items>
    </pivotField>
    <pivotField name="Clos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t="default"/>
      </items>
    </pivotField>
    <pivotField name="Volu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t="default"/>
      </items>
    </pivotField>
    <pivotField name="Company" axis="axisRow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ily % Chan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t="default"/>
      </items>
    </pivotField>
    <pivotField name="Abs % Chang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hStar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ExceptionFlag" compact="0" outline="0" multipleItemSelectionAllowed="1" showAll="0">
      <items>
        <item x="0"/>
        <item x="1"/>
        <item x="2"/>
        <item t="default"/>
      </items>
    </pivotField>
    <pivotField name="VolSpike" compact="0" outline="0" multipleItemSelectionAllowed="1" showAll="0">
      <items>
        <item x="0"/>
        <item x="1"/>
        <item x="2"/>
        <item t="default"/>
      </items>
    </pivotField>
    <pivotField name="Exception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QC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</pivotFields>
  <rowFields>
    <field x="6"/>
  </rowFields>
  <colFields>
    <field x="-2"/>
  </colFields>
  <pageFields>
    <pageField fld="0"/>
  </pageFields>
  <dataFields>
    <dataField name="Avg Price" fld="4" subtotal="average" baseField="0"/>
    <dataField name="Avg Volume" fld="5" subtotal="average" baseField="0"/>
    <dataField name="Volatility %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7" max="7" width="14.75"/>
    <col customWidth="1" min="8" max="8" width="16.0"/>
    <col customWidth="1" min="9" max="9" width="15.13"/>
  </cols>
  <sheetData>
    <row r="1">
      <c r="A1" s="1" t="str">
        <f>IFERROR(__xludf.DUMMYFUNCTION("{ ""Date"",""Open"",""High"",""Low"",""Close"",""Volume"",""Company"";
  SORT(
    QUERY(
      {
        FILTER({Reliance!A2:F10491,   IF(LEN(Reliance!A2:A10491),""RELIANCE.NS"","""")},   LEN(Reliance!A2:A10491));
        FILTER({ONGC!A2:F10491,       IF"&amp;"(LEN(ONGC!A2:A10491),""ONGC.NS"","""")},           LEN(ONGC!A2:A10491));
        FILTER({NTPC!A2:F10491,       IF(LEN(NTPC!A2:A10491),""NTPC.NS"","""")},           LEN(NTPC!A2:A10491));
        FILTER({POWERGRID!A2:F10491,  IF(LEN(POWERGRID!A2:A10491),""P"&amp;"OWERGRID.NS"","""")}, LEN(POWERGRID!A2:A10491));
        FILTER({COALINDIA!A2:F10491,  IF(LEN(COALINDIA!A2:A10491),""COALINDIA.NS"","""")}, LEN(COALINDIA!A2:A10491));
        FILTER({IOC!A2:F10491,        IF(LEN(IOC!A2:A10491),""IOC.NS"","""")},          "&amp;"   LEN(IOC!A2:A10491));
        FILTER({BPCL!A2:F10491,       IF(LEN(BPCL!A2:A10491),""BPCL.NS"","""")},           LEN(BPCL!A2:A10491));
        FILTER({HINDPETRO!A2:F10491,  IF(LEN(HINDPETRO!A2:A10491),""HINDPETRO.NS"","""")}, LEN(HINDPETRO!A2:A10491));
"&amp;"        FILTER({ADANIGREEN!A2:F10491, IF(LEN(ADANIGREEN!A2:A10491),""ADANIGREEN.NS"","""")},LEN(ADANIGREEN!A2:A10491));
        FILTER({ADANIENSOL!A2:F10491, IF(LEN(ADANIENSOL!A2:A10491),""ADANIENSOL.NS"","""")},LEN(ADANIENSOL!A2:A10491))
      },
      "&amp;"""select Col1,Col2,Col3,Col4,Col5,Col6,Col7 where Col1 is not null"",
      0
    ),
    1, TRUE, 7, TRUE
  )
}
"),"Date")</f>
        <v>Date</v>
      </c>
      <c r="B1" s="2" t="str">
        <f>IFERROR(__xludf.DUMMYFUNCTION("""COMPUTED_VALUE"""),"Open")</f>
        <v>Open</v>
      </c>
      <c r="C1" s="2" t="str">
        <f>IFERROR(__xludf.DUMMYFUNCTION("""COMPUTED_VALUE"""),"High")</f>
        <v>High</v>
      </c>
      <c r="D1" s="2" t="str">
        <f>IFERROR(__xludf.DUMMYFUNCTION("""COMPUTED_VALUE"""),"Low")</f>
        <v>Low</v>
      </c>
      <c r="E1" s="2" t="str">
        <f>IFERROR(__xludf.DUMMYFUNCTION("""COMPUTED_VALUE"""),"Close")</f>
        <v>Close</v>
      </c>
      <c r="F1" s="1" t="str">
        <f>IFERROR(__xludf.DUMMYFUNCTION("""COMPUTED_VALUE"""),"Volume")</f>
        <v>Volume</v>
      </c>
      <c r="G1" s="1" t="str">
        <f>IFERROR(__xludf.DUMMYFUNCTION("""COMPUTED_VALUE"""),"Company")</f>
        <v>Company</v>
      </c>
      <c r="H1" s="3" t="s">
        <v>0</v>
      </c>
      <c r="I1" s="3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1" t="s">
        <v>8</v>
      </c>
      <c r="Q1" s="1" t="s">
        <v>8</v>
      </c>
      <c r="R1" s="1" t="s">
        <v>8</v>
      </c>
      <c r="S1" s="1" t="s">
        <v>8</v>
      </c>
      <c r="T1" s="1" t="s">
        <v>8</v>
      </c>
      <c r="U1" s="1" t="s">
        <v>8</v>
      </c>
      <c r="V1" s="1" t="s">
        <v>8</v>
      </c>
      <c r="W1" s="1" t="s">
        <v>8</v>
      </c>
      <c r="X1" s="1" t="s">
        <v>8</v>
      </c>
      <c r="Y1" s="1" t="s">
        <v>8</v>
      </c>
      <c r="Z1" s="1" t="s">
        <v>8</v>
      </c>
    </row>
    <row r="2">
      <c r="A2" s="5">
        <f>IFERROR(__xludf.DUMMYFUNCTION("""COMPUTED_VALUE"""),45551.0)</f>
        <v>45551</v>
      </c>
      <c r="B2" s="6">
        <f>IFERROR(__xludf.DUMMYFUNCTION("""COMPUTED_VALUE"""),990.5)</f>
        <v>990.5</v>
      </c>
      <c r="C2" s="6">
        <f>IFERROR(__xludf.DUMMYFUNCTION("""COMPUTED_VALUE"""),1010.0)</f>
        <v>1010</v>
      </c>
      <c r="D2" s="6">
        <f>IFERROR(__xludf.DUMMYFUNCTION("""COMPUTED_VALUE"""),978.0)</f>
        <v>978</v>
      </c>
      <c r="E2" s="6">
        <f>IFERROR(__xludf.DUMMYFUNCTION("""COMPUTED_VALUE"""),980.5)</f>
        <v>980.5</v>
      </c>
      <c r="F2" s="7">
        <f>IFERROR(__xludf.DUMMYFUNCTION("""COMPUTED_VALUE"""),1787723.0)</f>
        <v>1787723</v>
      </c>
      <c r="G2" s="7" t="str">
        <f>IFERROR(__xludf.DUMMYFUNCTION("""COMPUTED_VALUE"""),"ADANIENSOL.NS")</f>
        <v>ADANIENSOL.NS</v>
      </c>
      <c r="H2" s="8">
        <f t="shared" ref="H2:H2470" si="1">IFERROR((E2-B2)/B2,"")
</f>
        <v>-0.01009591116</v>
      </c>
      <c r="I2" s="8">
        <f t="shared" ref="I2:I2470" si="2">IFERROR(ABS(H2),"")
</f>
        <v>0.01009591116</v>
      </c>
      <c r="J2" s="7" t="str">
        <f t="shared" ref="J2:J2470" si="3">TEXT(A2,"MMM-YYYY")
</f>
        <v>Sep-2024</v>
      </c>
      <c r="K2" s="9">
        <f t="shared" ref="K2:K2470" si="4">EOMONTH(A2,-1)+1
</f>
        <v>45536</v>
      </c>
      <c r="L2" s="7" t="str">
        <f t="shared" ref="L2:L2470" si="5">IF(I2&gt;=0.05,"PRICE_MOVE_5PCT+","")
</f>
        <v/>
      </c>
      <c r="M2" s="7" t="str">
        <f>IFERROR(__xludf.DUMMYFUNCTION("IFERROR(
  IF(
    F2 &gt;
    3*AVERAGE(
       FILTER($F$2:$F10491,
         $G$2:$G10491=G2,
         $A$2:$A10491&gt;=A2-20,
         $A$2:$A10491&lt;=A2
       )
    ),
    ""VOL_SPIKE_3X"",""""
  ),
"""")
"),"")</f>
        <v/>
      </c>
      <c r="N2" s="7" t="str">
        <f t="shared" ref="N2:N2470" si="6">TEXTJOIN(";",TRUE,IF(LEN(L2),L2,""),IF(LEN(M2),M2,""))
</f>
        <v/>
      </c>
      <c r="O2" s="7" t="str">
        <f t="shared" ref="O2:O2470" si="7">IF(OR(C2&lt;MAX(B2,E2),D2&gt;MIN(B2,E2),F2&lt;0),"RULE_FAIL","")
</f>
        <v/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f>IFERROR(__xludf.DUMMYFUNCTION("""COMPUTED_VALUE"""),45551.0)</f>
        <v>45551</v>
      </c>
      <c r="B3" s="6">
        <f>IFERROR(__xludf.DUMMYFUNCTION("""COMPUTED_VALUE"""),1850.0)</f>
        <v>1850</v>
      </c>
      <c r="C3" s="6">
        <f>IFERROR(__xludf.DUMMYFUNCTION("""COMPUTED_VALUE"""),1941.65)</f>
        <v>1941.65</v>
      </c>
      <c r="D3" s="6">
        <f>IFERROR(__xludf.DUMMYFUNCTION("""COMPUTED_VALUE"""),1833.15)</f>
        <v>1833.15</v>
      </c>
      <c r="E3" s="6">
        <f>IFERROR(__xludf.DUMMYFUNCTION("""COMPUTED_VALUE"""),1930.8)</f>
        <v>1930.8</v>
      </c>
      <c r="F3" s="7">
        <f>IFERROR(__xludf.DUMMYFUNCTION("""COMPUTED_VALUE"""),5342579.0)</f>
        <v>5342579</v>
      </c>
      <c r="G3" s="7" t="str">
        <f>IFERROR(__xludf.DUMMYFUNCTION("""COMPUTED_VALUE"""),"ADANIGREEN.NS")</f>
        <v>ADANIGREEN.NS</v>
      </c>
      <c r="H3" s="8">
        <f t="shared" si="1"/>
        <v>0.04367567568</v>
      </c>
      <c r="I3" s="8">
        <f t="shared" si="2"/>
        <v>0.04367567568</v>
      </c>
      <c r="J3" s="7" t="str">
        <f t="shared" si="3"/>
        <v>Sep-2024</v>
      </c>
      <c r="K3" s="9">
        <f t="shared" si="4"/>
        <v>45536</v>
      </c>
      <c r="L3" s="7" t="str">
        <f t="shared" si="5"/>
        <v/>
      </c>
      <c r="M3" s="7" t="str">
        <f>IFERROR(__xludf.DUMMYFUNCTION("IFERROR(
  IF(
    F3 &gt;
    3*AVERAGE(
       FILTER($F$2:$F10491,
         $G$2:$G10491=G3,
         $A$2:$A10491&gt;=A3-20,
         $A$2:$A10491&lt;=A3
       )
    ),
    ""VOL_SPIKE_3X"",""""
  ),
"""")
"),"")</f>
        <v/>
      </c>
      <c r="N3" s="7" t="str">
        <f t="shared" si="6"/>
        <v/>
      </c>
      <c r="O3" s="7" t="str">
        <f t="shared" si="7"/>
        <v/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f>IFERROR(__xludf.DUMMYFUNCTION("""COMPUTED_VALUE"""),45551.0)</f>
        <v>45551</v>
      </c>
      <c r="B4" s="6">
        <f>IFERROR(__xludf.DUMMYFUNCTION("""COMPUTED_VALUE"""),344.9)</f>
        <v>344.9</v>
      </c>
      <c r="C4" s="6">
        <f>IFERROR(__xludf.DUMMYFUNCTION("""COMPUTED_VALUE"""),344.9)</f>
        <v>344.9</v>
      </c>
      <c r="D4" s="6">
        <f>IFERROR(__xludf.DUMMYFUNCTION("""COMPUTED_VALUE"""),340.0)</f>
        <v>340</v>
      </c>
      <c r="E4" s="6">
        <f>IFERROR(__xludf.DUMMYFUNCTION("""COMPUTED_VALUE"""),340.65)</f>
        <v>340.65</v>
      </c>
      <c r="F4" s="7">
        <f>IFERROR(__xludf.DUMMYFUNCTION("""COMPUTED_VALUE"""),4850244.0)</f>
        <v>4850244</v>
      </c>
      <c r="G4" s="7" t="str">
        <f>IFERROR(__xludf.DUMMYFUNCTION("""COMPUTED_VALUE"""),"BPCL.NS")</f>
        <v>BPCL.NS</v>
      </c>
      <c r="H4" s="8">
        <f t="shared" si="1"/>
        <v>-0.01232241229</v>
      </c>
      <c r="I4" s="8">
        <f t="shared" si="2"/>
        <v>0.01232241229</v>
      </c>
      <c r="J4" s="7" t="str">
        <f t="shared" si="3"/>
        <v>Sep-2024</v>
      </c>
      <c r="K4" s="9">
        <f t="shared" si="4"/>
        <v>45536</v>
      </c>
      <c r="L4" s="7" t="str">
        <f t="shared" si="5"/>
        <v/>
      </c>
      <c r="M4" s="7" t="str">
        <f>IFERROR(__xludf.DUMMYFUNCTION("IFERROR(
  IF(
    F4 &gt;
    3*AVERAGE(
       FILTER($F$2:$F10491,
         $G$2:$G10491=G4,
         $A$2:$A10491&gt;=A4-20,
         $A$2:$A10491&lt;=A4
       )
    ),
    ""VOL_SPIKE_3X"",""""
  ),
"""")
"),"")</f>
        <v/>
      </c>
      <c r="N4" s="7" t="str">
        <f t="shared" si="6"/>
        <v/>
      </c>
      <c r="O4" s="7" t="str">
        <f t="shared" si="7"/>
        <v/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f>IFERROR(__xludf.DUMMYFUNCTION("""COMPUTED_VALUE"""),45551.0)</f>
        <v>45551</v>
      </c>
      <c r="B5" s="6">
        <f>IFERROR(__xludf.DUMMYFUNCTION("""COMPUTED_VALUE"""),492.5)</f>
        <v>492.5</v>
      </c>
      <c r="C5" s="6">
        <f>IFERROR(__xludf.DUMMYFUNCTION("""COMPUTED_VALUE"""),494.9)</f>
        <v>494.9</v>
      </c>
      <c r="D5" s="6">
        <f>IFERROR(__xludf.DUMMYFUNCTION("""COMPUTED_VALUE"""),487.35)</f>
        <v>487.35</v>
      </c>
      <c r="E5" s="6">
        <f>IFERROR(__xludf.DUMMYFUNCTION("""COMPUTED_VALUE"""),493.25)</f>
        <v>493.25</v>
      </c>
      <c r="F5" s="7">
        <f>IFERROR(__xludf.DUMMYFUNCTION("""COMPUTED_VALUE"""),5244657.0)</f>
        <v>5244657</v>
      </c>
      <c r="G5" s="7" t="str">
        <f>IFERROR(__xludf.DUMMYFUNCTION("""COMPUTED_VALUE"""),"COALINDIA.NS")</f>
        <v>COALINDIA.NS</v>
      </c>
      <c r="H5" s="8">
        <f t="shared" si="1"/>
        <v>0.00152284264</v>
      </c>
      <c r="I5" s="8">
        <f t="shared" si="2"/>
        <v>0.00152284264</v>
      </c>
      <c r="J5" s="7" t="str">
        <f t="shared" si="3"/>
        <v>Sep-2024</v>
      </c>
      <c r="K5" s="9">
        <f t="shared" si="4"/>
        <v>45536</v>
      </c>
      <c r="L5" s="7" t="str">
        <f t="shared" si="5"/>
        <v/>
      </c>
      <c r="M5" s="7" t="str">
        <f>IFERROR(__xludf.DUMMYFUNCTION("IFERROR(
  IF(
    F5 &gt;
    3*AVERAGE(
       FILTER($F$2:$F10491,
         $G$2:$G10491=G5,
         $A$2:$A10491&gt;=A5-20,
         $A$2:$A10491&lt;=A5
       )
    ),
    ""VOL_SPIKE_3X"",""""
  ),
"""")
"),"")</f>
        <v/>
      </c>
      <c r="N5" s="7" t="str">
        <f t="shared" si="6"/>
        <v/>
      </c>
      <c r="O5" s="7" t="str">
        <f t="shared" si="7"/>
        <v/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f>IFERROR(__xludf.DUMMYFUNCTION("""COMPUTED_VALUE"""),45551.0)</f>
        <v>45551</v>
      </c>
      <c r="B6" s="6">
        <f>IFERROR(__xludf.DUMMYFUNCTION("""COMPUTED_VALUE"""),411.0)</f>
        <v>411</v>
      </c>
      <c r="C6" s="6">
        <f>IFERROR(__xludf.DUMMYFUNCTION("""COMPUTED_VALUE"""),413.8)</f>
        <v>413.8</v>
      </c>
      <c r="D6" s="6">
        <f>IFERROR(__xludf.DUMMYFUNCTION("""COMPUTED_VALUE"""),405.8)</f>
        <v>405.8</v>
      </c>
      <c r="E6" s="6">
        <f>IFERROR(__xludf.DUMMYFUNCTION("""COMPUTED_VALUE"""),410.2)</f>
        <v>410.2</v>
      </c>
      <c r="F6" s="7">
        <f>IFERROR(__xludf.DUMMYFUNCTION("""COMPUTED_VALUE"""),4415935.0)</f>
        <v>4415935</v>
      </c>
      <c r="G6" s="7" t="str">
        <f>IFERROR(__xludf.DUMMYFUNCTION("""COMPUTED_VALUE"""),"HINDPETRO.NS")</f>
        <v>HINDPETRO.NS</v>
      </c>
      <c r="H6" s="8">
        <f t="shared" si="1"/>
        <v>-0.001946472019</v>
      </c>
      <c r="I6" s="8">
        <f t="shared" si="2"/>
        <v>0.001946472019</v>
      </c>
      <c r="J6" s="7" t="str">
        <f t="shared" si="3"/>
        <v>Sep-2024</v>
      </c>
      <c r="K6" s="9">
        <f t="shared" si="4"/>
        <v>45536</v>
      </c>
      <c r="L6" s="7" t="str">
        <f t="shared" si="5"/>
        <v/>
      </c>
      <c r="M6" s="7" t="str">
        <f>IFERROR(__xludf.DUMMYFUNCTION("IFERROR(
  IF(
    F6 &gt;
    3*AVERAGE(
       FILTER($F$2:$F10491,
         $G$2:$G10491=G6,
         $A$2:$A10491&gt;=A6-20,
         $A$2:$A10491&lt;=A6
       )
    ),
    ""VOL_SPIKE_3X"",""""
  ),
"""")
"),"")</f>
        <v/>
      </c>
      <c r="N6" s="7" t="str">
        <f t="shared" si="6"/>
        <v/>
      </c>
      <c r="O6" s="7" t="str">
        <f t="shared" si="7"/>
        <v/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f>IFERROR(__xludf.DUMMYFUNCTION("""COMPUTED_VALUE"""),45551.0)</f>
        <v>45551</v>
      </c>
      <c r="B7" s="6">
        <f>IFERROR(__xludf.DUMMYFUNCTION("""COMPUTED_VALUE"""),173.8)</f>
        <v>173.8</v>
      </c>
      <c r="C7" s="6">
        <f>IFERROR(__xludf.DUMMYFUNCTION("""COMPUTED_VALUE"""),174.11)</f>
        <v>174.11</v>
      </c>
      <c r="D7" s="6">
        <f>IFERROR(__xludf.DUMMYFUNCTION("""COMPUTED_VALUE"""),171.59)</f>
        <v>171.59</v>
      </c>
      <c r="E7" s="6">
        <f>IFERROR(__xludf.DUMMYFUNCTION("""COMPUTED_VALUE"""),171.82)</f>
        <v>171.82</v>
      </c>
      <c r="F7" s="7">
        <f>IFERROR(__xludf.DUMMYFUNCTION("""COMPUTED_VALUE"""),8492383.0)</f>
        <v>8492383</v>
      </c>
      <c r="G7" s="7" t="str">
        <f>IFERROR(__xludf.DUMMYFUNCTION("""COMPUTED_VALUE"""),"IOC.NS")</f>
        <v>IOC.NS</v>
      </c>
      <c r="H7" s="8">
        <f t="shared" si="1"/>
        <v>-0.01139240506</v>
      </c>
      <c r="I7" s="8">
        <f t="shared" si="2"/>
        <v>0.01139240506</v>
      </c>
      <c r="J7" s="7" t="str">
        <f t="shared" si="3"/>
        <v>Sep-2024</v>
      </c>
      <c r="K7" s="9">
        <f t="shared" si="4"/>
        <v>45536</v>
      </c>
      <c r="L7" s="7" t="str">
        <f t="shared" si="5"/>
        <v/>
      </c>
      <c r="M7" s="7" t="str">
        <f>IFERROR(__xludf.DUMMYFUNCTION("IFERROR(
  IF(
    F7 &gt;
    3*AVERAGE(
       FILTER($F$2:$F10491,
         $G$2:$G10491=G7,
         $A$2:$A10491&gt;=A7-20,
         $A$2:$A10491&lt;=A7
       )
    ),
    ""VOL_SPIKE_3X"",""""
  ),
"""")
"),"")</f>
        <v/>
      </c>
      <c r="N7" s="7" t="str">
        <f t="shared" si="6"/>
        <v/>
      </c>
      <c r="O7" s="7" t="str">
        <f t="shared" si="7"/>
        <v/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f>IFERROR(__xludf.DUMMYFUNCTION("""COMPUTED_VALUE"""),45551.0)</f>
        <v>45551</v>
      </c>
      <c r="B8" s="6">
        <f>IFERROR(__xludf.DUMMYFUNCTION("""COMPUTED_VALUE"""),402.45)</f>
        <v>402.45</v>
      </c>
      <c r="C8" s="6">
        <f>IFERROR(__xludf.DUMMYFUNCTION("""COMPUTED_VALUE"""),412.0)</f>
        <v>412</v>
      </c>
      <c r="D8" s="6">
        <f>IFERROR(__xludf.DUMMYFUNCTION("""COMPUTED_VALUE"""),402.0)</f>
        <v>402</v>
      </c>
      <c r="E8" s="6">
        <f>IFERROR(__xludf.DUMMYFUNCTION("""COMPUTED_VALUE"""),411.1)</f>
        <v>411.1</v>
      </c>
      <c r="F8" s="7">
        <f>IFERROR(__xludf.DUMMYFUNCTION("""COMPUTED_VALUE"""),1.1479712E7)</f>
        <v>11479712</v>
      </c>
      <c r="G8" s="7" t="str">
        <f>IFERROR(__xludf.DUMMYFUNCTION("""COMPUTED_VALUE"""),"NTPC.NS")</f>
        <v>NTPC.NS</v>
      </c>
      <c r="H8" s="8">
        <f t="shared" si="1"/>
        <v>0.02149335321</v>
      </c>
      <c r="I8" s="8">
        <f t="shared" si="2"/>
        <v>0.02149335321</v>
      </c>
      <c r="J8" s="7" t="str">
        <f t="shared" si="3"/>
        <v>Sep-2024</v>
      </c>
      <c r="K8" s="9">
        <f t="shared" si="4"/>
        <v>45536</v>
      </c>
      <c r="L8" s="7" t="str">
        <f t="shared" si="5"/>
        <v/>
      </c>
      <c r="M8" s="7" t="str">
        <f>IFERROR(__xludf.DUMMYFUNCTION("IFERROR(
  IF(
    F8 &gt;
    3*AVERAGE(
       FILTER($F$2:$F10491,
         $G$2:$G10491=G8,
         $A$2:$A10491&gt;=A8-20,
         $A$2:$A10491&lt;=A8
       )
    ),
    ""VOL_SPIKE_3X"",""""
  ),
"""")
"),"")</f>
        <v/>
      </c>
      <c r="N8" s="7" t="str">
        <f t="shared" si="6"/>
        <v/>
      </c>
      <c r="O8" s="7" t="str">
        <f t="shared" si="7"/>
        <v/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f>IFERROR(__xludf.DUMMYFUNCTION("""COMPUTED_VALUE"""),45551.0)</f>
        <v>45551</v>
      </c>
      <c r="B9" s="6">
        <f>IFERROR(__xludf.DUMMYFUNCTION("""COMPUTED_VALUE"""),294.8)</f>
        <v>294.8</v>
      </c>
      <c r="C9" s="6">
        <f>IFERROR(__xludf.DUMMYFUNCTION("""COMPUTED_VALUE"""),295.4)</f>
        <v>295.4</v>
      </c>
      <c r="D9" s="6">
        <f>IFERROR(__xludf.DUMMYFUNCTION("""COMPUTED_VALUE"""),291.35)</f>
        <v>291.35</v>
      </c>
      <c r="E9" s="6">
        <f>IFERROR(__xludf.DUMMYFUNCTION("""COMPUTED_VALUE"""),292.5)</f>
        <v>292.5</v>
      </c>
      <c r="F9" s="7">
        <f>IFERROR(__xludf.DUMMYFUNCTION("""COMPUTED_VALUE"""),1.097111E7)</f>
        <v>10971110</v>
      </c>
      <c r="G9" s="7" t="str">
        <f>IFERROR(__xludf.DUMMYFUNCTION("""COMPUTED_VALUE"""),"ONGC.NS")</f>
        <v>ONGC.NS</v>
      </c>
      <c r="H9" s="8">
        <f t="shared" si="1"/>
        <v>-0.007801899593</v>
      </c>
      <c r="I9" s="8">
        <f t="shared" si="2"/>
        <v>0.007801899593</v>
      </c>
      <c r="J9" s="7" t="str">
        <f t="shared" si="3"/>
        <v>Sep-2024</v>
      </c>
      <c r="K9" s="9">
        <f t="shared" si="4"/>
        <v>45536</v>
      </c>
      <c r="L9" s="7" t="str">
        <f t="shared" si="5"/>
        <v/>
      </c>
      <c r="M9" s="7" t="str">
        <f>IFERROR(__xludf.DUMMYFUNCTION("IFERROR(
  IF(
    F9 &gt;
    3*AVERAGE(
       FILTER($F$2:$F10491,
         $G$2:$G10491=G9,
         $A$2:$A10491&gt;=A9-20,
         $A$2:$A10491&lt;=A9
       )
    ),
    ""VOL_SPIKE_3X"",""""
  ),
"""")
"),"")</f>
        <v/>
      </c>
      <c r="N9" s="7" t="str">
        <f t="shared" si="6"/>
        <v/>
      </c>
      <c r="O9" s="7" t="str">
        <f t="shared" si="7"/>
        <v/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f>IFERROR(__xludf.DUMMYFUNCTION("""COMPUTED_VALUE"""),45551.0)</f>
        <v>45551</v>
      </c>
      <c r="B10" s="6">
        <f>IFERROR(__xludf.DUMMYFUNCTION("""COMPUTED_VALUE"""),337.25)</f>
        <v>337.25</v>
      </c>
      <c r="C10" s="6">
        <f>IFERROR(__xludf.DUMMYFUNCTION("""COMPUTED_VALUE"""),341.5)</f>
        <v>341.5</v>
      </c>
      <c r="D10" s="6">
        <f>IFERROR(__xludf.DUMMYFUNCTION("""COMPUTED_VALUE"""),337.05)</f>
        <v>337.05</v>
      </c>
      <c r="E10" s="6">
        <f>IFERROR(__xludf.DUMMYFUNCTION("""COMPUTED_VALUE"""),338.25)</f>
        <v>338.25</v>
      </c>
      <c r="F10" s="7">
        <f>IFERROR(__xludf.DUMMYFUNCTION("""COMPUTED_VALUE"""),7748570.0)</f>
        <v>7748570</v>
      </c>
      <c r="G10" s="7" t="str">
        <f>IFERROR(__xludf.DUMMYFUNCTION("""COMPUTED_VALUE"""),"POWERGRID.NS")</f>
        <v>POWERGRID.NS</v>
      </c>
      <c r="H10" s="8">
        <f t="shared" si="1"/>
        <v>0.002965159377</v>
      </c>
      <c r="I10" s="8">
        <f t="shared" si="2"/>
        <v>0.002965159377</v>
      </c>
      <c r="J10" s="7" t="str">
        <f t="shared" si="3"/>
        <v>Sep-2024</v>
      </c>
      <c r="K10" s="9">
        <f t="shared" si="4"/>
        <v>45536</v>
      </c>
      <c r="L10" s="7" t="str">
        <f t="shared" si="5"/>
        <v/>
      </c>
      <c r="M10" s="7" t="str">
        <f>IFERROR(__xludf.DUMMYFUNCTION("IFERROR(
  IF(
    F10 &gt;
    3*AVERAGE(
       FILTER($F$2:$F10491,
         $G$2:$G10491=G10,
         $A$2:$A10491&gt;=A10-20,
         $A$2:$A10491&lt;=A10
       )
    ),
    ""VOL_SPIKE_3X"",""""
  ),
"""")
"),"")</f>
        <v/>
      </c>
      <c r="N10" s="7" t="str">
        <f t="shared" si="6"/>
        <v/>
      </c>
      <c r="O10" s="7" t="str">
        <f t="shared" si="7"/>
        <v/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f>IFERROR(__xludf.DUMMYFUNCTION("""COMPUTED_VALUE"""),45551.0)</f>
        <v>45551</v>
      </c>
      <c r="B11" s="6">
        <f>IFERROR(__xludf.DUMMYFUNCTION("""COMPUTED_VALUE"""),1477.55)</f>
        <v>1477.55</v>
      </c>
      <c r="C11" s="6">
        <f>IFERROR(__xludf.DUMMYFUNCTION("""COMPUTED_VALUE"""),1480.9)</f>
        <v>1480.9</v>
      </c>
      <c r="D11" s="6">
        <f>IFERROR(__xludf.DUMMYFUNCTION("""COMPUTED_VALUE"""),1464.75)</f>
        <v>1464.75</v>
      </c>
      <c r="E11" s="6">
        <f>IFERROR(__xludf.DUMMYFUNCTION("""COMPUTED_VALUE"""),1471.35)</f>
        <v>1471.35</v>
      </c>
      <c r="F11" s="7">
        <f>IFERROR(__xludf.DUMMYFUNCTION("""COMPUTED_VALUE"""),2740887.0)</f>
        <v>2740887</v>
      </c>
      <c r="G11" s="7" t="str">
        <f>IFERROR(__xludf.DUMMYFUNCTION("""COMPUTED_VALUE"""),"RELIANCE.NS")</f>
        <v>RELIANCE.NS</v>
      </c>
      <c r="H11" s="8">
        <f t="shared" si="1"/>
        <v>-0.004196135495</v>
      </c>
      <c r="I11" s="8">
        <f t="shared" si="2"/>
        <v>0.004196135495</v>
      </c>
      <c r="J11" s="7" t="str">
        <f t="shared" si="3"/>
        <v>Sep-2024</v>
      </c>
      <c r="K11" s="9">
        <f t="shared" si="4"/>
        <v>45536</v>
      </c>
      <c r="L11" s="7" t="str">
        <f t="shared" si="5"/>
        <v/>
      </c>
      <c r="M11" s="7" t="str">
        <f>IFERROR(__xludf.DUMMYFUNCTION("IFERROR(
  IF(
    F11 &gt;
    3*AVERAGE(
       FILTER($F$2:$F10491,
         $G$2:$G10491=G11,
         $A$2:$A10491&gt;=A11-20,
         $A$2:$A10491&lt;=A11
       )
    ),
    ""VOL_SPIKE_3X"",""""
  ),
"""")
"),"")</f>
        <v/>
      </c>
      <c r="N11" s="7" t="str">
        <f t="shared" si="6"/>
        <v/>
      </c>
      <c r="O11" s="7" t="str">
        <f t="shared" si="7"/>
        <v/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f>IFERROR(__xludf.DUMMYFUNCTION("""COMPUTED_VALUE"""),45552.0)</f>
        <v>45552</v>
      </c>
      <c r="B12" s="6">
        <f>IFERROR(__xludf.DUMMYFUNCTION("""COMPUTED_VALUE"""),985.0)</f>
        <v>985</v>
      </c>
      <c r="C12" s="6">
        <f>IFERROR(__xludf.DUMMYFUNCTION("""COMPUTED_VALUE"""),995.0)</f>
        <v>995</v>
      </c>
      <c r="D12" s="6">
        <f>IFERROR(__xludf.DUMMYFUNCTION("""COMPUTED_VALUE"""),976.15)</f>
        <v>976.15</v>
      </c>
      <c r="E12" s="6">
        <f>IFERROR(__xludf.DUMMYFUNCTION("""COMPUTED_VALUE"""),989.0)</f>
        <v>989</v>
      </c>
      <c r="F12" s="7">
        <f>IFERROR(__xludf.DUMMYFUNCTION("""COMPUTED_VALUE"""),1320871.0)</f>
        <v>1320871</v>
      </c>
      <c r="G12" s="7" t="str">
        <f>IFERROR(__xludf.DUMMYFUNCTION("""COMPUTED_VALUE"""),"ADANIENSOL.NS")</f>
        <v>ADANIENSOL.NS</v>
      </c>
      <c r="H12" s="8">
        <f t="shared" si="1"/>
        <v>0.004060913706</v>
      </c>
      <c r="I12" s="8">
        <f t="shared" si="2"/>
        <v>0.004060913706</v>
      </c>
      <c r="J12" s="7" t="str">
        <f t="shared" si="3"/>
        <v>Sep-2024</v>
      </c>
      <c r="K12" s="9">
        <f t="shared" si="4"/>
        <v>45536</v>
      </c>
      <c r="L12" s="7" t="str">
        <f t="shared" si="5"/>
        <v/>
      </c>
      <c r="M12" s="7" t="str">
        <f>IFERROR(__xludf.DUMMYFUNCTION("IFERROR(
  IF(
    F12 &gt;
    3*AVERAGE(
       FILTER($F$2:$F10491,
         $G$2:$G10491=G12,
         $A$2:$A10491&gt;=A12-20,
         $A$2:$A10491&lt;=A12
       )
    ),
    ""VOL_SPIKE_3X"",""""
  ),
"""")
"),"")</f>
        <v/>
      </c>
      <c r="N12" s="7" t="str">
        <f t="shared" si="6"/>
        <v/>
      </c>
      <c r="O12" s="7" t="str">
        <f t="shared" si="7"/>
        <v/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f>IFERROR(__xludf.DUMMYFUNCTION("""COMPUTED_VALUE"""),45552.0)</f>
        <v>45552</v>
      </c>
      <c r="B13" s="6">
        <f>IFERROR(__xludf.DUMMYFUNCTION("""COMPUTED_VALUE"""),1930.8)</f>
        <v>1930.8</v>
      </c>
      <c r="C13" s="6">
        <f>IFERROR(__xludf.DUMMYFUNCTION("""COMPUTED_VALUE"""),1978.0)</f>
        <v>1978</v>
      </c>
      <c r="D13" s="6">
        <f>IFERROR(__xludf.DUMMYFUNCTION("""COMPUTED_VALUE"""),1886.0)</f>
        <v>1886</v>
      </c>
      <c r="E13" s="6">
        <f>IFERROR(__xludf.DUMMYFUNCTION("""COMPUTED_VALUE"""),1954.4)</f>
        <v>1954.4</v>
      </c>
      <c r="F13" s="7">
        <f>IFERROR(__xludf.DUMMYFUNCTION("""COMPUTED_VALUE"""),4392980.0)</f>
        <v>4392980</v>
      </c>
      <c r="G13" s="7" t="str">
        <f>IFERROR(__xludf.DUMMYFUNCTION("""COMPUTED_VALUE"""),"ADANIGREEN.NS")</f>
        <v>ADANIGREEN.NS</v>
      </c>
      <c r="H13" s="8">
        <f t="shared" si="1"/>
        <v>0.01222291278</v>
      </c>
      <c r="I13" s="8">
        <f t="shared" si="2"/>
        <v>0.01222291278</v>
      </c>
      <c r="J13" s="7" t="str">
        <f t="shared" si="3"/>
        <v>Sep-2024</v>
      </c>
      <c r="K13" s="9">
        <f t="shared" si="4"/>
        <v>45536</v>
      </c>
      <c r="L13" s="7" t="str">
        <f t="shared" si="5"/>
        <v/>
      </c>
      <c r="M13" s="7" t="str">
        <f>IFERROR(__xludf.DUMMYFUNCTION("IFERROR(
  IF(
    F13 &gt;
    3*AVERAGE(
       FILTER($F$2:$F10491,
         $G$2:$G10491=G13,
         $A$2:$A10491&gt;=A13-20,
         $A$2:$A10491&lt;=A13
       )
    ),
    ""VOL_SPIKE_3X"",""""
  ),
"""")
"),"")</f>
        <v/>
      </c>
      <c r="N13" s="7" t="str">
        <f t="shared" si="6"/>
        <v/>
      </c>
      <c r="O13" s="7" t="str">
        <f t="shared" si="7"/>
        <v/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f>IFERROR(__xludf.DUMMYFUNCTION("""COMPUTED_VALUE"""),45552.0)</f>
        <v>45552</v>
      </c>
      <c r="B14" s="6">
        <f>IFERROR(__xludf.DUMMYFUNCTION("""COMPUTED_VALUE"""),339.95)</f>
        <v>339.95</v>
      </c>
      <c r="C14" s="6">
        <f>IFERROR(__xludf.DUMMYFUNCTION("""COMPUTED_VALUE"""),340.85)</f>
        <v>340.85</v>
      </c>
      <c r="D14" s="6">
        <f>IFERROR(__xludf.DUMMYFUNCTION("""COMPUTED_VALUE"""),335.05)</f>
        <v>335.05</v>
      </c>
      <c r="E14" s="6">
        <f>IFERROR(__xludf.DUMMYFUNCTION("""COMPUTED_VALUE"""),338.4)</f>
        <v>338.4</v>
      </c>
      <c r="F14" s="7">
        <f>IFERROR(__xludf.DUMMYFUNCTION("""COMPUTED_VALUE"""),7237522.0)</f>
        <v>7237522</v>
      </c>
      <c r="G14" s="7" t="str">
        <f>IFERROR(__xludf.DUMMYFUNCTION("""COMPUTED_VALUE"""),"BPCL.NS")</f>
        <v>BPCL.NS</v>
      </c>
      <c r="H14" s="8">
        <f t="shared" si="1"/>
        <v>-0.004559494043</v>
      </c>
      <c r="I14" s="8">
        <f t="shared" si="2"/>
        <v>0.004559494043</v>
      </c>
      <c r="J14" s="7" t="str">
        <f t="shared" si="3"/>
        <v>Sep-2024</v>
      </c>
      <c r="K14" s="9">
        <f t="shared" si="4"/>
        <v>45536</v>
      </c>
      <c r="L14" s="7" t="str">
        <f t="shared" si="5"/>
        <v/>
      </c>
      <c r="M14" s="7" t="str">
        <f>IFERROR(__xludf.DUMMYFUNCTION("IFERROR(
  IF(
    F14 &gt;
    3*AVERAGE(
       FILTER($F$2:$F10491,
         $G$2:$G10491=G14,
         $A$2:$A10491&gt;=A14-20,
         $A$2:$A10491&lt;=A14
       )
    ),
    ""VOL_SPIKE_3X"",""""
  ),
"""")
"),"")</f>
        <v/>
      </c>
      <c r="N14" s="7" t="str">
        <f t="shared" si="6"/>
        <v/>
      </c>
      <c r="O14" s="7" t="str">
        <f t="shared" si="7"/>
        <v/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f>IFERROR(__xludf.DUMMYFUNCTION("""COMPUTED_VALUE"""),45552.0)</f>
        <v>45552</v>
      </c>
      <c r="B15" s="6">
        <f>IFERROR(__xludf.DUMMYFUNCTION("""COMPUTED_VALUE"""),493.25)</f>
        <v>493.25</v>
      </c>
      <c r="C15" s="6">
        <f>IFERROR(__xludf.DUMMYFUNCTION("""COMPUTED_VALUE"""),494.8)</f>
        <v>494.8</v>
      </c>
      <c r="D15" s="6">
        <f>IFERROR(__xludf.DUMMYFUNCTION("""COMPUTED_VALUE"""),487.65)</f>
        <v>487.65</v>
      </c>
      <c r="E15" s="6">
        <f>IFERROR(__xludf.DUMMYFUNCTION("""COMPUTED_VALUE"""),488.5)</f>
        <v>488.5</v>
      </c>
      <c r="F15" s="7">
        <f>IFERROR(__xludf.DUMMYFUNCTION("""COMPUTED_VALUE"""),5063902.0)</f>
        <v>5063902</v>
      </c>
      <c r="G15" s="7" t="str">
        <f>IFERROR(__xludf.DUMMYFUNCTION("""COMPUTED_VALUE"""),"COALINDIA.NS")</f>
        <v>COALINDIA.NS</v>
      </c>
      <c r="H15" s="8">
        <f t="shared" si="1"/>
        <v>-0.009630005068</v>
      </c>
      <c r="I15" s="8">
        <f t="shared" si="2"/>
        <v>0.009630005068</v>
      </c>
      <c r="J15" s="7" t="str">
        <f t="shared" si="3"/>
        <v>Sep-2024</v>
      </c>
      <c r="K15" s="9">
        <f t="shared" si="4"/>
        <v>45536</v>
      </c>
      <c r="L15" s="7" t="str">
        <f t="shared" si="5"/>
        <v/>
      </c>
      <c r="M15" s="7" t="str">
        <f>IFERROR(__xludf.DUMMYFUNCTION("IFERROR(
  IF(
    F15 &gt;
    3*AVERAGE(
       FILTER($F$2:$F10491,
         $G$2:$G10491=G15,
         $A$2:$A10491&gt;=A15-20,
         $A$2:$A10491&lt;=A15
       )
    ),
    ""VOL_SPIKE_3X"",""""
  ),
"""")
"),"")</f>
        <v/>
      </c>
      <c r="N15" s="7" t="str">
        <f t="shared" si="6"/>
        <v/>
      </c>
      <c r="O15" s="7" t="str">
        <f t="shared" si="7"/>
        <v/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f>IFERROR(__xludf.DUMMYFUNCTION("""COMPUTED_VALUE"""),45552.0)</f>
        <v>45552</v>
      </c>
      <c r="B16" s="6">
        <f>IFERROR(__xludf.DUMMYFUNCTION("""COMPUTED_VALUE"""),410.5)</f>
        <v>410.5</v>
      </c>
      <c r="C16" s="6">
        <f>IFERROR(__xludf.DUMMYFUNCTION("""COMPUTED_VALUE"""),412.5)</f>
        <v>412.5</v>
      </c>
      <c r="D16" s="6">
        <f>IFERROR(__xludf.DUMMYFUNCTION("""COMPUTED_VALUE"""),406.05)</f>
        <v>406.05</v>
      </c>
      <c r="E16" s="6">
        <f>IFERROR(__xludf.DUMMYFUNCTION("""COMPUTED_VALUE"""),408.7)</f>
        <v>408.7</v>
      </c>
      <c r="F16" s="7">
        <f>IFERROR(__xludf.DUMMYFUNCTION("""COMPUTED_VALUE"""),3296568.0)</f>
        <v>3296568</v>
      </c>
      <c r="G16" s="7" t="str">
        <f>IFERROR(__xludf.DUMMYFUNCTION("""COMPUTED_VALUE"""),"HINDPETRO.NS")</f>
        <v>HINDPETRO.NS</v>
      </c>
      <c r="H16" s="8">
        <f t="shared" si="1"/>
        <v>-0.004384896468</v>
      </c>
      <c r="I16" s="8">
        <f t="shared" si="2"/>
        <v>0.004384896468</v>
      </c>
      <c r="J16" s="7" t="str">
        <f t="shared" si="3"/>
        <v>Sep-2024</v>
      </c>
      <c r="K16" s="9">
        <f t="shared" si="4"/>
        <v>45536</v>
      </c>
      <c r="L16" s="7" t="str">
        <f t="shared" si="5"/>
        <v/>
      </c>
      <c r="M16" s="7" t="str">
        <f>IFERROR(__xludf.DUMMYFUNCTION("IFERROR(
  IF(
    F16 &gt;
    3*AVERAGE(
       FILTER($F$2:$F10491,
         $G$2:$G10491=G16,
         $A$2:$A10491&gt;=A16-20,
         $A$2:$A10491&lt;=A16
       )
    ),
    ""VOL_SPIKE_3X"",""""
  ),
"""")
"),"")</f>
        <v/>
      </c>
      <c r="N16" s="7" t="str">
        <f t="shared" si="6"/>
        <v/>
      </c>
      <c r="O16" s="7" t="str">
        <f t="shared" si="7"/>
        <v/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f>IFERROR(__xludf.DUMMYFUNCTION("""COMPUTED_VALUE"""),45552.0)</f>
        <v>45552</v>
      </c>
      <c r="B17" s="6">
        <f>IFERROR(__xludf.DUMMYFUNCTION("""COMPUTED_VALUE"""),171.32)</f>
        <v>171.32</v>
      </c>
      <c r="C17" s="6">
        <f>IFERROR(__xludf.DUMMYFUNCTION("""COMPUTED_VALUE"""),171.95)</f>
        <v>171.95</v>
      </c>
      <c r="D17" s="6">
        <f>IFERROR(__xludf.DUMMYFUNCTION("""COMPUTED_VALUE"""),170.05)</f>
        <v>170.05</v>
      </c>
      <c r="E17" s="6">
        <f>IFERROR(__xludf.DUMMYFUNCTION("""COMPUTED_VALUE"""),170.51)</f>
        <v>170.51</v>
      </c>
      <c r="F17" s="7">
        <f>IFERROR(__xludf.DUMMYFUNCTION("""COMPUTED_VALUE"""),6417946.0)</f>
        <v>6417946</v>
      </c>
      <c r="G17" s="7" t="str">
        <f>IFERROR(__xludf.DUMMYFUNCTION("""COMPUTED_VALUE"""),"IOC.NS")</f>
        <v>IOC.NS</v>
      </c>
      <c r="H17" s="8">
        <f t="shared" si="1"/>
        <v>-0.004727994396</v>
      </c>
      <c r="I17" s="8">
        <f t="shared" si="2"/>
        <v>0.004727994396</v>
      </c>
      <c r="J17" s="7" t="str">
        <f t="shared" si="3"/>
        <v>Sep-2024</v>
      </c>
      <c r="K17" s="9">
        <f t="shared" si="4"/>
        <v>45536</v>
      </c>
      <c r="L17" s="7" t="str">
        <f t="shared" si="5"/>
        <v/>
      </c>
      <c r="M17" s="7" t="str">
        <f>IFERROR(__xludf.DUMMYFUNCTION("IFERROR(
  IF(
    F17 &gt;
    3*AVERAGE(
       FILTER($F$2:$F10491,
         $G$2:$G10491=G17,
         $A$2:$A10491&gt;=A17-20,
         $A$2:$A10491&lt;=A17
       )
    ),
    ""VOL_SPIKE_3X"",""""
  ),
"""")
"),"")</f>
        <v/>
      </c>
      <c r="N17" s="7" t="str">
        <f t="shared" si="6"/>
        <v/>
      </c>
      <c r="O17" s="7" t="str">
        <f t="shared" si="7"/>
        <v/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f>IFERROR(__xludf.DUMMYFUNCTION("""COMPUTED_VALUE"""),45552.0)</f>
        <v>45552</v>
      </c>
      <c r="B18" s="6">
        <f>IFERROR(__xludf.DUMMYFUNCTION("""COMPUTED_VALUE"""),411.85)</f>
        <v>411.85</v>
      </c>
      <c r="C18" s="6">
        <f>IFERROR(__xludf.DUMMYFUNCTION("""COMPUTED_VALUE"""),417.65)</f>
        <v>417.65</v>
      </c>
      <c r="D18" s="6">
        <f>IFERROR(__xludf.DUMMYFUNCTION("""COMPUTED_VALUE"""),410.1)</f>
        <v>410.1</v>
      </c>
      <c r="E18" s="6">
        <f>IFERROR(__xludf.DUMMYFUNCTION("""COMPUTED_VALUE"""),416.3)</f>
        <v>416.3</v>
      </c>
      <c r="F18" s="7">
        <f>IFERROR(__xludf.DUMMYFUNCTION("""COMPUTED_VALUE"""),1.4432501E7)</f>
        <v>14432501</v>
      </c>
      <c r="G18" s="7" t="str">
        <f>IFERROR(__xludf.DUMMYFUNCTION("""COMPUTED_VALUE"""),"NTPC.NS")</f>
        <v>NTPC.NS</v>
      </c>
      <c r="H18" s="8">
        <f t="shared" si="1"/>
        <v>0.0108049047</v>
      </c>
      <c r="I18" s="8">
        <f t="shared" si="2"/>
        <v>0.0108049047</v>
      </c>
      <c r="J18" s="7" t="str">
        <f t="shared" si="3"/>
        <v>Sep-2024</v>
      </c>
      <c r="K18" s="9">
        <f t="shared" si="4"/>
        <v>45536</v>
      </c>
      <c r="L18" s="7" t="str">
        <f t="shared" si="5"/>
        <v/>
      </c>
      <c r="M18" s="7" t="str">
        <f>IFERROR(__xludf.DUMMYFUNCTION("IFERROR(
  IF(
    F18 &gt;
    3*AVERAGE(
       FILTER($F$2:$F10491,
         $G$2:$G10491=G18,
         $A$2:$A10491&gt;=A18-20,
         $A$2:$A10491&lt;=A18
       )
    ),
    ""VOL_SPIKE_3X"",""""
  ),
"""")
"),"")</f>
        <v/>
      </c>
      <c r="N18" s="7" t="str">
        <f t="shared" si="6"/>
        <v/>
      </c>
      <c r="O18" s="7" t="str">
        <f t="shared" si="7"/>
        <v/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f>IFERROR(__xludf.DUMMYFUNCTION("""COMPUTED_VALUE"""),45552.0)</f>
        <v>45552</v>
      </c>
      <c r="B19" s="6">
        <f>IFERROR(__xludf.DUMMYFUNCTION("""COMPUTED_VALUE"""),293.7)</f>
        <v>293.7</v>
      </c>
      <c r="C19" s="6">
        <f>IFERROR(__xludf.DUMMYFUNCTION("""COMPUTED_VALUE"""),296.6)</f>
        <v>296.6</v>
      </c>
      <c r="D19" s="6">
        <f>IFERROR(__xludf.DUMMYFUNCTION("""COMPUTED_VALUE"""),292.15)</f>
        <v>292.15</v>
      </c>
      <c r="E19" s="6">
        <f>IFERROR(__xludf.DUMMYFUNCTION("""COMPUTED_VALUE"""),294.65)</f>
        <v>294.65</v>
      </c>
      <c r="F19" s="7">
        <f>IFERROR(__xludf.DUMMYFUNCTION("""COMPUTED_VALUE"""),1.1873436E7)</f>
        <v>11873436</v>
      </c>
      <c r="G19" s="7" t="str">
        <f>IFERROR(__xludf.DUMMYFUNCTION("""COMPUTED_VALUE"""),"ONGC.NS")</f>
        <v>ONGC.NS</v>
      </c>
      <c r="H19" s="8">
        <f t="shared" si="1"/>
        <v>0.003234593122</v>
      </c>
      <c r="I19" s="8">
        <f t="shared" si="2"/>
        <v>0.003234593122</v>
      </c>
      <c r="J19" s="7" t="str">
        <f t="shared" si="3"/>
        <v>Sep-2024</v>
      </c>
      <c r="K19" s="9">
        <f t="shared" si="4"/>
        <v>45536</v>
      </c>
      <c r="L19" s="7" t="str">
        <f t="shared" si="5"/>
        <v/>
      </c>
      <c r="M19" s="7" t="str">
        <f>IFERROR(__xludf.DUMMYFUNCTION("IFERROR(
  IF(
    F19 &gt;
    3*AVERAGE(
       FILTER($F$2:$F10491,
         $G$2:$G10491=G19,
         $A$2:$A10491&gt;=A19-20,
         $A$2:$A10491&lt;=A19
       )
    ),
    ""VOL_SPIKE_3X"",""""
  ),
"""")
"),"")</f>
        <v/>
      </c>
      <c r="N19" s="7" t="str">
        <f t="shared" si="6"/>
        <v/>
      </c>
      <c r="O19" s="7" t="str">
        <f t="shared" si="7"/>
        <v/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f>IFERROR(__xludf.DUMMYFUNCTION("""COMPUTED_VALUE"""),45552.0)</f>
        <v>45552</v>
      </c>
      <c r="B20" s="6">
        <f>IFERROR(__xludf.DUMMYFUNCTION("""COMPUTED_VALUE"""),336.7)</f>
        <v>336.7</v>
      </c>
      <c r="C20" s="6">
        <f>IFERROR(__xludf.DUMMYFUNCTION("""COMPUTED_VALUE"""),340.0)</f>
        <v>340</v>
      </c>
      <c r="D20" s="6">
        <f>IFERROR(__xludf.DUMMYFUNCTION("""COMPUTED_VALUE"""),334.5)</f>
        <v>334.5</v>
      </c>
      <c r="E20" s="6">
        <f>IFERROR(__xludf.DUMMYFUNCTION("""COMPUTED_VALUE"""),336.9)</f>
        <v>336.9</v>
      </c>
      <c r="F20" s="7">
        <f>IFERROR(__xludf.DUMMYFUNCTION("""COMPUTED_VALUE"""),1.1451846E7)</f>
        <v>11451846</v>
      </c>
      <c r="G20" s="7" t="str">
        <f>IFERROR(__xludf.DUMMYFUNCTION("""COMPUTED_VALUE"""),"POWERGRID.NS")</f>
        <v>POWERGRID.NS</v>
      </c>
      <c r="H20" s="8">
        <f t="shared" si="1"/>
        <v>0.000594000594</v>
      </c>
      <c r="I20" s="8">
        <f t="shared" si="2"/>
        <v>0.000594000594</v>
      </c>
      <c r="J20" s="7" t="str">
        <f t="shared" si="3"/>
        <v>Sep-2024</v>
      </c>
      <c r="K20" s="9">
        <f t="shared" si="4"/>
        <v>45536</v>
      </c>
      <c r="L20" s="7" t="str">
        <f t="shared" si="5"/>
        <v/>
      </c>
      <c r="M20" s="7" t="str">
        <f>IFERROR(__xludf.DUMMYFUNCTION("IFERROR(
  IF(
    F20 &gt;
    3*AVERAGE(
       FILTER($F$2:$F10491,
         $G$2:$G10491=G20,
         $A$2:$A10491&gt;=A20-20,
         $A$2:$A10491&lt;=A20
       )
    ),
    ""VOL_SPIKE_3X"",""""
  ),
"""")
"),"")</f>
        <v/>
      </c>
      <c r="N20" s="7" t="str">
        <f t="shared" si="6"/>
        <v/>
      </c>
      <c r="O20" s="7" t="str">
        <f t="shared" si="7"/>
        <v/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f>IFERROR(__xludf.DUMMYFUNCTION("""COMPUTED_VALUE"""),45552.0)</f>
        <v>45552</v>
      </c>
      <c r="B21" s="6">
        <f>IFERROR(__xludf.DUMMYFUNCTION("""COMPUTED_VALUE"""),1474.0)</f>
        <v>1474</v>
      </c>
      <c r="C21" s="6">
        <f>IFERROR(__xludf.DUMMYFUNCTION("""COMPUTED_VALUE"""),1477.48)</f>
        <v>1477.48</v>
      </c>
      <c r="D21" s="6">
        <f>IFERROR(__xludf.DUMMYFUNCTION("""COMPUTED_VALUE"""),1466.63)</f>
        <v>1466.63</v>
      </c>
      <c r="E21" s="6">
        <f>IFERROR(__xludf.DUMMYFUNCTION("""COMPUTED_VALUE"""),1472.3)</f>
        <v>1472.3</v>
      </c>
      <c r="F21" s="7">
        <f>IFERROR(__xludf.DUMMYFUNCTION("""COMPUTED_VALUE"""),2967664.0)</f>
        <v>2967664</v>
      </c>
      <c r="G21" s="7" t="str">
        <f>IFERROR(__xludf.DUMMYFUNCTION("""COMPUTED_VALUE"""),"RELIANCE.NS")</f>
        <v>RELIANCE.NS</v>
      </c>
      <c r="H21" s="8">
        <f t="shared" si="1"/>
        <v>-0.001153324288</v>
      </c>
      <c r="I21" s="8">
        <f t="shared" si="2"/>
        <v>0.001153324288</v>
      </c>
      <c r="J21" s="7" t="str">
        <f t="shared" si="3"/>
        <v>Sep-2024</v>
      </c>
      <c r="K21" s="9">
        <f t="shared" si="4"/>
        <v>45536</v>
      </c>
      <c r="L21" s="7" t="str">
        <f t="shared" si="5"/>
        <v/>
      </c>
      <c r="M21" s="7" t="str">
        <f>IFERROR(__xludf.DUMMYFUNCTION("IFERROR(
  IF(
    F21 &gt;
    3*AVERAGE(
       FILTER($F$2:$F10491,
         $G$2:$G10491=G21,
         $A$2:$A10491&gt;=A21-20,
         $A$2:$A10491&lt;=A21
       )
    ),
    ""VOL_SPIKE_3X"",""""
  ),
"""")
"),"")</f>
        <v/>
      </c>
      <c r="N21" s="7" t="str">
        <f t="shared" si="6"/>
        <v/>
      </c>
      <c r="O21" s="7" t="str">
        <f t="shared" si="7"/>
        <v/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f>IFERROR(__xludf.DUMMYFUNCTION("""COMPUTED_VALUE"""),45553.0)</f>
        <v>45553</v>
      </c>
      <c r="B22" s="6">
        <f>IFERROR(__xludf.DUMMYFUNCTION("""COMPUTED_VALUE"""),988.0)</f>
        <v>988</v>
      </c>
      <c r="C22" s="6">
        <f>IFERROR(__xludf.DUMMYFUNCTION("""COMPUTED_VALUE"""),993.0)</f>
        <v>993</v>
      </c>
      <c r="D22" s="6">
        <f>IFERROR(__xludf.DUMMYFUNCTION("""COMPUTED_VALUE"""),977.0)</f>
        <v>977</v>
      </c>
      <c r="E22" s="6">
        <f>IFERROR(__xludf.DUMMYFUNCTION("""COMPUTED_VALUE"""),979.9)</f>
        <v>979.9</v>
      </c>
      <c r="F22" s="7">
        <f>IFERROR(__xludf.DUMMYFUNCTION("""COMPUTED_VALUE"""),2847382.0)</f>
        <v>2847382</v>
      </c>
      <c r="G22" s="7" t="str">
        <f>IFERROR(__xludf.DUMMYFUNCTION("""COMPUTED_VALUE"""),"ADANIENSOL.NS")</f>
        <v>ADANIENSOL.NS</v>
      </c>
      <c r="H22" s="8">
        <f t="shared" si="1"/>
        <v>-0.008198380567</v>
      </c>
      <c r="I22" s="8">
        <f t="shared" si="2"/>
        <v>0.008198380567</v>
      </c>
      <c r="J22" s="7" t="str">
        <f t="shared" si="3"/>
        <v>Sep-2024</v>
      </c>
      <c r="K22" s="9">
        <f t="shared" si="4"/>
        <v>45536</v>
      </c>
      <c r="L22" s="7" t="str">
        <f t="shared" si="5"/>
        <v/>
      </c>
      <c r="M22" s="7" t="str">
        <f>IFERROR(__xludf.DUMMYFUNCTION("IFERROR(
  IF(
    F22 &gt;
    3*AVERAGE(
       FILTER($F$2:$F10491,
         $G$2:$G10491=G22,
         $A$2:$A10491&gt;=A22-20,
         $A$2:$A10491&lt;=A22
       )
    ),
    ""VOL_SPIKE_3X"",""""
  ),
"""")
"),"")</f>
        <v/>
      </c>
      <c r="N22" s="7" t="str">
        <f t="shared" si="6"/>
        <v/>
      </c>
      <c r="O22" s="7" t="str">
        <f t="shared" si="7"/>
        <v/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f>IFERROR(__xludf.DUMMYFUNCTION("""COMPUTED_VALUE"""),45553.0)</f>
        <v>45553</v>
      </c>
      <c r="B23" s="6">
        <f>IFERROR(__xludf.DUMMYFUNCTION("""COMPUTED_VALUE"""),1940.0)</f>
        <v>1940</v>
      </c>
      <c r="C23" s="6">
        <f>IFERROR(__xludf.DUMMYFUNCTION("""COMPUTED_VALUE"""),1965.0)</f>
        <v>1965</v>
      </c>
      <c r="D23" s="6">
        <f>IFERROR(__xludf.DUMMYFUNCTION("""COMPUTED_VALUE"""),1925.1)</f>
        <v>1925.1</v>
      </c>
      <c r="E23" s="6">
        <f>IFERROR(__xludf.DUMMYFUNCTION("""COMPUTED_VALUE"""),1950.8)</f>
        <v>1950.8</v>
      </c>
      <c r="F23" s="7">
        <f>IFERROR(__xludf.DUMMYFUNCTION("""COMPUTED_VALUE"""),2911792.0)</f>
        <v>2911792</v>
      </c>
      <c r="G23" s="7" t="str">
        <f>IFERROR(__xludf.DUMMYFUNCTION("""COMPUTED_VALUE"""),"ADANIGREEN.NS")</f>
        <v>ADANIGREEN.NS</v>
      </c>
      <c r="H23" s="8">
        <f t="shared" si="1"/>
        <v>0.005567010309</v>
      </c>
      <c r="I23" s="8">
        <f t="shared" si="2"/>
        <v>0.005567010309</v>
      </c>
      <c r="J23" s="7" t="str">
        <f t="shared" si="3"/>
        <v>Sep-2024</v>
      </c>
      <c r="K23" s="9">
        <f t="shared" si="4"/>
        <v>45536</v>
      </c>
      <c r="L23" s="7" t="str">
        <f t="shared" si="5"/>
        <v/>
      </c>
      <c r="M23" s="7" t="str">
        <f>IFERROR(__xludf.DUMMYFUNCTION("IFERROR(
  IF(
    F23 &gt;
    3*AVERAGE(
       FILTER($F$2:$F10491,
         $G$2:$G10491=G23,
         $A$2:$A10491&gt;=A23-20,
         $A$2:$A10491&lt;=A23
       )
    ),
    ""VOL_SPIKE_3X"",""""
  ),
"""")
"),"")</f>
        <v/>
      </c>
      <c r="N23" s="7" t="str">
        <f t="shared" si="6"/>
        <v/>
      </c>
      <c r="O23" s="7" t="str">
        <f t="shared" si="7"/>
        <v/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f>IFERROR(__xludf.DUMMYFUNCTION("""COMPUTED_VALUE"""),45553.0)</f>
        <v>45553</v>
      </c>
      <c r="B24" s="6">
        <f>IFERROR(__xludf.DUMMYFUNCTION("""COMPUTED_VALUE"""),339.0)</f>
        <v>339</v>
      </c>
      <c r="C24" s="6">
        <f>IFERROR(__xludf.DUMMYFUNCTION("""COMPUTED_VALUE"""),339.9)</f>
        <v>339.9</v>
      </c>
      <c r="D24" s="6">
        <f>IFERROR(__xludf.DUMMYFUNCTION("""COMPUTED_VALUE"""),334.45)</f>
        <v>334.45</v>
      </c>
      <c r="E24" s="6">
        <f>IFERROR(__xludf.DUMMYFUNCTION("""COMPUTED_VALUE"""),336.1)</f>
        <v>336.1</v>
      </c>
      <c r="F24" s="7">
        <f>IFERROR(__xludf.DUMMYFUNCTION("""COMPUTED_VALUE"""),4111826.0)</f>
        <v>4111826</v>
      </c>
      <c r="G24" s="7" t="str">
        <f>IFERROR(__xludf.DUMMYFUNCTION("""COMPUTED_VALUE"""),"BPCL.NS")</f>
        <v>BPCL.NS</v>
      </c>
      <c r="H24" s="8">
        <f t="shared" si="1"/>
        <v>-0.008554572271</v>
      </c>
      <c r="I24" s="8">
        <f t="shared" si="2"/>
        <v>0.008554572271</v>
      </c>
      <c r="J24" s="7" t="str">
        <f t="shared" si="3"/>
        <v>Sep-2024</v>
      </c>
      <c r="K24" s="9">
        <f t="shared" si="4"/>
        <v>45536</v>
      </c>
      <c r="L24" s="7" t="str">
        <f t="shared" si="5"/>
        <v/>
      </c>
      <c r="M24" s="7" t="str">
        <f>IFERROR(__xludf.DUMMYFUNCTION("IFERROR(
  IF(
    F24 &gt;
    3*AVERAGE(
       FILTER($F$2:$F10491,
         $G$2:$G10491=G24,
         $A$2:$A10491&gt;=A24-20,
         $A$2:$A10491&lt;=A24
       )
    ),
    ""VOL_SPIKE_3X"",""""
  ),
"""")
"),"")</f>
        <v/>
      </c>
      <c r="N24" s="7" t="str">
        <f t="shared" si="6"/>
        <v/>
      </c>
      <c r="O24" s="7" t="str">
        <f t="shared" si="7"/>
        <v/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f>IFERROR(__xludf.DUMMYFUNCTION("""COMPUTED_VALUE"""),45553.0)</f>
        <v>45553</v>
      </c>
      <c r="B25" s="6">
        <f>IFERROR(__xludf.DUMMYFUNCTION("""COMPUTED_VALUE"""),489.8)</f>
        <v>489.8</v>
      </c>
      <c r="C25" s="6">
        <f>IFERROR(__xludf.DUMMYFUNCTION("""COMPUTED_VALUE"""),493.6)</f>
        <v>493.6</v>
      </c>
      <c r="D25" s="6">
        <f>IFERROR(__xludf.DUMMYFUNCTION("""COMPUTED_VALUE"""),486.15)</f>
        <v>486.15</v>
      </c>
      <c r="E25" s="6">
        <f>IFERROR(__xludf.DUMMYFUNCTION("""COMPUTED_VALUE"""),487.1)</f>
        <v>487.1</v>
      </c>
      <c r="F25" s="7">
        <f>IFERROR(__xludf.DUMMYFUNCTION("""COMPUTED_VALUE"""),6527832.0)</f>
        <v>6527832</v>
      </c>
      <c r="G25" s="7" t="str">
        <f>IFERROR(__xludf.DUMMYFUNCTION("""COMPUTED_VALUE"""),"COALINDIA.NS")</f>
        <v>COALINDIA.NS</v>
      </c>
      <c r="H25" s="8">
        <f t="shared" si="1"/>
        <v>-0.005512454063</v>
      </c>
      <c r="I25" s="8">
        <f t="shared" si="2"/>
        <v>0.005512454063</v>
      </c>
      <c r="J25" s="7" t="str">
        <f t="shared" si="3"/>
        <v>Sep-2024</v>
      </c>
      <c r="K25" s="9">
        <f t="shared" si="4"/>
        <v>45536</v>
      </c>
      <c r="L25" s="7" t="str">
        <f t="shared" si="5"/>
        <v/>
      </c>
      <c r="M25" s="7" t="str">
        <f>IFERROR(__xludf.DUMMYFUNCTION("IFERROR(
  IF(
    F25 &gt;
    3*AVERAGE(
       FILTER($F$2:$F10491,
         $G$2:$G10491=G25,
         $A$2:$A10491&gt;=A25-20,
         $A$2:$A10491&lt;=A25
       )
    ),
    ""VOL_SPIKE_3X"",""""
  ),
"""")
"),"")</f>
        <v/>
      </c>
      <c r="N25" s="7" t="str">
        <f t="shared" si="6"/>
        <v/>
      </c>
      <c r="O25" s="7" t="str">
        <f t="shared" si="7"/>
        <v/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f>IFERROR(__xludf.DUMMYFUNCTION("""COMPUTED_VALUE"""),45553.0)</f>
        <v>45553</v>
      </c>
      <c r="B26" s="6">
        <f>IFERROR(__xludf.DUMMYFUNCTION("""COMPUTED_VALUE"""),406.55)</f>
        <v>406.55</v>
      </c>
      <c r="C26" s="6">
        <f>IFERROR(__xludf.DUMMYFUNCTION("""COMPUTED_VALUE"""),410.85)</f>
        <v>410.85</v>
      </c>
      <c r="D26" s="6">
        <f>IFERROR(__xludf.DUMMYFUNCTION("""COMPUTED_VALUE"""),405.0)</f>
        <v>405</v>
      </c>
      <c r="E26" s="6">
        <f>IFERROR(__xludf.DUMMYFUNCTION("""COMPUTED_VALUE"""),407.45)</f>
        <v>407.45</v>
      </c>
      <c r="F26" s="7">
        <f>IFERROR(__xludf.DUMMYFUNCTION("""COMPUTED_VALUE"""),2255708.0)</f>
        <v>2255708</v>
      </c>
      <c r="G26" s="7" t="str">
        <f>IFERROR(__xludf.DUMMYFUNCTION("""COMPUTED_VALUE"""),"HINDPETRO.NS")</f>
        <v>HINDPETRO.NS</v>
      </c>
      <c r="H26" s="8">
        <f t="shared" si="1"/>
        <v>0.002213749846</v>
      </c>
      <c r="I26" s="8">
        <f t="shared" si="2"/>
        <v>0.002213749846</v>
      </c>
      <c r="J26" s="7" t="str">
        <f t="shared" si="3"/>
        <v>Sep-2024</v>
      </c>
      <c r="K26" s="9">
        <f t="shared" si="4"/>
        <v>45536</v>
      </c>
      <c r="L26" s="7" t="str">
        <f t="shared" si="5"/>
        <v/>
      </c>
      <c r="M26" s="7" t="str">
        <f>IFERROR(__xludf.DUMMYFUNCTION("IFERROR(
  IF(
    F26 &gt;
    3*AVERAGE(
       FILTER($F$2:$F10491,
         $G$2:$G10491=G26,
         $A$2:$A10491&gt;=A26-20,
         $A$2:$A10491&lt;=A26
       )
    ),
    ""VOL_SPIKE_3X"",""""
  ),
"""")
"),"")</f>
        <v/>
      </c>
      <c r="N26" s="7" t="str">
        <f t="shared" si="6"/>
        <v/>
      </c>
      <c r="O26" s="7" t="str">
        <f t="shared" si="7"/>
        <v/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f>IFERROR(__xludf.DUMMYFUNCTION("""COMPUTED_VALUE"""),45553.0)</f>
        <v>45553</v>
      </c>
      <c r="B27" s="6">
        <f>IFERROR(__xludf.DUMMYFUNCTION("""COMPUTED_VALUE"""),170.6)</f>
        <v>170.6</v>
      </c>
      <c r="C27" s="6">
        <f>IFERROR(__xludf.DUMMYFUNCTION("""COMPUTED_VALUE"""),171.06)</f>
        <v>171.06</v>
      </c>
      <c r="D27" s="6">
        <f>IFERROR(__xludf.DUMMYFUNCTION("""COMPUTED_VALUE"""),167.6)</f>
        <v>167.6</v>
      </c>
      <c r="E27" s="6">
        <f>IFERROR(__xludf.DUMMYFUNCTION("""COMPUTED_VALUE"""),168.45)</f>
        <v>168.45</v>
      </c>
      <c r="F27" s="7">
        <f>IFERROR(__xludf.DUMMYFUNCTION("""COMPUTED_VALUE"""),1.072665E7)</f>
        <v>10726650</v>
      </c>
      <c r="G27" s="7" t="str">
        <f>IFERROR(__xludf.DUMMYFUNCTION("""COMPUTED_VALUE"""),"IOC.NS")</f>
        <v>IOC.NS</v>
      </c>
      <c r="H27" s="8">
        <f t="shared" si="1"/>
        <v>-0.01260257913</v>
      </c>
      <c r="I27" s="8">
        <f t="shared" si="2"/>
        <v>0.01260257913</v>
      </c>
      <c r="J27" s="7" t="str">
        <f t="shared" si="3"/>
        <v>Sep-2024</v>
      </c>
      <c r="K27" s="9">
        <f t="shared" si="4"/>
        <v>45536</v>
      </c>
      <c r="L27" s="7" t="str">
        <f t="shared" si="5"/>
        <v/>
      </c>
      <c r="M27" s="7" t="str">
        <f>IFERROR(__xludf.DUMMYFUNCTION("IFERROR(
  IF(
    F27 &gt;
    3*AVERAGE(
       FILTER($F$2:$F10491,
         $G$2:$G10491=G27,
         $A$2:$A10491&gt;=A27-20,
         $A$2:$A10491&lt;=A27
       )
    ),
    ""VOL_SPIKE_3X"",""""
  ),
"""")
"),"")</f>
        <v/>
      </c>
      <c r="N27" s="7" t="str">
        <f t="shared" si="6"/>
        <v/>
      </c>
      <c r="O27" s="7" t="str">
        <f t="shared" si="7"/>
        <v/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f>IFERROR(__xludf.DUMMYFUNCTION("""COMPUTED_VALUE"""),45553.0)</f>
        <v>45553</v>
      </c>
      <c r="B28" s="6">
        <f>IFERROR(__xludf.DUMMYFUNCTION("""COMPUTED_VALUE"""),418.5)</f>
        <v>418.5</v>
      </c>
      <c r="C28" s="6">
        <f>IFERROR(__xludf.DUMMYFUNCTION("""COMPUTED_VALUE"""),419.75)</f>
        <v>419.75</v>
      </c>
      <c r="D28" s="6">
        <f>IFERROR(__xludf.DUMMYFUNCTION("""COMPUTED_VALUE"""),413.0)</f>
        <v>413</v>
      </c>
      <c r="E28" s="6">
        <f>IFERROR(__xludf.DUMMYFUNCTION("""COMPUTED_VALUE"""),414.15)</f>
        <v>414.15</v>
      </c>
      <c r="F28" s="7">
        <f>IFERROR(__xludf.DUMMYFUNCTION("""COMPUTED_VALUE"""),1.030384E7)</f>
        <v>10303840</v>
      </c>
      <c r="G28" s="7" t="str">
        <f>IFERROR(__xludf.DUMMYFUNCTION("""COMPUTED_VALUE"""),"NTPC.NS")</f>
        <v>NTPC.NS</v>
      </c>
      <c r="H28" s="8">
        <f t="shared" si="1"/>
        <v>-0.01039426523</v>
      </c>
      <c r="I28" s="8">
        <f t="shared" si="2"/>
        <v>0.01039426523</v>
      </c>
      <c r="J28" s="7" t="str">
        <f t="shared" si="3"/>
        <v>Sep-2024</v>
      </c>
      <c r="K28" s="9">
        <f t="shared" si="4"/>
        <v>45536</v>
      </c>
      <c r="L28" s="7" t="str">
        <f t="shared" si="5"/>
        <v/>
      </c>
      <c r="M28" s="7" t="str">
        <f>IFERROR(__xludf.DUMMYFUNCTION("IFERROR(
  IF(
    F28 &gt;
    3*AVERAGE(
       FILTER($F$2:$F10491,
         $G$2:$G10491=G28,
         $A$2:$A10491&gt;=A28-20,
         $A$2:$A10491&lt;=A28
       )
    ),
    ""VOL_SPIKE_3X"",""""
  ),
"""")
"),"")</f>
        <v/>
      </c>
      <c r="N28" s="7" t="str">
        <f t="shared" si="6"/>
        <v/>
      </c>
      <c r="O28" s="7" t="str">
        <f t="shared" si="7"/>
        <v/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f>IFERROR(__xludf.DUMMYFUNCTION("""COMPUTED_VALUE"""),45553.0)</f>
        <v>45553</v>
      </c>
      <c r="B29" s="6">
        <f>IFERROR(__xludf.DUMMYFUNCTION("""COMPUTED_VALUE"""),297.6)</f>
        <v>297.6</v>
      </c>
      <c r="C29" s="6">
        <f>IFERROR(__xludf.DUMMYFUNCTION("""COMPUTED_VALUE"""),297.8)</f>
        <v>297.8</v>
      </c>
      <c r="D29" s="6">
        <f>IFERROR(__xludf.DUMMYFUNCTION("""COMPUTED_VALUE"""),287.9)</f>
        <v>287.9</v>
      </c>
      <c r="E29" s="6">
        <f>IFERROR(__xludf.DUMMYFUNCTION("""COMPUTED_VALUE"""),290.4)</f>
        <v>290.4</v>
      </c>
      <c r="F29" s="7">
        <f>IFERROR(__xludf.DUMMYFUNCTION("""COMPUTED_VALUE"""),1.342176E7)</f>
        <v>13421760</v>
      </c>
      <c r="G29" s="7" t="str">
        <f>IFERROR(__xludf.DUMMYFUNCTION("""COMPUTED_VALUE"""),"ONGC.NS")</f>
        <v>ONGC.NS</v>
      </c>
      <c r="H29" s="8">
        <f t="shared" si="1"/>
        <v>-0.02419354839</v>
      </c>
      <c r="I29" s="8">
        <f t="shared" si="2"/>
        <v>0.02419354839</v>
      </c>
      <c r="J29" s="7" t="str">
        <f t="shared" si="3"/>
        <v>Sep-2024</v>
      </c>
      <c r="K29" s="9">
        <f t="shared" si="4"/>
        <v>45536</v>
      </c>
      <c r="L29" s="7" t="str">
        <f t="shared" si="5"/>
        <v/>
      </c>
      <c r="M29" s="7" t="str">
        <f>IFERROR(__xludf.DUMMYFUNCTION("IFERROR(
  IF(
    F29 &gt;
    3*AVERAGE(
       FILTER($F$2:$F10491,
         $G$2:$G10491=G29,
         $A$2:$A10491&gt;=A29-20,
         $A$2:$A10491&lt;=A29
       )
    ),
    ""VOL_SPIKE_3X"",""""
  ),
"""")
"),"")</f>
        <v/>
      </c>
      <c r="N29" s="7" t="str">
        <f t="shared" si="6"/>
        <v/>
      </c>
      <c r="O29" s="7" t="str">
        <f t="shared" si="7"/>
        <v/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f>IFERROR(__xludf.DUMMYFUNCTION("""COMPUTED_VALUE"""),45553.0)</f>
        <v>45553</v>
      </c>
      <c r="B30" s="6">
        <f>IFERROR(__xludf.DUMMYFUNCTION("""COMPUTED_VALUE"""),338.5)</f>
        <v>338.5</v>
      </c>
      <c r="C30" s="6">
        <f>IFERROR(__xludf.DUMMYFUNCTION("""COMPUTED_VALUE"""),338.9)</f>
        <v>338.9</v>
      </c>
      <c r="D30" s="6">
        <f>IFERROR(__xludf.DUMMYFUNCTION("""COMPUTED_VALUE"""),333.1)</f>
        <v>333.1</v>
      </c>
      <c r="E30" s="6">
        <f>IFERROR(__xludf.DUMMYFUNCTION("""COMPUTED_VALUE"""),334.3)</f>
        <v>334.3</v>
      </c>
      <c r="F30" s="7">
        <f>IFERROR(__xludf.DUMMYFUNCTION("""COMPUTED_VALUE"""),6583254.0)</f>
        <v>6583254</v>
      </c>
      <c r="G30" s="7" t="str">
        <f>IFERROR(__xludf.DUMMYFUNCTION("""COMPUTED_VALUE"""),"POWERGRID.NS")</f>
        <v>POWERGRID.NS</v>
      </c>
      <c r="H30" s="8">
        <f t="shared" si="1"/>
        <v>-0.01240768095</v>
      </c>
      <c r="I30" s="8">
        <f t="shared" si="2"/>
        <v>0.01240768095</v>
      </c>
      <c r="J30" s="7" t="str">
        <f t="shared" si="3"/>
        <v>Sep-2024</v>
      </c>
      <c r="K30" s="9">
        <f t="shared" si="4"/>
        <v>45536</v>
      </c>
      <c r="L30" s="7" t="str">
        <f t="shared" si="5"/>
        <v/>
      </c>
      <c r="M30" s="7" t="str">
        <f>IFERROR(__xludf.DUMMYFUNCTION("IFERROR(
  IF(
    F30 &gt;
    3*AVERAGE(
       FILTER($F$2:$F10491,
         $G$2:$G10491=G30,
         $A$2:$A10491&gt;=A30-20,
         $A$2:$A10491&lt;=A30
       )
    ),
    ""VOL_SPIKE_3X"",""""
  ),
"""")
"),"")</f>
        <v/>
      </c>
      <c r="N30" s="7" t="str">
        <f t="shared" si="6"/>
        <v/>
      </c>
      <c r="O30" s="7" t="str">
        <f t="shared" si="7"/>
        <v/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f>IFERROR(__xludf.DUMMYFUNCTION("""COMPUTED_VALUE"""),45553.0)</f>
        <v>45553</v>
      </c>
      <c r="B31" s="6">
        <f>IFERROR(__xludf.DUMMYFUNCTION("""COMPUTED_VALUE"""),1470.0)</f>
        <v>1470</v>
      </c>
      <c r="C31" s="6">
        <f>IFERROR(__xludf.DUMMYFUNCTION("""COMPUTED_VALUE"""),1482.0)</f>
        <v>1482</v>
      </c>
      <c r="D31" s="6">
        <f>IFERROR(__xludf.DUMMYFUNCTION("""COMPUTED_VALUE"""),1460.55)</f>
        <v>1460.55</v>
      </c>
      <c r="E31" s="6">
        <f>IFERROR(__xludf.DUMMYFUNCTION("""COMPUTED_VALUE"""),1463.45)</f>
        <v>1463.45</v>
      </c>
      <c r="F31" s="7">
        <f>IFERROR(__xludf.DUMMYFUNCTION("""COMPUTED_VALUE"""),4287357.0)</f>
        <v>4287357</v>
      </c>
      <c r="G31" s="7" t="str">
        <f>IFERROR(__xludf.DUMMYFUNCTION("""COMPUTED_VALUE"""),"RELIANCE.NS")</f>
        <v>RELIANCE.NS</v>
      </c>
      <c r="H31" s="8">
        <f t="shared" si="1"/>
        <v>-0.004455782313</v>
      </c>
      <c r="I31" s="8">
        <f t="shared" si="2"/>
        <v>0.004455782313</v>
      </c>
      <c r="J31" s="7" t="str">
        <f t="shared" si="3"/>
        <v>Sep-2024</v>
      </c>
      <c r="K31" s="9">
        <f t="shared" si="4"/>
        <v>45536</v>
      </c>
      <c r="L31" s="7" t="str">
        <f t="shared" si="5"/>
        <v/>
      </c>
      <c r="M31" s="7" t="str">
        <f>IFERROR(__xludf.DUMMYFUNCTION("IFERROR(
  IF(
    F31 &gt;
    3*AVERAGE(
       FILTER($F$2:$F10491,
         $G$2:$G10491=G31,
         $A$2:$A10491&gt;=A31-20,
         $A$2:$A10491&lt;=A31
       )
    ),
    ""VOL_SPIKE_3X"",""""
  ),
"""")
"),"")</f>
        <v/>
      </c>
      <c r="N31" s="7" t="str">
        <f t="shared" si="6"/>
        <v/>
      </c>
      <c r="O31" s="7" t="str">
        <f t="shared" si="7"/>
        <v/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f>IFERROR(__xludf.DUMMYFUNCTION("""COMPUTED_VALUE"""),45554.0)</f>
        <v>45554</v>
      </c>
      <c r="B32" s="6">
        <f>IFERROR(__xludf.DUMMYFUNCTION("""COMPUTED_VALUE"""),993.1)</f>
        <v>993.1</v>
      </c>
      <c r="C32" s="6">
        <f>IFERROR(__xludf.DUMMYFUNCTION("""COMPUTED_VALUE"""),998.45)</f>
        <v>998.45</v>
      </c>
      <c r="D32" s="6">
        <f>IFERROR(__xludf.DUMMYFUNCTION("""COMPUTED_VALUE"""),967.05)</f>
        <v>967.05</v>
      </c>
      <c r="E32" s="6">
        <f>IFERROR(__xludf.DUMMYFUNCTION("""COMPUTED_VALUE"""),979.0)</f>
        <v>979</v>
      </c>
      <c r="F32" s="7">
        <f>IFERROR(__xludf.DUMMYFUNCTION("""COMPUTED_VALUE"""),3414484.0)</f>
        <v>3414484</v>
      </c>
      <c r="G32" s="7" t="str">
        <f>IFERROR(__xludf.DUMMYFUNCTION("""COMPUTED_VALUE"""),"ADANIENSOL.NS")</f>
        <v>ADANIENSOL.NS</v>
      </c>
      <c r="H32" s="8">
        <f t="shared" si="1"/>
        <v>-0.01419796597</v>
      </c>
      <c r="I32" s="8">
        <f t="shared" si="2"/>
        <v>0.01419796597</v>
      </c>
      <c r="J32" s="7" t="str">
        <f t="shared" si="3"/>
        <v>Sep-2024</v>
      </c>
      <c r="K32" s="9">
        <f t="shared" si="4"/>
        <v>45536</v>
      </c>
      <c r="L32" s="7" t="str">
        <f t="shared" si="5"/>
        <v/>
      </c>
      <c r="M32" s="7" t="str">
        <f>IFERROR(__xludf.DUMMYFUNCTION("IFERROR(
  IF(
    F32 &gt;
    3*AVERAGE(
       FILTER($F$2:$F10491,
         $G$2:$G10491=G32,
         $A$2:$A10491&gt;=A32-20,
         $A$2:$A10491&lt;=A32
       )
    ),
    ""VOL_SPIKE_3X"",""""
  ),
"""")
"),"")</f>
        <v/>
      </c>
      <c r="N32" s="7" t="str">
        <f t="shared" si="6"/>
        <v/>
      </c>
      <c r="O32" s="7" t="str">
        <f t="shared" si="7"/>
        <v/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f>IFERROR(__xludf.DUMMYFUNCTION("""COMPUTED_VALUE"""),45554.0)</f>
        <v>45554</v>
      </c>
      <c r="B33" s="6">
        <f>IFERROR(__xludf.DUMMYFUNCTION("""COMPUTED_VALUE"""),1941.0)</f>
        <v>1941</v>
      </c>
      <c r="C33" s="6">
        <f>IFERROR(__xludf.DUMMYFUNCTION("""COMPUTED_VALUE"""),1968.35)</f>
        <v>1968.35</v>
      </c>
      <c r="D33" s="6">
        <f>IFERROR(__xludf.DUMMYFUNCTION("""COMPUTED_VALUE"""),1905.8)</f>
        <v>1905.8</v>
      </c>
      <c r="E33" s="6">
        <f>IFERROR(__xludf.DUMMYFUNCTION("""COMPUTED_VALUE"""),1962.95)</f>
        <v>1962.95</v>
      </c>
      <c r="F33" s="7">
        <f>IFERROR(__xludf.DUMMYFUNCTION("""COMPUTED_VALUE"""),4625834.0)</f>
        <v>4625834</v>
      </c>
      <c r="G33" s="7" t="str">
        <f>IFERROR(__xludf.DUMMYFUNCTION("""COMPUTED_VALUE"""),"ADANIGREEN.NS")</f>
        <v>ADANIGREEN.NS</v>
      </c>
      <c r="H33" s="8">
        <f t="shared" si="1"/>
        <v>0.01130860381</v>
      </c>
      <c r="I33" s="8">
        <f t="shared" si="2"/>
        <v>0.01130860381</v>
      </c>
      <c r="J33" s="7" t="str">
        <f t="shared" si="3"/>
        <v>Sep-2024</v>
      </c>
      <c r="K33" s="9">
        <f t="shared" si="4"/>
        <v>45536</v>
      </c>
      <c r="L33" s="7" t="str">
        <f t="shared" si="5"/>
        <v/>
      </c>
      <c r="M33" s="7" t="str">
        <f>IFERROR(__xludf.DUMMYFUNCTION("IFERROR(
  IF(
    F33 &gt;
    3*AVERAGE(
       FILTER($F$2:$F10491,
         $G$2:$G10491=G33,
         $A$2:$A10491&gt;=A33-20,
         $A$2:$A10491&lt;=A33
       )
    ),
    ""VOL_SPIKE_3X"",""""
  ),
"""")
"),"")</f>
        <v/>
      </c>
      <c r="N33" s="7" t="str">
        <f t="shared" si="6"/>
        <v/>
      </c>
      <c r="O33" s="7" t="str">
        <f t="shared" si="7"/>
        <v/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f>IFERROR(__xludf.DUMMYFUNCTION("""COMPUTED_VALUE"""),45554.0)</f>
        <v>45554</v>
      </c>
      <c r="B34" s="6">
        <f>IFERROR(__xludf.DUMMYFUNCTION("""COMPUTED_VALUE"""),337.95)</f>
        <v>337.95</v>
      </c>
      <c r="C34" s="6">
        <f>IFERROR(__xludf.DUMMYFUNCTION("""COMPUTED_VALUE"""),337.95)</f>
        <v>337.95</v>
      </c>
      <c r="D34" s="6">
        <f>IFERROR(__xludf.DUMMYFUNCTION("""COMPUTED_VALUE"""),322.95)</f>
        <v>322.95</v>
      </c>
      <c r="E34" s="6">
        <f>IFERROR(__xludf.DUMMYFUNCTION("""COMPUTED_VALUE"""),324.45)</f>
        <v>324.45</v>
      </c>
      <c r="F34" s="7">
        <f>IFERROR(__xludf.DUMMYFUNCTION("""COMPUTED_VALUE"""),1.2549677E7)</f>
        <v>12549677</v>
      </c>
      <c r="G34" s="7" t="str">
        <f>IFERROR(__xludf.DUMMYFUNCTION("""COMPUTED_VALUE"""),"BPCL.NS")</f>
        <v>BPCL.NS</v>
      </c>
      <c r="H34" s="8">
        <f t="shared" si="1"/>
        <v>-0.03994673768</v>
      </c>
      <c r="I34" s="8">
        <f t="shared" si="2"/>
        <v>0.03994673768</v>
      </c>
      <c r="J34" s="7" t="str">
        <f t="shared" si="3"/>
        <v>Sep-2024</v>
      </c>
      <c r="K34" s="9">
        <f t="shared" si="4"/>
        <v>45536</v>
      </c>
      <c r="L34" s="7" t="str">
        <f t="shared" si="5"/>
        <v/>
      </c>
      <c r="M34" s="7" t="str">
        <f>IFERROR(__xludf.DUMMYFUNCTION("IFERROR(
  IF(
    F34 &gt;
    3*AVERAGE(
       FILTER($F$2:$F10491,
         $G$2:$G10491=G34,
         $A$2:$A10491&gt;=A34-20,
         $A$2:$A10491&lt;=A34
       )
    ),
    ""VOL_SPIKE_3X"",""""
  ),
"""")
"),"")</f>
        <v/>
      </c>
      <c r="N34" s="7" t="str">
        <f t="shared" si="6"/>
        <v/>
      </c>
      <c r="O34" s="7" t="str">
        <f t="shared" si="7"/>
        <v/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f>IFERROR(__xludf.DUMMYFUNCTION("""COMPUTED_VALUE"""),45554.0)</f>
        <v>45554</v>
      </c>
      <c r="B35" s="6">
        <f>IFERROR(__xludf.DUMMYFUNCTION("""COMPUTED_VALUE"""),489.0)</f>
        <v>489</v>
      </c>
      <c r="C35" s="6">
        <f>IFERROR(__xludf.DUMMYFUNCTION("""COMPUTED_VALUE"""),491.6)</f>
        <v>491.6</v>
      </c>
      <c r="D35" s="6">
        <f>IFERROR(__xludf.DUMMYFUNCTION("""COMPUTED_VALUE"""),476.25)</f>
        <v>476.25</v>
      </c>
      <c r="E35" s="6">
        <f>IFERROR(__xludf.DUMMYFUNCTION("""COMPUTED_VALUE"""),477.95)</f>
        <v>477.95</v>
      </c>
      <c r="F35" s="7">
        <f>IFERROR(__xludf.DUMMYFUNCTION("""COMPUTED_VALUE"""),1.001445E7)</f>
        <v>10014450</v>
      </c>
      <c r="G35" s="7" t="str">
        <f>IFERROR(__xludf.DUMMYFUNCTION("""COMPUTED_VALUE"""),"COALINDIA.NS")</f>
        <v>COALINDIA.NS</v>
      </c>
      <c r="H35" s="8">
        <f t="shared" si="1"/>
        <v>-0.02259713701</v>
      </c>
      <c r="I35" s="8">
        <f t="shared" si="2"/>
        <v>0.02259713701</v>
      </c>
      <c r="J35" s="7" t="str">
        <f t="shared" si="3"/>
        <v>Sep-2024</v>
      </c>
      <c r="K35" s="9">
        <f t="shared" si="4"/>
        <v>45536</v>
      </c>
      <c r="L35" s="7" t="str">
        <f t="shared" si="5"/>
        <v/>
      </c>
      <c r="M35" s="7" t="str">
        <f>IFERROR(__xludf.DUMMYFUNCTION("IFERROR(
  IF(
    F35 &gt;
    3*AVERAGE(
       FILTER($F$2:$F10491,
         $G$2:$G10491=G35,
         $A$2:$A10491&gt;=A35-20,
         $A$2:$A10491&lt;=A35
       )
    ),
    ""VOL_SPIKE_3X"",""""
  ),
"""")
"),"")</f>
        <v/>
      </c>
      <c r="N35" s="7" t="str">
        <f t="shared" si="6"/>
        <v/>
      </c>
      <c r="O35" s="7" t="str">
        <f t="shared" si="7"/>
        <v/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f>IFERROR(__xludf.DUMMYFUNCTION("""COMPUTED_VALUE"""),45554.0)</f>
        <v>45554</v>
      </c>
      <c r="B36" s="6">
        <f>IFERROR(__xludf.DUMMYFUNCTION("""COMPUTED_VALUE"""),408.0)</f>
        <v>408</v>
      </c>
      <c r="C36" s="6">
        <f>IFERROR(__xludf.DUMMYFUNCTION("""COMPUTED_VALUE"""),408.7)</f>
        <v>408.7</v>
      </c>
      <c r="D36" s="6">
        <f>IFERROR(__xludf.DUMMYFUNCTION("""COMPUTED_VALUE"""),392.0)</f>
        <v>392</v>
      </c>
      <c r="E36" s="6">
        <f>IFERROR(__xludf.DUMMYFUNCTION("""COMPUTED_VALUE"""),398.05)</f>
        <v>398.05</v>
      </c>
      <c r="F36" s="7">
        <f>IFERROR(__xludf.DUMMYFUNCTION("""COMPUTED_VALUE"""),4541604.0)</f>
        <v>4541604</v>
      </c>
      <c r="G36" s="7" t="str">
        <f>IFERROR(__xludf.DUMMYFUNCTION("""COMPUTED_VALUE"""),"HINDPETRO.NS")</f>
        <v>HINDPETRO.NS</v>
      </c>
      <c r="H36" s="8">
        <f t="shared" si="1"/>
        <v>-0.0243872549</v>
      </c>
      <c r="I36" s="8">
        <f t="shared" si="2"/>
        <v>0.0243872549</v>
      </c>
      <c r="J36" s="7" t="str">
        <f t="shared" si="3"/>
        <v>Sep-2024</v>
      </c>
      <c r="K36" s="9">
        <f t="shared" si="4"/>
        <v>45536</v>
      </c>
      <c r="L36" s="7" t="str">
        <f t="shared" si="5"/>
        <v/>
      </c>
      <c r="M36" s="7" t="str">
        <f>IFERROR(__xludf.DUMMYFUNCTION("IFERROR(
  IF(
    F36 &gt;
    3*AVERAGE(
       FILTER($F$2:$F10491,
         $G$2:$G10491=G36,
         $A$2:$A10491&gt;=A36-20,
         $A$2:$A10491&lt;=A36
       )
    ),
    ""VOL_SPIKE_3X"",""""
  ),
"""")
"),"")</f>
        <v/>
      </c>
      <c r="N36" s="7" t="str">
        <f t="shared" si="6"/>
        <v/>
      </c>
      <c r="O36" s="7" t="str">
        <f t="shared" si="7"/>
        <v/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f>IFERROR(__xludf.DUMMYFUNCTION("""COMPUTED_VALUE"""),45554.0)</f>
        <v>45554</v>
      </c>
      <c r="B37" s="6">
        <f>IFERROR(__xludf.DUMMYFUNCTION("""COMPUTED_VALUE"""),168.89)</f>
        <v>168.89</v>
      </c>
      <c r="C37" s="6">
        <f>IFERROR(__xludf.DUMMYFUNCTION("""COMPUTED_VALUE"""),169.94)</f>
        <v>169.94</v>
      </c>
      <c r="D37" s="6">
        <f>IFERROR(__xludf.DUMMYFUNCTION("""COMPUTED_VALUE"""),162.19)</f>
        <v>162.19</v>
      </c>
      <c r="E37" s="6">
        <f>IFERROR(__xludf.DUMMYFUNCTION("""COMPUTED_VALUE"""),165.04)</f>
        <v>165.04</v>
      </c>
      <c r="F37" s="7">
        <f>IFERROR(__xludf.DUMMYFUNCTION("""COMPUTED_VALUE"""),1.9197503E7)</f>
        <v>19197503</v>
      </c>
      <c r="G37" s="7" t="str">
        <f>IFERROR(__xludf.DUMMYFUNCTION("""COMPUTED_VALUE"""),"IOC.NS")</f>
        <v>IOC.NS</v>
      </c>
      <c r="H37" s="8">
        <f t="shared" si="1"/>
        <v>-0.02279590266</v>
      </c>
      <c r="I37" s="8">
        <f t="shared" si="2"/>
        <v>0.02279590266</v>
      </c>
      <c r="J37" s="7" t="str">
        <f t="shared" si="3"/>
        <v>Sep-2024</v>
      </c>
      <c r="K37" s="9">
        <f t="shared" si="4"/>
        <v>45536</v>
      </c>
      <c r="L37" s="7" t="str">
        <f t="shared" si="5"/>
        <v/>
      </c>
      <c r="M37" s="7" t="str">
        <f>IFERROR(__xludf.DUMMYFUNCTION("IFERROR(
  IF(
    F37 &gt;
    3*AVERAGE(
       FILTER($F$2:$F10491,
         $G$2:$G10491=G37,
         $A$2:$A10491&gt;=A37-20,
         $A$2:$A10491&lt;=A37
       )
    ),
    ""VOL_SPIKE_3X"",""""
  ),
"""")
"),"")</f>
        <v/>
      </c>
      <c r="N37" s="7" t="str">
        <f t="shared" si="6"/>
        <v/>
      </c>
      <c r="O37" s="7" t="str">
        <f t="shared" si="7"/>
        <v/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f>IFERROR(__xludf.DUMMYFUNCTION("""COMPUTED_VALUE"""),45554.0)</f>
        <v>45554</v>
      </c>
      <c r="B38" s="6">
        <f>IFERROR(__xludf.DUMMYFUNCTION("""COMPUTED_VALUE"""),424.0)</f>
        <v>424</v>
      </c>
      <c r="C38" s="6">
        <f>IFERROR(__xludf.DUMMYFUNCTION("""COMPUTED_VALUE"""),431.85)</f>
        <v>431.85</v>
      </c>
      <c r="D38" s="6">
        <f>IFERROR(__xludf.DUMMYFUNCTION("""COMPUTED_VALUE"""),420.55)</f>
        <v>420.55</v>
      </c>
      <c r="E38" s="6">
        <f>IFERROR(__xludf.DUMMYFUNCTION("""COMPUTED_VALUE"""),423.95)</f>
        <v>423.95</v>
      </c>
      <c r="F38" s="7">
        <f>IFERROR(__xludf.DUMMYFUNCTION("""COMPUTED_VALUE"""),5.9601773E7)</f>
        <v>59601773</v>
      </c>
      <c r="G38" s="7" t="str">
        <f>IFERROR(__xludf.DUMMYFUNCTION("""COMPUTED_VALUE"""),"NTPC.NS")</f>
        <v>NTPC.NS</v>
      </c>
      <c r="H38" s="8">
        <f t="shared" si="1"/>
        <v>-0.0001179245283</v>
      </c>
      <c r="I38" s="8">
        <f t="shared" si="2"/>
        <v>0.0001179245283</v>
      </c>
      <c r="J38" s="7" t="str">
        <f t="shared" si="3"/>
        <v>Sep-2024</v>
      </c>
      <c r="K38" s="9">
        <f t="shared" si="4"/>
        <v>45536</v>
      </c>
      <c r="L38" s="7" t="str">
        <f t="shared" si="5"/>
        <v/>
      </c>
      <c r="M38" s="7" t="str">
        <f>IFERROR(__xludf.DUMMYFUNCTION("IFERROR(
  IF(
    F38 &gt;
    3*AVERAGE(
       FILTER($F$2:$F10491,
         $G$2:$G10491=G38,
         $A$2:$A10491&gt;=A38-20,
         $A$2:$A10491&lt;=A38
       )
    ),
    ""VOL_SPIKE_3X"",""""
  ),
"""")
"),"")</f>
        <v/>
      </c>
      <c r="N38" s="7" t="str">
        <f t="shared" si="6"/>
        <v/>
      </c>
      <c r="O38" s="7" t="str">
        <f t="shared" si="7"/>
        <v/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f>IFERROR(__xludf.DUMMYFUNCTION("""COMPUTED_VALUE"""),45554.0)</f>
        <v>45554</v>
      </c>
      <c r="B39" s="6">
        <f>IFERROR(__xludf.DUMMYFUNCTION("""COMPUTED_VALUE"""),287.4)</f>
        <v>287.4</v>
      </c>
      <c r="C39" s="6">
        <f>IFERROR(__xludf.DUMMYFUNCTION("""COMPUTED_VALUE"""),289.2)</f>
        <v>289.2</v>
      </c>
      <c r="D39" s="6">
        <f>IFERROR(__xludf.DUMMYFUNCTION("""COMPUTED_VALUE"""),282.5)</f>
        <v>282.5</v>
      </c>
      <c r="E39" s="6">
        <f>IFERROR(__xludf.DUMMYFUNCTION("""COMPUTED_VALUE"""),285.25)</f>
        <v>285.25</v>
      </c>
      <c r="F39" s="7">
        <f>IFERROR(__xludf.DUMMYFUNCTION("""COMPUTED_VALUE"""),1.7067311E7)</f>
        <v>17067311</v>
      </c>
      <c r="G39" s="7" t="str">
        <f>IFERROR(__xludf.DUMMYFUNCTION("""COMPUTED_VALUE"""),"ONGC.NS")</f>
        <v>ONGC.NS</v>
      </c>
      <c r="H39" s="8">
        <f t="shared" si="1"/>
        <v>-0.007480862909</v>
      </c>
      <c r="I39" s="8">
        <f t="shared" si="2"/>
        <v>0.007480862909</v>
      </c>
      <c r="J39" s="7" t="str">
        <f t="shared" si="3"/>
        <v>Sep-2024</v>
      </c>
      <c r="K39" s="9">
        <f t="shared" si="4"/>
        <v>45536</v>
      </c>
      <c r="L39" s="7" t="str">
        <f t="shared" si="5"/>
        <v/>
      </c>
      <c r="M39" s="7" t="str">
        <f>IFERROR(__xludf.DUMMYFUNCTION("IFERROR(
  IF(
    F39 &gt;
    3*AVERAGE(
       FILTER($F$2:$F10491,
         $G$2:$G10491=G39,
         $A$2:$A10491&gt;=A39-20,
         $A$2:$A10491&lt;=A39
       )
    ),
    ""VOL_SPIKE_3X"",""""
  ),
"""")
"),"")</f>
        <v/>
      </c>
      <c r="N39" s="7" t="str">
        <f t="shared" si="6"/>
        <v/>
      </c>
      <c r="O39" s="7" t="str">
        <f t="shared" si="7"/>
        <v/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f>IFERROR(__xludf.DUMMYFUNCTION("""COMPUTED_VALUE"""),45554.0)</f>
        <v>45554</v>
      </c>
      <c r="B40" s="6">
        <f>IFERROR(__xludf.DUMMYFUNCTION("""COMPUTED_VALUE"""),336.2)</f>
        <v>336.2</v>
      </c>
      <c r="C40" s="6">
        <f>IFERROR(__xludf.DUMMYFUNCTION("""COMPUTED_VALUE"""),338.35)</f>
        <v>338.35</v>
      </c>
      <c r="D40" s="6">
        <f>IFERROR(__xludf.DUMMYFUNCTION("""COMPUTED_VALUE"""),333.1)</f>
        <v>333.1</v>
      </c>
      <c r="E40" s="6">
        <f>IFERROR(__xludf.DUMMYFUNCTION("""COMPUTED_VALUE"""),334.9)</f>
        <v>334.9</v>
      </c>
      <c r="F40" s="7">
        <f>IFERROR(__xludf.DUMMYFUNCTION("""COMPUTED_VALUE"""),1.058961E7)</f>
        <v>10589610</v>
      </c>
      <c r="G40" s="7" t="str">
        <f>IFERROR(__xludf.DUMMYFUNCTION("""COMPUTED_VALUE"""),"POWERGRID.NS")</f>
        <v>POWERGRID.NS</v>
      </c>
      <c r="H40" s="8">
        <f t="shared" si="1"/>
        <v>-0.003866745985</v>
      </c>
      <c r="I40" s="8">
        <f t="shared" si="2"/>
        <v>0.003866745985</v>
      </c>
      <c r="J40" s="7" t="str">
        <f t="shared" si="3"/>
        <v>Sep-2024</v>
      </c>
      <c r="K40" s="9">
        <f t="shared" si="4"/>
        <v>45536</v>
      </c>
      <c r="L40" s="7" t="str">
        <f t="shared" si="5"/>
        <v/>
      </c>
      <c r="M40" s="7" t="str">
        <f>IFERROR(__xludf.DUMMYFUNCTION("IFERROR(
  IF(
    F40 &gt;
    3*AVERAGE(
       FILTER($F$2:$F10491,
         $G$2:$G10491=G40,
         $A$2:$A10491&gt;=A40-20,
         $A$2:$A10491&lt;=A40
       )
    ),
    ""VOL_SPIKE_3X"",""""
  ),
"""")
"),"")</f>
        <v/>
      </c>
      <c r="N40" s="7" t="str">
        <f t="shared" si="6"/>
        <v/>
      </c>
      <c r="O40" s="7" t="str">
        <f t="shared" si="7"/>
        <v/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f>IFERROR(__xludf.DUMMYFUNCTION("""COMPUTED_VALUE"""),45554.0)</f>
        <v>45554</v>
      </c>
      <c r="B41" s="6">
        <f>IFERROR(__xludf.DUMMYFUNCTION("""COMPUTED_VALUE"""),1466.25)</f>
        <v>1466.25</v>
      </c>
      <c r="C41" s="6">
        <f>IFERROR(__xludf.DUMMYFUNCTION("""COMPUTED_VALUE"""),1476.5)</f>
        <v>1476.5</v>
      </c>
      <c r="D41" s="6">
        <f>IFERROR(__xludf.DUMMYFUNCTION("""COMPUTED_VALUE"""),1455.55)</f>
        <v>1455.55</v>
      </c>
      <c r="E41" s="6">
        <f>IFERROR(__xludf.DUMMYFUNCTION("""COMPUTED_VALUE"""),1469.68)</f>
        <v>1469.68</v>
      </c>
      <c r="F41" s="7">
        <f>IFERROR(__xludf.DUMMYFUNCTION("""COMPUTED_VALUE"""),8477951.0)</f>
        <v>8477951</v>
      </c>
      <c r="G41" s="7" t="str">
        <f>IFERROR(__xludf.DUMMYFUNCTION("""COMPUTED_VALUE"""),"RELIANCE.NS")</f>
        <v>RELIANCE.NS</v>
      </c>
      <c r="H41" s="8">
        <f t="shared" si="1"/>
        <v>0.002339300938</v>
      </c>
      <c r="I41" s="8">
        <f t="shared" si="2"/>
        <v>0.002339300938</v>
      </c>
      <c r="J41" s="7" t="str">
        <f t="shared" si="3"/>
        <v>Sep-2024</v>
      </c>
      <c r="K41" s="9">
        <f t="shared" si="4"/>
        <v>45536</v>
      </c>
      <c r="L41" s="7" t="str">
        <f t="shared" si="5"/>
        <v/>
      </c>
      <c r="M41" s="7" t="str">
        <f>IFERROR(__xludf.DUMMYFUNCTION("IFERROR(
  IF(
    F41 &gt;
    3*AVERAGE(
       FILTER($F$2:$F10491,
         $G$2:$G10491=G41,
         $A$2:$A10491&gt;=A41-20,
         $A$2:$A10491&lt;=A41
       )
    ),
    ""VOL_SPIKE_3X"",""""
  ),
"""")
"),"")</f>
        <v/>
      </c>
      <c r="N41" s="7" t="str">
        <f t="shared" si="6"/>
        <v/>
      </c>
      <c r="O41" s="7" t="str">
        <f t="shared" si="7"/>
        <v/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f>IFERROR(__xludf.DUMMYFUNCTION("""COMPUTED_VALUE"""),45555.0)</f>
        <v>45555</v>
      </c>
      <c r="B42" s="6">
        <f>IFERROR(__xludf.DUMMYFUNCTION("""COMPUTED_VALUE"""),976.2)</f>
        <v>976.2</v>
      </c>
      <c r="C42" s="6">
        <f>IFERROR(__xludf.DUMMYFUNCTION("""COMPUTED_VALUE"""),1019.9)</f>
        <v>1019.9</v>
      </c>
      <c r="D42" s="6">
        <f>IFERROR(__xludf.DUMMYFUNCTION("""COMPUTED_VALUE"""),976.2)</f>
        <v>976.2</v>
      </c>
      <c r="E42" s="6">
        <f>IFERROR(__xludf.DUMMYFUNCTION("""COMPUTED_VALUE"""),1007.15)</f>
        <v>1007.15</v>
      </c>
      <c r="F42" s="7">
        <f>IFERROR(__xludf.DUMMYFUNCTION("""COMPUTED_VALUE"""),4788824.0)</f>
        <v>4788824</v>
      </c>
      <c r="G42" s="7" t="str">
        <f>IFERROR(__xludf.DUMMYFUNCTION("""COMPUTED_VALUE"""),"ADANIENSOL.NS")</f>
        <v>ADANIENSOL.NS</v>
      </c>
      <c r="H42" s="8">
        <f t="shared" si="1"/>
        <v>0.03170456874</v>
      </c>
      <c r="I42" s="8">
        <f t="shared" si="2"/>
        <v>0.03170456874</v>
      </c>
      <c r="J42" s="7" t="str">
        <f t="shared" si="3"/>
        <v>Sep-2024</v>
      </c>
      <c r="K42" s="9">
        <f t="shared" si="4"/>
        <v>45536</v>
      </c>
      <c r="L42" s="7" t="str">
        <f t="shared" si="5"/>
        <v/>
      </c>
      <c r="M42" s="7" t="str">
        <f>IFERROR(__xludf.DUMMYFUNCTION("IFERROR(
  IF(
    F42 &gt;
    3*AVERAGE(
       FILTER($F$2:$F10491,
         $G$2:$G10491=G42,
         $A$2:$A10491&gt;=A42-20,
         $A$2:$A10491&lt;=A42
       )
    ),
    ""VOL_SPIKE_3X"",""""
  ),
"""")
"),"")</f>
        <v/>
      </c>
      <c r="N42" s="7" t="str">
        <f t="shared" si="6"/>
        <v/>
      </c>
      <c r="O42" s="7" t="str">
        <f t="shared" si="7"/>
        <v/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f>IFERROR(__xludf.DUMMYFUNCTION("""COMPUTED_VALUE"""),45555.0)</f>
        <v>45555</v>
      </c>
      <c r="B43" s="6">
        <f>IFERROR(__xludf.DUMMYFUNCTION("""COMPUTED_VALUE"""),1962.95)</f>
        <v>1962.95</v>
      </c>
      <c r="C43" s="6">
        <f>IFERROR(__xludf.DUMMYFUNCTION("""COMPUTED_VALUE"""),2019.95)</f>
        <v>2019.95</v>
      </c>
      <c r="D43" s="6">
        <f>IFERROR(__xludf.DUMMYFUNCTION("""COMPUTED_VALUE"""),1947.0)</f>
        <v>1947</v>
      </c>
      <c r="E43" s="6">
        <f>IFERROR(__xludf.DUMMYFUNCTION("""COMPUTED_VALUE"""),2003.95)</f>
        <v>2003.95</v>
      </c>
      <c r="F43" s="7">
        <f>IFERROR(__xludf.DUMMYFUNCTION("""COMPUTED_VALUE"""),5657903.0)</f>
        <v>5657903</v>
      </c>
      <c r="G43" s="7" t="str">
        <f>IFERROR(__xludf.DUMMYFUNCTION("""COMPUTED_VALUE"""),"ADANIGREEN.NS")</f>
        <v>ADANIGREEN.NS</v>
      </c>
      <c r="H43" s="8">
        <f t="shared" si="1"/>
        <v>0.02088693039</v>
      </c>
      <c r="I43" s="8">
        <f t="shared" si="2"/>
        <v>0.02088693039</v>
      </c>
      <c r="J43" s="7" t="str">
        <f t="shared" si="3"/>
        <v>Sep-2024</v>
      </c>
      <c r="K43" s="9">
        <f t="shared" si="4"/>
        <v>45536</v>
      </c>
      <c r="L43" s="7" t="str">
        <f t="shared" si="5"/>
        <v/>
      </c>
      <c r="M43" s="7" t="str">
        <f>IFERROR(__xludf.DUMMYFUNCTION("IFERROR(
  IF(
    F43 &gt;
    3*AVERAGE(
       FILTER($F$2:$F10491,
         $G$2:$G10491=G43,
         $A$2:$A10491&gt;=A43-20,
         $A$2:$A10491&lt;=A43
       )
    ),
    ""VOL_SPIKE_3X"",""""
  ),
"""")
"),"")</f>
        <v/>
      </c>
      <c r="N43" s="7" t="str">
        <f t="shared" si="6"/>
        <v/>
      </c>
      <c r="O43" s="7" t="str">
        <f t="shared" si="7"/>
        <v/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f>IFERROR(__xludf.DUMMYFUNCTION("""COMPUTED_VALUE"""),45555.0)</f>
        <v>45555</v>
      </c>
      <c r="B44" s="6">
        <f>IFERROR(__xludf.DUMMYFUNCTION("""COMPUTED_VALUE"""),326.45)</f>
        <v>326.45</v>
      </c>
      <c r="C44" s="6">
        <f>IFERROR(__xludf.DUMMYFUNCTION("""COMPUTED_VALUE"""),333.1)</f>
        <v>333.1</v>
      </c>
      <c r="D44" s="6">
        <f>IFERROR(__xludf.DUMMYFUNCTION("""COMPUTED_VALUE"""),324.45)</f>
        <v>324.45</v>
      </c>
      <c r="E44" s="6">
        <f>IFERROR(__xludf.DUMMYFUNCTION("""COMPUTED_VALUE"""),331.2)</f>
        <v>331.2</v>
      </c>
      <c r="F44" s="7">
        <f>IFERROR(__xludf.DUMMYFUNCTION("""COMPUTED_VALUE"""),1.4642546E7)</f>
        <v>14642546</v>
      </c>
      <c r="G44" s="7" t="str">
        <f>IFERROR(__xludf.DUMMYFUNCTION("""COMPUTED_VALUE"""),"BPCL.NS")</f>
        <v>BPCL.NS</v>
      </c>
      <c r="H44" s="8">
        <f t="shared" si="1"/>
        <v>0.01455046715</v>
      </c>
      <c r="I44" s="8">
        <f t="shared" si="2"/>
        <v>0.01455046715</v>
      </c>
      <c r="J44" s="7" t="str">
        <f t="shared" si="3"/>
        <v>Sep-2024</v>
      </c>
      <c r="K44" s="9">
        <f t="shared" si="4"/>
        <v>45536</v>
      </c>
      <c r="L44" s="7" t="str">
        <f t="shared" si="5"/>
        <v/>
      </c>
      <c r="M44" s="7" t="str">
        <f>IFERROR(__xludf.DUMMYFUNCTION("IFERROR(
  IF(
    F44 &gt;
    3*AVERAGE(
       FILTER($F$2:$F10491,
         $G$2:$G10491=G44,
         $A$2:$A10491&gt;=A44-20,
         $A$2:$A10491&lt;=A44
       )
    ),
    ""VOL_SPIKE_3X"",""""
  ),
"""")
"),"")</f>
        <v/>
      </c>
      <c r="N44" s="7" t="str">
        <f t="shared" si="6"/>
        <v/>
      </c>
      <c r="O44" s="7" t="str">
        <f t="shared" si="7"/>
        <v/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f>IFERROR(__xludf.DUMMYFUNCTION("""COMPUTED_VALUE"""),45555.0)</f>
        <v>45555</v>
      </c>
      <c r="B45" s="6">
        <f>IFERROR(__xludf.DUMMYFUNCTION("""COMPUTED_VALUE"""),480.95)</f>
        <v>480.95</v>
      </c>
      <c r="C45" s="6">
        <f>IFERROR(__xludf.DUMMYFUNCTION("""COMPUTED_VALUE"""),498.0)</f>
        <v>498</v>
      </c>
      <c r="D45" s="6">
        <f>IFERROR(__xludf.DUMMYFUNCTION("""COMPUTED_VALUE"""),480.3)</f>
        <v>480.3</v>
      </c>
      <c r="E45" s="6">
        <f>IFERROR(__xludf.DUMMYFUNCTION("""COMPUTED_VALUE"""),490.95)</f>
        <v>490.95</v>
      </c>
      <c r="F45" s="7">
        <f>IFERROR(__xludf.DUMMYFUNCTION("""COMPUTED_VALUE"""),1.2982128E7)</f>
        <v>12982128</v>
      </c>
      <c r="G45" s="7" t="str">
        <f>IFERROR(__xludf.DUMMYFUNCTION("""COMPUTED_VALUE"""),"COALINDIA.NS")</f>
        <v>COALINDIA.NS</v>
      </c>
      <c r="H45" s="8">
        <f t="shared" si="1"/>
        <v>0.02079218214</v>
      </c>
      <c r="I45" s="8">
        <f t="shared" si="2"/>
        <v>0.02079218214</v>
      </c>
      <c r="J45" s="7" t="str">
        <f t="shared" si="3"/>
        <v>Sep-2024</v>
      </c>
      <c r="K45" s="9">
        <f t="shared" si="4"/>
        <v>45536</v>
      </c>
      <c r="L45" s="7" t="str">
        <f t="shared" si="5"/>
        <v/>
      </c>
      <c r="M45" s="7" t="str">
        <f>IFERROR(__xludf.DUMMYFUNCTION("IFERROR(
  IF(
    F45 &gt;
    3*AVERAGE(
       FILTER($F$2:$F10491,
         $G$2:$G10491=G45,
         $A$2:$A10491&gt;=A45-20,
         $A$2:$A10491&lt;=A45
       )
    ),
    ""VOL_SPIKE_3X"",""""
  ),
"""")
"),"")</f>
        <v/>
      </c>
      <c r="N45" s="7" t="str">
        <f t="shared" si="6"/>
        <v/>
      </c>
      <c r="O45" s="7" t="str">
        <f t="shared" si="7"/>
        <v/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f>IFERROR(__xludf.DUMMYFUNCTION("""COMPUTED_VALUE"""),45555.0)</f>
        <v>45555</v>
      </c>
      <c r="B46" s="6">
        <f>IFERROR(__xludf.DUMMYFUNCTION("""COMPUTED_VALUE"""),398.05)</f>
        <v>398.05</v>
      </c>
      <c r="C46" s="6">
        <f>IFERROR(__xludf.DUMMYFUNCTION("""COMPUTED_VALUE"""),403.3)</f>
        <v>403.3</v>
      </c>
      <c r="D46" s="6">
        <f>IFERROR(__xludf.DUMMYFUNCTION("""COMPUTED_VALUE"""),394.4)</f>
        <v>394.4</v>
      </c>
      <c r="E46" s="6">
        <f>IFERROR(__xludf.DUMMYFUNCTION("""COMPUTED_VALUE"""),398.75)</f>
        <v>398.75</v>
      </c>
      <c r="F46" s="7">
        <f>IFERROR(__xludf.DUMMYFUNCTION("""COMPUTED_VALUE"""),9159103.0)</f>
        <v>9159103</v>
      </c>
      <c r="G46" s="7" t="str">
        <f>IFERROR(__xludf.DUMMYFUNCTION("""COMPUTED_VALUE"""),"HINDPETRO.NS")</f>
        <v>HINDPETRO.NS</v>
      </c>
      <c r="H46" s="8">
        <f t="shared" si="1"/>
        <v>0.001758573044</v>
      </c>
      <c r="I46" s="8">
        <f t="shared" si="2"/>
        <v>0.001758573044</v>
      </c>
      <c r="J46" s="7" t="str">
        <f t="shared" si="3"/>
        <v>Sep-2024</v>
      </c>
      <c r="K46" s="9">
        <f t="shared" si="4"/>
        <v>45536</v>
      </c>
      <c r="L46" s="7" t="str">
        <f t="shared" si="5"/>
        <v/>
      </c>
      <c r="M46" s="7" t="str">
        <f>IFERROR(__xludf.DUMMYFUNCTION("IFERROR(
  IF(
    F46 &gt;
    3*AVERAGE(
       FILTER($F$2:$F10491,
         $G$2:$G10491=G46,
         $A$2:$A10491&gt;=A46-20,
         $A$2:$A10491&lt;=A46
       )
    ),
    ""VOL_SPIKE_3X"",""""
  ),
"""")
"),"")</f>
        <v/>
      </c>
      <c r="N46" s="7" t="str">
        <f t="shared" si="6"/>
        <v/>
      </c>
      <c r="O46" s="7" t="str">
        <f t="shared" si="7"/>
        <v/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f>IFERROR(__xludf.DUMMYFUNCTION("""COMPUTED_VALUE"""),45555.0)</f>
        <v>45555</v>
      </c>
      <c r="B47" s="6">
        <f>IFERROR(__xludf.DUMMYFUNCTION("""COMPUTED_VALUE"""),165.4)</f>
        <v>165.4</v>
      </c>
      <c r="C47" s="6">
        <f>IFERROR(__xludf.DUMMYFUNCTION("""COMPUTED_VALUE"""),167.75)</f>
        <v>167.75</v>
      </c>
      <c r="D47" s="6">
        <f>IFERROR(__xludf.DUMMYFUNCTION("""COMPUTED_VALUE"""),165.0)</f>
        <v>165</v>
      </c>
      <c r="E47" s="6">
        <f>IFERROR(__xludf.DUMMYFUNCTION("""COMPUTED_VALUE"""),167.05)</f>
        <v>167.05</v>
      </c>
      <c r="F47" s="7">
        <f>IFERROR(__xludf.DUMMYFUNCTION("""COMPUTED_VALUE"""),2.0652037E7)</f>
        <v>20652037</v>
      </c>
      <c r="G47" s="7" t="str">
        <f>IFERROR(__xludf.DUMMYFUNCTION("""COMPUTED_VALUE"""),"IOC.NS")</f>
        <v>IOC.NS</v>
      </c>
      <c r="H47" s="8">
        <f t="shared" si="1"/>
        <v>0.009975816203</v>
      </c>
      <c r="I47" s="8">
        <f t="shared" si="2"/>
        <v>0.009975816203</v>
      </c>
      <c r="J47" s="7" t="str">
        <f t="shared" si="3"/>
        <v>Sep-2024</v>
      </c>
      <c r="K47" s="9">
        <f t="shared" si="4"/>
        <v>45536</v>
      </c>
      <c r="L47" s="7" t="str">
        <f t="shared" si="5"/>
        <v/>
      </c>
      <c r="M47" s="7" t="str">
        <f>IFERROR(__xludf.DUMMYFUNCTION("IFERROR(
  IF(
    F47 &gt;
    3*AVERAGE(
       FILTER($F$2:$F10491,
         $G$2:$G10491=G47,
         $A$2:$A10491&gt;=A47-20,
         $A$2:$A10491&lt;=A47
       )
    ),
    ""VOL_SPIKE_3X"",""""
  ),
"""")
"),"")</f>
        <v/>
      </c>
      <c r="N47" s="7" t="str">
        <f t="shared" si="6"/>
        <v/>
      </c>
      <c r="O47" s="7" t="str">
        <f t="shared" si="7"/>
        <v/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f>IFERROR(__xludf.DUMMYFUNCTION("""COMPUTED_VALUE"""),45555.0)</f>
        <v>45555</v>
      </c>
      <c r="B48" s="6">
        <f>IFERROR(__xludf.DUMMYFUNCTION("""COMPUTED_VALUE"""),428.05)</f>
        <v>428.05</v>
      </c>
      <c r="C48" s="6">
        <f>IFERROR(__xludf.DUMMYFUNCTION("""COMPUTED_VALUE"""),429.85)</f>
        <v>429.85</v>
      </c>
      <c r="D48" s="6">
        <f>IFERROR(__xludf.DUMMYFUNCTION("""COMPUTED_VALUE"""),416.55)</f>
        <v>416.55</v>
      </c>
      <c r="E48" s="6">
        <f>IFERROR(__xludf.DUMMYFUNCTION("""COMPUTED_VALUE"""),423.95)</f>
        <v>423.95</v>
      </c>
      <c r="F48" s="7">
        <f>IFERROR(__xludf.DUMMYFUNCTION("""COMPUTED_VALUE"""),3.6084164E7)</f>
        <v>36084164</v>
      </c>
      <c r="G48" s="7" t="str">
        <f>IFERROR(__xludf.DUMMYFUNCTION("""COMPUTED_VALUE"""),"NTPC.NS")</f>
        <v>NTPC.NS</v>
      </c>
      <c r="H48" s="8">
        <f t="shared" si="1"/>
        <v>-0.00957832029</v>
      </c>
      <c r="I48" s="8">
        <f t="shared" si="2"/>
        <v>0.00957832029</v>
      </c>
      <c r="J48" s="7" t="str">
        <f t="shared" si="3"/>
        <v>Sep-2024</v>
      </c>
      <c r="K48" s="9">
        <f t="shared" si="4"/>
        <v>45536</v>
      </c>
      <c r="L48" s="7" t="str">
        <f t="shared" si="5"/>
        <v/>
      </c>
      <c r="M48" s="7" t="str">
        <f>IFERROR(__xludf.DUMMYFUNCTION("IFERROR(
  IF(
    F48 &gt;
    3*AVERAGE(
       FILTER($F$2:$F10491,
         $G$2:$G10491=G48,
         $A$2:$A10491&gt;=A48-20,
         $A$2:$A10491&lt;=A48
       )
    ),
    ""VOL_SPIKE_3X"",""""
  ),
"""")
"),"")</f>
        <v/>
      </c>
      <c r="N48" s="7" t="str">
        <f t="shared" si="6"/>
        <v/>
      </c>
      <c r="O48" s="7" t="str">
        <f t="shared" si="7"/>
        <v/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f>IFERROR(__xludf.DUMMYFUNCTION("""COMPUTED_VALUE"""),45555.0)</f>
        <v>45555</v>
      </c>
      <c r="B49" s="6">
        <f>IFERROR(__xludf.DUMMYFUNCTION("""COMPUTED_VALUE"""),287.0)</f>
        <v>287</v>
      </c>
      <c r="C49" s="6">
        <f>IFERROR(__xludf.DUMMYFUNCTION("""COMPUTED_VALUE"""),289.05)</f>
        <v>289.05</v>
      </c>
      <c r="D49" s="6">
        <f>IFERROR(__xludf.DUMMYFUNCTION("""COMPUTED_VALUE"""),285.2)</f>
        <v>285.2</v>
      </c>
      <c r="E49" s="6">
        <f>IFERROR(__xludf.DUMMYFUNCTION("""COMPUTED_VALUE"""),286.25)</f>
        <v>286.25</v>
      </c>
      <c r="F49" s="7">
        <f>IFERROR(__xludf.DUMMYFUNCTION("""COMPUTED_VALUE"""),1.658553E7)</f>
        <v>16585530</v>
      </c>
      <c r="G49" s="7" t="str">
        <f>IFERROR(__xludf.DUMMYFUNCTION("""COMPUTED_VALUE"""),"ONGC.NS")</f>
        <v>ONGC.NS</v>
      </c>
      <c r="H49" s="8">
        <f t="shared" si="1"/>
        <v>-0.002613240418</v>
      </c>
      <c r="I49" s="8">
        <f t="shared" si="2"/>
        <v>0.002613240418</v>
      </c>
      <c r="J49" s="7" t="str">
        <f t="shared" si="3"/>
        <v>Sep-2024</v>
      </c>
      <c r="K49" s="9">
        <f t="shared" si="4"/>
        <v>45536</v>
      </c>
      <c r="L49" s="7" t="str">
        <f t="shared" si="5"/>
        <v/>
      </c>
      <c r="M49" s="7" t="str">
        <f>IFERROR(__xludf.DUMMYFUNCTION("IFERROR(
  IF(
    F49 &gt;
    3*AVERAGE(
       FILTER($F$2:$F10491,
         $G$2:$G10491=G49,
         $A$2:$A10491&gt;=A49-20,
         $A$2:$A10491&lt;=A49
       )
    ),
    ""VOL_SPIKE_3X"",""""
  ),
"""")
"),"")</f>
        <v/>
      </c>
      <c r="N49" s="7" t="str">
        <f t="shared" si="6"/>
        <v/>
      </c>
      <c r="O49" s="7" t="str">
        <f t="shared" si="7"/>
        <v/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f>IFERROR(__xludf.DUMMYFUNCTION("""COMPUTED_VALUE"""),45555.0)</f>
        <v>45555</v>
      </c>
      <c r="B50" s="6">
        <f>IFERROR(__xludf.DUMMYFUNCTION("""COMPUTED_VALUE"""),338.15)</f>
        <v>338.15</v>
      </c>
      <c r="C50" s="6">
        <f>IFERROR(__xludf.DUMMYFUNCTION("""COMPUTED_VALUE"""),342.95)</f>
        <v>342.95</v>
      </c>
      <c r="D50" s="6">
        <f>IFERROR(__xludf.DUMMYFUNCTION("""COMPUTED_VALUE"""),334.75)</f>
        <v>334.75</v>
      </c>
      <c r="E50" s="6">
        <f>IFERROR(__xludf.DUMMYFUNCTION("""COMPUTED_VALUE"""),340.85)</f>
        <v>340.85</v>
      </c>
      <c r="F50" s="7">
        <f>IFERROR(__xludf.DUMMYFUNCTION("""COMPUTED_VALUE"""),3.1236123E7)</f>
        <v>31236123</v>
      </c>
      <c r="G50" s="7" t="str">
        <f>IFERROR(__xludf.DUMMYFUNCTION("""COMPUTED_VALUE"""),"POWERGRID.NS")</f>
        <v>POWERGRID.NS</v>
      </c>
      <c r="H50" s="8">
        <f t="shared" si="1"/>
        <v>0.007984622209</v>
      </c>
      <c r="I50" s="8">
        <f t="shared" si="2"/>
        <v>0.007984622209</v>
      </c>
      <c r="J50" s="7" t="str">
        <f t="shared" si="3"/>
        <v>Sep-2024</v>
      </c>
      <c r="K50" s="9">
        <f t="shared" si="4"/>
        <v>45536</v>
      </c>
      <c r="L50" s="7" t="str">
        <f t="shared" si="5"/>
        <v/>
      </c>
      <c r="M50" s="7" t="str">
        <f>IFERROR(__xludf.DUMMYFUNCTION("IFERROR(
  IF(
    F50 &gt;
    3*AVERAGE(
       FILTER($F$2:$F10491,
         $G$2:$G10491=G50,
         $A$2:$A10491&gt;=A50-20,
         $A$2:$A10491&lt;=A50
       )
    ),
    ""VOL_SPIKE_3X"",""""
  ),
"""")
"),"")</f>
        <v/>
      </c>
      <c r="N50" s="7" t="str">
        <f t="shared" si="6"/>
        <v/>
      </c>
      <c r="O50" s="7" t="str">
        <f t="shared" si="7"/>
        <v/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f>IFERROR(__xludf.DUMMYFUNCTION("""COMPUTED_VALUE"""),45555.0)</f>
        <v>45555</v>
      </c>
      <c r="B51" s="6">
        <f>IFERROR(__xludf.DUMMYFUNCTION("""COMPUTED_VALUE"""),1474.0)</f>
        <v>1474</v>
      </c>
      <c r="C51" s="6">
        <f>IFERROR(__xludf.DUMMYFUNCTION("""COMPUTED_VALUE"""),1495.0)</f>
        <v>1495</v>
      </c>
      <c r="D51" s="6">
        <f>IFERROR(__xludf.DUMMYFUNCTION("""COMPUTED_VALUE"""),1471.38)</f>
        <v>1471.38</v>
      </c>
      <c r="E51" s="6">
        <f>IFERROR(__xludf.DUMMYFUNCTION("""COMPUTED_VALUE"""),1485.93)</f>
        <v>1485.93</v>
      </c>
      <c r="F51" s="7">
        <f>IFERROR(__xludf.DUMMYFUNCTION("""COMPUTED_VALUE"""),1.544866E7)</f>
        <v>15448660</v>
      </c>
      <c r="G51" s="7" t="str">
        <f>IFERROR(__xludf.DUMMYFUNCTION("""COMPUTED_VALUE"""),"RELIANCE.NS")</f>
        <v>RELIANCE.NS</v>
      </c>
      <c r="H51" s="8">
        <f t="shared" si="1"/>
        <v>0.008093622795</v>
      </c>
      <c r="I51" s="8">
        <f t="shared" si="2"/>
        <v>0.008093622795</v>
      </c>
      <c r="J51" s="7" t="str">
        <f t="shared" si="3"/>
        <v>Sep-2024</v>
      </c>
      <c r="K51" s="9">
        <f t="shared" si="4"/>
        <v>45536</v>
      </c>
      <c r="L51" s="7" t="str">
        <f t="shared" si="5"/>
        <v/>
      </c>
      <c r="M51" s="7" t="str">
        <f>IFERROR(__xludf.DUMMYFUNCTION("IFERROR(
  IF(
    F51 &gt;
    3*AVERAGE(
       FILTER($F$2:$F10491,
         $G$2:$G10491=G51,
         $A$2:$A10491&gt;=A51-20,
         $A$2:$A10491&lt;=A51
       )
    ),
    ""VOL_SPIKE_3X"",""""
  ),
"""")
"),"")</f>
        <v/>
      </c>
      <c r="N51" s="7" t="str">
        <f t="shared" si="6"/>
        <v/>
      </c>
      <c r="O51" s="7" t="str">
        <f t="shared" si="7"/>
        <v/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f>IFERROR(__xludf.DUMMYFUNCTION("""COMPUTED_VALUE"""),45558.0)</f>
        <v>45558</v>
      </c>
      <c r="B52" s="6">
        <f>IFERROR(__xludf.DUMMYFUNCTION("""COMPUTED_VALUE"""),1025.2)</f>
        <v>1025.2</v>
      </c>
      <c r="C52" s="6">
        <f>IFERROR(__xludf.DUMMYFUNCTION("""COMPUTED_VALUE"""),1040.0)</f>
        <v>1040</v>
      </c>
      <c r="D52" s="6">
        <f>IFERROR(__xludf.DUMMYFUNCTION("""COMPUTED_VALUE"""),1017.0)</f>
        <v>1017</v>
      </c>
      <c r="E52" s="6">
        <f>IFERROR(__xludf.DUMMYFUNCTION("""COMPUTED_VALUE"""),1025.95)</f>
        <v>1025.95</v>
      </c>
      <c r="F52" s="7">
        <f>IFERROR(__xludf.DUMMYFUNCTION("""COMPUTED_VALUE"""),2323963.0)</f>
        <v>2323963</v>
      </c>
      <c r="G52" s="7" t="str">
        <f>IFERROR(__xludf.DUMMYFUNCTION("""COMPUTED_VALUE"""),"ADANIENSOL.NS")</f>
        <v>ADANIENSOL.NS</v>
      </c>
      <c r="H52" s="8">
        <f t="shared" si="1"/>
        <v>0.0007315645728</v>
      </c>
      <c r="I52" s="8">
        <f t="shared" si="2"/>
        <v>0.0007315645728</v>
      </c>
      <c r="J52" s="7" t="str">
        <f t="shared" si="3"/>
        <v>Sep-2024</v>
      </c>
      <c r="K52" s="9">
        <f t="shared" si="4"/>
        <v>45536</v>
      </c>
      <c r="L52" s="7" t="str">
        <f t="shared" si="5"/>
        <v/>
      </c>
      <c r="M52" s="7" t="str">
        <f>IFERROR(__xludf.DUMMYFUNCTION("IFERROR(
  IF(
    F52 &gt;
    3*AVERAGE(
       FILTER($F$2:$F10491,
         $G$2:$G10491=G52,
         $A$2:$A10491&gt;=A52-20,
         $A$2:$A10491&lt;=A52
       )
    ),
    ""VOL_SPIKE_3X"",""""
  ),
"""")
"),"")</f>
        <v/>
      </c>
      <c r="N52" s="7" t="str">
        <f t="shared" si="6"/>
        <v/>
      </c>
      <c r="O52" s="7" t="str">
        <f t="shared" si="7"/>
        <v/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f>IFERROR(__xludf.DUMMYFUNCTION("""COMPUTED_VALUE"""),45558.0)</f>
        <v>45558</v>
      </c>
      <c r="B53" s="6">
        <f>IFERROR(__xludf.DUMMYFUNCTION("""COMPUTED_VALUE"""),2028.95)</f>
        <v>2028.95</v>
      </c>
      <c r="C53" s="6">
        <f>IFERROR(__xludf.DUMMYFUNCTION("""COMPUTED_VALUE"""),2042.9)</f>
        <v>2042.9</v>
      </c>
      <c r="D53" s="6">
        <f>IFERROR(__xludf.DUMMYFUNCTION("""COMPUTED_VALUE"""),1963.05)</f>
        <v>1963.05</v>
      </c>
      <c r="E53" s="6">
        <f>IFERROR(__xludf.DUMMYFUNCTION("""COMPUTED_VALUE"""),2031.2)</f>
        <v>2031.2</v>
      </c>
      <c r="F53" s="7">
        <f>IFERROR(__xludf.DUMMYFUNCTION("""COMPUTED_VALUE"""),3976960.0)</f>
        <v>3976960</v>
      </c>
      <c r="G53" s="7" t="str">
        <f>IFERROR(__xludf.DUMMYFUNCTION("""COMPUTED_VALUE"""),"ADANIGREEN.NS")</f>
        <v>ADANIGREEN.NS</v>
      </c>
      <c r="H53" s="8">
        <f t="shared" si="1"/>
        <v>0.001108947978</v>
      </c>
      <c r="I53" s="8">
        <f t="shared" si="2"/>
        <v>0.001108947978</v>
      </c>
      <c r="J53" s="7" t="str">
        <f t="shared" si="3"/>
        <v>Sep-2024</v>
      </c>
      <c r="K53" s="9">
        <f t="shared" si="4"/>
        <v>45536</v>
      </c>
      <c r="L53" s="7" t="str">
        <f t="shared" si="5"/>
        <v/>
      </c>
      <c r="M53" s="7" t="str">
        <f>IFERROR(__xludf.DUMMYFUNCTION("IFERROR(
  IF(
    F53 &gt;
    3*AVERAGE(
       FILTER($F$2:$F10491,
         $G$2:$G10491=G53,
         $A$2:$A10491&gt;=A53-20,
         $A$2:$A10491&lt;=A53
       )
    ),
    ""VOL_SPIKE_3X"",""""
  ),
"""")
"),"")</f>
        <v/>
      </c>
      <c r="N53" s="7" t="str">
        <f t="shared" si="6"/>
        <v/>
      </c>
      <c r="O53" s="7" t="str">
        <f t="shared" si="7"/>
        <v/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f>IFERROR(__xludf.DUMMYFUNCTION("""COMPUTED_VALUE"""),45558.0)</f>
        <v>45558</v>
      </c>
      <c r="B54" s="6">
        <f>IFERROR(__xludf.DUMMYFUNCTION("""COMPUTED_VALUE"""),333.0)</f>
        <v>333</v>
      </c>
      <c r="C54" s="6">
        <f>IFERROR(__xludf.DUMMYFUNCTION("""COMPUTED_VALUE"""),339.5)</f>
        <v>339.5</v>
      </c>
      <c r="D54" s="6">
        <f>IFERROR(__xludf.DUMMYFUNCTION("""COMPUTED_VALUE"""),331.3)</f>
        <v>331.3</v>
      </c>
      <c r="E54" s="6">
        <f>IFERROR(__xludf.DUMMYFUNCTION("""COMPUTED_VALUE"""),338.1)</f>
        <v>338.1</v>
      </c>
      <c r="F54" s="7">
        <f>IFERROR(__xludf.DUMMYFUNCTION("""COMPUTED_VALUE"""),6110287.0)</f>
        <v>6110287</v>
      </c>
      <c r="G54" s="7" t="str">
        <f>IFERROR(__xludf.DUMMYFUNCTION("""COMPUTED_VALUE"""),"BPCL.NS")</f>
        <v>BPCL.NS</v>
      </c>
      <c r="H54" s="8">
        <f t="shared" si="1"/>
        <v>0.01531531532</v>
      </c>
      <c r="I54" s="8">
        <f t="shared" si="2"/>
        <v>0.01531531532</v>
      </c>
      <c r="J54" s="7" t="str">
        <f t="shared" si="3"/>
        <v>Sep-2024</v>
      </c>
      <c r="K54" s="9">
        <f t="shared" si="4"/>
        <v>45536</v>
      </c>
      <c r="L54" s="7" t="str">
        <f t="shared" si="5"/>
        <v/>
      </c>
      <c r="M54" s="7" t="str">
        <f>IFERROR(__xludf.DUMMYFUNCTION("IFERROR(
  IF(
    F54 &gt;
    3*AVERAGE(
       FILTER($F$2:$F10491,
         $G$2:$G10491=G54,
         $A$2:$A10491&gt;=A54-20,
         $A$2:$A10491&lt;=A54
       )
    ),
    ""VOL_SPIKE_3X"",""""
  ),
"""")
"),"")</f>
        <v/>
      </c>
      <c r="N54" s="7" t="str">
        <f t="shared" si="6"/>
        <v/>
      </c>
      <c r="O54" s="7" t="str">
        <f t="shared" si="7"/>
        <v/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f>IFERROR(__xludf.DUMMYFUNCTION("""COMPUTED_VALUE"""),45558.0)</f>
        <v>45558</v>
      </c>
      <c r="B55" s="6">
        <f>IFERROR(__xludf.DUMMYFUNCTION("""COMPUTED_VALUE"""),493.5)</f>
        <v>493.5</v>
      </c>
      <c r="C55" s="6">
        <f>IFERROR(__xludf.DUMMYFUNCTION("""COMPUTED_VALUE"""),502.5)</f>
        <v>502.5</v>
      </c>
      <c r="D55" s="6">
        <f>IFERROR(__xludf.DUMMYFUNCTION("""COMPUTED_VALUE"""),490.5)</f>
        <v>490.5</v>
      </c>
      <c r="E55" s="6">
        <f>IFERROR(__xludf.DUMMYFUNCTION("""COMPUTED_VALUE"""),500.6)</f>
        <v>500.6</v>
      </c>
      <c r="F55" s="7">
        <f>IFERROR(__xludf.DUMMYFUNCTION("""COMPUTED_VALUE"""),6123879.0)</f>
        <v>6123879</v>
      </c>
      <c r="G55" s="7" t="str">
        <f>IFERROR(__xludf.DUMMYFUNCTION("""COMPUTED_VALUE"""),"COALINDIA.NS")</f>
        <v>COALINDIA.NS</v>
      </c>
      <c r="H55" s="8">
        <f t="shared" si="1"/>
        <v>0.01438703141</v>
      </c>
      <c r="I55" s="8">
        <f t="shared" si="2"/>
        <v>0.01438703141</v>
      </c>
      <c r="J55" s="7" t="str">
        <f t="shared" si="3"/>
        <v>Sep-2024</v>
      </c>
      <c r="K55" s="9">
        <f t="shared" si="4"/>
        <v>45536</v>
      </c>
      <c r="L55" s="7" t="str">
        <f t="shared" si="5"/>
        <v/>
      </c>
      <c r="M55" s="7" t="str">
        <f>IFERROR(__xludf.DUMMYFUNCTION("IFERROR(
  IF(
    F55 &gt;
    3*AVERAGE(
       FILTER($F$2:$F10491,
         $G$2:$G10491=G55,
         $A$2:$A10491&gt;=A55-20,
         $A$2:$A10491&lt;=A55
       )
    ),
    ""VOL_SPIKE_3X"",""""
  ),
"""")
"),"")</f>
        <v/>
      </c>
      <c r="N55" s="7" t="str">
        <f t="shared" si="6"/>
        <v/>
      </c>
      <c r="O55" s="7" t="str">
        <f t="shared" si="7"/>
        <v/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f>IFERROR(__xludf.DUMMYFUNCTION("""COMPUTED_VALUE"""),45558.0)</f>
        <v>45558</v>
      </c>
      <c r="B56" s="6">
        <f>IFERROR(__xludf.DUMMYFUNCTION("""COMPUTED_VALUE"""),399.5)</f>
        <v>399.5</v>
      </c>
      <c r="C56" s="6">
        <f>IFERROR(__xludf.DUMMYFUNCTION("""COMPUTED_VALUE"""),408.95)</f>
        <v>408.95</v>
      </c>
      <c r="D56" s="6">
        <f>IFERROR(__xludf.DUMMYFUNCTION("""COMPUTED_VALUE"""),396.65)</f>
        <v>396.65</v>
      </c>
      <c r="E56" s="6">
        <f>IFERROR(__xludf.DUMMYFUNCTION("""COMPUTED_VALUE"""),403.45)</f>
        <v>403.45</v>
      </c>
      <c r="F56" s="7">
        <f>IFERROR(__xludf.DUMMYFUNCTION("""COMPUTED_VALUE"""),4899097.0)</f>
        <v>4899097</v>
      </c>
      <c r="G56" s="7" t="str">
        <f>IFERROR(__xludf.DUMMYFUNCTION("""COMPUTED_VALUE"""),"HINDPETRO.NS")</f>
        <v>HINDPETRO.NS</v>
      </c>
      <c r="H56" s="8">
        <f t="shared" si="1"/>
        <v>0.009887359199</v>
      </c>
      <c r="I56" s="8">
        <f t="shared" si="2"/>
        <v>0.009887359199</v>
      </c>
      <c r="J56" s="7" t="str">
        <f t="shared" si="3"/>
        <v>Sep-2024</v>
      </c>
      <c r="K56" s="9">
        <f t="shared" si="4"/>
        <v>45536</v>
      </c>
      <c r="L56" s="7" t="str">
        <f t="shared" si="5"/>
        <v/>
      </c>
      <c r="M56" s="7" t="str">
        <f>IFERROR(__xludf.DUMMYFUNCTION("IFERROR(
  IF(
    F56 &gt;
    3*AVERAGE(
       FILTER($F$2:$F10491,
         $G$2:$G10491=G56,
         $A$2:$A10491&gt;=A56-20,
         $A$2:$A10491&lt;=A56
       )
    ),
    ""VOL_SPIKE_3X"",""""
  ),
"""")
"),"")</f>
        <v/>
      </c>
      <c r="N56" s="7" t="str">
        <f t="shared" si="6"/>
        <v/>
      </c>
      <c r="O56" s="7" t="str">
        <f t="shared" si="7"/>
        <v/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f>IFERROR(__xludf.DUMMYFUNCTION("""COMPUTED_VALUE"""),45558.0)</f>
        <v>45558</v>
      </c>
      <c r="B57" s="6">
        <f>IFERROR(__xludf.DUMMYFUNCTION("""COMPUTED_VALUE"""),167.55)</f>
        <v>167.55</v>
      </c>
      <c r="C57" s="6">
        <f>IFERROR(__xludf.DUMMYFUNCTION("""COMPUTED_VALUE"""),170.2)</f>
        <v>170.2</v>
      </c>
      <c r="D57" s="6">
        <f>IFERROR(__xludf.DUMMYFUNCTION("""COMPUTED_VALUE"""),167.0)</f>
        <v>167</v>
      </c>
      <c r="E57" s="6">
        <f>IFERROR(__xludf.DUMMYFUNCTION("""COMPUTED_VALUE"""),169.73)</f>
        <v>169.73</v>
      </c>
      <c r="F57" s="7">
        <f>IFERROR(__xludf.DUMMYFUNCTION("""COMPUTED_VALUE"""),9393577.0)</f>
        <v>9393577</v>
      </c>
      <c r="G57" s="7" t="str">
        <f>IFERROR(__xludf.DUMMYFUNCTION("""COMPUTED_VALUE"""),"IOC.NS")</f>
        <v>IOC.NS</v>
      </c>
      <c r="H57" s="8">
        <f t="shared" si="1"/>
        <v>0.01301104148</v>
      </c>
      <c r="I57" s="8">
        <f t="shared" si="2"/>
        <v>0.01301104148</v>
      </c>
      <c r="J57" s="7" t="str">
        <f t="shared" si="3"/>
        <v>Sep-2024</v>
      </c>
      <c r="K57" s="9">
        <f t="shared" si="4"/>
        <v>45536</v>
      </c>
      <c r="L57" s="7" t="str">
        <f t="shared" si="5"/>
        <v/>
      </c>
      <c r="M57" s="7" t="str">
        <f>IFERROR(__xludf.DUMMYFUNCTION("IFERROR(
  IF(
    F57 &gt;
    3*AVERAGE(
       FILTER($F$2:$F10491,
         $G$2:$G10491=G57,
         $A$2:$A10491&gt;=A57-20,
         $A$2:$A10491&lt;=A57
       )
    ),
    ""VOL_SPIKE_3X"",""""
  ),
"""")
"),"")</f>
        <v/>
      </c>
      <c r="N57" s="7" t="str">
        <f t="shared" si="6"/>
        <v/>
      </c>
      <c r="O57" s="7" t="str">
        <f t="shared" si="7"/>
        <v/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f>IFERROR(__xludf.DUMMYFUNCTION("""COMPUTED_VALUE"""),45558.0)</f>
        <v>45558</v>
      </c>
      <c r="B58" s="6">
        <f>IFERROR(__xludf.DUMMYFUNCTION("""COMPUTED_VALUE"""),427.5)</f>
        <v>427.5</v>
      </c>
      <c r="C58" s="6">
        <f>IFERROR(__xludf.DUMMYFUNCTION("""COMPUTED_VALUE"""),430.5)</f>
        <v>430.5</v>
      </c>
      <c r="D58" s="6">
        <f>IFERROR(__xludf.DUMMYFUNCTION("""COMPUTED_VALUE"""),425.0)</f>
        <v>425</v>
      </c>
      <c r="E58" s="6">
        <f>IFERROR(__xludf.DUMMYFUNCTION("""COMPUTED_VALUE"""),428.35)</f>
        <v>428.35</v>
      </c>
      <c r="F58" s="7">
        <f>IFERROR(__xludf.DUMMYFUNCTION("""COMPUTED_VALUE"""),1.4139629E7)</f>
        <v>14139629</v>
      </c>
      <c r="G58" s="7" t="str">
        <f>IFERROR(__xludf.DUMMYFUNCTION("""COMPUTED_VALUE"""),"NTPC.NS")</f>
        <v>NTPC.NS</v>
      </c>
      <c r="H58" s="8">
        <f t="shared" si="1"/>
        <v>0.001988304094</v>
      </c>
      <c r="I58" s="8">
        <f t="shared" si="2"/>
        <v>0.001988304094</v>
      </c>
      <c r="J58" s="7" t="str">
        <f t="shared" si="3"/>
        <v>Sep-2024</v>
      </c>
      <c r="K58" s="9">
        <f t="shared" si="4"/>
        <v>45536</v>
      </c>
      <c r="L58" s="7" t="str">
        <f t="shared" si="5"/>
        <v/>
      </c>
      <c r="M58" s="7" t="str">
        <f>IFERROR(__xludf.DUMMYFUNCTION("IFERROR(
  IF(
    F58 &gt;
    3*AVERAGE(
       FILTER($F$2:$F10491,
         $G$2:$G10491=G58,
         $A$2:$A10491&gt;=A58-20,
         $A$2:$A10491&lt;=A58
       )
    ),
    ""VOL_SPIKE_3X"",""""
  ),
"""")
"),"")</f>
        <v/>
      </c>
      <c r="N58" s="7" t="str">
        <f t="shared" si="6"/>
        <v/>
      </c>
      <c r="O58" s="7" t="str">
        <f t="shared" si="7"/>
        <v/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f>IFERROR(__xludf.DUMMYFUNCTION("""COMPUTED_VALUE"""),45558.0)</f>
        <v>45558</v>
      </c>
      <c r="B59" s="6">
        <f>IFERROR(__xludf.DUMMYFUNCTION("""COMPUTED_VALUE"""),288.4)</f>
        <v>288.4</v>
      </c>
      <c r="C59" s="6">
        <f>IFERROR(__xludf.DUMMYFUNCTION("""COMPUTED_VALUE"""),296.4)</f>
        <v>296.4</v>
      </c>
      <c r="D59" s="6">
        <f>IFERROR(__xludf.DUMMYFUNCTION("""COMPUTED_VALUE"""),287.55)</f>
        <v>287.55</v>
      </c>
      <c r="E59" s="6">
        <f>IFERROR(__xludf.DUMMYFUNCTION("""COMPUTED_VALUE"""),295.45)</f>
        <v>295.45</v>
      </c>
      <c r="F59" s="7">
        <f>IFERROR(__xludf.DUMMYFUNCTION("""COMPUTED_VALUE"""),1.4621229E7)</f>
        <v>14621229</v>
      </c>
      <c r="G59" s="7" t="str">
        <f>IFERROR(__xludf.DUMMYFUNCTION("""COMPUTED_VALUE"""),"ONGC.NS")</f>
        <v>ONGC.NS</v>
      </c>
      <c r="H59" s="8">
        <f t="shared" si="1"/>
        <v>0.02444521498</v>
      </c>
      <c r="I59" s="8">
        <f t="shared" si="2"/>
        <v>0.02444521498</v>
      </c>
      <c r="J59" s="7" t="str">
        <f t="shared" si="3"/>
        <v>Sep-2024</v>
      </c>
      <c r="K59" s="9">
        <f t="shared" si="4"/>
        <v>45536</v>
      </c>
      <c r="L59" s="7" t="str">
        <f t="shared" si="5"/>
        <v/>
      </c>
      <c r="M59" s="7" t="str">
        <f>IFERROR(__xludf.DUMMYFUNCTION("IFERROR(
  IF(
    F59 &gt;
    3*AVERAGE(
       FILTER($F$2:$F10491,
         $G$2:$G10491=G59,
         $A$2:$A10491&gt;=A59-20,
         $A$2:$A10491&lt;=A59
       )
    ),
    ""VOL_SPIKE_3X"",""""
  ),
"""")
"),"")</f>
        <v/>
      </c>
      <c r="N59" s="7" t="str">
        <f t="shared" si="6"/>
        <v/>
      </c>
      <c r="O59" s="7" t="str">
        <f t="shared" si="7"/>
        <v/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f>IFERROR(__xludf.DUMMYFUNCTION("""COMPUTED_VALUE"""),45558.0)</f>
        <v>45558</v>
      </c>
      <c r="B60" s="6">
        <f>IFERROR(__xludf.DUMMYFUNCTION("""COMPUTED_VALUE"""),342.0)</f>
        <v>342</v>
      </c>
      <c r="C60" s="6">
        <f>IFERROR(__xludf.DUMMYFUNCTION("""COMPUTED_VALUE"""),342.5)</f>
        <v>342.5</v>
      </c>
      <c r="D60" s="6">
        <f>IFERROR(__xludf.DUMMYFUNCTION("""COMPUTED_VALUE"""),340.25)</f>
        <v>340.25</v>
      </c>
      <c r="E60" s="6">
        <f>IFERROR(__xludf.DUMMYFUNCTION("""COMPUTED_VALUE"""),341.15)</f>
        <v>341.15</v>
      </c>
      <c r="F60" s="7">
        <f>IFERROR(__xludf.DUMMYFUNCTION("""COMPUTED_VALUE"""),6542941.0)</f>
        <v>6542941</v>
      </c>
      <c r="G60" s="7" t="str">
        <f>IFERROR(__xludf.DUMMYFUNCTION("""COMPUTED_VALUE"""),"POWERGRID.NS")</f>
        <v>POWERGRID.NS</v>
      </c>
      <c r="H60" s="8">
        <f t="shared" si="1"/>
        <v>-0.002485380117</v>
      </c>
      <c r="I60" s="8">
        <f t="shared" si="2"/>
        <v>0.002485380117</v>
      </c>
      <c r="J60" s="7" t="str">
        <f t="shared" si="3"/>
        <v>Sep-2024</v>
      </c>
      <c r="K60" s="9">
        <f t="shared" si="4"/>
        <v>45536</v>
      </c>
      <c r="L60" s="7" t="str">
        <f t="shared" si="5"/>
        <v/>
      </c>
      <c r="M60" s="7" t="str">
        <f>IFERROR(__xludf.DUMMYFUNCTION("IFERROR(
  IF(
    F60 &gt;
    3*AVERAGE(
       FILTER($F$2:$F10491,
         $G$2:$G10491=G60,
         $A$2:$A10491&gt;=A60-20,
         $A$2:$A10491&lt;=A60
       )
    ),
    ""VOL_SPIKE_3X"",""""
  ),
"""")
"),"")</f>
        <v/>
      </c>
      <c r="N60" s="7" t="str">
        <f t="shared" si="6"/>
        <v/>
      </c>
      <c r="O60" s="7" t="str">
        <f t="shared" si="7"/>
        <v/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f>IFERROR(__xludf.DUMMYFUNCTION("""COMPUTED_VALUE"""),45558.0)</f>
        <v>45558</v>
      </c>
      <c r="B61" s="6">
        <f>IFERROR(__xludf.DUMMYFUNCTION("""COMPUTED_VALUE"""),1491.0)</f>
        <v>1491</v>
      </c>
      <c r="C61" s="6">
        <f>IFERROR(__xludf.DUMMYFUNCTION("""COMPUTED_VALUE"""),1501.5)</f>
        <v>1501.5</v>
      </c>
      <c r="D61" s="6">
        <f>IFERROR(__xludf.DUMMYFUNCTION("""COMPUTED_VALUE"""),1488.95)</f>
        <v>1488.95</v>
      </c>
      <c r="E61" s="6">
        <f>IFERROR(__xludf.DUMMYFUNCTION("""COMPUTED_VALUE"""),1493.38)</f>
        <v>1493.38</v>
      </c>
      <c r="F61" s="7">
        <f>IFERROR(__xludf.DUMMYFUNCTION("""COMPUTED_VALUE"""),4416157.0)</f>
        <v>4416157</v>
      </c>
      <c r="G61" s="7" t="str">
        <f>IFERROR(__xludf.DUMMYFUNCTION("""COMPUTED_VALUE"""),"RELIANCE.NS")</f>
        <v>RELIANCE.NS</v>
      </c>
      <c r="H61" s="8">
        <f t="shared" si="1"/>
        <v>0.001596244131</v>
      </c>
      <c r="I61" s="8">
        <f t="shared" si="2"/>
        <v>0.001596244131</v>
      </c>
      <c r="J61" s="7" t="str">
        <f t="shared" si="3"/>
        <v>Sep-2024</v>
      </c>
      <c r="K61" s="9">
        <f t="shared" si="4"/>
        <v>45536</v>
      </c>
      <c r="L61" s="7" t="str">
        <f t="shared" si="5"/>
        <v/>
      </c>
      <c r="M61" s="7" t="str">
        <f>IFERROR(__xludf.DUMMYFUNCTION("IFERROR(
  IF(
    F61 &gt;
    3*AVERAGE(
       FILTER($F$2:$F10491,
         $G$2:$G10491=G61,
         $A$2:$A10491&gt;=A61-20,
         $A$2:$A10491&lt;=A61
       )
    ),
    ""VOL_SPIKE_3X"",""""
  ),
"""")
"),"")</f>
        <v/>
      </c>
      <c r="N61" s="7" t="str">
        <f t="shared" si="6"/>
        <v/>
      </c>
      <c r="O61" s="7" t="str">
        <f t="shared" si="7"/>
        <v/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f>IFERROR(__xludf.DUMMYFUNCTION("""COMPUTED_VALUE"""),45559.0)</f>
        <v>45559</v>
      </c>
      <c r="B62" s="6">
        <f>IFERROR(__xludf.DUMMYFUNCTION("""COMPUTED_VALUE"""),1030.0)</f>
        <v>1030</v>
      </c>
      <c r="C62" s="6">
        <f>IFERROR(__xludf.DUMMYFUNCTION("""COMPUTED_VALUE"""),1068.0)</f>
        <v>1068</v>
      </c>
      <c r="D62" s="6">
        <f>IFERROR(__xludf.DUMMYFUNCTION("""COMPUTED_VALUE"""),1021.45)</f>
        <v>1021.45</v>
      </c>
      <c r="E62" s="6">
        <f>IFERROR(__xludf.DUMMYFUNCTION("""COMPUTED_VALUE"""),1051.15)</f>
        <v>1051.15</v>
      </c>
      <c r="F62" s="7">
        <f>IFERROR(__xludf.DUMMYFUNCTION("""COMPUTED_VALUE"""),4131050.0)</f>
        <v>4131050</v>
      </c>
      <c r="G62" s="7" t="str">
        <f>IFERROR(__xludf.DUMMYFUNCTION("""COMPUTED_VALUE"""),"ADANIENSOL.NS")</f>
        <v>ADANIENSOL.NS</v>
      </c>
      <c r="H62" s="8">
        <f t="shared" si="1"/>
        <v>0.02053398058</v>
      </c>
      <c r="I62" s="8">
        <f t="shared" si="2"/>
        <v>0.02053398058</v>
      </c>
      <c r="J62" s="7" t="str">
        <f t="shared" si="3"/>
        <v>Sep-2024</v>
      </c>
      <c r="K62" s="9">
        <f t="shared" si="4"/>
        <v>45536</v>
      </c>
      <c r="L62" s="7" t="str">
        <f t="shared" si="5"/>
        <v/>
      </c>
      <c r="M62" s="7" t="str">
        <f>IFERROR(__xludf.DUMMYFUNCTION("IFERROR(
  IF(
    F62 &gt;
    3*AVERAGE(
       FILTER($F$2:$F10491,
         $G$2:$G10491=G62,
         $A$2:$A10491&gt;=A62-20,
         $A$2:$A10491&lt;=A62
       )
    ),
    ""VOL_SPIKE_3X"",""""
  ),
"""")
"),"")</f>
        <v/>
      </c>
      <c r="N62" s="7" t="str">
        <f t="shared" si="6"/>
        <v/>
      </c>
      <c r="O62" s="7" t="str">
        <f t="shared" si="7"/>
        <v/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f>IFERROR(__xludf.DUMMYFUNCTION("""COMPUTED_VALUE"""),45559.0)</f>
        <v>45559</v>
      </c>
      <c r="B63" s="6">
        <f>IFERROR(__xludf.DUMMYFUNCTION("""COMPUTED_VALUE"""),2037.6)</f>
        <v>2037.6</v>
      </c>
      <c r="C63" s="6">
        <f>IFERROR(__xludf.DUMMYFUNCTION("""COMPUTED_VALUE"""),2079.65)</f>
        <v>2079.65</v>
      </c>
      <c r="D63" s="6">
        <f>IFERROR(__xludf.DUMMYFUNCTION("""COMPUTED_VALUE"""),2023.7)</f>
        <v>2023.7</v>
      </c>
      <c r="E63" s="6">
        <f>IFERROR(__xludf.DUMMYFUNCTION("""COMPUTED_VALUE"""),2070.55)</f>
        <v>2070.55</v>
      </c>
      <c r="F63" s="7">
        <f>IFERROR(__xludf.DUMMYFUNCTION("""COMPUTED_VALUE"""),2241165.0)</f>
        <v>2241165</v>
      </c>
      <c r="G63" s="7" t="str">
        <f>IFERROR(__xludf.DUMMYFUNCTION("""COMPUTED_VALUE"""),"ADANIGREEN.NS")</f>
        <v>ADANIGREEN.NS</v>
      </c>
      <c r="H63" s="8">
        <f t="shared" si="1"/>
        <v>0.01617098547</v>
      </c>
      <c r="I63" s="8">
        <f t="shared" si="2"/>
        <v>0.01617098547</v>
      </c>
      <c r="J63" s="7" t="str">
        <f t="shared" si="3"/>
        <v>Sep-2024</v>
      </c>
      <c r="K63" s="9">
        <f t="shared" si="4"/>
        <v>45536</v>
      </c>
      <c r="L63" s="7" t="str">
        <f t="shared" si="5"/>
        <v/>
      </c>
      <c r="M63" s="7" t="str">
        <f>IFERROR(__xludf.DUMMYFUNCTION("IFERROR(
  IF(
    F63 &gt;
    3*AVERAGE(
       FILTER($F$2:$F10491,
         $G$2:$G10491=G63,
         $A$2:$A10491&gt;=A63-20,
         $A$2:$A10491&lt;=A63
       )
    ),
    ""VOL_SPIKE_3X"",""""
  ),
"""")
"),"")</f>
        <v/>
      </c>
      <c r="N63" s="7" t="str">
        <f t="shared" si="6"/>
        <v/>
      </c>
      <c r="O63" s="7" t="str">
        <f t="shared" si="7"/>
        <v/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f>IFERROR(__xludf.DUMMYFUNCTION("""COMPUTED_VALUE"""),45559.0)</f>
        <v>45559</v>
      </c>
      <c r="B64" s="6">
        <f>IFERROR(__xludf.DUMMYFUNCTION("""COMPUTED_VALUE"""),338.55)</f>
        <v>338.55</v>
      </c>
      <c r="C64" s="6">
        <f>IFERROR(__xludf.DUMMYFUNCTION("""COMPUTED_VALUE"""),343.2)</f>
        <v>343.2</v>
      </c>
      <c r="D64" s="6">
        <f>IFERROR(__xludf.DUMMYFUNCTION("""COMPUTED_VALUE"""),336.7)</f>
        <v>336.7</v>
      </c>
      <c r="E64" s="6">
        <f>IFERROR(__xludf.DUMMYFUNCTION("""COMPUTED_VALUE"""),339.15)</f>
        <v>339.15</v>
      </c>
      <c r="F64" s="7">
        <f>IFERROR(__xludf.DUMMYFUNCTION("""COMPUTED_VALUE"""),7068491.0)</f>
        <v>7068491</v>
      </c>
      <c r="G64" s="7" t="str">
        <f>IFERROR(__xludf.DUMMYFUNCTION("""COMPUTED_VALUE"""),"BPCL.NS")</f>
        <v>BPCL.NS</v>
      </c>
      <c r="H64" s="8">
        <f t="shared" si="1"/>
        <v>0.001772264067</v>
      </c>
      <c r="I64" s="8">
        <f t="shared" si="2"/>
        <v>0.001772264067</v>
      </c>
      <c r="J64" s="7" t="str">
        <f t="shared" si="3"/>
        <v>Sep-2024</v>
      </c>
      <c r="K64" s="9">
        <f t="shared" si="4"/>
        <v>45536</v>
      </c>
      <c r="L64" s="7" t="str">
        <f t="shared" si="5"/>
        <v/>
      </c>
      <c r="M64" s="7" t="str">
        <f>IFERROR(__xludf.DUMMYFUNCTION("IFERROR(
  IF(
    F64 &gt;
    3*AVERAGE(
       FILTER($F$2:$F10491,
         $G$2:$G10491=G64,
         $A$2:$A10491&gt;=A64-20,
         $A$2:$A10491&lt;=A64
       )
    ),
    ""VOL_SPIKE_3X"",""""
  ),
"""")
"),"")</f>
        <v/>
      </c>
      <c r="N64" s="7" t="str">
        <f t="shared" si="6"/>
        <v/>
      </c>
      <c r="O64" s="7" t="str">
        <f t="shared" si="7"/>
        <v/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f>IFERROR(__xludf.DUMMYFUNCTION("""COMPUTED_VALUE"""),45559.0)</f>
        <v>45559</v>
      </c>
      <c r="B65" s="6">
        <f>IFERROR(__xludf.DUMMYFUNCTION("""COMPUTED_VALUE"""),505.0)</f>
        <v>505</v>
      </c>
      <c r="C65" s="6">
        <f>IFERROR(__xludf.DUMMYFUNCTION("""COMPUTED_VALUE"""),506.65)</f>
        <v>506.65</v>
      </c>
      <c r="D65" s="6">
        <f>IFERROR(__xludf.DUMMYFUNCTION("""COMPUTED_VALUE"""),501.55)</f>
        <v>501.55</v>
      </c>
      <c r="E65" s="6">
        <f>IFERROR(__xludf.DUMMYFUNCTION("""COMPUTED_VALUE"""),504.3)</f>
        <v>504.3</v>
      </c>
      <c r="F65" s="7">
        <f>IFERROR(__xludf.DUMMYFUNCTION("""COMPUTED_VALUE"""),7306001.0)</f>
        <v>7306001</v>
      </c>
      <c r="G65" s="7" t="str">
        <f>IFERROR(__xludf.DUMMYFUNCTION("""COMPUTED_VALUE"""),"COALINDIA.NS")</f>
        <v>COALINDIA.NS</v>
      </c>
      <c r="H65" s="8">
        <f t="shared" si="1"/>
        <v>-0.001386138614</v>
      </c>
      <c r="I65" s="8">
        <f t="shared" si="2"/>
        <v>0.001386138614</v>
      </c>
      <c r="J65" s="7" t="str">
        <f t="shared" si="3"/>
        <v>Sep-2024</v>
      </c>
      <c r="K65" s="9">
        <f t="shared" si="4"/>
        <v>45536</v>
      </c>
      <c r="L65" s="7" t="str">
        <f t="shared" si="5"/>
        <v/>
      </c>
      <c r="M65" s="7" t="str">
        <f>IFERROR(__xludf.DUMMYFUNCTION("IFERROR(
  IF(
    F65 &gt;
    3*AVERAGE(
       FILTER($F$2:$F10491,
         $G$2:$G10491=G65,
         $A$2:$A10491&gt;=A65-20,
         $A$2:$A10491&lt;=A65
       )
    ),
    ""VOL_SPIKE_3X"",""""
  ),
"""")
"),"")</f>
        <v/>
      </c>
      <c r="N65" s="7" t="str">
        <f t="shared" si="6"/>
        <v/>
      </c>
      <c r="O65" s="7" t="str">
        <f t="shared" si="7"/>
        <v/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f>IFERROR(__xludf.DUMMYFUNCTION("""COMPUTED_VALUE"""),45559.0)</f>
        <v>45559</v>
      </c>
      <c r="B66" s="6">
        <f>IFERROR(__xludf.DUMMYFUNCTION("""COMPUTED_VALUE"""),402.9)</f>
        <v>402.9</v>
      </c>
      <c r="C66" s="6">
        <f>IFERROR(__xludf.DUMMYFUNCTION("""COMPUTED_VALUE"""),419.4)</f>
        <v>419.4</v>
      </c>
      <c r="D66" s="6">
        <f>IFERROR(__xludf.DUMMYFUNCTION("""COMPUTED_VALUE"""),402.65)</f>
        <v>402.65</v>
      </c>
      <c r="E66" s="6">
        <f>IFERROR(__xludf.DUMMYFUNCTION("""COMPUTED_VALUE"""),417.15)</f>
        <v>417.15</v>
      </c>
      <c r="F66" s="7">
        <f>IFERROR(__xludf.DUMMYFUNCTION("""COMPUTED_VALUE"""),9274367.0)</f>
        <v>9274367</v>
      </c>
      <c r="G66" s="7" t="str">
        <f>IFERROR(__xludf.DUMMYFUNCTION("""COMPUTED_VALUE"""),"HINDPETRO.NS")</f>
        <v>HINDPETRO.NS</v>
      </c>
      <c r="H66" s="8">
        <f t="shared" si="1"/>
        <v>0.03536857781</v>
      </c>
      <c r="I66" s="8">
        <f t="shared" si="2"/>
        <v>0.03536857781</v>
      </c>
      <c r="J66" s="7" t="str">
        <f t="shared" si="3"/>
        <v>Sep-2024</v>
      </c>
      <c r="K66" s="9">
        <f t="shared" si="4"/>
        <v>45536</v>
      </c>
      <c r="L66" s="7" t="str">
        <f t="shared" si="5"/>
        <v/>
      </c>
      <c r="M66" s="7" t="str">
        <f>IFERROR(__xludf.DUMMYFUNCTION("IFERROR(
  IF(
    F66 &gt;
    3*AVERAGE(
       FILTER($F$2:$F10491,
         $G$2:$G10491=G66,
         $A$2:$A10491&gt;=A66-20,
         $A$2:$A10491&lt;=A66
       )
    ),
    ""VOL_SPIKE_3X"",""""
  ),
"""")
"),"")</f>
        <v/>
      </c>
      <c r="N66" s="7" t="str">
        <f t="shared" si="6"/>
        <v/>
      </c>
      <c r="O66" s="7" t="str">
        <f t="shared" si="7"/>
        <v/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f>IFERROR(__xludf.DUMMYFUNCTION("""COMPUTED_VALUE"""),45559.0)</f>
        <v>45559</v>
      </c>
      <c r="B67" s="6">
        <f>IFERROR(__xludf.DUMMYFUNCTION("""COMPUTED_VALUE"""),169.17)</f>
        <v>169.17</v>
      </c>
      <c r="C67" s="6">
        <f>IFERROR(__xludf.DUMMYFUNCTION("""COMPUTED_VALUE"""),170.95)</f>
        <v>170.95</v>
      </c>
      <c r="D67" s="6">
        <f>IFERROR(__xludf.DUMMYFUNCTION("""COMPUTED_VALUE"""),168.8)</f>
        <v>168.8</v>
      </c>
      <c r="E67" s="6">
        <f>IFERROR(__xludf.DUMMYFUNCTION("""COMPUTED_VALUE"""),169.89)</f>
        <v>169.89</v>
      </c>
      <c r="F67" s="7">
        <f>IFERROR(__xludf.DUMMYFUNCTION("""COMPUTED_VALUE"""),1.0027795E7)</f>
        <v>10027795</v>
      </c>
      <c r="G67" s="7" t="str">
        <f>IFERROR(__xludf.DUMMYFUNCTION("""COMPUTED_VALUE"""),"IOC.NS")</f>
        <v>IOC.NS</v>
      </c>
      <c r="H67" s="8">
        <f t="shared" si="1"/>
        <v>0.004256073772</v>
      </c>
      <c r="I67" s="8">
        <f t="shared" si="2"/>
        <v>0.004256073772</v>
      </c>
      <c r="J67" s="7" t="str">
        <f t="shared" si="3"/>
        <v>Sep-2024</v>
      </c>
      <c r="K67" s="9">
        <f t="shared" si="4"/>
        <v>45536</v>
      </c>
      <c r="L67" s="7" t="str">
        <f t="shared" si="5"/>
        <v/>
      </c>
      <c r="M67" s="7" t="str">
        <f>IFERROR(__xludf.DUMMYFUNCTION("IFERROR(
  IF(
    F67 &gt;
    3*AVERAGE(
       FILTER($F$2:$F10491,
         $G$2:$G10491=G67,
         $A$2:$A10491&gt;=A67-20,
         $A$2:$A10491&lt;=A67
       )
    ),
    ""VOL_SPIKE_3X"",""""
  ),
"""")
"),"")</f>
        <v/>
      </c>
      <c r="N67" s="7" t="str">
        <f t="shared" si="6"/>
        <v/>
      </c>
      <c r="O67" s="7" t="str">
        <f t="shared" si="7"/>
        <v/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f>IFERROR(__xludf.DUMMYFUNCTION("""COMPUTED_VALUE"""),45559.0)</f>
        <v>45559</v>
      </c>
      <c r="B68" s="6">
        <f>IFERROR(__xludf.DUMMYFUNCTION("""COMPUTED_VALUE"""),431.45)</f>
        <v>431.45</v>
      </c>
      <c r="C68" s="6">
        <f>IFERROR(__xludf.DUMMYFUNCTION("""COMPUTED_VALUE"""),431.45)</f>
        <v>431.45</v>
      </c>
      <c r="D68" s="6">
        <f>IFERROR(__xludf.DUMMYFUNCTION("""COMPUTED_VALUE"""),427.0)</f>
        <v>427</v>
      </c>
      <c r="E68" s="6">
        <f>IFERROR(__xludf.DUMMYFUNCTION("""COMPUTED_VALUE"""),428.1)</f>
        <v>428.1</v>
      </c>
      <c r="F68" s="7">
        <f>IFERROR(__xludf.DUMMYFUNCTION("""COMPUTED_VALUE"""),1.2539885E7)</f>
        <v>12539885</v>
      </c>
      <c r="G68" s="7" t="str">
        <f>IFERROR(__xludf.DUMMYFUNCTION("""COMPUTED_VALUE"""),"NTPC.NS")</f>
        <v>NTPC.NS</v>
      </c>
      <c r="H68" s="8">
        <f t="shared" si="1"/>
        <v>-0.007764515008</v>
      </c>
      <c r="I68" s="8">
        <f t="shared" si="2"/>
        <v>0.007764515008</v>
      </c>
      <c r="J68" s="7" t="str">
        <f t="shared" si="3"/>
        <v>Sep-2024</v>
      </c>
      <c r="K68" s="9">
        <f t="shared" si="4"/>
        <v>45536</v>
      </c>
      <c r="L68" s="7" t="str">
        <f t="shared" si="5"/>
        <v/>
      </c>
      <c r="M68" s="7" t="str">
        <f>IFERROR(__xludf.DUMMYFUNCTION("IFERROR(
  IF(
    F68 &gt;
    3*AVERAGE(
       FILTER($F$2:$F10491,
         $G$2:$G10491=G68,
         $A$2:$A10491&gt;=A68-20,
         $A$2:$A10491&lt;=A68
       )
    ),
    ""VOL_SPIKE_3X"",""""
  ),
"""")
"),"")</f>
        <v/>
      </c>
      <c r="N68" s="7" t="str">
        <f t="shared" si="6"/>
        <v/>
      </c>
      <c r="O68" s="7" t="str">
        <f t="shared" si="7"/>
        <v/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f>IFERROR(__xludf.DUMMYFUNCTION("""COMPUTED_VALUE"""),45559.0)</f>
        <v>45559</v>
      </c>
      <c r="B69" s="6">
        <f>IFERROR(__xludf.DUMMYFUNCTION("""COMPUTED_VALUE"""),296.3)</f>
        <v>296.3</v>
      </c>
      <c r="C69" s="6">
        <f>IFERROR(__xludf.DUMMYFUNCTION("""COMPUTED_VALUE"""),302.0)</f>
        <v>302</v>
      </c>
      <c r="D69" s="6">
        <f>IFERROR(__xludf.DUMMYFUNCTION("""COMPUTED_VALUE"""),294.7)</f>
        <v>294.7</v>
      </c>
      <c r="E69" s="6">
        <f>IFERROR(__xludf.DUMMYFUNCTION("""COMPUTED_VALUE"""),299.45)</f>
        <v>299.45</v>
      </c>
      <c r="F69" s="7">
        <f>IFERROR(__xludf.DUMMYFUNCTION("""COMPUTED_VALUE"""),1.6986759E7)</f>
        <v>16986759</v>
      </c>
      <c r="G69" s="7" t="str">
        <f>IFERROR(__xludf.DUMMYFUNCTION("""COMPUTED_VALUE"""),"ONGC.NS")</f>
        <v>ONGC.NS</v>
      </c>
      <c r="H69" s="8">
        <f t="shared" si="1"/>
        <v>0.01063111711</v>
      </c>
      <c r="I69" s="8">
        <f t="shared" si="2"/>
        <v>0.01063111711</v>
      </c>
      <c r="J69" s="7" t="str">
        <f t="shared" si="3"/>
        <v>Sep-2024</v>
      </c>
      <c r="K69" s="9">
        <f t="shared" si="4"/>
        <v>45536</v>
      </c>
      <c r="L69" s="7" t="str">
        <f t="shared" si="5"/>
        <v/>
      </c>
      <c r="M69" s="7" t="str">
        <f>IFERROR(__xludf.DUMMYFUNCTION("IFERROR(
  IF(
    F69 &gt;
    3*AVERAGE(
       FILTER($F$2:$F10491,
         $G$2:$G10491=G69,
         $A$2:$A10491&gt;=A69-20,
         $A$2:$A10491&lt;=A69
       )
    ),
    ""VOL_SPIKE_3X"",""""
  ),
"""")
"),"")</f>
        <v/>
      </c>
      <c r="N69" s="7" t="str">
        <f t="shared" si="6"/>
        <v/>
      </c>
      <c r="O69" s="7" t="str">
        <f t="shared" si="7"/>
        <v/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f>IFERROR(__xludf.DUMMYFUNCTION("""COMPUTED_VALUE"""),45559.0)</f>
        <v>45559</v>
      </c>
      <c r="B70" s="6">
        <f>IFERROR(__xludf.DUMMYFUNCTION("""COMPUTED_VALUE"""),344.55)</f>
        <v>344.55</v>
      </c>
      <c r="C70" s="6">
        <f>IFERROR(__xludf.DUMMYFUNCTION("""COMPUTED_VALUE"""),351.0)</f>
        <v>351</v>
      </c>
      <c r="D70" s="6">
        <f>IFERROR(__xludf.DUMMYFUNCTION("""COMPUTED_VALUE"""),342.35)</f>
        <v>342.35</v>
      </c>
      <c r="E70" s="6">
        <f>IFERROR(__xludf.DUMMYFUNCTION("""COMPUTED_VALUE"""),350.05)</f>
        <v>350.05</v>
      </c>
      <c r="F70" s="7">
        <f>IFERROR(__xludf.DUMMYFUNCTION("""COMPUTED_VALUE"""),2.6145769E7)</f>
        <v>26145769</v>
      </c>
      <c r="G70" s="7" t="str">
        <f>IFERROR(__xludf.DUMMYFUNCTION("""COMPUTED_VALUE"""),"POWERGRID.NS")</f>
        <v>POWERGRID.NS</v>
      </c>
      <c r="H70" s="8">
        <f t="shared" si="1"/>
        <v>0.01596285009</v>
      </c>
      <c r="I70" s="8">
        <f t="shared" si="2"/>
        <v>0.01596285009</v>
      </c>
      <c r="J70" s="7" t="str">
        <f t="shared" si="3"/>
        <v>Sep-2024</v>
      </c>
      <c r="K70" s="9">
        <f t="shared" si="4"/>
        <v>45536</v>
      </c>
      <c r="L70" s="7" t="str">
        <f t="shared" si="5"/>
        <v/>
      </c>
      <c r="M70" s="7" t="str">
        <f>IFERROR(__xludf.DUMMYFUNCTION("IFERROR(
  IF(
    F70 &gt;
    3*AVERAGE(
       FILTER($F$2:$F10491,
         $G$2:$G10491=G70,
         $A$2:$A10491&gt;=A70-20,
         $A$2:$A10491&lt;=A70
       )
    ),
    ""VOL_SPIKE_3X"",""""
  ),
"""")
"),"")</f>
        <v/>
      </c>
      <c r="N70" s="7" t="str">
        <f t="shared" si="6"/>
        <v/>
      </c>
      <c r="O70" s="7" t="str">
        <f t="shared" si="7"/>
        <v/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f>IFERROR(__xludf.DUMMYFUNCTION("""COMPUTED_VALUE"""),45559.0)</f>
        <v>45559</v>
      </c>
      <c r="B71" s="6">
        <f>IFERROR(__xludf.DUMMYFUNCTION("""COMPUTED_VALUE"""),1488.5)</f>
        <v>1488.5</v>
      </c>
      <c r="C71" s="6">
        <f>IFERROR(__xludf.DUMMYFUNCTION("""COMPUTED_VALUE"""),1500.5)</f>
        <v>1500.5</v>
      </c>
      <c r="D71" s="6">
        <f>IFERROR(__xludf.DUMMYFUNCTION("""COMPUTED_VALUE"""),1487.88)</f>
        <v>1487.88</v>
      </c>
      <c r="E71" s="6">
        <f>IFERROR(__xludf.DUMMYFUNCTION("""COMPUTED_VALUE"""),1489.38)</f>
        <v>1489.38</v>
      </c>
      <c r="F71" s="7">
        <f>IFERROR(__xludf.DUMMYFUNCTION("""COMPUTED_VALUE"""),8568722.0)</f>
        <v>8568722</v>
      </c>
      <c r="G71" s="7" t="str">
        <f>IFERROR(__xludf.DUMMYFUNCTION("""COMPUTED_VALUE"""),"RELIANCE.NS")</f>
        <v>RELIANCE.NS</v>
      </c>
      <c r="H71" s="8">
        <f t="shared" si="1"/>
        <v>0.0005911991938</v>
      </c>
      <c r="I71" s="8">
        <f t="shared" si="2"/>
        <v>0.0005911991938</v>
      </c>
      <c r="J71" s="7" t="str">
        <f t="shared" si="3"/>
        <v>Sep-2024</v>
      </c>
      <c r="K71" s="9">
        <f t="shared" si="4"/>
        <v>45536</v>
      </c>
      <c r="L71" s="7" t="str">
        <f t="shared" si="5"/>
        <v/>
      </c>
      <c r="M71" s="7" t="str">
        <f>IFERROR(__xludf.DUMMYFUNCTION("IFERROR(
  IF(
    F71 &gt;
    3*AVERAGE(
       FILTER($F$2:$F10491,
         $G$2:$G10491=G71,
         $A$2:$A10491&gt;=A71-20,
         $A$2:$A10491&lt;=A71
       )
    ),
    ""VOL_SPIKE_3X"",""""
  ),
"""")
"),"")</f>
        <v/>
      </c>
      <c r="N71" s="7" t="str">
        <f t="shared" si="6"/>
        <v/>
      </c>
      <c r="O71" s="7" t="str">
        <f t="shared" si="7"/>
        <v/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f>IFERROR(__xludf.DUMMYFUNCTION("""COMPUTED_VALUE"""),45560.0)</f>
        <v>45560</v>
      </c>
      <c r="B72" s="6">
        <f>IFERROR(__xludf.DUMMYFUNCTION("""COMPUTED_VALUE"""),1049.0)</f>
        <v>1049</v>
      </c>
      <c r="C72" s="6">
        <f>IFERROR(__xludf.DUMMYFUNCTION("""COMPUTED_VALUE"""),1053.85)</f>
        <v>1053.85</v>
      </c>
      <c r="D72" s="6">
        <f>IFERROR(__xludf.DUMMYFUNCTION("""COMPUTED_VALUE"""),1036.0)</f>
        <v>1036</v>
      </c>
      <c r="E72" s="6">
        <f>IFERROR(__xludf.DUMMYFUNCTION("""COMPUTED_VALUE"""),1044.2)</f>
        <v>1044.2</v>
      </c>
      <c r="F72" s="7">
        <f>IFERROR(__xludf.DUMMYFUNCTION("""COMPUTED_VALUE"""),1091528.0)</f>
        <v>1091528</v>
      </c>
      <c r="G72" s="7" t="str">
        <f>IFERROR(__xludf.DUMMYFUNCTION("""COMPUTED_VALUE"""),"ADANIENSOL.NS")</f>
        <v>ADANIENSOL.NS</v>
      </c>
      <c r="H72" s="8">
        <f t="shared" si="1"/>
        <v>-0.004575786463</v>
      </c>
      <c r="I72" s="8">
        <f t="shared" si="2"/>
        <v>0.004575786463</v>
      </c>
      <c r="J72" s="7" t="str">
        <f t="shared" si="3"/>
        <v>Sep-2024</v>
      </c>
      <c r="K72" s="9">
        <f t="shared" si="4"/>
        <v>45536</v>
      </c>
      <c r="L72" s="7" t="str">
        <f t="shared" si="5"/>
        <v/>
      </c>
      <c r="M72" s="7" t="str">
        <f>IFERROR(__xludf.DUMMYFUNCTION("IFERROR(
  IF(
    F72 &gt;
    3*AVERAGE(
       FILTER($F$2:$F10491,
         $G$2:$G10491=G72,
         $A$2:$A10491&gt;=A72-20,
         $A$2:$A10491&lt;=A72
       )
    ),
    ""VOL_SPIKE_3X"",""""
  ),
"""")
"),"")</f>
        <v/>
      </c>
      <c r="N72" s="7" t="str">
        <f t="shared" si="6"/>
        <v/>
      </c>
      <c r="O72" s="7" t="str">
        <f t="shared" si="7"/>
        <v/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f>IFERROR(__xludf.DUMMYFUNCTION("""COMPUTED_VALUE"""),45560.0)</f>
        <v>45560</v>
      </c>
      <c r="B73" s="6">
        <f>IFERROR(__xludf.DUMMYFUNCTION("""COMPUTED_VALUE"""),2079.0)</f>
        <v>2079</v>
      </c>
      <c r="C73" s="6">
        <f>IFERROR(__xludf.DUMMYFUNCTION("""COMPUTED_VALUE"""),2087.75)</f>
        <v>2087.75</v>
      </c>
      <c r="D73" s="6">
        <f>IFERROR(__xludf.DUMMYFUNCTION("""COMPUTED_VALUE"""),2027.1)</f>
        <v>2027.1</v>
      </c>
      <c r="E73" s="6">
        <f>IFERROR(__xludf.DUMMYFUNCTION("""COMPUTED_VALUE"""),2066.75)</f>
        <v>2066.75</v>
      </c>
      <c r="F73" s="7">
        <f>IFERROR(__xludf.DUMMYFUNCTION("""COMPUTED_VALUE"""),1112406.0)</f>
        <v>1112406</v>
      </c>
      <c r="G73" s="7" t="str">
        <f>IFERROR(__xludf.DUMMYFUNCTION("""COMPUTED_VALUE"""),"ADANIGREEN.NS")</f>
        <v>ADANIGREEN.NS</v>
      </c>
      <c r="H73" s="8">
        <f t="shared" si="1"/>
        <v>-0.005892255892</v>
      </c>
      <c r="I73" s="8">
        <f t="shared" si="2"/>
        <v>0.005892255892</v>
      </c>
      <c r="J73" s="7" t="str">
        <f t="shared" si="3"/>
        <v>Sep-2024</v>
      </c>
      <c r="K73" s="9">
        <f t="shared" si="4"/>
        <v>45536</v>
      </c>
      <c r="L73" s="7" t="str">
        <f t="shared" si="5"/>
        <v/>
      </c>
      <c r="M73" s="7" t="str">
        <f>IFERROR(__xludf.DUMMYFUNCTION("IFERROR(
  IF(
    F73 &gt;
    3*AVERAGE(
       FILTER($F$2:$F10491,
         $G$2:$G10491=G73,
         $A$2:$A10491&gt;=A73-20,
         $A$2:$A10491&lt;=A73
       )
    ),
    ""VOL_SPIKE_3X"",""""
  ),
"""")
"),"")</f>
        <v/>
      </c>
      <c r="N73" s="7" t="str">
        <f t="shared" si="6"/>
        <v/>
      </c>
      <c r="O73" s="7" t="str">
        <f t="shared" si="7"/>
        <v/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f>IFERROR(__xludf.DUMMYFUNCTION("""COMPUTED_VALUE"""),45560.0)</f>
        <v>45560</v>
      </c>
      <c r="B74" s="6">
        <f>IFERROR(__xludf.DUMMYFUNCTION("""COMPUTED_VALUE"""),341.0)</f>
        <v>341</v>
      </c>
      <c r="C74" s="6">
        <f>IFERROR(__xludf.DUMMYFUNCTION("""COMPUTED_VALUE"""),341.8)</f>
        <v>341.8</v>
      </c>
      <c r="D74" s="6">
        <f>IFERROR(__xludf.DUMMYFUNCTION("""COMPUTED_VALUE"""),335.15)</f>
        <v>335.15</v>
      </c>
      <c r="E74" s="6">
        <f>IFERROR(__xludf.DUMMYFUNCTION("""COMPUTED_VALUE"""),339.8)</f>
        <v>339.8</v>
      </c>
      <c r="F74" s="7">
        <f>IFERROR(__xludf.DUMMYFUNCTION("""COMPUTED_VALUE"""),6087353.0)</f>
        <v>6087353</v>
      </c>
      <c r="G74" s="7" t="str">
        <f>IFERROR(__xludf.DUMMYFUNCTION("""COMPUTED_VALUE"""),"BPCL.NS")</f>
        <v>BPCL.NS</v>
      </c>
      <c r="H74" s="8">
        <f t="shared" si="1"/>
        <v>-0.003519061584</v>
      </c>
      <c r="I74" s="8">
        <f t="shared" si="2"/>
        <v>0.003519061584</v>
      </c>
      <c r="J74" s="7" t="str">
        <f t="shared" si="3"/>
        <v>Sep-2024</v>
      </c>
      <c r="K74" s="9">
        <f t="shared" si="4"/>
        <v>45536</v>
      </c>
      <c r="L74" s="7" t="str">
        <f t="shared" si="5"/>
        <v/>
      </c>
      <c r="M74" s="7" t="str">
        <f>IFERROR(__xludf.DUMMYFUNCTION("IFERROR(
  IF(
    F74 &gt;
    3*AVERAGE(
       FILTER($F$2:$F10491,
         $G$2:$G10491=G74,
         $A$2:$A10491&gt;=A74-20,
         $A$2:$A10491&lt;=A74
       )
    ),
    ""VOL_SPIKE_3X"",""""
  ),
"""")
"),"")</f>
        <v/>
      </c>
      <c r="N74" s="7" t="str">
        <f t="shared" si="6"/>
        <v/>
      </c>
      <c r="O74" s="7" t="str">
        <f t="shared" si="7"/>
        <v/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f>IFERROR(__xludf.DUMMYFUNCTION("""COMPUTED_VALUE"""),45560.0)</f>
        <v>45560</v>
      </c>
      <c r="B75" s="6">
        <f>IFERROR(__xludf.DUMMYFUNCTION("""COMPUTED_VALUE"""),506.5)</f>
        <v>506.5</v>
      </c>
      <c r="C75" s="6">
        <f>IFERROR(__xludf.DUMMYFUNCTION("""COMPUTED_VALUE"""),507.0)</f>
        <v>507</v>
      </c>
      <c r="D75" s="6">
        <f>IFERROR(__xludf.DUMMYFUNCTION("""COMPUTED_VALUE"""),502.0)</f>
        <v>502</v>
      </c>
      <c r="E75" s="6">
        <f>IFERROR(__xludf.DUMMYFUNCTION("""COMPUTED_VALUE"""),505.3)</f>
        <v>505.3</v>
      </c>
      <c r="F75" s="7">
        <f>IFERROR(__xludf.DUMMYFUNCTION("""COMPUTED_VALUE"""),5059851.0)</f>
        <v>5059851</v>
      </c>
      <c r="G75" s="7" t="str">
        <f>IFERROR(__xludf.DUMMYFUNCTION("""COMPUTED_VALUE"""),"COALINDIA.NS")</f>
        <v>COALINDIA.NS</v>
      </c>
      <c r="H75" s="8">
        <f t="shared" si="1"/>
        <v>-0.002369200395</v>
      </c>
      <c r="I75" s="8">
        <f t="shared" si="2"/>
        <v>0.002369200395</v>
      </c>
      <c r="J75" s="7" t="str">
        <f t="shared" si="3"/>
        <v>Sep-2024</v>
      </c>
      <c r="K75" s="9">
        <f t="shared" si="4"/>
        <v>45536</v>
      </c>
      <c r="L75" s="7" t="str">
        <f t="shared" si="5"/>
        <v/>
      </c>
      <c r="M75" s="7" t="str">
        <f>IFERROR(__xludf.DUMMYFUNCTION("IFERROR(
  IF(
    F75 &gt;
    3*AVERAGE(
       FILTER($F$2:$F10491,
         $G$2:$G10491=G75,
         $A$2:$A10491&gt;=A75-20,
         $A$2:$A10491&lt;=A75
       )
    ),
    ""VOL_SPIKE_3X"",""""
  ),
"""")
"),"")</f>
        <v/>
      </c>
      <c r="N75" s="7" t="str">
        <f t="shared" si="6"/>
        <v/>
      </c>
      <c r="O75" s="7" t="str">
        <f t="shared" si="7"/>
        <v/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f>IFERROR(__xludf.DUMMYFUNCTION("""COMPUTED_VALUE"""),45560.0)</f>
        <v>45560</v>
      </c>
      <c r="B76" s="6">
        <f>IFERROR(__xludf.DUMMYFUNCTION("""COMPUTED_VALUE"""),417.15)</f>
        <v>417.15</v>
      </c>
      <c r="C76" s="6">
        <f>IFERROR(__xludf.DUMMYFUNCTION("""COMPUTED_VALUE"""),419.05)</f>
        <v>419.05</v>
      </c>
      <c r="D76" s="6">
        <f>IFERROR(__xludf.DUMMYFUNCTION("""COMPUTED_VALUE"""),407.6)</f>
        <v>407.6</v>
      </c>
      <c r="E76" s="6">
        <f>IFERROR(__xludf.DUMMYFUNCTION("""COMPUTED_VALUE"""),417.4)</f>
        <v>417.4</v>
      </c>
      <c r="F76" s="7">
        <f>IFERROR(__xludf.DUMMYFUNCTION("""COMPUTED_VALUE"""),4872324.0)</f>
        <v>4872324</v>
      </c>
      <c r="G76" s="7" t="str">
        <f>IFERROR(__xludf.DUMMYFUNCTION("""COMPUTED_VALUE"""),"HINDPETRO.NS")</f>
        <v>HINDPETRO.NS</v>
      </c>
      <c r="H76" s="8">
        <f t="shared" si="1"/>
        <v>0.0005993048064</v>
      </c>
      <c r="I76" s="8">
        <f t="shared" si="2"/>
        <v>0.0005993048064</v>
      </c>
      <c r="J76" s="7" t="str">
        <f t="shared" si="3"/>
        <v>Sep-2024</v>
      </c>
      <c r="K76" s="9">
        <f t="shared" si="4"/>
        <v>45536</v>
      </c>
      <c r="L76" s="7" t="str">
        <f t="shared" si="5"/>
        <v/>
      </c>
      <c r="M76" s="7" t="str">
        <f>IFERROR(__xludf.DUMMYFUNCTION("IFERROR(
  IF(
    F76 &gt;
    3*AVERAGE(
       FILTER($F$2:$F10491,
         $G$2:$G10491=G76,
         $A$2:$A10491&gt;=A76-20,
         $A$2:$A10491&lt;=A76
       )
    ),
    ""VOL_SPIKE_3X"",""""
  ),
"""")
"),"")</f>
        <v/>
      </c>
      <c r="N76" s="7" t="str">
        <f t="shared" si="6"/>
        <v/>
      </c>
      <c r="O76" s="7" t="str">
        <f t="shared" si="7"/>
        <v/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f>IFERROR(__xludf.DUMMYFUNCTION("""COMPUTED_VALUE"""),45560.0)</f>
        <v>45560</v>
      </c>
      <c r="B77" s="6">
        <f>IFERROR(__xludf.DUMMYFUNCTION("""COMPUTED_VALUE"""),169.6)</f>
        <v>169.6</v>
      </c>
      <c r="C77" s="6">
        <f>IFERROR(__xludf.DUMMYFUNCTION("""COMPUTED_VALUE"""),170.94)</f>
        <v>170.94</v>
      </c>
      <c r="D77" s="6">
        <f>IFERROR(__xludf.DUMMYFUNCTION("""COMPUTED_VALUE"""),168.5)</f>
        <v>168.5</v>
      </c>
      <c r="E77" s="6">
        <f>IFERROR(__xludf.DUMMYFUNCTION("""COMPUTED_VALUE"""),169.82)</f>
        <v>169.82</v>
      </c>
      <c r="F77" s="7">
        <f>IFERROR(__xludf.DUMMYFUNCTION("""COMPUTED_VALUE"""),8749024.0)</f>
        <v>8749024</v>
      </c>
      <c r="G77" s="7" t="str">
        <f>IFERROR(__xludf.DUMMYFUNCTION("""COMPUTED_VALUE"""),"IOC.NS")</f>
        <v>IOC.NS</v>
      </c>
      <c r="H77" s="8">
        <f t="shared" si="1"/>
        <v>0.001297169811</v>
      </c>
      <c r="I77" s="8">
        <f t="shared" si="2"/>
        <v>0.001297169811</v>
      </c>
      <c r="J77" s="7" t="str">
        <f t="shared" si="3"/>
        <v>Sep-2024</v>
      </c>
      <c r="K77" s="9">
        <f t="shared" si="4"/>
        <v>45536</v>
      </c>
      <c r="L77" s="7" t="str">
        <f t="shared" si="5"/>
        <v/>
      </c>
      <c r="M77" s="7" t="str">
        <f>IFERROR(__xludf.DUMMYFUNCTION("IFERROR(
  IF(
    F77 &gt;
    3*AVERAGE(
       FILTER($F$2:$F10491,
         $G$2:$G10491=G77,
         $A$2:$A10491&gt;=A77-20,
         $A$2:$A10491&lt;=A77
       )
    ),
    ""VOL_SPIKE_3X"",""""
  ),
"""")
"),"")</f>
        <v/>
      </c>
      <c r="N77" s="7" t="str">
        <f t="shared" si="6"/>
        <v/>
      </c>
      <c r="O77" s="7" t="str">
        <f t="shared" si="7"/>
        <v/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f>IFERROR(__xludf.DUMMYFUNCTION("""COMPUTED_VALUE"""),45560.0)</f>
        <v>45560</v>
      </c>
      <c r="B78" s="6">
        <f>IFERROR(__xludf.DUMMYFUNCTION("""COMPUTED_VALUE"""),428.1)</f>
        <v>428.1</v>
      </c>
      <c r="C78" s="6">
        <f>IFERROR(__xludf.DUMMYFUNCTION("""COMPUTED_VALUE"""),437.0)</f>
        <v>437</v>
      </c>
      <c r="D78" s="6">
        <f>IFERROR(__xludf.DUMMYFUNCTION("""COMPUTED_VALUE"""),425.65)</f>
        <v>425.65</v>
      </c>
      <c r="E78" s="6">
        <f>IFERROR(__xludf.DUMMYFUNCTION("""COMPUTED_VALUE"""),436.1)</f>
        <v>436.1</v>
      </c>
      <c r="F78" s="7">
        <f>IFERROR(__xludf.DUMMYFUNCTION("""COMPUTED_VALUE"""),1.9443168E7)</f>
        <v>19443168</v>
      </c>
      <c r="G78" s="7" t="str">
        <f>IFERROR(__xludf.DUMMYFUNCTION("""COMPUTED_VALUE"""),"NTPC.NS")</f>
        <v>NTPC.NS</v>
      </c>
      <c r="H78" s="8">
        <f t="shared" si="1"/>
        <v>0.01868722261</v>
      </c>
      <c r="I78" s="8">
        <f t="shared" si="2"/>
        <v>0.01868722261</v>
      </c>
      <c r="J78" s="7" t="str">
        <f t="shared" si="3"/>
        <v>Sep-2024</v>
      </c>
      <c r="K78" s="9">
        <f t="shared" si="4"/>
        <v>45536</v>
      </c>
      <c r="L78" s="7" t="str">
        <f t="shared" si="5"/>
        <v/>
      </c>
      <c r="M78" s="7" t="str">
        <f>IFERROR(__xludf.DUMMYFUNCTION("IFERROR(
  IF(
    F78 &gt;
    3*AVERAGE(
       FILTER($F$2:$F10491,
         $G$2:$G10491=G78,
         $A$2:$A10491&gt;=A78-20,
         $A$2:$A10491&lt;=A78
       )
    ),
    ""VOL_SPIKE_3X"",""""
  ),
"""")
"),"")</f>
        <v/>
      </c>
      <c r="N78" s="7" t="str">
        <f t="shared" si="6"/>
        <v/>
      </c>
      <c r="O78" s="7" t="str">
        <f t="shared" si="7"/>
        <v/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f>IFERROR(__xludf.DUMMYFUNCTION("""COMPUTED_VALUE"""),45560.0)</f>
        <v>45560</v>
      </c>
      <c r="B79" s="6">
        <f>IFERROR(__xludf.DUMMYFUNCTION("""COMPUTED_VALUE"""),299.45)</f>
        <v>299.45</v>
      </c>
      <c r="C79" s="6">
        <f>IFERROR(__xludf.DUMMYFUNCTION("""COMPUTED_VALUE"""),301.2)</f>
        <v>301.2</v>
      </c>
      <c r="D79" s="6">
        <f>IFERROR(__xludf.DUMMYFUNCTION("""COMPUTED_VALUE"""),296.7)</f>
        <v>296.7</v>
      </c>
      <c r="E79" s="6">
        <f>IFERROR(__xludf.DUMMYFUNCTION("""COMPUTED_VALUE"""),298.7)</f>
        <v>298.7</v>
      </c>
      <c r="F79" s="7">
        <f>IFERROR(__xludf.DUMMYFUNCTION("""COMPUTED_VALUE"""),1.0609614E7)</f>
        <v>10609614</v>
      </c>
      <c r="G79" s="7" t="str">
        <f>IFERROR(__xludf.DUMMYFUNCTION("""COMPUTED_VALUE"""),"ONGC.NS")</f>
        <v>ONGC.NS</v>
      </c>
      <c r="H79" s="8">
        <f t="shared" si="1"/>
        <v>-0.002504591752</v>
      </c>
      <c r="I79" s="8">
        <f t="shared" si="2"/>
        <v>0.002504591752</v>
      </c>
      <c r="J79" s="7" t="str">
        <f t="shared" si="3"/>
        <v>Sep-2024</v>
      </c>
      <c r="K79" s="9">
        <f t="shared" si="4"/>
        <v>45536</v>
      </c>
      <c r="L79" s="7" t="str">
        <f t="shared" si="5"/>
        <v/>
      </c>
      <c r="M79" s="7" t="str">
        <f>IFERROR(__xludf.DUMMYFUNCTION("IFERROR(
  IF(
    F79 &gt;
    3*AVERAGE(
       FILTER($F$2:$F10491,
         $G$2:$G10491=G79,
         $A$2:$A10491&gt;=A79-20,
         $A$2:$A10491&lt;=A79
       )
    ),
    ""VOL_SPIKE_3X"",""""
  ),
"""")
"),"")</f>
        <v/>
      </c>
      <c r="N79" s="7" t="str">
        <f t="shared" si="6"/>
        <v/>
      </c>
      <c r="O79" s="7" t="str">
        <f t="shared" si="7"/>
        <v/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f>IFERROR(__xludf.DUMMYFUNCTION("""COMPUTED_VALUE"""),45560.0)</f>
        <v>45560</v>
      </c>
      <c r="B80" s="6">
        <f>IFERROR(__xludf.DUMMYFUNCTION("""COMPUTED_VALUE"""),353.85)</f>
        <v>353.85</v>
      </c>
      <c r="C80" s="6">
        <f>IFERROR(__xludf.DUMMYFUNCTION("""COMPUTED_VALUE"""),366.25)</f>
        <v>366.25</v>
      </c>
      <c r="D80" s="6">
        <f>IFERROR(__xludf.DUMMYFUNCTION("""COMPUTED_VALUE"""),352.35)</f>
        <v>352.35</v>
      </c>
      <c r="E80" s="6">
        <f>IFERROR(__xludf.DUMMYFUNCTION("""COMPUTED_VALUE"""),363.75)</f>
        <v>363.75</v>
      </c>
      <c r="F80" s="7">
        <f>IFERROR(__xludf.DUMMYFUNCTION("""COMPUTED_VALUE"""),4.0770462E7)</f>
        <v>40770462</v>
      </c>
      <c r="G80" s="7" t="str">
        <f>IFERROR(__xludf.DUMMYFUNCTION("""COMPUTED_VALUE"""),"POWERGRID.NS")</f>
        <v>POWERGRID.NS</v>
      </c>
      <c r="H80" s="8">
        <f t="shared" si="1"/>
        <v>0.02797795676</v>
      </c>
      <c r="I80" s="8">
        <f t="shared" si="2"/>
        <v>0.02797795676</v>
      </c>
      <c r="J80" s="7" t="str">
        <f t="shared" si="3"/>
        <v>Sep-2024</v>
      </c>
      <c r="K80" s="9">
        <f t="shared" si="4"/>
        <v>45536</v>
      </c>
      <c r="L80" s="7" t="str">
        <f t="shared" si="5"/>
        <v/>
      </c>
      <c r="M80" s="7" t="str">
        <f>IFERROR(__xludf.DUMMYFUNCTION("IFERROR(
  IF(
    F80 &gt;
    3*AVERAGE(
       FILTER($F$2:$F10491,
         $G$2:$G10491=G80,
         $A$2:$A10491&gt;=A80-20,
         $A$2:$A10491&lt;=A80
       )
    ),
    ""VOL_SPIKE_3X"",""""
  ),
"""")
"),"")</f>
        <v/>
      </c>
      <c r="N80" s="7" t="str">
        <f t="shared" si="6"/>
        <v/>
      </c>
      <c r="O80" s="7" t="str">
        <f t="shared" si="7"/>
        <v/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f>IFERROR(__xludf.DUMMYFUNCTION("""COMPUTED_VALUE"""),45560.0)</f>
        <v>45560</v>
      </c>
      <c r="B81" s="6">
        <f>IFERROR(__xludf.DUMMYFUNCTION("""COMPUTED_VALUE"""),1483.9)</f>
        <v>1483.9</v>
      </c>
      <c r="C81" s="6">
        <f>IFERROR(__xludf.DUMMYFUNCTION("""COMPUTED_VALUE"""),1496.5)</f>
        <v>1496.5</v>
      </c>
      <c r="D81" s="6">
        <f>IFERROR(__xludf.DUMMYFUNCTION("""COMPUTED_VALUE"""),1480.2)</f>
        <v>1480.2</v>
      </c>
      <c r="E81" s="6">
        <f>IFERROR(__xludf.DUMMYFUNCTION("""COMPUTED_VALUE"""),1493.95)</f>
        <v>1493.95</v>
      </c>
      <c r="F81" s="7">
        <f>IFERROR(__xludf.DUMMYFUNCTION("""COMPUTED_VALUE"""),3534501.0)</f>
        <v>3534501</v>
      </c>
      <c r="G81" s="7" t="str">
        <f>IFERROR(__xludf.DUMMYFUNCTION("""COMPUTED_VALUE"""),"RELIANCE.NS")</f>
        <v>RELIANCE.NS</v>
      </c>
      <c r="H81" s="8">
        <f t="shared" si="1"/>
        <v>0.006772693578</v>
      </c>
      <c r="I81" s="8">
        <f t="shared" si="2"/>
        <v>0.006772693578</v>
      </c>
      <c r="J81" s="7" t="str">
        <f t="shared" si="3"/>
        <v>Sep-2024</v>
      </c>
      <c r="K81" s="9">
        <f t="shared" si="4"/>
        <v>45536</v>
      </c>
      <c r="L81" s="7" t="str">
        <f t="shared" si="5"/>
        <v/>
      </c>
      <c r="M81" s="7" t="str">
        <f>IFERROR(__xludf.DUMMYFUNCTION("IFERROR(
  IF(
    F81 &gt;
    3*AVERAGE(
       FILTER($F$2:$F10491,
         $G$2:$G10491=G81,
         $A$2:$A10491&gt;=A81-20,
         $A$2:$A10491&lt;=A81
       )
    ),
    ""VOL_SPIKE_3X"",""""
  ),
"""")
"),"")</f>
        <v/>
      </c>
      <c r="N81" s="7" t="str">
        <f t="shared" si="6"/>
        <v/>
      </c>
      <c r="O81" s="7" t="str">
        <f t="shared" si="7"/>
        <v/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f>IFERROR(__xludf.DUMMYFUNCTION("""COMPUTED_VALUE"""),45561.0)</f>
        <v>45561</v>
      </c>
      <c r="B82" s="6">
        <f>IFERROR(__xludf.DUMMYFUNCTION("""COMPUTED_VALUE"""),1045.0)</f>
        <v>1045</v>
      </c>
      <c r="C82" s="6">
        <f>IFERROR(__xludf.DUMMYFUNCTION("""COMPUTED_VALUE"""),1049.4)</f>
        <v>1049.4</v>
      </c>
      <c r="D82" s="6">
        <f>IFERROR(__xludf.DUMMYFUNCTION("""COMPUTED_VALUE"""),1033.0)</f>
        <v>1033</v>
      </c>
      <c r="E82" s="6">
        <f>IFERROR(__xludf.DUMMYFUNCTION("""COMPUTED_VALUE"""),1036.7)</f>
        <v>1036.7</v>
      </c>
      <c r="F82" s="7">
        <f>IFERROR(__xludf.DUMMYFUNCTION("""COMPUTED_VALUE"""),641975.0)</f>
        <v>641975</v>
      </c>
      <c r="G82" s="7" t="str">
        <f>IFERROR(__xludf.DUMMYFUNCTION("""COMPUTED_VALUE"""),"ADANIENSOL.NS")</f>
        <v>ADANIENSOL.NS</v>
      </c>
      <c r="H82" s="8">
        <f t="shared" si="1"/>
        <v>-0.007942583732</v>
      </c>
      <c r="I82" s="8">
        <f t="shared" si="2"/>
        <v>0.007942583732</v>
      </c>
      <c r="J82" s="7" t="str">
        <f t="shared" si="3"/>
        <v>Sep-2024</v>
      </c>
      <c r="K82" s="9">
        <f t="shared" si="4"/>
        <v>45536</v>
      </c>
      <c r="L82" s="7" t="str">
        <f t="shared" si="5"/>
        <v/>
      </c>
      <c r="M82" s="7" t="str">
        <f>IFERROR(__xludf.DUMMYFUNCTION("IFERROR(
  IF(
    F82 &gt;
    3*AVERAGE(
       FILTER($F$2:$F10491,
         $G$2:$G10491=G82,
         $A$2:$A10491&gt;=A82-20,
         $A$2:$A10491&lt;=A82
       )
    ),
    ""VOL_SPIKE_3X"",""""
  ),
"""")
"),"")</f>
        <v/>
      </c>
      <c r="N82" s="7" t="str">
        <f t="shared" si="6"/>
        <v/>
      </c>
      <c r="O82" s="7" t="str">
        <f t="shared" si="7"/>
        <v/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f>IFERROR(__xludf.DUMMYFUNCTION("""COMPUTED_VALUE"""),45561.0)</f>
        <v>45561</v>
      </c>
      <c r="B83" s="6">
        <f>IFERROR(__xludf.DUMMYFUNCTION("""COMPUTED_VALUE"""),2080.0)</f>
        <v>2080</v>
      </c>
      <c r="C83" s="6">
        <f>IFERROR(__xludf.DUMMYFUNCTION("""COMPUTED_VALUE"""),2091.0)</f>
        <v>2091</v>
      </c>
      <c r="D83" s="6">
        <f>IFERROR(__xludf.DUMMYFUNCTION("""COMPUTED_VALUE"""),2039.2)</f>
        <v>2039.2</v>
      </c>
      <c r="E83" s="6">
        <f>IFERROR(__xludf.DUMMYFUNCTION("""COMPUTED_VALUE"""),2057.85)</f>
        <v>2057.85</v>
      </c>
      <c r="F83" s="7">
        <f>IFERROR(__xludf.DUMMYFUNCTION("""COMPUTED_VALUE"""),804165.0)</f>
        <v>804165</v>
      </c>
      <c r="G83" s="7" t="str">
        <f>IFERROR(__xludf.DUMMYFUNCTION("""COMPUTED_VALUE"""),"ADANIGREEN.NS")</f>
        <v>ADANIGREEN.NS</v>
      </c>
      <c r="H83" s="8">
        <f t="shared" si="1"/>
        <v>-0.01064903846</v>
      </c>
      <c r="I83" s="8">
        <f t="shared" si="2"/>
        <v>0.01064903846</v>
      </c>
      <c r="J83" s="7" t="str">
        <f t="shared" si="3"/>
        <v>Sep-2024</v>
      </c>
      <c r="K83" s="9">
        <f t="shared" si="4"/>
        <v>45536</v>
      </c>
      <c r="L83" s="7" t="str">
        <f t="shared" si="5"/>
        <v/>
      </c>
      <c r="M83" s="7" t="str">
        <f>IFERROR(__xludf.DUMMYFUNCTION("IFERROR(
  IF(
    F83 &gt;
    3*AVERAGE(
       FILTER($F$2:$F10491,
         $G$2:$G10491=G83,
         $A$2:$A10491&gt;=A83-20,
         $A$2:$A10491&lt;=A83
       )
    ),
    ""VOL_SPIKE_3X"",""""
  ),
"""")
"),"")</f>
        <v/>
      </c>
      <c r="N83" s="7" t="str">
        <f t="shared" si="6"/>
        <v/>
      </c>
      <c r="O83" s="7" t="str">
        <f t="shared" si="7"/>
        <v/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f>IFERROR(__xludf.DUMMYFUNCTION("""COMPUTED_VALUE"""),45561.0)</f>
        <v>45561</v>
      </c>
      <c r="B84" s="6">
        <f>IFERROR(__xludf.DUMMYFUNCTION("""COMPUTED_VALUE"""),340.0)</f>
        <v>340</v>
      </c>
      <c r="C84" s="6">
        <f>IFERROR(__xludf.DUMMYFUNCTION("""COMPUTED_VALUE"""),346.95)</f>
        <v>346.95</v>
      </c>
      <c r="D84" s="6">
        <f>IFERROR(__xludf.DUMMYFUNCTION("""COMPUTED_VALUE"""),335.15)</f>
        <v>335.15</v>
      </c>
      <c r="E84" s="6">
        <f>IFERROR(__xludf.DUMMYFUNCTION("""COMPUTED_VALUE"""),345.1)</f>
        <v>345.1</v>
      </c>
      <c r="F84" s="7">
        <f>IFERROR(__xludf.DUMMYFUNCTION("""COMPUTED_VALUE"""),9517367.0)</f>
        <v>9517367</v>
      </c>
      <c r="G84" s="7" t="str">
        <f>IFERROR(__xludf.DUMMYFUNCTION("""COMPUTED_VALUE"""),"BPCL.NS")</f>
        <v>BPCL.NS</v>
      </c>
      <c r="H84" s="8">
        <f t="shared" si="1"/>
        <v>0.015</v>
      </c>
      <c r="I84" s="8">
        <f t="shared" si="2"/>
        <v>0.015</v>
      </c>
      <c r="J84" s="7" t="str">
        <f t="shared" si="3"/>
        <v>Sep-2024</v>
      </c>
      <c r="K84" s="9">
        <f t="shared" si="4"/>
        <v>45536</v>
      </c>
      <c r="L84" s="7" t="str">
        <f t="shared" si="5"/>
        <v/>
      </c>
      <c r="M84" s="7" t="str">
        <f>IFERROR(__xludf.DUMMYFUNCTION("IFERROR(
  IF(
    F84 &gt;
    3*AVERAGE(
       FILTER($F$2:$F10491,
         $G$2:$G10491=G84,
         $A$2:$A10491&gt;=A84-20,
         $A$2:$A10491&lt;=A84
       )
    ),
    ""VOL_SPIKE_3X"",""""
  ),
"""")
"),"")</f>
        <v/>
      </c>
      <c r="N84" s="7" t="str">
        <f t="shared" si="6"/>
        <v/>
      </c>
      <c r="O84" s="7" t="str">
        <f t="shared" si="7"/>
        <v/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f>IFERROR(__xludf.DUMMYFUNCTION("""COMPUTED_VALUE"""),45561.0)</f>
        <v>45561</v>
      </c>
      <c r="B85" s="6">
        <f>IFERROR(__xludf.DUMMYFUNCTION("""COMPUTED_VALUE"""),506.0)</f>
        <v>506</v>
      </c>
      <c r="C85" s="6">
        <f>IFERROR(__xludf.DUMMYFUNCTION("""COMPUTED_VALUE"""),507.45)</f>
        <v>507.45</v>
      </c>
      <c r="D85" s="6">
        <f>IFERROR(__xludf.DUMMYFUNCTION("""COMPUTED_VALUE"""),500.05)</f>
        <v>500.05</v>
      </c>
      <c r="E85" s="6">
        <f>IFERROR(__xludf.DUMMYFUNCTION("""COMPUTED_VALUE"""),506.55)</f>
        <v>506.55</v>
      </c>
      <c r="F85" s="7">
        <f>IFERROR(__xludf.DUMMYFUNCTION("""COMPUTED_VALUE"""),6877039.0)</f>
        <v>6877039</v>
      </c>
      <c r="G85" s="7" t="str">
        <f>IFERROR(__xludf.DUMMYFUNCTION("""COMPUTED_VALUE"""),"COALINDIA.NS")</f>
        <v>COALINDIA.NS</v>
      </c>
      <c r="H85" s="8">
        <f t="shared" si="1"/>
        <v>0.001086956522</v>
      </c>
      <c r="I85" s="8">
        <f t="shared" si="2"/>
        <v>0.001086956522</v>
      </c>
      <c r="J85" s="7" t="str">
        <f t="shared" si="3"/>
        <v>Sep-2024</v>
      </c>
      <c r="K85" s="9">
        <f t="shared" si="4"/>
        <v>45536</v>
      </c>
      <c r="L85" s="7" t="str">
        <f t="shared" si="5"/>
        <v/>
      </c>
      <c r="M85" s="7" t="str">
        <f>IFERROR(__xludf.DUMMYFUNCTION("IFERROR(
  IF(
    F85 &gt;
    3*AVERAGE(
       FILTER($F$2:$F10491,
         $G$2:$G10491=G85,
         $A$2:$A10491&gt;=A85-20,
         $A$2:$A10491&lt;=A85
       )
    ),
    ""VOL_SPIKE_3X"",""""
  ),
"""")
"),"")</f>
        <v/>
      </c>
      <c r="N85" s="7" t="str">
        <f t="shared" si="6"/>
        <v/>
      </c>
      <c r="O85" s="7" t="str">
        <f t="shared" si="7"/>
        <v/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f>IFERROR(__xludf.DUMMYFUNCTION("""COMPUTED_VALUE"""),45561.0)</f>
        <v>45561</v>
      </c>
      <c r="B86" s="6">
        <f>IFERROR(__xludf.DUMMYFUNCTION("""COMPUTED_VALUE"""),418.2)</f>
        <v>418.2</v>
      </c>
      <c r="C86" s="6">
        <f>IFERROR(__xludf.DUMMYFUNCTION("""COMPUTED_VALUE"""),424.05)</f>
        <v>424.05</v>
      </c>
      <c r="D86" s="6">
        <f>IFERROR(__xludf.DUMMYFUNCTION("""COMPUTED_VALUE"""),408.6)</f>
        <v>408.6</v>
      </c>
      <c r="E86" s="6">
        <f>IFERROR(__xludf.DUMMYFUNCTION("""COMPUTED_VALUE"""),421.95)</f>
        <v>421.95</v>
      </c>
      <c r="F86" s="7">
        <f>IFERROR(__xludf.DUMMYFUNCTION("""COMPUTED_VALUE"""),6065915.0)</f>
        <v>6065915</v>
      </c>
      <c r="G86" s="7" t="str">
        <f>IFERROR(__xludf.DUMMYFUNCTION("""COMPUTED_VALUE"""),"HINDPETRO.NS")</f>
        <v>HINDPETRO.NS</v>
      </c>
      <c r="H86" s="8">
        <f t="shared" si="1"/>
        <v>0.008967001435</v>
      </c>
      <c r="I86" s="8">
        <f t="shared" si="2"/>
        <v>0.008967001435</v>
      </c>
      <c r="J86" s="7" t="str">
        <f t="shared" si="3"/>
        <v>Sep-2024</v>
      </c>
      <c r="K86" s="9">
        <f t="shared" si="4"/>
        <v>45536</v>
      </c>
      <c r="L86" s="7" t="str">
        <f t="shared" si="5"/>
        <v/>
      </c>
      <c r="M86" s="7" t="str">
        <f>IFERROR(__xludf.DUMMYFUNCTION("IFERROR(
  IF(
    F86 &gt;
    3*AVERAGE(
       FILTER($F$2:$F10491,
         $G$2:$G10491=G86,
         $A$2:$A10491&gt;=A86-20,
         $A$2:$A10491&lt;=A86
       )
    ),
    ""VOL_SPIKE_3X"",""""
  ),
"""")
"),"")</f>
        <v/>
      </c>
      <c r="N86" s="7" t="str">
        <f t="shared" si="6"/>
        <v/>
      </c>
      <c r="O86" s="7" t="str">
        <f t="shared" si="7"/>
        <v/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f>IFERROR(__xludf.DUMMYFUNCTION("""COMPUTED_VALUE"""),45561.0)</f>
        <v>45561</v>
      </c>
      <c r="B87" s="6">
        <f>IFERROR(__xludf.DUMMYFUNCTION("""COMPUTED_VALUE"""),170.21)</f>
        <v>170.21</v>
      </c>
      <c r="C87" s="6">
        <f>IFERROR(__xludf.DUMMYFUNCTION("""COMPUTED_VALUE"""),171.9)</f>
        <v>171.9</v>
      </c>
      <c r="D87" s="6">
        <f>IFERROR(__xludf.DUMMYFUNCTION("""COMPUTED_VALUE"""),168.61)</f>
        <v>168.61</v>
      </c>
      <c r="E87" s="6">
        <f>IFERROR(__xludf.DUMMYFUNCTION("""COMPUTED_VALUE"""),171.36)</f>
        <v>171.36</v>
      </c>
      <c r="F87" s="7">
        <f>IFERROR(__xludf.DUMMYFUNCTION("""COMPUTED_VALUE"""),1.1349547E7)</f>
        <v>11349547</v>
      </c>
      <c r="G87" s="7" t="str">
        <f>IFERROR(__xludf.DUMMYFUNCTION("""COMPUTED_VALUE"""),"IOC.NS")</f>
        <v>IOC.NS</v>
      </c>
      <c r="H87" s="8">
        <f t="shared" si="1"/>
        <v>0.006756359791</v>
      </c>
      <c r="I87" s="8">
        <f t="shared" si="2"/>
        <v>0.006756359791</v>
      </c>
      <c r="J87" s="7" t="str">
        <f t="shared" si="3"/>
        <v>Sep-2024</v>
      </c>
      <c r="K87" s="9">
        <f t="shared" si="4"/>
        <v>45536</v>
      </c>
      <c r="L87" s="7" t="str">
        <f t="shared" si="5"/>
        <v/>
      </c>
      <c r="M87" s="7" t="str">
        <f>IFERROR(__xludf.DUMMYFUNCTION("IFERROR(
  IF(
    F87 &gt;
    3*AVERAGE(
       FILTER($F$2:$F10491,
         $G$2:$G10491=G87,
         $A$2:$A10491&gt;=A87-20,
         $A$2:$A10491&lt;=A87
       )
    ),
    ""VOL_SPIKE_3X"",""""
  ),
"""")
"),"")</f>
        <v/>
      </c>
      <c r="N87" s="7" t="str">
        <f t="shared" si="6"/>
        <v/>
      </c>
      <c r="O87" s="7" t="str">
        <f t="shared" si="7"/>
        <v/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f>IFERROR(__xludf.DUMMYFUNCTION("""COMPUTED_VALUE"""),45561.0)</f>
        <v>45561</v>
      </c>
      <c r="B88" s="6">
        <f>IFERROR(__xludf.DUMMYFUNCTION("""COMPUTED_VALUE"""),437.95)</f>
        <v>437.95</v>
      </c>
      <c r="C88" s="6">
        <f>IFERROR(__xludf.DUMMYFUNCTION("""COMPUTED_VALUE"""),437.95)</f>
        <v>437.95</v>
      </c>
      <c r="D88" s="6">
        <f>IFERROR(__xludf.DUMMYFUNCTION("""COMPUTED_VALUE"""),430.55)</f>
        <v>430.55</v>
      </c>
      <c r="E88" s="6">
        <f>IFERROR(__xludf.DUMMYFUNCTION("""COMPUTED_VALUE"""),434.6)</f>
        <v>434.6</v>
      </c>
      <c r="F88" s="7">
        <f>IFERROR(__xludf.DUMMYFUNCTION("""COMPUTED_VALUE"""),2.0041825E7)</f>
        <v>20041825</v>
      </c>
      <c r="G88" s="7" t="str">
        <f>IFERROR(__xludf.DUMMYFUNCTION("""COMPUTED_VALUE"""),"NTPC.NS")</f>
        <v>NTPC.NS</v>
      </c>
      <c r="H88" s="8">
        <f t="shared" si="1"/>
        <v>-0.007649275031</v>
      </c>
      <c r="I88" s="8">
        <f t="shared" si="2"/>
        <v>0.007649275031</v>
      </c>
      <c r="J88" s="7" t="str">
        <f t="shared" si="3"/>
        <v>Sep-2024</v>
      </c>
      <c r="K88" s="9">
        <f t="shared" si="4"/>
        <v>45536</v>
      </c>
      <c r="L88" s="7" t="str">
        <f t="shared" si="5"/>
        <v/>
      </c>
      <c r="M88" s="7" t="str">
        <f>IFERROR(__xludf.DUMMYFUNCTION("IFERROR(
  IF(
    F88 &gt;
    3*AVERAGE(
       FILTER($F$2:$F10491,
         $G$2:$G10491=G88,
         $A$2:$A10491&gt;=A88-20,
         $A$2:$A10491&lt;=A88
       )
    ),
    ""VOL_SPIKE_3X"",""""
  ),
"""")
"),"")</f>
        <v/>
      </c>
      <c r="N88" s="7" t="str">
        <f t="shared" si="6"/>
        <v/>
      </c>
      <c r="O88" s="7" t="str">
        <f t="shared" si="7"/>
        <v/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f>IFERROR(__xludf.DUMMYFUNCTION("""COMPUTED_VALUE"""),45561.0)</f>
        <v>45561</v>
      </c>
      <c r="B89" s="6">
        <f>IFERROR(__xludf.DUMMYFUNCTION("""COMPUTED_VALUE"""),297.05)</f>
        <v>297.05</v>
      </c>
      <c r="C89" s="6">
        <f>IFERROR(__xludf.DUMMYFUNCTION("""COMPUTED_VALUE"""),298.7)</f>
        <v>298.7</v>
      </c>
      <c r="D89" s="6">
        <f>IFERROR(__xludf.DUMMYFUNCTION("""COMPUTED_VALUE"""),291.5)</f>
        <v>291.5</v>
      </c>
      <c r="E89" s="6">
        <f>IFERROR(__xludf.DUMMYFUNCTION("""COMPUTED_VALUE"""),295.2)</f>
        <v>295.2</v>
      </c>
      <c r="F89" s="7">
        <f>IFERROR(__xludf.DUMMYFUNCTION("""COMPUTED_VALUE"""),2.7812412E7)</f>
        <v>27812412</v>
      </c>
      <c r="G89" s="7" t="str">
        <f>IFERROR(__xludf.DUMMYFUNCTION("""COMPUTED_VALUE"""),"ONGC.NS")</f>
        <v>ONGC.NS</v>
      </c>
      <c r="H89" s="8">
        <f t="shared" si="1"/>
        <v>-0.00622790776</v>
      </c>
      <c r="I89" s="8">
        <f t="shared" si="2"/>
        <v>0.00622790776</v>
      </c>
      <c r="J89" s="7" t="str">
        <f t="shared" si="3"/>
        <v>Sep-2024</v>
      </c>
      <c r="K89" s="9">
        <f t="shared" si="4"/>
        <v>45536</v>
      </c>
      <c r="L89" s="7" t="str">
        <f t="shared" si="5"/>
        <v/>
      </c>
      <c r="M89" s="7" t="str">
        <f>IFERROR(__xludf.DUMMYFUNCTION("IFERROR(
  IF(
    F89 &gt;
    3*AVERAGE(
       FILTER($F$2:$F10491,
         $G$2:$G10491=G89,
         $A$2:$A10491&gt;=A89-20,
         $A$2:$A10491&lt;=A89
       )
    ),
    ""VOL_SPIKE_3X"",""""
  ),
"""")
"),"")</f>
        <v/>
      </c>
      <c r="N89" s="7" t="str">
        <f t="shared" si="6"/>
        <v/>
      </c>
      <c r="O89" s="7" t="str">
        <f t="shared" si="7"/>
        <v/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f>IFERROR(__xludf.DUMMYFUNCTION("""COMPUTED_VALUE"""),45561.0)</f>
        <v>45561</v>
      </c>
      <c r="B90" s="6">
        <f>IFERROR(__xludf.DUMMYFUNCTION("""COMPUTED_VALUE"""),364.05)</f>
        <v>364.05</v>
      </c>
      <c r="C90" s="6">
        <f>IFERROR(__xludf.DUMMYFUNCTION("""COMPUTED_VALUE"""),366.1)</f>
        <v>366.1</v>
      </c>
      <c r="D90" s="6">
        <f>IFERROR(__xludf.DUMMYFUNCTION("""COMPUTED_VALUE"""),357.2)</f>
        <v>357.2</v>
      </c>
      <c r="E90" s="6">
        <f>IFERROR(__xludf.DUMMYFUNCTION("""COMPUTED_VALUE"""),365.45)</f>
        <v>365.45</v>
      </c>
      <c r="F90" s="7">
        <f>IFERROR(__xludf.DUMMYFUNCTION("""COMPUTED_VALUE"""),1.8733959E7)</f>
        <v>18733959</v>
      </c>
      <c r="G90" s="7" t="str">
        <f>IFERROR(__xludf.DUMMYFUNCTION("""COMPUTED_VALUE"""),"POWERGRID.NS")</f>
        <v>POWERGRID.NS</v>
      </c>
      <c r="H90" s="8">
        <f t="shared" si="1"/>
        <v>0.003845625601</v>
      </c>
      <c r="I90" s="8">
        <f t="shared" si="2"/>
        <v>0.003845625601</v>
      </c>
      <c r="J90" s="7" t="str">
        <f t="shared" si="3"/>
        <v>Sep-2024</v>
      </c>
      <c r="K90" s="9">
        <f t="shared" si="4"/>
        <v>45536</v>
      </c>
      <c r="L90" s="7" t="str">
        <f t="shared" si="5"/>
        <v/>
      </c>
      <c r="M90" s="7" t="str">
        <f>IFERROR(__xludf.DUMMYFUNCTION("IFERROR(
  IF(
    F90 &gt;
    3*AVERAGE(
       FILTER($F$2:$F10491,
         $G$2:$G10491=G90,
         $A$2:$A10491&gt;=A90-20,
         $A$2:$A10491&lt;=A90
       )
    ),
    ""VOL_SPIKE_3X"",""""
  ),
"""")
"),"")</f>
        <v/>
      </c>
      <c r="N90" s="7" t="str">
        <f t="shared" si="6"/>
        <v/>
      </c>
      <c r="O90" s="7" t="str">
        <f t="shared" si="7"/>
        <v/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f>IFERROR(__xludf.DUMMYFUNCTION("""COMPUTED_VALUE"""),45561.0)</f>
        <v>45561</v>
      </c>
      <c r="B91" s="6">
        <f>IFERROR(__xludf.DUMMYFUNCTION("""COMPUTED_VALUE"""),1490.65)</f>
        <v>1490.65</v>
      </c>
      <c r="C91" s="6">
        <f>IFERROR(__xludf.DUMMYFUNCTION("""COMPUTED_VALUE"""),1504.0)</f>
        <v>1504</v>
      </c>
      <c r="D91" s="6">
        <f>IFERROR(__xludf.DUMMYFUNCTION("""COMPUTED_VALUE"""),1488.05)</f>
        <v>1488.05</v>
      </c>
      <c r="E91" s="6">
        <f>IFERROR(__xludf.DUMMYFUNCTION("""COMPUTED_VALUE"""),1497.95)</f>
        <v>1497.95</v>
      </c>
      <c r="F91" s="7">
        <f>IFERROR(__xludf.DUMMYFUNCTION("""COMPUTED_VALUE"""),9409499.0)</f>
        <v>9409499</v>
      </c>
      <c r="G91" s="7" t="str">
        <f>IFERROR(__xludf.DUMMYFUNCTION("""COMPUTED_VALUE"""),"RELIANCE.NS")</f>
        <v>RELIANCE.NS</v>
      </c>
      <c r="H91" s="8">
        <f t="shared" si="1"/>
        <v>0.0048971925</v>
      </c>
      <c r="I91" s="8">
        <f t="shared" si="2"/>
        <v>0.0048971925</v>
      </c>
      <c r="J91" s="7" t="str">
        <f t="shared" si="3"/>
        <v>Sep-2024</v>
      </c>
      <c r="K91" s="9">
        <f t="shared" si="4"/>
        <v>45536</v>
      </c>
      <c r="L91" s="7" t="str">
        <f t="shared" si="5"/>
        <v/>
      </c>
      <c r="M91" s="7" t="str">
        <f>IFERROR(__xludf.DUMMYFUNCTION("IFERROR(
  IF(
    F91 &gt;
    3*AVERAGE(
       FILTER($F$2:$F10491,
         $G$2:$G10491=G91,
         $A$2:$A10491&gt;=A91-20,
         $A$2:$A10491&lt;=A91
       )
    ),
    ""VOL_SPIKE_3X"",""""
  ),
"""")
"),"")</f>
        <v/>
      </c>
      <c r="N91" s="7" t="str">
        <f t="shared" si="6"/>
        <v/>
      </c>
      <c r="O91" s="7" t="str">
        <f t="shared" si="7"/>
        <v/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f>IFERROR(__xludf.DUMMYFUNCTION("""COMPUTED_VALUE"""),45562.0)</f>
        <v>45562</v>
      </c>
      <c r="B92" s="6">
        <f>IFERROR(__xludf.DUMMYFUNCTION("""COMPUTED_VALUE"""),1036.1)</f>
        <v>1036.1</v>
      </c>
      <c r="C92" s="6">
        <f>IFERROR(__xludf.DUMMYFUNCTION("""COMPUTED_VALUE"""),1056.0)</f>
        <v>1056</v>
      </c>
      <c r="D92" s="6">
        <f>IFERROR(__xludf.DUMMYFUNCTION("""COMPUTED_VALUE"""),1001.05)</f>
        <v>1001.05</v>
      </c>
      <c r="E92" s="6">
        <f>IFERROR(__xludf.DUMMYFUNCTION("""COMPUTED_VALUE"""),1010.2)</f>
        <v>1010.2</v>
      </c>
      <c r="F92" s="7">
        <f>IFERROR(__xludf.DUMMYFUNCTION("""COMPUTED_VALUE"""),1537355.0)</f>
        <v>1537355</v>
      </c>
      <c r="G92" s="7" t="str">
        <f>IFERROR(__xludf.DUMMYFUNCTION("""COMPUTED_VALUE"""),"ADANIENSOL.NS")</f>
        <v>ADANIENSOL.NS</v>
      </c>
      <c r="H92" s="8">
        <f t="shared" si="1"/>
        <v>-0.02499758711</v>
      </c>
      <c r="I92" s="8">
        <f t="shared" si="2"/>
        <v>0.02499758711</v>
      </c>
      <c r="J92" s="7" t="str">
        <f t="shared" si="3"/>
        <v>Sep-2024</v>
      </c>
      <c r="K92" s="9">
        <f t="shared" si="4"/>
        <v>45536</v>
      </c>
      <c r="L92" s="7" t="str">
        <f t="shared" si="5"/>
        <v/>
      </c>
      <c r="M92" s="7" t="str">
        <f>IFERROR(__xludf.DUMMYFUNCTION("IFERROR(
  IF(
    F92 &gt;
    3*AVERAGE(
       FILTER($F$2:$F10491,
         $G$2:$G10491=G92,
         $A$2:$A10491&gt;=A92-20,
         $A$2:$A10491&lt;=A92
       )
    ),
    ""VOL_SPIKE_3X"",""""
  ),
"""")
"),"")</f>
        <v/>
      </c>
      <c r="N92" s="7" t="str">
        <f t="shared" si="6"/>
        <v/>
      </c>
      <c r="O92" s="7" t="str">
        <f t="shared" si="7"/>
        <v/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f>IFERROR(__xludf.DUMMYFUNCTION("""COMPUTED_VALUE"""),45562.0)</f>
        <v>45562</v>
      </c>
      <c r="B93" s="6">
        <f>IFERROR(__xludf.DUMMYFUNCTION("""COMPUTED_VALUE"""),2060.0)</f>
        <v>2060</v>
      </c>
      <c r="C93" s="6">
        <f>IFERROR(__xludf.DUMMYFUNCTION("""COMPUTED_VALUE"""),2084.3)</f>
        <v>2084.3</v>
      </c>
      <c r="D93" s="6">
        <f>IFERROR(__xludf.DUMMYFUNCTION("""COMPUTED_VALUE"""),1963.75)</f>
        <v>1963.75</v>
      </c>
      <c r="E93" s="6">
        <f>IFERROR(__xludf.DUMMYFUNCTION("""COMPUTED_VALUE"""),1981.85)</f>
        <v>1981.85</v>
      </c>
      <c r="F93" s="7">
        <f>IFERROR(__xludf.DUMMYFUNCTION("""COMPUTED_VALUE"""),2301548.0)</f>
        <v>2301548</v>
      </c>
      <c r="G93" s="7" t="str">
        <f>IFERROR(__xludf.DUMMYFUNCTION("""COMPUTED_VALUE"""),"ADANIGREEN.NS")</f>
        <v>ADANIGREEN.NS</v>
      </c>
      <c r="H93" s="8">
        <f t="shared" si="1"/>
        <v>-0.0379368932</v>
      </c>
      <c r="I93" s="8">
        <f t="shared" si="2"/>
        <v>0.0379368932</v>
      </c>
      <c r="J93" s="7" t="str">
        <f t="shared" si="3"/>
        <v>Sep-2024</v>
      </c>
      <c r="K93" s="9">
        <f t="shared" si="4"/>
        <v>45536</v>
      </c>
      <c r="L93" s="7" t="str">
        <f t="shared" si="5"/>
        <v/>
      </c>
      <c r="M93" s="7" t="str">
        <f>IFERROR(__xludf.DUMMYFUNCTION("IFERROR(
  IF(
    F93 &gt;
    3*AVERAGE(
       FILTER($F$2:$F10491,
         $G$2:$G10491=G93,
         $A$2:$A10491&gt;=A93-20,
         $A$2:$A10491&lt;=A93
       )
    ),
    ""VOL_SPIKE_3X"",""""
  ),
"""")
"),"")</f>
        <v/>
      </c>
      <c r="N93" s="7" t="str">
        <f t="shared" si="6"/>
        <v/>
      </c>
      <c r="O93" s="7" t="str">
        <f t="shared" si="7"/>
        <v/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f>IFERROR(__xludf.DUMMYFUNCTION("""COMPUTED_VALUE"""),45562.0)</f>
        <v>45562</v>
      </c>
      <c r="B94" s="6">
        <f>IFERROR(__xludf.DUMMYFUNCTION("""COMPUTED_VALUE"""),347.0)</f>
        <v>347</v>
      </c>
      <c r="C94" s="6">
        <f>IFERROR(__xludf.DUMMYFUNCTION("""COMPUTED_VALUE"""),370.5)</f>
        <v>370.5</v>
      </c>
      <c r="D94" s="6">
        <f>IFERROR(__xludf.DUMMYFUNCTION("""COMPUTED_VALUE"""),346.35)</f>
        <v>346.35</v>
      </c>
      <c r="E94" s="6">
        <f>IFERROR(__xludf.DUMMYFUNCTION("""COMPUTED_VALUE"""),367.3)</f>
        <v>367.3</v>
      </c>
      <c r="F94" s="7">
        <f>IFERROR(__xludf.DUMMYFUNCTION("""COMPUTED_VALUE"""),4.0756678E7)</f>
        <v>40756678</v>
      </c>
      <c r="G94" s="7" t="str">
        <f>IFERROR(__xludf.DUMMYFUNCTION("""COMPUTED_VALUE"""),"BPCL.NS")</f>
        <v>BPCL.NS</v>
      </c>
      <c r="H94" s="8">
        <f t="shared" si="1"/>
        <v>0.05850144092</v>
      </c>
      <c r="I94" s="8">
        <f t="shared" si="2"/>
        <v>0.05850144092</v>
      </c>
      <c r="J94" s="7" t="str">
        <f t="shared" si="3"/>
        <v>Sep-2024</v>
      </c>
      <c r="K94" s="9">
        <f t="shared" si="4"/>
        <v>45536</v>
      </c>
      <c r="L94" s="7" t="str">
        <f t="shared" si="5"/>
        <v>PRICE_MOVE_5PCT+</v>
      </c>
      <c r="M94" s="7" t="str">
        <f>IFERROR(__xludf.DUMMYFUNCTION("IFERROR(
  IF(
    F94 &gt;
    3*AVERAGE(
       FILTER($F$2:$F10491,
         $G$2:$G10491=G94,
         $A$2:$A10491&gt;=A94-20,
         $A$2:$A10491&lt;=A94
       )
    ),
    ""VOL_SPIKE_3X"",""""
  ),
"""")
"),"VOL_SPIKE_3X")</f>
        <v>VOL_SPIKE_3X</v>
      </c>
      <c r="N94" s="7" t="str">
        <f t="shared" si="6"/>
        <v>PRICE_MOVE_5PCT+;VOL_SPIKE_3X</v>
      </c>
      <c r="O94" s="7" t="str">
        <f t="shared" si="7"/>
        <v/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f>IFERROR(__xludf.DUMMYFUNCTION("""COMPUTED_VALUE"""),45562.0)</f>
        <v>45562</v>
      </c>
      <c r="B95" s="6">
        <f>IFERROR(__xludf.DUMMYFUNCTION("""COMPUTED_VALUE"""),506.55)</f>
        <v>506.55</v>
      </c>
      <c r="C95" s="6">
        <f>IFERROR(__xludf.DUMMYFUNCTION("""COMPUTED_VALUE"""),517.85)</f>
        <v>517.85</v>
      </c>
      <c r="D95" s="6">
        <f>IFERROR(__xludf.DUMMYFUNCTION("""COMPUTED_VALUE"""),504.9)</f>
        <v>504.9</v>
      </c>
      <c r="E95" s="6">
        <f>IFERROR(__xludf.DUMMYFUNCTION("""COMPUTED_VALUE"""),516.1)</f>
        <v>516.1</v>
      </c>
      <c r="F95" s="7">
        <f>IFERROR(__xludf.DUMMYFUNCTION("""COMPUTED_VALUE"""),1.5443031E7)</f>
        <v>15443031</v>
      </c>
      <c r="G95" s="7" t="str">
        <f>IFERROR(__xludf.DUMMYFUNCTION("""COMPUTED_VALUE"""),"COALINDIA.NS")</f>
        <v>COALINDIA.NS</v>
      </c>
      <c r="H95" s="8">
        <f t="shared" si="1"/>
        <v>0.01885302537</v>
      </c>
      <c r="I95" s="8">
        <f t="shared" si="2"/>
        <v>0.01885302537</v>
      </c>
      <c r="J95" s="7" t="str">
        <f t="shared" si="3"/>
        <v>Sep-2024</v>
      </c>
      <c r="K95" s="9">
        <f t="shared" si="4"/>
        <v>45536</v>
      </c>
      <c r="L95" s="7" t="str">
        <f t="shared" si="5"/>
        <v/>
      </c>
      <c r="M95" s="7" t="str">
        <f>IFERROR(__xludf.DUMMYFUNCTION("IFERROR(
  IF(
    F95 &gt;
    3*AVERAGE(
       FILTER($F$2:$F10491,
         $G$2:$G10491=G95,
         $A$2:$A10491&gt;=A95-20,
         $A$2:$A10491&lt;=A95
       )
    ),
    ""VOL_SPIKE_3X"",""""
  ),
"""")
"),"")</f>
        <v/>
      </c>
      <c r="N95" s="7" t="str">
        <f t="shared" si="6"/>
        <v/>
      </c>
      <c r="O95" s="7" t="str">
        <f t="shared" si="7"/>
        <v/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f>IFERROR(__xludf.DUMMYFUNCTION("""COMPUTED_VALUE"""),45562.0)</f>
        <v>45562</v>
      </c>
      <c r="B96" s="6">
        <f>IFERROR(__xludf.DUMMYFUNCTION("""COMPUTED_VALUE"""),424.0)</f>
        <v>424</v>
      </c>
      <c r="C96" s="6">
        <f>IFERROR(__xludf.DUMMYFUNCTION("""COMPUTED_VALUE"""),439.8)</f>
        <v>439.8</v>
      </c>
      <c r="D96" s="6">
        <f>IFERROR(__xludf.DUMMYFUNCTION("""COMPUTED_VALUE"""),421.2)</f>
        <v>421.2</v>
      </c>
      <c r="E96" s="6">
        <f>IFERROR(__xludf.DUMMYFUNCTION("""COMPUTED_VALUE"""),437.95)</f>
        <v>437.95</v>
      </c>
      <c r="F96" s="7">
        <f>IFERROR(__xludf.DUMMYFUNCTION("""COMPUTED_VALUE"""),1.2190119E7)</f>
        <v>12190119</v>
      </c>
      <c r="G96" s="7" t="str">
        <f>IFERROR(__xludf.DUMMYFUNCTION("""COMPUTED_VALUE"""),"HINDPETRO.NS")</f>
        <v>HINDPETRO.NS</v>
      </c>
      <c r="H96" s="8">
        <f t="shared" si="1"/>
        <v>0.0329009434</v>
      </c>
      <c r="I96" s="8">
        <f t="shared" si="2"/>
        <v>0.0329009434</v>
      </c>
      <c r="J96" s="7" t="str">
        <f t="shared" si="3"/>
        <v>Sep-2024</v>
      </c>
      <c r="K96" s="9">
        <f t="shared" si="4"/>
        <v>45536</v>
      </c>
      <c r="L96" s="7" t="str">
        <f t="shared" si="5"/>
        <v/>
      </c>
      <c r="M96" s="7" t="str">
        <f>IFERROR(__xludf.DUMMYFUNCTION("IFERROR(
  IF(
    F96 &gt;
    3*AVERAGE(
       FILTER($F$2:$F10491,
         $G$2:$G10491=G96,
         $A$2:$A10491&gt;=A96-20,
         $A$2:$A10491&lt;=A96
       )
    ),
    ""VOL_SPIKE_3X"",""""
  ),
"""")
"),"")</f>
        <v/>
      </c>
      <c r="N96" s="7" t="str">
        <f t="shared" si="6"/>
        <v/>
      </c>
      <c r="O96" s="7" t="str">
        <f t="shared" si="7"/>
        <v/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f>IFERROR(__xludf.DUMMYFUNCTION("""COMPUTED_VALUE"""),45562.0)</f>
        <v>45562</v>
      </c>
      <c r="B97" s="6">
        <f>IFERROR(__xludf.DUMMYFUNCTION("""COMPUTED_VALUE"""),171.6)</f>
        <v>171.6</v>
      </c>
      <c r="C97" s="6">
        <f>IFERROR(__xludf.DUMMYFUNCTION("""COMPUTED_VALUE"""),180.75)</f>
        <v>180.75</v>
      </c>
      <c r="D97" s="6">
        <f>IFERROR(__xludf.DUMMYFUNCTION("""COMPUTED_VALUE"""),171.5)</f>
        <v>171.5</v>
      </c>
      <c r="E97" s="6">
        <f>IFERROR(__xludf.DUMMYFUNCTION("""COMPUTED_VALUE"""),180.01)</f>
        <v>180.01</v>
      </c>
      <c r="F97" s="7">
        <f>IFERROR(__xludf.DUMMYFUNCTION("""COMPUTED_VALUE"""),5.2095985E7)</f>
        <v>52095985</v>
      </c>
      <c r="G97" s="7" t="str">
        <f>IFERROR(__xludf.DUMMYFUNCTION("""COMPUTED_VALUE"""),"IOC.NS")</f>
        <v>IOC.NS</v>
      </c>
      <c r="H97" s="8">
        <f t="shared" si="1"/>
        <v>0.04900932401</v>
      </c>
      <c r="I97" s="8">
        <f t="shared" si="2"/>
        <v>0.04900932401</v>
      </c>
      <c r="J97" s="7" t="str">
        <f t="shared" si="3"/>
        <v>Sep-2024</v>
      </c>
      <c r="K97" s="9">
        <f t="shared" si="4"/>
        <v>45536</v>
      </c>
      <c r="L97" s="7" t="str">
        <f t="shared" si="5"/>
        <v/>
      </c>
      <c r="M97" s="7" t="str">
        <f>IFERROR(__xludf.DUMMYFUNCTION("IFERROR(
  IF(
    F97 &gt;
    3*AVERAGE(
       FILTER($F$2:$F10491,
         $G$2:$G10491=G97,
         $A$2:$A10491&gt;=A97-20,
         $A$2:$A10491&lt;=A97
       )
    ),
    ""VOL_SPIKE_3X"",""""
  ),
"""")
"),"VOL_SPIKE_3X")</f>
        <v>VOL_SPIKE_3X</v>
      </c>
      <c r="N97" s="7" t="str">
        <f t="shared" si="6"/>
        <v>VOL_SPIKE_3X</v>
      </c>
      <c r="O97" s="7" t="str">
        <f t="shared" si="7"/>
        <v/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f>IFERROR(__xludf.DUMMYFUNCTION("""COMPUTED_VALUE"""),45562.0)</f>
        <v>45562</v>
      </c>
      <c r="B98" s="6">
        <f>IFERROR(__xludf.DUMMYFUNCTION("""COMPUTED_VALUE"""),436.0)</f>
        <v>436</v>
      </c>
      <c r="C98" s="6">
        <f>IFERROR(__xludf.DUMMYFUNCTION("""COMPUTED_VALUE"""),442.5)</f>
        <v>442.5</v>
      </c>
      <c r="D98" s="6">
        <f>IFERROR(__xludf.DUMMYFUNCTION("""COMPUTED_VALUE"""),433.5)</f>
        <v>433.5</v>
      </c>
      <c r="E98" s="6">
        <f>IFERROR(__xludf.DUMMYFUNCTION("""COMPUTED_VALUE"""),436.9)</f>
        <v>436.9</v>
      </c>
      <c r="F98" s="7">
        <f>IFERROR(__xludf.DUMMYFUNCTION("""COMPUTED_VALUE"""),5.3885913E7)</f>
        <v>53885913</v>
      </c>
      <c r="G98" s="7" t="str">
        <f>IFERROR(__xludf.DUMMYFUNCTION("""COMPUTED_VALUE"""),"NTPC.NS")</f>
        <v>NTPC.NS</v>
      </c>
      <c r="H98" s="8">
        <f t="shared" si="1"/>
        <v>0.002064220183</v>
      </c>
      <c r="I98" s="8">
        <f t="shared" si="2"/>
        <v>0.002064220183</v>
      </c>
      <c r="J98" s="7" t="str">
        <f t="shared" si="3"/>
        <v>Sep-2024</v>
      </c>
      <c r="K98" s="9">
        <f t="shared" si="4"/>
        <v>45536</v>
      </c>
      <c r="L98" s="7" t="str">
        <f t="shared" si="5"/>
        <v/>
      </c>
      <c r="M98" s="7" t="str">
        <f>IFERROR(__xludf.DUMMYFUNCTION("IFERROR(
  IF(
    F98 &gt;
    3*AVERAGE(
       FILTER($F$2:$F10491,
         $G$2:$G10491=G98,
         $A$2:$A10491&gt;=A98-20,
         $A$2:$A10491&lt;=A98
       )
    ),
    ""VOL_SPIKE_3X"",""""
  ),
"""")
"),"")</f>
        <v/>
      </c>
      <c r="N98" s="7" t="str">
        <f t="shared" si="6"/>
        <v/>
      </c>
      <c r="O98" s="7" t="str">
        <f t="shared" si="7"/>
        <v/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f>IFERROR(__xludf.DUMMYFUNCTION("""COMPUTED_VALUE"""),45562.0)</f>
        <v>45562</v>
      </c>
      <c r="B99" s="6">
        <f>IFERROR(__xludf.DUMMYFUNCTION("""COMPUTED_VALUE"""),292.7)</f>
        <v>292.7</v>
      </c>
      <c r="C99" s="6">
        <f>IFERROR(__xludf.DUMMYFUNCTION("""COMPUTED_VALUE"""),298.45)</f>
        <v>298.45</v>
      </c>
      <c r="D99" s="6">
        <f>IFERROR(__xludf.DUMMYFUNCTION("""COMPUTED_VALUE"""),289.7)</f>
        <v>289.7</v>
      </c>
      <c r="E99" s="6">
        <f>IFERROR(__xludf.DUMMYFUNCTION("""COMPUTED_VALUE"""),297.2)</f>
        <v>297.2</v>
      </c>
      <c r="F99" s="7">
        <f>IFERROR(__xludf.DUMMYFUNCTION("""COMPUTED_VALUE"""),3.570613E7)</f>
        <v>35706130</v>
      </c>
      <c r="G99" s="7" t="str">
        <f>IFERROR(__xludf.DUMMYFUNCTION("""COMPUTED_VALUE"""),"ONGC.NS")</f>
        <v>ONGC.NS</v>
      </c>
      <c r="H99" s="8">
        <f t="shared" si="1"/>
        <v>0.01537410318</v>
      </c>
      <c r="I99" s="8">
        <f t="shared" si="2"/>
        <v>0.01537410318</v>
      </c>
      <c r="J99" s="7" t="str">
        <f t="shared" si="3"/>
        <v>Sep-2024</v>
      </c>
      <c r="K99" s="9">
        <f t="shared" si="4"/>
        <v>45536</v>
      </c>
      <c r="L99" s="7" t="str">
        <f t="shared" si="5"/>
        <v/>
      </c>
      <c r="M99" s="7" t="str">
        <f>IFERROR(__xludf.DUMMYFUNCTION("IFERROR(
  IF(
    F99 &gt;
    3*AVERAGE(
       FILTER($F$2:$F10491,
         $G$2:$G10491=G99,
         $A$2:$A10491&gt;=A99-20,
         $A$2:$A10491&lt;=A99
       )
    ),
    ""VOL_SPIKE_3X"",""""
  ),
"""")
"),"")</f>
        <v/>
      </c>
      <c r="N99" s="7" t="str">
        <f t="shared" si="6"/>
        <v/>
      </c>
      <c r="O99" s="7" t="str">
        <f t="shared" si="7"/>
        <v/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f>IFERROR(__xludf.DUMMYFUNCTION("""COMPUTED_VALUE"""),45562.0)</f>
        <v>45562</v>
      </c>
      <c r="B100" s="6">
        <f>IFERROR(__xludf.DUMMYFUNCTION("""COMPUTED_VALUE"""),362.2)</f>
        <v>362.2</v>
      </c>
      <c r="C100" s="6">
        <f>IFERROR(__xludf.DUMMYFUNCTION("""COMPUTED_VALUE"""),363.3)</f>
        <v>363.3</v>
      </c>
      <c r="D100" s="6">
        <f>IFERROR(__xludf.DUMMYFUNCTION("""COMPUTED_VALUE"""),353.35)</f>
        <v>353.35</v>
      </c>
      <c r="E100" s="6">
        <f>IFERROR(__xludf.DUMMYFUNCTION("""COMPUTED_VALUE"""),354.25)</f>
        <v>354.25</v>
      </c>
      <c r="F100" s="7">
        <f>IFERROR(__xludf.DUMMYFUNCTION("""COMPUTED_VALUE"""),3.3148043E7)</f>
        <v>33148043</v>
      </c>
      <c r="G100" s="7" t="str">
        <f>IFERROR(__xludf.DUMMYFUNCTION("""COMPUTED_VALUE"""),"POWERGRID.NS")</f>
        <v>POWERGRID.NS</v>
      </c>
      <c r="H100" s="8">
        <f t="shared" si="1"/>
        <v>-0.02194919934</v>
      </c>
      <c r="I100" s="8">
        <f t="shared" si="2"/>
        <v>0.02194919934</v>
      </c>
      <c r="J100" s="7" t="str">
        <f t="shared" si="3"/>
        <v>Sep-2024</v>
      </c>
      <c r="K100" s="9">
        <f t="shared" si="4"/>
        <v>45536</v>
      </c>
      <c r="L100" s="7" t="str">
        <f t="shared" si="5"/>
        <v/>
      </c>
      <c r="M100" s="7" t="str">
        <f>IFERROR(__xludf.DUMMYFUNCTION("IFERROR(
  IF(
    F100 &gt;
    3*AVERAGE(
       FILTER($F$2:$F10491,
         $G$2:$G10491=G100,
         $A$2:$A10491&gt;=A100-20,
         $A$2:$A10491&lt;=A100
       )
    ),
    ""VOL_SPIKE_3X"",""""
  ),
"""")
"),"")</f>
        <v/>
      </c>
      <c r="N100" s="7" t="str">
        <f t="shared" si="6"/>
        <v/>
      </c>
      <c r="O100" s="7" t="str">
        <f t="shared" si="7"/>
        <v/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f>IFERROR(__xludf.DUMMYFUNCTION("""COMPUTED_VALUE"""),45562.0)</f>
        <v>45562</v>
      </c>
      <c r="B101" s="6">
        <f>IFERROR(__xludf.DUMMYFUNCTION("""COMPUTED_VALUE"""),1499.0)</f>
        <v>1499</v>
      </c>
      <c r="C101" s="6">
        <f>IFERROR(__xludf.DUMMYFUNCTION("""COMPUTED_VALUE"""),1533.48)</f>
        <v>1533.48</v>
      </c>
      <c r="D101" s="6">
        <f>IFERROR(__xludf.DUMMYFUNCTION("""COMPUTED_VALUE"""),1492.0)</f>
        <v>1492</v>
      </c>
      <c r="E101" s="6">
        <f>IFERROR(__xludf.DUMMYFUNCTION("""COMPUTED_VALUE"""),1526.18)</f>
        <v>1526.18</v>
      </c>
      <c r="F101" s="7">
        <f>IFERROR(__xludf.DUMMYFUNCTION("""COMPUTED_VALUE"""),1.0298739E7)</f>
        <v>10298739</v>
      </c>
      <c r="G101" s="7" t="str">
        <f>IFERROR(__xludf.DUMMYFUNCTION("""COMPUTED_VALUE"""),"RELIANCE.NS")</f>
        <v>RELIANCE.NS</v>
      </c>
      <c r="H101" s="8">
        <f t="shared" si="1"/>
        <v>0.01813208806</v>
      </c>
      <c r="I101" s="8">
        <f t="shared" si="2"/>
        <v>0.01813208806</v>
      </c>
      <c r="J101" s="7" t="str">
        <f t="shared" si="3"/>
        <v>Sep-2024</v>
      </c>
      <c r="K101" s="9">
        <f t="shared" si="4"/>
        <v>45536</v>
      </c>
      <c r="L101" s="7" t="str">
        <f t="shared" si="5"/>
        <v/>
      </c>
      <c r="M101" s="7" t="str">
        <f>IFERROR(__xludf.DUMMYFUNCTION("IFERROR(
  IF(
    F101 &gt;
    3*AVERAGE(
       FILTER($F$2:$F10491,
         $G$2:$G10491=G101,
         $A$2:$A10491&gt;=A101-20,
         $A$2:$A10491&lt;=A101
       )
    ),
    ""VOL_SPIKE_3X"",""""
  ),
"""")
"),"")</f>
        <v/>
      </c>
      <c r="N101" s="7" t="str">
        <f t="shared" si="6"/>
        <v/>
      </c>
      <c r="O101" s="7" t="str">
        <f t="shared" si="7"/>
        <v/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f>IFERROR(__xludf.DUMMYFUNCTION("""COMPUTED_VALUE"""),45565.0)</f>
        <v>45565</v>
      </c>
      <c r="B102" s="6">
        <f>IFERROR(__xludf.DUMMYFUNCTION("""COMPUTED_VALUE"""),1009.9)</f>
        <v>1009.9</v>
      </c>
      <c r="C102" s="6">
        <f>IFERROR(__xludf.DUMMYFUNCTION("""COMPUTED_VALUE"""),1018.7)</f>
        <v>1018.7</v>
      </c>
      <c r="D102" s="6">
        <f>IFERROR(__xludf.DUMMYFUNCTION("""COMPUTED_VALUE"""),994.0)</f>
        <v>994</v>
      </c>
      <c r="E102" s="6">
        <f>IFERROR(__xludf.DUMMYFUNCTION("""COMPUTED_VALUE"""),1009.65)</f>
        <v>1009.65</v>
      </c>
      <c r="F102" s="7">
        <f>IFERROR(__xludf.DUMMYFUNCTION("""COMPUTED_VALUE"""),1170771.0)</f>
        <v>1170771</v>
      </c>
      <c r="G102" s="7" t="str">
        <f>IFERROR(__xludf.DUMMYFUNCTION("""COMPUTED_VALUE"""),"ADANIENSOL.NS")</f>
        <v>ADANIENSOL.NS</v>
      </c>
      <c r="H102" s="8">
        <f t="shared" si="1"/>
        <v>-0.0002475492623</v>
      </c>
      <c r="I102" s="8">
        <f t="shared" si="2"/>
        <v>0.0002475492623</v>
      </c>
      <c r="J102" s="7" t="str">
        <f t="shared" si="3"/>
        <v>Sep-2024</v>
      </c>
      <c r="K102" s="9">
        <f t="shared" si="4"/>
        <v>45536</v>
      </c>
      <c r="L102" s="7" t="str">
        <f t="shared" si="5"/>
        <v/>
      </c>
      <c r="M102" s="7" t="str">
        <f>IFERROR(__xludf.DUMMYFUNCTION("IFERROR(
  IF(
    F102 &gt;
    3*AVERAGE(
       FILTER($F$2:$F10491,
         $G$2:$G10491=G102,
         $A$2:$A10491&gt;=A102-20,
         $A$2:$A10491&lt;=A102
       )
    ),
    ""VOL_SPIKE_3X"",""""
  ),
"""")
"),"")</f>
        <v/>
      </c>
      <c r="N102" s="7" t="str">
        <f t="shared" si="6"/>
        <v/>
      </c>
      <c r="O102" s="7" t="str">
        <f t="shared" si="7"/>
        <v/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f>IFERROR(__xludf.DUMMYFUNCTION("""COMPUTED_VALUE"""),45565.0)</f>
        <v>45565</v>
      </c>
      <c r="B103" s="6">
        <f>IFERROR(__xludf.DUMMYFUNCTION("""COMPUTED_VALUE"""),1985.0)</f>
        <v>1985</v>
      </c>
      <c r="C103" s="6">
        <f>IFERROR(__xludf.DUMMYFUNCTION("""COMPUTED_VALUE"""),1988.45)</f>
        <v>1988.45</v>
      </c>
      <c r="D103" s="6">
        <f>IFERROR(__xludf.DUMMYFUNCTION("""COMPUTED_VALUE"""),1891.9)</f>
        <v>1891.9</v>
      </c>
      <c r="E103" s="6">
        <f>IFERROR(__xludf.DUMMYFUNCTION("""COMPUTED_VALUE"""),1902.7)</f>
        <v>1902.7</v>
      </c>
      <c r="F103" s="7">
        <f>IFERROR(__xludf.DUMMYFUNCTION("""COMPUTED_VALUE"""),1369027.0)</f>
        <v>1369027</v>
      </c>
      <c r="G103" s="7" t="str">
        <f>IFERROR(__xludf.DUMMYFUNCTION("""COMPUTED_VALUE"""),"ADANIGREEN.NS")</f>
        <v>ADANIGREEN.NS</v>
      </c>
      <c r="H103" s="8">
        <f t="shared" si="1"/>
        <v>-0.04146095718</v>
      </c>
      <c r="I103" s="8">
        <f t="shared" si="2"/>
        <v>0.04146095718</v>
      </c>
      <c r="J103" s="7" t="str">
        <f t="shared" si="3"/>
        <v>Sep-2024</v>
      </c>
      <c r="K103" s="9">
        <f t="shared" si="4"/>
        <v>45536</v>
      </c>
      <c r="L103" s="7" t="str">
        <f t="shared" si="5"/>
        <v/>
      </c>
      <c r="M103" s="7" t="str">
        <f>IFERROR(__xludf.DUMMYFUNCTION("IFERROR(
  IF(
    F103 &gt;
    3*AVERAGE(
       FILTER($F$2:$F10491,
         $G$2:$G10491=G103,
         $A$2:$A10491&gt;=A103-20,
         $A$2:$A10491&lt;=A103
       )
    ),
    ""VOL_SPIKE_3X"",""""
  ),
"""")
"),"")</f>
        <v/>
      </c>
      <c r="N103" s="7" t="str">
        <f t="shared" si="6"/>
        <v/>
      </c>
      <c r="O103" s="7" t="str">
        <f t="shared" si="7"/>
        <v/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f>IFERROR(__xludf.DUMMYFUNCTION("""COMPUTED_VALUE"""),45565.0)</f>
        <v>45565</v>
      </c>
      <c r="B104" s="6">
        <f>IFERROR(__xludf.DUMMYFUNCTION("""COMPUTED_VALUE"""),367.15)</f>
        <v>367.15</v>
      </c>
      <c r="C104" s="6">
        <f>IFERROR(__xludf.DUMMYFUNCTION("""COMPUTED_VALUE"""),376.0)</f>
        <v>376</v>
      </c>
      <c r="D104" s="6">
        <f>IFERROR(__xludf.DUMMYFUNCTION("""COMPUTED_VALUE"""),360.15)</f>
        <v>360.15</v>
      </c>
      <c r="E104" s="6">
        <f>IFERROR(__xludf.DUMMYFUNCTION("""COMPUTED_VALUE"""),369.95)</f>
        <v>369.95</v>
      </c>
      <c r="F104" s="7">
        <f>IFERROR(__xludf.DUMMYFUNCTION("""COMPUTED_VALUE"""),2.3860696E7)</f>
        <v>23860696</v>
      </c>
      <c r="G104" s="7" t="str">
        <f>IFERROR(__xludf.DUMMYFUNCTION("""COMPUTED_VALUE"""),"BPCL.NS")</f>
        <v>BPCL.NS</v>
      </c>
      <c r="H104" s="8">
        <f t="shared" si="1"/>
        <v>0.007626310772</v>
      </c>
      <c r="I104" s="8">
        <f t="shared" si="2"/>
        <v>0.007626310772</v>
      </c>
      <c r="J104" s="7" t="str">
        <f t="shared" si="3"/>
        <v>Sep-2024</v>
      </c>
      <c r="K104" s="9">
        <f t="shared" si="4"/>
        <v>45536</v>
      </c>
      <c r="L104" s="7" t="str">
        <f t="shared" si="5"/>
        <v/>
      </c>
      <c r="M104" s="7" t="str">
        <f>IFERROR(__xludf.DUMMYFUNCTION("IFERROR(
  IF(
    F104 &gt;
    3*AVERAGE(
       FILTER($F$2:$F10491,
         $G$2:$G10491=G104,
         $A$2:$A10491&gt;=A104-20,
         $A$2:$A10491&lt;=A104
       )
    ),
    ""VOL_SPIKE_3X"",""""
  ),
"""")
"),"")</f>
        <v/>
      </c>
      <c r="N104" s="7" t="str">
        <f t="shared" si="6"/>
        <v/>
      </c>
      <c r="O104" s="7" t="str">
        <f t="shared" si="7"/>
        <v/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f>IFERROR(__xludf.DUMMYFUNCTION("""COMPUTED_VALUE"""),45565.0)</f>
        <v>45565</v>
      </c>
      <c r="B105" s="6">
        <f>IFERROR(__xludf.DUMMYFUNCTION("""COMPUTED_VALUE"""),513.0)</f>
        <v>513</v>
      </c>
      <c r="C105" s="6">
        <f>IFERROR(__xludf.DUMMYFUNCTION("""COMPUTED_VALUE"""),513.45)</f>
        <v>513.45</v>
      </c>
      <c r="D105" s="6">
        <f>IFERROR(__xludf.DUMMYFUNCTION("""COMPUTED_VALUE"""),502.5)</f>
        <v>502.5</v>
      </c>
      <c r="E105" s="6">
        <f>IFERROR(__xludf.DUMMYFUNCTION("""COMPUTED_VALUE"""),510.15)</f>
        <v>510.15</v>
      </c>
      <c r="F105" s="7">
        <f>IFERROR(__xludf.DUMMYFUNCTION("""COMPUTED_VALUE"""),8881502.0)</f>
        <v>8881502</v>
      </c>
      <c r="G105" s="7" t="str">
        <f>IFERROR(__xludf.DUMMYFUNCTION("""COMPUTED_VALUE"""),"COALINDIA.NS")</f>
        <v>COALINDIA.NS</v>
      </c>
      <c r="H105" s="8">
        <f t="shared" si="1"/>
        <v>-0.005555555556</v>
      </c>
      <c r="I105" s="8">
        <f t="shared" si="2"/>
        <v>0.005555555556</v>
      </c>
      <c r="J105" s="7" t="str">
        <f t="shared" si="3"/>
        <v>Sep-2024</v>
      </c>
      <c r="K105" s="9">
        <f t="shared" si="4"/>
        <v>45536</v>
      </c>
      <c r="L105" s="7" t="str">
        <f t="shared" si="5"/>
        <v/>
      </c>
      <c r="M105" s="7" t="str">
        <f>IFERROR(__xludf.DUMMYFUNCTION("IFERROR(
  IF(
    F105 &gt;
    3*AVERAGE(
       FILTER($F$2:$F10491,
         $G$2:$G10491=G105,
         $A$2:$A10491&gt;=A105-20,
         $A$2:$A10491&lt;=A105
       )
    ),
    ""VOL_SPIKE_3X"",""""
  ),
"""")
"),"")</f>
        <v/>
      </c>
      <c r="N105" s="7" t="str">
        <f t="shared" si="6"/>
        <v/>
      </c>
      <c r="O105" s="7" t="str">
        <f t="shared" si="7"/>
        <v/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f>IFERROR(__xludf.DUMMYFUNCTION("""COMPUTED_VALUE"""),45565.0)</f>
        <v>45565</v>
      </c>
      <c r="B106" s="6">
        <f>IFERROR(__xludf.DUMMYFUNCTION("""COMPUTED_VALUE"""),436.0)</f>
        <v>436</v>
      </c>
      <c r="C106" s="6">
        <f>IFERROR(__xludf.DUMMYFUNCTION("""COMPUTED_VALUE"""),446.95)</f>
        <v>446.95</v>
      </c>
      <c r="D106" s="6">
        <f>IFERROR(__xludf.DUMMYFUNCTION("""COMPUTED_VALUE"""),430.5)</f>
        <v>430.5</v>
      </c>
      <c r="E106" s="6">
        <f>IFERROR(__xludf.DUMMYFUNCTION("""COMPUTED_VALUE"""),440.55)</f>
        <v>440.55</v>
      </c>
      <c r="F106" s="7">
        <f>IFERROR(__xludf.DUMMYFUNCTION("""COMPUTED_VALUE"""),7949959.0)</f>
        <v>7949959</v>
      </c>
      <c r="G106" s="7" t="str">
        <f>IFERROR(__xludf.DUMMYFUNCTION("""COMPUTED_VALUE"""),"HINDPETRO.NS")</f>
        <v>HINDPETRO.NS</v>
      </c>
      <c r="H106" s="8">
        <f t="shared" si="1"/>
        <v>0.01043577982</v>
      </c>
      <c r="I106" s="8">
        <f t="shared" si="2"/>
        <v>0.01043577982</v>
      </c>
      <c r="J106" s="7" t="str">
        <f t="shared" si="3"/>
        <v>Sep-2024</v>
      </c>
      <c r="K106" s="9">
        <f t="shared" si="4"/>
        <v>45536</v>
      </c>
      <c r="L106" s="7" t="str">
        <f t="shared" si="5"/>
        <v/>
      </c>
      <c r="M106" s="7" t="str">
        <f>IFERROR(__xludf.DUMMYFUNCTION("IFERROR(
  IF(
    F106 &gt;
    3*AVERAGE(
       FILTER($F$2:$F10491,
         $G$2:$G10491=G106,
         $A$2:$A10491&gt;=A106-20,
         $A$2:$A10491&lt;=A106
       )
    ),
    ""VOL_SPIKE_3X"",""""
  ),
"""")
"),"")</f>
        <v/>
      </c>
      <c r="N106" s="7" t="str">
        <f t="shared" si="6"/>
        <v/>
      </c>
      <c r="O106" s="7" t="str">
        <f t="shared" si="7"/>
        <v/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f>IFERROR(__xludf.DUMMYFUNCTION("""COMPUTED_VALUE"""),45565.0)</f>
        <v>45565</v>
      </c>
      <c r="B107" s="6">
        <f>IFERROR(__xludf.DUMMYFUNCTION("""COMPUTED_VALUE"""),179.71)</f>
        <v>179.71</v>
      </c>
      <c r="C107" s="6">
        <f>IFERROR(__xludf.DUMMYFUNCTION("""COMPUTED_VALUE"""),182.46)</f>
        <v>182.46</v>
      </c>
      <c r="D107" s="6">
        <f>IFERROR(__xludf.DUMMYFUNCTION("""COMPUTED_VALUE"""),176.17)</f>
        <v>176.17</v>
      </c>
      <c r="E107" s="6">
        <f>IFERROR(__xludf.DUMMYFUNCTION("""COMPUTED_VALUE"""),180.15)</f>
        <v>180.15</v>
      </c>
      <c r="F107" s="7">
        <f>IFERROR(__xludf.DUMMYFUNCTION("""COMPUTED_VALUE"""),3.3375167E7)</f>
        <v>33375167</v>
      </c>
      <c r="G107" s="7" t="str">
        <f>IFERROR(__xludf.DUMMYFUNCTION("""COMPUTED_VALUE"""),"IOC.NS")</f>
        <v>IOC.NS</v>
      </c>
      <c r="H107" s="8">
        <f t="shared" si="1"/>
        <v>0.002448389071</v>
      </c>
      <c r="I107" s="8">
        <f t="shared" si="2"/>
        <v>0.002448389071</v>
      </c>
      <c r="J107" s="7" t="str">
        <f t="shared" si="3"/>
        <v>Sep-2024</v>
      </c>
      <c r="K107" s="9">
        <f t="shared" si="4"/>
        <v>45536</v>
      </c>
      <c r="L107" s="7" t="str">
        <f t="shared" si="5"/>
        <v/>
      </c>
      <c r="M107" s="7" t="str">
        <f>IFERROR(__xludf.DUMMYFUNCTION("IFERROR(
  IF(
    F107 &gt;
    3*AVERAGE(
       FILTER($F$2:$F10491,
         $G$2:$G10491=G107,
         $A$2:$A10491&gt;=A107-20,
         $A$2:$A10491&lt;=A107
       )
    ),
    ""VOL_SPIKE_3X"",""""
  ),
"""")
"),"")</f>
        <v/>
      </c>
      <c r="N107" s="7" t="str">
        <f t="shared" si="6"/>
        <v/>
      </c>
      <c r="O107" s="7" t="str">
        <f t="shared" si="7"/>
        <v/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f>IFERROR(__xludf.DUMMYFUNCTION("""COMPUTED_VALUE"""),45565.0)</f>
        <v>45565</v>
      </c>
      <c r="B108" s="6">
        <f>IFERROR(__xludf.DUMMYFUNCTION("""COMPUTED_VALUE"""),436.9)</f>
        <v>436.9</v>
      </c>
      <c r="C108" s="6">
        <f>IFERROR(__xludf.DUMMYFUNCTION("""COMPUTED_VALUE"""),448.45)</f>
        <v>448.45</v>
      </c>
      <c r="D108" s="6">
        <f>IFERROR(__xludf.DUMMYFUNCTION("""COMPUTED_VALUE"""),433.6)</f>
        <v>433.6</v>
      </c>
      <c r="E108" s="6">
        <f>IFERROR(__xludf.DUMMYFUNCTION("""COMPUTED_VALUE"""),443.2)</f>
        <v>443.2</v>
      </c>
      <c r="F108" s="7">
        <f>IFERROR(__xludf.DUMMYFUNCTION("""COMPUTED_VALUE"""),2.0903229E7)</f>
        <v>20903229</v>
      </c>
      <c r="G108" s="7" t="str">
        <f>IFERROR(__xludf.DUMMYFUNCTION("""COMPUTED_VALUE"""),"NTPC.NS")</f>
        <v>NTPC.NS</v>
      </c>
      <c r="H108" s="8">
        <f t="shared" si="1"/>
        <v>0.01441977569</v>
      </c>
      <c r="I108" s="8">
        <f t="shared" si="2"/>
        <v>0.01441977569</v>
      </c>
      <c r="J108" s="7" t="str">
        <f t="shared" si="3"/>
        <v>Sep-2024</v>
      </c>
      <c r="K108" s="9">
        <f t="shared" si="4"/>
        <v>45536</v>
      </c>
      <c r="L108" s="7" t="str">
        <f t="shared" si="5"/>
        <v/>
      </c>
      <c r="M108" s="7" t="str">
        <f>IFERROR(__xludf.DUMMYFUNCTION("IFERROR(
  IF(
    F108 &gt;
    3*AVERAGE(
       FILTER($F$2:$F10491,
         $G$2:$G10491=G108,
         $A$2:$A10491&gt;=A108-20,
         $A$2:$A10491&lt;=A108
       )
    ),
    ""VOL_SPIKE_3X"",""""
  ),
"""")
"),"")</f>
        <v/>
      </c>
      <c r="N108" s="7" t="str">
        <f t="shared" si="6"/>
        <v/>
      </c>
      <c r="O108" s="7" t="str">
        <f t="shared" si="7"/>
        <v/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f>IFERROR(__xludf.DUMMYFUNCTION("""COMPUTED_VALUE"""),45565.0)</f>
        <v>45565</v>
      </c>
      <c r="B109" s="6">
        <f>IFERROR(__xludf.DUMMYFUNCTION("""COMPUTED_VALUE"""),297.0)</f>
        <v>297</v>
      </c>
      <c r="C109" s="6">
        <f>IFERROR(__xludf.DUMMYFUNCTION("""COMPUTED_VALUE"""),301.8)</f>
        <v>301.8</v>
      </c>
      <c r="D109" s="6">
        <f>IFERROR(__xludf.DUMMYFUNCTION("""COMPUTED_VALUE"""),293.75)</f>
        <v>293.75</v>
      </c>
      <c r="E109" s="6">
        <f>IFERROR(__xludf.DUMMYFUNCTION("""COMPUTED_VALUE"""),297.6)</f>
        <v>297.6</v>
      </c>
      <c r="F109" s="7">
        <f>IFERROR(__xludf.DUMMYFUNCTION("""COMPUTED_VALUE"""),1.6294341E7)</f>
        <v>16294341</v>
      </c>
      <c r="G109" s="7" t="str">
        <f>IFERROR(__xludf.DUMMYFUNCTION("""COMPUTED_VALUE"""),"ONGC.NS")</f>
        <v>ONGC.NS</v>
      </c>
      <c r="H109" s="8">
        <f t="shared" si="1"/>
        <v>0.00202020202</v>
      </c>
      <c r="I109" s="8">
        <f t="shared" si="2"/>
        <v>0.00202020202</v>
      </c>
      <c r="J109" s="7" t="str">
        <f t="shared" si="3"/>
        <v>Sep-2024</v>
      </c>
      <c r="K109" s="9">
        <f t="shared" si="4"/>
        <v>45536</v>
      </c>
      <c r="L109" s="7" t="str">
        <f t="shared" si="5"/>
        <v/>
      </c>
      <c r="M109" s="7" t="str">
        <f>IFERROR(__xludf.DUMMYFUNCTION("IFERROR(
  IF(
    F109 &gt;
    3*AVERAGE(
       FILTER($F$2:$F10491,
         $G$2:$G10491=G109,
         $A$2:$A10491&gt;=A109-20,
         $A$2:$A10491&lt;=A109
       )
    ),
    ""VOL_SPIKE_3X"",""""
  ),
"""")
"),"")</f>
        <v/>
      </c>
      <c r="N109" s="7" t="str">
        <f t="shared" si="6"/>
        <v/>
      </c>
      <c r="O109" s="7" t="str">
        <f t="shared" si="7"/>
        <v/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f>IFERROR(__xludf.DUMMYFUNCTION("""COMPUTED_VALUE"""),45565.0)</f>
        <v>45565</v>
      </c>
      <c r="B110" s="6">
        <f>IFERROR(__xludf.DUMMYFUNCTION("""COMPUTED_VALUE"""),354.25)</f>
        <v>354.25</v>
      </c>
      <c r="C110" s="6">
        <f>IFERROR(__xludf.DUMMYFUNCTION("""COMPUTED_VALUE"""),357.45)</f>
        <v>357.45</v>
      </c>
      <c r="D110" s="6">
        <f>IFERROR(__xludf.DUMMYFUNCTION("""COMPUTED_VALUE"""),349.7)</f>
        <v>349.7</v>
      </c>
      <c r="E110" s="6">
        <f>IFERROR(__xludf.DUMMYFUNCTION("""COMPUTED_VALUE"""),352.85)</f>
        <v>352.85</v>
      </c>
      <c r="F110" s="7">
        <f>IFERROR(__xludf.DUMMYFUNCTION("""COMPUTED_VALUE"""),1.6356171E7)</f>
        <v>16356171</v>
      </c>
      <c r="G110" s="7" t="str">
        <f>IFERROR(__xludf.DUMMYFUNCTION("""COMPUTED_VALUE"""),"POWERGRID.NS")</f>
        <v>POWERGRID.NS</v>
      </c>
      <c r="H110" s="8">
        <f t="shared" si="1"/>
        <v>-0.003952011291</v>
      </c>
      <c r="I110" s="8">
        <f t="shared" si="2"/>
        <v>0.003952011291</v>
      </c>
      <c r="J110" s="7" t="str">
        <f t="shared" si="3"/>
        <v>Sep-2024</v>
      </c>
      <c r="K110" s="9">
        <f t="shared" si="4"/>
        <v>45536</v>
      </c>
      <c r="L110" s="7" t="str">
        <f t="shared" si="5"/>
        <v/>
      </c>
      <c r="M110" s="7" t="str">
        <f>IFERROR(__xludf.DUMMYFUNCTION("IFERROR(
  IF(
    F110 &gt;
    3*AVERAGE(
       FILTER($F$2:$F10491,
         $G$2:$G10491=G110,
         $A$2:$A10491&gt;=A110-20,
         $A$2:$A10491&lt;=A110
       )
    ),
    ""VOL_SPIKE_3X"",""""
  ),
"""")
"),"")</f>
        <v/>
      </c>
      <c r="N110" s="7" t="str">
        <f t="shared" si="6"/>
        <v/>
      </c>
      <c r="O110" s="7" t="str">
        <f t="shared" si="7"/>
        <v/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f>IFERROR(__xludf.DUMMYFUNCTION("""COMPUTED_VALUE"""),45565.0)</f>
        <v>45565</v>
      </c>
      <c r="B111" s="6">
        <f>IFERROR(__xludf.DUMMYFUNCTION("""COMPUTED_VALUE"""),1519.4)</f>
        <v>1519.4</v>
      </c>
      <c r="C111" s="6">
        <f>IFERROR(__xludf.DUMMYFUNCTION("""COMPUTED_VALUE"""),1524.98)</f>
        <v>1524.98</v>
      </c>
      <c r="D111" s="6">
        <f>IFERROR(__xludf.DUMMYFUNCTION("""COMPUTED_VALUE"""),1474.4)</f>
        <v>1474.4</v>
      </c>
      <c r="E111" s="6">
        <f>IFERROR(__xludf.DUMMYFUNCTION("""COMPUTED_VALUE"""),1476.58)</f>
        <v>1476.58</v>
      </c>
      <c r="F111" s="7">
        <f>IFERROR(__xludf.DUMMYFUNCTION("""COMPUTED_VALUE"""),1.3504407E7)</f>
        <v>13504407</v>
      </c>
      <c r="G111" s="7" t="str">
        <f>IFERROR(__xludf.DUMMYFUNCTION("""COMPUTED_VALUE"""),"RELIANCE.NS")</f>
        <v>RELIANCE.NS</v>
      </c>
      <c r="H111" s="8">
        <f t="shared" si="1"/>
        <v>-0.02818217718</v>
      </c>
      <c r="I111" s="8">
        <f t="shared" si="2"/>
        <v>0.02818217718</v>
      </c>
      <c r="J111" s="7" t="str">
        <f t="shared" si="3"/>
        <v>Sep-2024</v>
      </c>
      <c r="K111" s="9">
        <f t="shared" si="4"/>
        <v>45536</v>
      </c>
      <c r="L111" s="7" t="str">
        <f t="shared" si="5"/>
        <v/>
      </c>
      <c r="M111" s="7" t="str">
        <f>IFERROR(__xludf.DUMMYFUNCTION("IFERROR(
  IF(
    F111 &gt;
    3*AVERAGE(
       FILTER($F$2:$F10491,
         $G$2:$G10491=G111,
         $A$2:$A10491&gt;=A111-20,
         $A$2:$A10491&lt;=A111
       )
    ),
    ""VOL_SPIKE_3X"",""""
  ),
"""")
"),"")</f>
        <v/>
      </c>
      <c r="N111" s="7" t="str">
        <f t="shared" si="6"/>
        <v/>
      </c>
      <c r="O111" s="7" t="str">
        <f t="shared" si="7"/>
        <v/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f>IFERROR(__xludf.DUMMYFUNCTION("""COMPUTED_VALUE"""),45566.0)</f>
        <v>45566</v>
      </c>
      <c r="B112" s="6">
        <f>IFERROR(__xludf.DUMMYFUNCTION("""COMPUTED_VALUE"""),1013.95)</f>
        <v>1013.95</v>
      </c>
      <c r="C112" s="6">
        <f>IFERROR(__xludf.DUMMYFUNCTION("""COMPUTED_VALUE"""),1053.45)</f>
        <v>1053.45</v>
      </c>
      <c r="D112" s="6">
        <f>IFERROR(__xludf.DUMMYFUNCTION("""COMPUTED_VALUE"""),1010.0)</f>
        <v>1010</v>
      </c>
      <c r="E112" s="6">
        <f>IFERROR(__xludf.DUMMYFUNCTION("""COMPUTED_VALUE"""),1040.1)</f>
        <v>1040.1</v>
      </c>
      <c r="F112" s="7">
        <f>IFERROR(__xludf.DUMMYFUNCTION("""COMPUTED_VALUE"""),4058979.0)</f>
        <v>4058979</v>
      </c>
      <c r="G112" s="7" t="str">
        <f>IFERROR(__xludf.DUMMYFUNCTION("""COMPUTED_VALUE"""),"ADANIENSOL.NS")</f>
        <v>ADANIENSOL.NS</v>
      </c>
      <c r="H112" s="8">
        <f t="shared" si="1"/>
        <v>0.02579022634</v>
      </c>
      <c r="I112" s="8">
        <f t="shared" si="2"/>
        <v>0.02579022634</v>
      </c>
      <c r="J112" s="7" t="str">
        <f t="shared" si="3"/>
        <v>Oct-2024</v>
      </c>
      <c r="K112" s="9">
        <f t="shared" si="4"/>
        <v>45566</v>
      </c>
      <c r="L112" s="7" t="str">
        <f t="shared" si="5"/>
        <v/>
      </c>
      <c r="M112" s="7" t="str">
        <f>IFERROR(__xludf.DUMMYFUNCTION("IFERROR(
  IF(
    F112 &gt;
    3*AVERAGE(
       FILTER($F$2:$F10491,
         $G$2:$G10491=G112,
         $A$2:$A10491&gt;=A112-20,
         $A$2:$A10491&lt;=A112
       )
    ),
    ""VOL_SPIKE_3X"",""""
  ),
"""")
"),"")</f>
        <v/>
      </c>
      <c r="N112" s="7" t="str">
        <f t="shared" si="6"/>
        <v/>
      </c>
      <c r="O112" s="7" t="str">
        <f t="shared" si="7"/>
        <v/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f>IFERROR(__xludf.DUMMYFUNCTION("""COMPUTED_VALUE"""),45566.0)</f>
        <v>45566</v>
      </c>
      <c r="B113" s="6">
        <f>IFERROR(__xludf.DUMMYFUNCTION("""COMPUTED_VALUE"""),1915.55)</f>
        <v>1915.55</v>
      </c>
      <c r="C113" s="6">
        <f>IFERROR(__xludf.DUMMYFUNCTION("""COMPUTED_VALUE"""),1929.55)</f>
        <v>1929.55</v>
      </c>
      <c r="D113" s="6">
        <f>IFERROR(__xludf.DUMMYFUNCTION("""COMPUTED_VALUE"""),1880.0)</f>
        <v>1880</v>
      </c>
      <c r="E113" s="6">
        <f>IFERROR(__xludf.DUMMYFUNCTION("""COMPUTED_VALUE"""),1884.95)</f>
        <v>1884.95</v>
      </c>
      <c r="F113" s="7">
        <f>IFERROR(__xludf.DUMMYFUNCTION("""COMPUTED_VALUE"""),798097.0)</f>
        <v>798097</v>
      </c>
      <c r="G113" s="7" t="str">
        <f>IFERROR(__xludf.DUMMYFUNCTION("""COMPUTED_VALUE"""),"ADANIGREEN.NS")</f>
        <v>ADANIGREEN.NS</v>
      </c>
      <c r="H113" s="8">
        <f t="shared" si="1"/>
        <v>-0.01597452429</v>
      </c>
      <c r="I113" s="8">
        <f t="shared" si="2"/>
        <v>0.01597452429</v>
      </c>
      <c r="J113" s="7" t="str">
        <f t="shared" si="3"/>
        <v>Oct-2024</v>
      </c>
      <c r="K113" s="9">
        <f t="shared" si="4"/>
        <v>45566</v>
      </c>
      <c r="L113" s="7" t="str">
        <f t="shared" si="5"/>
        <v/>
      </c>
      <c r="M113" s="7" t="str">
        <f>IFERROR(__xludf.DUMMYFUNCTION("IFERROR(
  IF(
    F113 &gt;
    3*AVERAGE(
       FILTER($F$2:$F10491,
         $G$2:$G10491=G113,
         $A$2:$A10491&gt;=A113-20,
         $A$2:$A10491&lt;=A113
       )
    ),
    ""VOL_SPIKE_3X"",""""
  ),
"""")
"),"")</f>
        <v/>
      </c>
      <c r="N113" s="7" t="str">
        <f t="shared" si="6"/>
        <v/>
      </c>
      <c r="O113" s="7" t="str">
        <f t="shared" si="7"/>
        <v/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f>IFERROR(__xludf.DUMMYFUNCTION("""COMPUTED_VALUE"""),45566.0)</f>
        <v>45566</v>
      </c>
      <c r="B114" s="6">
        <f>IFERROR(__xludf.DUMMYFUNCTION("""COMPUTED_VALUE"""),370.0)</f>
        <v>370</v>
      </c>
      <c r="C114" s="6">
        <f>IFERROR(__xludf.DUMMYFUNCTION("""COMPUTED_VALUE"""),373.35)</f>
        <v>373.35</v>
      </c>
      <c r="D114" s="6">
        <f>IFERROR(__xludf.DUMMYFUNCTION("""COMPUTED_VALUE"""),364.15)</f>
        <v>364.15</v>
      </c>
      <c r="E114" s="6">
        <f>IFERROR(__xludf.DUMMYFUNCTION("""COMPUTED_VALUE"""),368.25)</f>
        <v>368.25</v>
      </c>
      <c r="F114" s="7">
        <f>IFERROR(__xludf.DUMMYFUNCTION("""COMPUTED_VALUE"""),9440793.0)</f>
        <v>9440793</v>
      </c>
      <c r="G114" s="7" t="str">
        <f>IFERROR(__xludf.DUMMYFUNCTION("""COMPUTED_VALUE"""),"BPCL.NS")</f>
        <v>BPCL.NS</v>
      </c>
      <c r="H114" s="8">
        <f t="shared" si="1"/>
        <v>-0.00472972973</v>
      </c>
      <c r="I114" s="8">
        <f t="shared" si="2"/>
        <v>0.00472972973</v>
      </c>
      <c r="J114" s="7" t="str">
        <f t="shared" si="3"/>
        <v>Oct-2024</v>
      </c>
      <c r="K114" s="9">
        <f t="shared" si="4"/>
        <v>45566</v>
      </c>
      <c r="L114" s="7" t="str">
        <f t="shared" si="5"/>
        <v/>
      </c>
      <c r="M114" s="7" t="str">
        <f>IFERROR(__xludf.DUMMYFUNCTION("IFERROR(
  IF(
    F114 &gt;
    3*AVERAGE(
       FILTER($F$2:$F10491,
         $G$2:$G10491=G114,
         $A$2:$A10491&gt;=A114-20,
         $A$2:$A10491&lt;=A114
       )
    ),
    ""VOL_SPIKE_3X"",""""
  ),
"""")
"),"")</f>
        <v/>
      </c>
      <c r="N114" s="7" t="str">
        <f t="shared" si="6"/>
        <v/>
      </c>
      <c r="O114" s="7" t="str">
        <f t="shared" si="7"/>
        <v/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f>IFERROR(__xludf.DUMMYFUNCTION("""COMPUTED_VALUE"""),45566.0)</f>
        <v>45566</v>
      </c>
      <c r="B115" s="6">
        <f>IFERROR(__xludf.DUMMYFUNCTION("""COMPUTED_VALUE"""),512.0)</f>
        <v>512</v>
      </c>
      <c r="C115" s="6">
        <f>IFERROR(__xludf.DUMMYFUNCTION("""COMPUTED_VALUE"""),516.0)</f>
        <v>516</v>
      </c>
      <c r="D115" s="6">
        <f>IFERROR(__xludf.DUMMYFUNCTION("""COMPUTED_VALUE"""),506.15)</f>
        <v>506.15</v>
      </c>
      <c r="E115" s="6">
        <f>IFERROR(__xludf.DUMMYFUNCTION("""COMPUTED_VALUE"""),508.5)</f>
        <v>508.5</v>
      </c>
      <c r="F115" s="7">
        <f>IFERROR(__xludf.DUMMYFUNCTION("""COMPUTED_VALUE"""),4743517.0)</f>
        <v>4743517</v>
      </c>
      <c r="G115" s="7" t="str">
        <f>IFERROR(__xludf.DUMMYFUNCTION("""COMPUTED_VALUE"""),"COALINDIA.NS")</f>
        <v>COALINDIA.NS</v>
      </c>
      <c r="H115" s="8">
        <f t="shared" si="1"/>
        <v>-0.0068359375</v>
      </c>
      <c r="I115" s="8">
        <f t="shared" si="2"/>
        <v>0.0068359375</v>
      </c>
      <c r="J115" s="7" t="str">
        <f t="shared" si="3"/>
        <v>Oct-2024</v>
      </c>
      <c r="K115" s="9">
        <f t="shared" si="4"/>
        <v>45566</v>
      </c>
      <c r="L115" s="7" t="str">
        <f t="shared" si="5"/>
        <v/>
      </c>
      <c r="M115" s="7" t="str">
        <f>IFERROR(__xludf.DUMMYFUNCTION("IFERROR(
  IF(
    F115 &gt;
    3*AVERAGE(
       FILTER($F$2:$F10491,
         $G$2:$G10491=G115,
         $A$2:$A10491&gt;=A115-20,
         $A$2:$A10491&lt;=A115
       )
    ),
    ""VOL_SPIKE_3X"",""""
  ),
"""")
"),"")</f>
        <v/>
      </c>
      <c r="N115" s="7" t="str">
        <f t="shared" si="6"/>
        <v/>
      </c>
      <c r="O115" s="7" t="str">
        <f t="shared" si="7"/>
        <v/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f>IFERROR(__xludf.DUMMYFUNCTION("""COMPUTED_VALUE"""),45566.0)</f>
        <v>45566</v>
      </c>
      <c r="B116" s="6">
        <f>IFERROR(__xludf.DUMMYFUNCTION("""COMPUTED_VALUE"""),440.0)</f>
        <v>440</v>
      </c>
      <c r="C116" s="6">
        <f>IFERROR(__xludf.DUMMYFUNCTION("""COMPUTED_VALUE"""),446.05)</f>
        <v>446.05</v>
      </c>
      <c r="D116" s="6">
        <f>IFERROR(__xludf.DUMMYFUNCTION("""COMPUTED_VALUE"""),438.45)</f>
        <v>438.45</v>
      </c>
      <c r="E116" s="6">
        <f>IFERROR(__xludf.DUMMYFUNCTION("""COMPUTED_VALUE"""),444.9)</f>
        <v>444.9</v>
      </c>
      <c r="F116" s="7">
        <f>IFERROR(__xludf.DUMMYFUNCTION("""COMPUTED_VALUE"""),5525180.0)</f>
        <v>5525180</v>
      </c>
      <c r="G116" s="7" t="str">
        <f>IFERROR(__xludf.DUMMYFUNCTION("""COMPUTED_VALUE"""),"HINDPETRO.NS")</f>
        <v>HINDPETRO.NS</v>
      </c>
      <c r="H116" s="8">
        <f t="shared" si="1"/>
        <v>0.01113636364</v>
      </c>
      <c r="I116" s="8">
        <f t="shared" si="2"/>
        <v>0.01113636364</v>
      </c>
      <c r="J116" s="7" t="str">
        <f t="shared" si="3"/>
        <v>Oct-2024</v>
      </c>
      <c r="K116" s="9">
        <f t="shared" si="4"/>
        <v>45566</v>
      </c>
      <c r="L116" s="7" t="str">
        <f t="shared" si="5"/>
        <v/>
      </c>
      <c r="M116" s="7" t="str">
        <f>IFERROR(__xludf.DUMMYFUNCTION("IFERROR(
  IF(
    F116 &gt;
    3*AVERAGE(
       FILTER($F$2:$F10491,
         $G$2:$G10491=G116,
         $A$2:$A10491&gt;=A116-20,
         $A$2:$A10491&lt;=A116
       )
    ),
    ""VOL_SPIKE_3X"",""""
  ),
"""")
"),"")</f>
        <v/>
      </c>
      <c r="N116" s="7" t="str">
        <f t="shared" si="6"/>
        <v/>
      </c>
      <c r="O116" s="7" t="str">
        <f t="shared" si="7"/>
        <v/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f>IFERROR(__xludf.DUMMYFUNCTION("""COMPUTED_VALUE"""),45566.0)</f>
        <v>45566</v>
      </c>
      <c r="B117" s="6">
        <f>IFERROR(__xludf.DUMMYFUNCTION("""COMPUTED_VALUE"""),180.0)</f>
        <v>180</v>
      </c>
      <c r="C117" s="6">
        <f>IFERROR(__xludf.DUMMYFUNCTION("""COMPUTED_VALUE"""),181.34)</f>
        <v>181.34</v>
      </c>
      <c r="D117" s="6">
        <f>IFERROR(__xludf.DUMMYFUNCTION("""COMPUTED_VALUE"""),177.27)</f>
        <v>177.27</v>
      </c>
      <c r="E117" s="6">
        <f>IFERROR(__xludf.DUMMYFUNCTION("""COMPUTED_VALUE"""),179.06)</f>
        <v>179.06</v>
      </c>
      <c r="F117" s="7">
        <f>IFERROR(__xludf.DUMMYFUNCTION("""COMPUTED_VALUE"""),1.7390545E7)</f>
        <v>17390545</v>
      </c>
      <c r="G117" s="7" t="str">
        <f>IFERROR(__xludf.DUMMYFUNCTION("""COMPUTED_VALUE"""),"IOC.NS")</f>
        <v>IOC.NS</v>
      </c>
      <c r="H117" s="8">
        <f t="shared" si="1"/>
        <v>-0.005222222222</v>
      </c>
      <c r="I117" s="8">
        <f t="shared" si="2"/>
        <v>0.005222222222</v>
      </c>
      <c r="J117" s="7" t="str">
        <f t="shared" si="3"/>
        <v>Oct-2024</v>
      </c>
      <c r="K117" s="9">
        <f t="shared" si="4"/>
        <v>45566</v>
      </c>
      <c r="L117" s="7" t="str">
        <f t="shared" si="5"/>
        <v/>
      </c>
      <c r="M117" s="7" t="str">
        <f>IFERROR(__xludf.DUMMYFUNCTION("IFERROR(
  IF(
    F117 &gt;
    3*AVERAGE(
       FILTER($F$2:$F10491,
         $G$2:$G10491=G117,
         $A$2:$A10491&gt;=A117-20,
         $A$2:$A10491&lt;=A117
       )
    ),
    ""VOL_SPIKE_3X"",""""
  ),
"""")
"),"")</f>
        <v/>
      </c>
      <c r="N117" s="7" t="str">
        <f t="shared" si="6"/>
        <v/>
      </c>
      <c r="O117" s="7" t="str">
        <f t="shared" si="7"/>
        <v/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f>IFERROR(__xludf.DUMMYFUNCTION("""COMPUTED_VALUE"""),45566.0)</f>
        <v>45566</v>
      </c>
      <c r="B118" s="6">
        <f>IFERROR(__xludf.DUMMYFUNCTION("""COMPUTED_VALUE"""),446.0)</f>
        <v>446</v>
      </c>
      <c r="C118" s="6">
        <f>IFERROR(__xludf.DUMMYFUNCTION("""COMPUTED_VALUE"""),447.75)</f>
        <v>447.75</v>
      </c>
      <c r="D118" s="6">
        <f>IFERROR(__xludf.DUMMYFUNCTION("""COMPUTED_VALUE"""),438.8)</f>
        <v>438.8</v>
      </c>
      <c r="E118" s="6">
        <f>IFERROR(__xludf.DUMMYFUNCTION("""COMPUTED_VALUE"""),440.1)</f>
        <v>440.1</v>
      </c>
      <c r="F118" s="7">
        <f>IFERROR(__xludf.DUMMYFUNCTION("""COMPUTED_VALUE"""),1.5984996E7)</f>
        <v>15984996</v>
      </c>
      <c r="G118" s="7" t="str">
        <f>IFERROR(__xludf.DUMMYFUNCTION("""COMPUTED_VALUE"""),"NTPC.NS")</f>
        <v>NTPC.NS</v>
      </c>
      <c r="H118" s="8">
        <f t="shared" si="1"/>
        <v>-0.01322869955</v>
      </c>
      <c r="I118" s="8">
        <f t="shared" si="2"/>
        <v>0.01322869955</v>
      </c>
      <c r="J118" s="7" t="str">
        <f t="shared" si="3"/>
        <v>Oct-2024</v>
      </c>
      <c r="K118" s="9">
        <f t="shared" si="4"/>
        <v>45566</v>
      </c>
      <c r="L118" s="7" t="str">
        <f t="shared" si="5"/>
        <v/>
      </c>
      <c r="M118" s="7" t="str">
        <f>IFERROR(__xludf.DUMMYFUNCTION("IFERROR(
  IF(
    F118 &gt;
    3*AVERAGE(
       FILTER($F$2:$F10491,
         $G$2:$G10491=G118,
         $A$2:$A10491&gt;=A118-20,
         $A$2:$A10491&lt;=A118
       )
    ),
    ""VOL_SPIKE_3X"",""""
  ),
"""")
"),"")</f>
        <v/>
      </c>
      <c r="N118" s="7" t="str">
        <f t="shared" si="6"/>
        <v/>
      </c>
      <c r="O118" s="7" t="str">
        <f t="shared" si="7"/>
        <v/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f>IFERROR(__xludf.DUMMYFUNCTION("""COMPUTED_VALUE"""),45566.0)</f>
        <v>45566</v>
      </c>
      <c r="B119" s="6">
        <f>IFERROR(__xludf.DUMMYFUNCTION("""COMPUTED_VALUE"""),297.0)</f>
        <v>297</v>
      </c>
      <c r="C119" s="6">
        <f>IFERROR(__xludf.DUMMYFUNCTION("""COMPUTED_VALUE"""),299.15)</f>
        <v>299.15</v>
      </c>
      <c r="D119" s="6">
        <f>IFERROR(__xludf.DUMMYFUNCTION("""COMPUTED_VALUE"""),290.7)</f>
        <v>290.7</v>
      </c>
      <c r="E119" s="6">
        <f>IFERROR(__xludf.DUMMYFUNCTION("""COMPUTED_VALUE"""),291.95)</f>
        <v>291.95</v>
      </c>
      <c r="F119" s="7">
        <f>IFERROR(__xludf.DUMMYFUNCTION("""COMPUTED_VALUE"""),1.0919818E7)</f>
        <v>10919818</v>
      </c>
      <c r="G119" s="7" t="str">
        <f>IFERROR(__xludf.DUMMYFUNCTION("""COMPUTED_VALUE"""),"ONGC.NS")</f>
        <v>ONGC.NS</v>
      </c>
      <c r="H119" s="8">
        <f t="shared" si="1"/>
        <v>-0.017003367</v>
      </c>
      <c r="I119" s="8">
        <f t="shared" si="2"/>
        <v>0.017003367</v>
      </c>
      <c r="J119" s="7" t="str">
        <f t="shared" si="3"/>
        <v>Oct-2024</v>
      </c>
      <c r="K119" s="9">
        <f t="shared" si="4"/>
        <v>45566</v>
      </c>
      <c r="L119" s="7" t="str">
        <f t="shared" si="5"/>
        <v/>
      </c>
      <c r="M119" s="7" t="str">
        <f>IFERROR(__xludf.DUMMYFUNCTION("IFERROR(
  IF(
    F119 &gt;
    3*AVERAGE(
       FILTER($F$2:$F10491,
         $G$2:$G10491=G119,
         $A$2:$A10491&gt;=A119-20,
         $A$2:$A10491&lt;=A119
       )
    ),
    ""VOL_SPIKE_3X"",""""
  ),
"""")
"),"")</f>
        <v/>
      </c>
      <c r="N119" s="7" t="str">
        <f t="shared" si="6"/>
        <v/>
      </c>
      <c r="O119" s="7" t="str">
        <f t="shared" si="7"/>
        <v/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f>IFERROR(__xludf.DUMMYFUNCTION("""COMPUTED_VALUE"""),45566.0)</f>
        <v>45566</v>
      </c>
      <c r="B120" s="6">
        <f>IFERROR(__xludf.DUMMYFUNCTION("""COMPUTED_VALUE"""),351.1)</f>
        <v>351.1</v>
      </c>
      <c r="C120" s="6">
        <f>IFERROR(__xludf.DUMMYFUNCTION("""COMPUTED_VALUE"""),356.0)</f>
        <v>356</v>
      </c>
      <c r="D120" s="6">
        <f>IFERROR(__xludf.DUMMYFUNCTION("""COMPUTED_VALUE"""),349.95)</f>
        <v>349.95</v>
      </c>
      <c r="E120" s="6">
        <f>IFERROR(__xludf.DUMMYFUNCTION("""COMPUTED_VALUE"""),350.8)</f>
        <v>350.8</v>
      </c>
      <c r="F120" s="7">
        <f>IFERROR(__xludf.DUMMYFUNCTION("""COMPUTED_VALUE"""),9856291.0)</f>
        <v>9856291</v>
      </c>
      <c r="G120" s="7" t="str">
        <f>IFERROR(__xludf.DUMMYFUNCTION("""COMPUTED_VALUE"""),"POWERGRID.NS")</f>
        <v>POWERGRID.NS</v>
      </c>
      <c r="H120" s="8">
        <f t="shared" si="1"/>
        <v>-0.0008544574195</v>
      </c>
      <c r="I120" s="8">
        <f t="shared" si="2"/>
        <v>0.0008544574195</v>
      </c>
      <c r="J120" s="7" t="str">
        <f t="shared" si="3"/>
        <v>Oct-2024</v>
      </c>
      <c r="K120" s="9">
        <f t="shared" si="4"/>
        <v>45566</v>
      </c>
      <c r="L120" s="7" t="str">
        <f t="shared" si="5"/>
        <v/>
      </c>
      <c r="M120" s="7" t="str">
        <f>IFERROR(__xludf.DUMMYFUNCTION("IFERROR(
  IF(
    F120 &gt;
    3*AVERAGE(
       FILTER($F$2:$F10491,
         $G$2:$G10491=G120,
         $A$2:$A10491&gt;=A120-20,
         $A$2:$A10491&lt;=A120
       )
    ),
    ""VOL_SPIKE_3X"",""""
  ),
"""")
"),"")</f>
        <v/>
      </c>
      <c r="N120" s="7" t="str">
        <f t="shared" si="6"/>
        <v/>
      </c>
      <c r="O120" s="7" t="str">
        <f t="shared" si="7"/>
        <v/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f>IFERROR(__xludf.DUMMYFUNCTION("""COMPUTED_VALUE"""),45566.0)</f>
        <v>45566</v>
      </c>
      <c r="B121" s="6">
        <f>IFERROR(__xludf.DUMMYFUNCTION("""COMPUTED_VALUE"""),1480.65)</f>
        <v>1480.65</v>
      </c>
      <c r="C121" s="6">
        <f>IFERROR(__xludf.DUMMYFUNCTION("""COMPUTED_VALUE"""),1487.95)</f>
        <v>1487.95</v>
      </c>
      <c r="D121" s="6">
        <f>IFERROR(__xludf.DUMMYFUNCTION("""COMPUTED_VALUE"""),1462.83)</f>
        <v>1462.83</v>
      </c>
      <c r="E121" s="6">
        <f>IFERROR(__xludf.DUMMYFUNCTION("""COMPUTED_VALUE"""),1464.83)</f>
        <v>1464.83</v>
      </c>
      <c r="F121" s="7">
        <f>IFERROR(__xludf.DUMMYFUNCTION("""COMPUTED_VALUE"""),8215821.0)</f>
        <v>8215821</v>
      </c>
      <c r="G121" s="7" t="str">
        <f>IFERROR(__xludf.DUMMYFUNCTION("""COMPUTED_VALUE"""),"RELIANCE.NS")</f>
        <v>RELIANCE.NS</v>
      </c>
      <c r="H121" s="8">
        <f t="shared" si="1"/>
        <v>-0.01068449667</v>
      </c>
      <c r="I121" s="8">
        <f t="shared" si="2"/>
        <v>0.01068449667</v>
      </c>
      <c r="J121" s="7" t="str">
        <f t="shared" si="3"/>
        <v>Oct-2024</v>
      </c>
      <c r="K121" s="9">
        <f t="shared" si="4"/>
        <v>45566</v>
      </c>
      <c r="L121" s="7" t="str">
        <f t="shared" si="5"/>
        <v/>
      </c>
      <c r="M121" s="7" t="str">
        <f>IFERROR(__xludf.DUMMYFUNCTION("IFERROR(
  IF(
    F121 &gt;
    3*AVERAGE(
       FILTER($F$2:$F10491,
         $G$2:$G10491=G121,
         $A$2:$A10491&gt;=A121-20,
         $A$2:$A10491&lt;=A121
       )
    ),
    ""VOL_SPIKE_3X"",""""
  ),
"""")
"),"")</f>
        <v/>
      </c>
      <c r="N121" s="7" t="str">
        <f t="shared" si="6"/>
        <v/>
      </c>
      <c r="O121" s="7" t="str">
        <f t="shared" si="7"/>
        <v/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f>IFERROR(__xludf.DUMMYFUNCTION("""COMPUTED_VALUE"""),45568.0)</f>
        <v>45568</v>
      </c>
      <c r="B122" s="6">
        <f>IFERROR(__xludf.DUMMYFUNCTION("""COMPUTED_VALUE"""),1023.8)</f>
        <v>1023.8</v>
      </c>
      <c r="C122" s="6">
        <f>IFERROR(__xludf.DUMMYFUNCTION("""COMPUTED_VALUE"""),1039.7)</f>
        <v>1039.7</v>
      </c>
      <c r="D122" s="6">
        <f>IFERROR(__xludf.DUMMYFUNCTION("""COMPUTED_VALUE"""),1010.0)</f>
        <v>1010</v>
      </c>
      <c r="E122" s="6">
        <f>IFERROR(__xludf.DUMMYFUNCTION("""COMPUTED_VALUE"""),1015.85)</f>
        <v>1015.85</v>
      </c>
      <c r="F122" s="7">
        <f>IFERROR(__xludf.DUMMYFUNCTION("""COMPUTED_VALUE"""),983956.0)</f>
        <v>983956</v>
      </c>
      <c r="G122" s="7" t="str">
        <f>IFERROR(__xludf.DUMMYFUNCTION("""COMPUTED_VALUE"""),"ADANIENSOL.NS")</f>
        <v>ADANIENSOL.NS</v>
      </c>
      <c r="H122" s="8">
        <f t="shared" si="1"/>
        <v>-0.007765188513</v>
      </c>
      <c r="I122" s="8">
        <f t="shared" si="2"/>
        <v>0.007765188513</v>
      </c>
      <c r="J122" s="7" t="str">
        <f t="shared" si="3"/>
        <v>Oct-2024</v>
      </c>
      <c r="K122" s="9">
        <f t="shared" si="4"/>
        <v>45566</v>
      </c>
      <c r="L122" s="7" t="str">
        <f t="shared" si="5"/>
        <v/>
      </c>
      <c r="M122" s="7" t="str">
        <f>IFERROR(__xludf.DUMMYFUNCTION("IFERROR(
  IF(
    F122 &gt;
    3*AVERAGE(
       FILTER($F$2:$F10491,
         $G$2:$G10491=G122,
         $A$2:$A10491&gt;=A122-20,
         $A$2:$A10491&lt;=A122
       )
    ),
    ""VOL_SPIKE_3X"",""""
  ),
"""")
"),"")</f>
        <v/>
      </c>
      <c r="N122" s="7" t="str">
        <f t="shared" si="6"/>
        <v/>
      </c>
      <c r="O122" s="7" t="str">
        <f t="shared" si="7"/>
        <v/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f>IFERROR(__xludf.DUMMYFUNCTION("""COMPUTED_VALUE"""),45568.0)</f>
        <v>45568</v>
      </c>
      <c r="B123" s="6">
        <f>IFERROR(__xludf.DUMMYFUNCTION("""COMPUTED_VALUE"""),1865.0)</f>
        <v>1865</v>
      </c>
      <c r="C123" s="6">
        <f>IFERROR(__xludf.DUMMYFUNCTION("""COMPUTED_VALUE"""),1868.6)</f>
        <v>1868.6</v>
      </c>
      <c r="D123" s="6">
        <f>IFERROR(__xludf.DUMMYFUNCTION("""COMPUTED_VALUE"""),1775.75)</f>
        <v>1775.75</v>
      </c>
      <c r="E123" s="6">
        <f>IFERROR(__xludf.DUMMYFUNCTION("""COMPUTED_VALUE"""),1807.8)</f>
        <v>1807.8</v>
      </c>
      <c r="F123" s="7">
        <f>IFERROR(__xludf.DUMMYFUNCTION("""COMPUTED_VALUE"""),1694940.0)</f>
        <v>1694940</v>
      </c>
      <c r="G123" s="7" t="str">
        <f>IFERROR(__xludf.DUMMYFUNCTION("""COMPUTED_VALUE"""),"ADANIGREEN.NS")</f>
        <v>ADANIGREEN.NS</v>
      </c>
      <c r="H123" s="8">
        <f t="shared" si="1"/>
        <v>-0.03067024129</v>
      </c>
      <c r="I123" s="8">
        <f t="shared" si="2"/>
        <v>0.03067024129</v>
      </c>
      <c r="J123" s="7" t="str">
        <f t="shared" si="3"/>
        <v>Oct-2024</v>
      </c>
      <c r="K123" s="9">
        <f t="shared" si="4"/>
        <v>45566</v>
      </c>
      <c r="L123" s="7" t="str">
        <f t="shared" si="5"/>
        <v/>
      </c>
      <c r="M123" s="7" t="str">
        <f>IFERROR(__xludf.DUMMYFUNCTION("IFERROR(
  IF(
    F123 &gt;
    3*AVERAGE(
       FILTER($F$2:$F10491,
         $G$2:$G10491=G123,
         $A$2:$A10491&gt;=A123-20,
         $A$2:$A10491&lt;=A123
       )
    ),
    ""VOL_SPIKE_3X"",""""
  ),
"""")
"),"")</f>
        <v/>
      </c>
      <c r="N123" s="7" t="str">
        <f t="shared" si="6"/>
        <v/>
      </c>
      <c r="O123" s="7" t="str">
        <f t="shared" si="7"/>
        <v/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f>IFERROR(__xludf.DUMMYFUNCTION("""COMPUTED_VALUE"""),45568.0)</f>
        <v>45568</v>
      </c>
      <c r="B124" s="6">
        <f>IFERROR(__xludf.DUMMYFUNCTION("""COMPUTED_VALUE"""),353.75)</f>
        <v>353.75</v>
      </c>
      <c r="C124" s="6">
        <f>IFERROR(__xludf.DUMMYFUNCTION("""COMPUTED_VALUE"""),361.6)</f>
        <v>361.6</v>
      </c>
      <c r="D124" s="6">
        <f>IFERROR(__xludf.DUMMYFUNCTION("""COMPUTED_VALUE"""),347.0)</f>
        <v>347</v>
      </c>
      <c r="E124" s="6">
        <f>IFERROR(__xludf.DUMMYFUNCTION("""COMPUTED_VALUE"""),348.85)</f>
        <v>348.85</v>
      </c>
      <c r="F124" s="7">
        <f>IFERROR(__xludf.DUMMYFUNCTION("""COMPUTED_VALUE"""),2.0754875E7)</f>
        <v>20754875</v>
      </c>
      <c r="G124" s="7" t="str">
        <f>IFERROR(__xludf.DUMMYFUNCTION("""COMPUTED_VALUE"""),"BPCL.NS")</f>
        <v>BPCL.NS</v>
      </c>
      <c r="H124" s="8">
        <f t="shared" si="1"/>
        <v>-0.01385159011</v>
      </c>
      <c r="I124" s="8">
        <f t="shared" si="2"/>
        <v>0.01385159011</v>
      </c>
      <c r="J124" s="7" t="str">
        <f t="shared" si="3"/>
        <v>Oct-2024</v>
      </c>
      <c r="K124" s="9">
        <f t="shared" si="4"/>
        <v>45566</v>
      </c>
      <c r="L124" s="7" t="str">
        <f t="shared" si="5"/>
        <v/>
      </c>
      <c r="M124" s="7" t="str">
        <f>IFERROR(__xludf.DUMMYFUNCTION("IFERROR(
  IF(
    F124 &gt;
    3*AVERAGE(
       FILTER($F$2:$F10491,
         $G$2:$G10491=G124,
         $A$2:$A10491&gt;=A124-20,
         $A$2:$A10491&lt;=A124
       )
    ),
    ""VOL_SPIKE_3X"",""""
  ),
"""")
"),"")</f>
        <v/>
      </c>
      <c r="N124" s="7" t="str">
        <f t="shared" si="6"/>
        <v/>
      </c>
      <c r="O124" s="7" t="str">
        <f t="shared" si="7"/>
        <v/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f>IFERROR(__xludf.DUMMYFUNCTION("""COMPUTED_VALUE"""),45568.0)</f>
        <v>45568</v>
      </c>
      <c r="B125" s="6">
        <f>IFERROR(__xludf.DUMMYFUNCTION("""COMPUTED_VALUE"""),499.5)</f>
        <v>499.5</v>
      </c>
      <c r="C125" s="6">
        <f>IFERROR(__xludf.DUMMYFUNCTION("""COMPUTED_VALUE"""),509.9)</f>
        <v>509.9</v>
      </c>
      <c r="D125" s="6">
        <f>IFERROR(__xludf.DUMMYFUNCTION("""COMPUTED_VALUE"""),499.5)</f>
        <v>499.5</v>
      </c>
      <c r="E125" s="6">
        <f>IFERROR(__xludf.DUMMYFUNCTION("""COMPUTED_VALUE"""),502.35)</f>
        <v>502.35</v>
      </c>
      <c r="F125" s="7">
        <f>IFERROR(__xludf.DUMMYFUNCTION("""COMPUTED_VALUE"""),1.1285134E7)</f>
        <v>11285134</v>
      </c>
      <c r="G125" s="7" t="str">
        <f>IFERROR(__xludf.DUMMYFUNCTION("""COMPUTED_VALUE"""),"COALINDIA.NS")</f>
        <v>COALINDIA.NS</v>
      </c>
      <c r="H125" s="8">
        <f t="shared" si="1"/>
        <v>0.005705705706</v>
      </c>
      <c r="I125" s="8">
        <f t="shared" si="2"/>
        <v>0.005705705706</v>
      </c>
      <c r="J125" s="7" t="str">
        <f t="shared" si="3"/>
        <v>Oct-2024</v>
      </c>
      <c r="K125" s="9">
        <f t="shared" si="4"/>
        <v>45566</v>
      </c>
      <c r="L125" s="7" t="str">
        <f t="shared" si="5"/>
        <v/>
      </c>
      <c r="M125" s="7" t="str">
        <f>IFERROR(__xludf.DUMMYFUNCTION("IFERROR(
  IF(
    F125 &gt;
    3*AVERAGE(
       FILTER($F$2:$F10491,
         $G$2:$G10491=G125,
         $A$2:$A10491&gt;=A125-20,
         $A$2:$A10491&lt;=A125
       )
    ),
    ""VOL_SPIKE_3X"",""""
  ),
"""")
"),"")</f>
        <v/>
      </c>
      <c r="N125" s="7" t="str">
        <f t="shared" si="6"/>
        <v/>
      </c>
      <c r="O125" s="7" t="str">
        <f t="shared" si="7"/>
        <v/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f>IFERROR(__xludf.DUMMYFUNCTION("""COMPUTED_VALUE"""),45568.0)</f>
        <v>45568</v>
      </c>
      <c r="B126" s="6">
        <f>IFERROR(__xludf.DUMMYFUNCTION("""COMPUTED_VALUE"""),429.0)</f>
        <v>429</v>
      </c>
      <c r="C126" s="6">
        <f>IFERROR(__xludf.DUMMYFUNCTION("""COMPUTED_VALUE"""),432.65)</f>
        <v>432.65</v>
      </c>
      <c r="D126" s="6">
        <f>IFERROR(__xludf.DUMMYFUNCTION("""COMPUTED_VALUE"""),413.0)</f>
        <v>413</v>
      </c>
      <c r="E126" s="6">
        <f>IFERROR(__xludf.DUMMYFUNCTION("""COMPUTED_VALUE"""),415.05)</f>
        <v>415.05</v>
      </c>
      <c r="F126" s="7">
        <f>IFERROR(__xludf.DUMMYFUNCTION("""COMPUTED_VALUE"""),1.4169317E7)</f>
        <v>14169317</v>
      </c>
      <c r="G126" s="7" t="str">
        <f>IFERROR(__xludf.DUMMYFUNCTION("""COMPUTED_VALUE"""),"HINDPETRO.NS")</f>
        <v>HINDPETRO.NS</v>
      </c>
      <c r="H126" s="8">
        <f t="shared" si="1"/>
        <v>-0.03251748252</v>
      </c>
      <c r="I126" s="8">
        <f t="shared" si="2"/>
        <v>0.03251748252</v>
      </c>
      <c r="J126" s="7" t="str">
        <f t="shared" si="3"/>
        <v>Oct-2024</v>
      </c>
      <c r="K126" s="9">
        <f t="shared" si="4"/>
        <v>45566</v>
      </c>
      <c r="L126" s="7" t="str">
        <f t="shared" si="5"/>
        <v/>
      </c>
      <c r="M126" s="7" t="str">
        <f>IFERROR(__xludf.DUMMYFUNCTION("IFERROR(
  IF(
    F126 &gt;
    3*AVERAGE(
       FILTER($F$2:$F10491,
         $G$2:$G10491=G126,
         $A$2:$A10491&gt;=A126-20,
         $A$2:$A10491&lt;=A126
       )
    ),
    ""VOL_SPIKE_3X"",""""
  ),
"""")
"),"")</f>
        <v/>
      </c>
      <c r="N126" s="7" t="str">
        <f t="shared" si="6"/>
        <v/>
      </c>
      <c r="O126" s="7" t="str">
        <f t="shared" si="7"/>
        <v/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f>IFERROR(__xludf.DUMMYFUNCTION("""COMPUTED_VALUE"""),45568.0)</f>
        <v>45568</v>
      </c>
      <c r="B127" s="6">
        <f>IFERROR(__xludf.DUMMYFUNCTION("""COMPUTED_VALUE"""),173.22)</f>
        <v>173.22</v>
      </c>
      <c r="C127" s="6">
        <f>IFERROR(__xludf.DUMMYFUNCTION("""COMPUTED_VALUE"""),176.2)</f>
        <v>176.2</v>
      </c>
      <c r="D127" s="6">
        <f>IFERROR(__xludf.DUMMYFUNCTION("""COMPUTED_VALUE"""),170.73)</f>
        <v>170.73</v>
      </c>
      <c r="E127" s="6">
        <f>IFERROR(__xludf.DUMMYFUNCTION("""COMPUTED_VALUE"""),171.33)</f>
        <v>171.33</v>
      </c>
      <c r="F127" s="7">
        <f>IFERROR(__xludf.DUMMYFUNCTION("""COMPUTED_VALUE"""),2.5392543E7)</f>
        <v>25392543</v>
      </c>
      <c r="G127" s="7" t="str">
        <f>IFERROR(__xludf.DUMMYFUNCTION("""COMPUTED_VALUE"""),"IOC.NS")</f>
        <v>IOC.NS</v>
      </c>
      <c r="H127" s="8">
        <f t="shared" si="1"/>
        <v>-0.01091098026</v>
      </c>
      <c r="I127" s="8">
        <f t="shared" si="2"/>
        <v>0.01091098026</v>
      </c>
      <c r="J127" s="7" t="str">
        <f t="shared" si="3"/>
        <v>Oct-2024</v>
      </c>
      <c r="K127" s="9">
        <f t="shared" si="4"/>
        <v>45566</v>
      </c>
      <c r="L127" s="7" t="str">
        <f t="shared" si="5"/>
        <v/>
      </c>
      <c r="M127" s="7" t="str">
        <f>IFERROR(__xludf.DUMMYFUNCTION("IFERROR(
  IF(
    F127 &gt;
    3*AVERAGE(
       FILTER($F$2:$F10491,
         $G$2:$G10491=G127,
         $A$2:$A10491&gt;=A127-20,
         $A$2:$A10491&lt;=A127
       )
    ),
    ""VOL_SPIKE_3X"",""""
  ),
"""")
"),"")</f>
        <v/>
      </c>
      <c r="N127" s="7" t="str">
        <f t="shared" si="6"/>
        <v/>
      </c>
      <c r="O127" s="7" t="str">
        <f t="shared" si="7"/>
        <v/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f>IFERROR(__xludf.DUMMYFUNCTION("""COMPUTED_VALUE"""),45568.0)</f>
        <v>45568</v>
      </c>
      <c r="B128" s="6">
        <f>IFERROR(__xludf.DUMMYFUNCTION("""COMPUTED_VALUE"""),432.0)</f>
        <v>432</v>
      </c>
      <c r="C128" s="6">
        <f>IFERROR(__xludf.DUMMYFUNCTION("""COMPUTED_VALUE"""),442.5)</f>
        <v>442.5</v>
      </c>
      <c r="D128" s="6">
        <f>IFERROR(__xludf.DUMMYFUNCTION("""COMPUTED_VALUE"""),432.0)</f>
        <v>432</v>
      </c>
      <c r="E128" s="6">
        <f>IFERROR(__xludf.DUMMYFUNCTION("""COMPUTED_VALUE"""),435.35)</f>
        <v>435.35</v>
      </c>
      <c r="F128" s="7">
        <f>IFERROR(__xludf.DUMMYFUNCTION("""COMPUTED_VALUE"""),1.3563784E7)</f>
        <v>13563784</v>
      </c>
      <c r="G128" s="7" t="str">
        <f>IFERROR(__xludf.DUMMYFUNCTION("""COMPUTED_VALUE"""),"NTPC.NS")</f>
        <v>NTPC.NS</v>
      </c>
      <c r="H128" s="8">
        <f t="shared" si="1"/>
        <v>0.00775462963</v>
      </c>
      <c r="I128" s="8">
        <f t="shared" si="2"/>
        <v>0.00775462963</v>
      </c>
      <c r="J128" s="7" t="str">
        <f t="shared" si="3"/>
        <v>Oct-2024</v>
      </c>
      <c r="K128" s="9">
        <f t="shared" si="4"/>
        <v>45566</v>
      </c>
      <c r="L128" s="7" t="str">
        <f t="shared" si="5"/>
        <v/>
      </c>
      <c r="M128" s="7" t="str">
        <f>IFERROR(__xludf.DUMMYFUNCTION("IFERROR(
  IF(
    F128 &gt;
    3*AVERAGE(
       FILTER($F$2:$F10491,
         $G$2:$G10491=G128,
         $A$2:$A10491&gt;=A128-20,
         $A$2:$A10491&lt;=A128
       )
    ),
    ""VOL_SPIKE_3X"",""""
  ),
"""")
"),"")</f>
        <v/>
      </c>
      <c r="N128" s="7" t="str">
        <f t="shared" si="6"/>
        <v/>
      </c>
      <c r="O128" s="7" t="str">
        <f t="shared" si="7"/>
        <v/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f>IFERROR(__xludf.DUMMYFUNCTION("""COMPUTED_VALUE"""),45568.0)</f>
        <v>45568</v>
      </c>
      <c r="B129" s="6">
        <f>IFERROR(__xludf.DUMMYFUNCTION("""COMPUTED_VALUE"""),295.0)</f>
        <v>295</v>
      </c>
      <c r="C129" s="6">
        <f>IFERROR(__xludf.DUMMYFUNCTION("""COMPUTED_VALUE"""),298.0)</f>
        <v>298</v>
      </c>
      <c r="D129" s="6">
        <f>IFERROR(__xludf.DUMMYFUNCTION("""COMPUTED_VALUE"""),290.55)</f>
        <v>290.55</v>
      </c>
      <c r="E129" s="6">
        <f>IFERROR(__xludf.DUMMYFUNCTION("""COMPUTED_VALUE"""),292.05)</f>
        <v>292.05</v>
      </c>
      <c r="F129" s="7">
        <f>IFERROR(__xludf.DUMMYFUNCTION("""COMPUTED_VALUE"""),2.8124665E7)</f>
        <v>28124665</v>
      </c>
      <c r="G129" s="7" t="str">
        <f>IFERROR(__xludf.DUMMYFUNCTION("""COMPUTED_VALUE"""),"ONGC.NS")</f>
        <v>ONGC.NS</v>
      </c>
      <c r="H129" s="8">
        <f t="shared" si="1"/>
        <v>-0.01</v>
      </c>
      <c r="I129" s="8">
        <f t="shared" si="2"/>
        <v>0.01</v>
      </c>
      <c r="J129" s="7" t="str">
        <f t="shared" si="3"/>
        <v>Oct-2024</v>
      </c>
      <c r="K129" s="9">
        <f t="shared" si="4"/>
        <v>45566</v>
      </c>
      <c r="L129" s="7" t="str">
        <f t="shared" si="5"/>
        <v/>
      </c>
      <c r="M129" s="7" t="str">
        <f>IFERROR(__xludf.DUMMYFUNCTION("IFERROR(
  IF(
    F129 &gt;
    3*AVERAGE(
       FILTER($F$2:$F10491,
         $G$2:$G10491=G129,
         $A$2:$A10491&gt;=A129-20,
         $A$2:$A10491&lt;=A129
       )
    ),
    ""VOL_SPIKE_3X"",""""
  ),
"""")
"),"")</f>
        <v/>
      </c>
      <c r="N129" s="7" t="str">
        <f t="shared" si="6"/>
        <v/>
      </c>
      <c r="O129" s="7" t="str">
        <f t="shared" si="7"/>
        <v/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f>IFERROR(__xludf.DUMMYFUNCTION("""COMPUTED_VALUE"""),45568.0)</f>
        <v>45568</v>
      </c>
      <c r="B130" s="6">
        <f>IFERROR(__xludf.DUMMYFUNCTION("""COMPUTED_VALUE"""),343.0)</f>
        <v>343</v>
      </c>
      <c r="C130" s="6">
        <f>IFERROR(__xludf.DUMMYFUNCTION("""COMPUTED_VALUE"""),349.9)</f>
        <v>349.9</v>
      </c>
      <c r="D130" s="6">
        <f>IFERROR(__xludf.DUMMYFUNCTION("""COMPUTED_VALUE"""),342.6)</f>
        <v>342.6</v>
      </c>
      <c r="E130" s="6">
        <f>IFERROR(__xludf.DUMMYFUNCTION("""COMPUTED_VALUE"""),344.15)</f>
        <v>344.15</v>
      </c>
      <c r="F130" s="7">
        <f>IFERROR(__xludf.DUMMYFUNCTION("""COMPUTED_VALUE"""),1.9350466E7)</f>
        <v>19350466</v>
      </c>
      <c r="G130" s="7" t="str">
        <f>IFERROR(__xludf.DUMMYFUNCTION("""COMPUTED_VALUE"""),"POWERGRID.NS")</f>
        <v>POWERGRID.NS</v>
      </c>
      <c r="H130" s="8">
        <f t="shared" si="1"/>
        <v>0.003352769679</v>
      </c>
      <c r="I130" s="8">
        <f t="shared" si="2"/>
        <v>0.003352769679</v>
      </c>
      <c r="J130" s="7" t="str">
        <f t="shared" si="3"/>
        <v>Oct-2024</v>
      </c>
      <c r="K130" s="9">
        <f t="shared" si="4"/>
        <v>45566</v>
      </c>
      <c r="L130" s="7" t="str">
        <f t="shared" si="5"/>
        <v/>
      </c>
      <c r="M130" s="7" t="str">
        <f>IFERROR(__xludf.DUMMYFUNCTION("IFERROR(
  IF(
    F130 &gt;
    3*AVERAGE(
       FILTER($F$2:$F10491,
         $G$2:$G10491=G130,
         $A$2:$A10491&gt;=A130-20,
         $A$2:$A10491&lt;=A130
       )
    ),
    ""VOL_SPIKE_3X"",""""
  ),
"""")
"),"")</f>
        <v/>
      </c>
      <c r="N130" s="7" t="str">
        <f t="shared" si="6"/>
        <v/>
      </c>
      <c r="O130" s="7" t="str">
        <f t="shared" si="7"/>
        <v/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f>IFERROR(__xludf.DUMMYFUNCTION("""COMPUTED_VALUE"""),45568.0)</f>
        <v>45568</v>
      </c>
      <c r="B131" s="6">
        <f>IFERROR(__xludf.DUMMYFUNCTION("""COMPUTED_VALUE"""),1436.58)</f>
        <v>1436.58</v>
      </c>
      <c r="C131" s="6">
        <f>IFERROR(__xludf.DUMMYFUNCTION("""COMPUTED_VALUE"""),1449.4)</f>
        <v>1449.4</v>
      </c>
      <c r="D131" s="6">
        <f>IFERROR(__xludf.DUMMYFUNCTION("""COMPUTED_VALUE"""),1402.08)</f>
        <v>1402.08</v>
      </c>
      <c r="E131" s="6">
        <f>IFERROR(__xludf.DUMMYFUNCTION("""COMPUTED_VALUE"""),1406.98)</f>
        <v>1406.98</v>
      </c>
      <c r="F131" s="7">
        <f>IFERROR(__xludf.DUMMYFUNCTION("""COMPUTED_VALUE"""),1.8878647E7)</f>
        <v>18878647</v>
      </c>
      <c r="G131" s="7" t="str">
        <f>IFERROR(__xludf.DUMMYFUNCTION("""COMPUTED_VALUE"""),"RELIANCE.NS")</f>
        <v>RELIANCE.NS</v>
      </c>
      <c r="H131" s="8">
        <f t="shared" si="1"/>
        <v>-0.02060449122</v>
      </c>
      <c r="I131" s="8">
        <f t="shared" si="2"/>
        <v>0.02060449122</v>
      </c>
      <c r="J131" s="7" t="str">
        <f t="shared" si="3"/>
        <v>Oct-2024</v>
      </c>
      <c r="K131" s="9">
        <f t="shared" si="4"/>
        <v>45566</v>
      </c>
      <c r="L131" s="7" t="str">
        <f t="shared" si="5"/>
        <v/>
      </c>
      <c r="M131" s="7" t="str">
        <f>IFERROR(__xludf.DUMMYFUNCTION("IFERROR(
  IF(
    F131 &gt;
    3*AVERAGE(
       FILTER($F$2:$F10491,
         $G$2:$G10491=G131,
         $A$2:$A10491&gt;=A131-20,
         $A$2:$A10491&lt;=A131
       )
    ),
    ""VOL_SPIKE_3X"",""""
  ),
"""")
"),"")</f>
        <v/>
      </c>
      <c r="N131" s="7" t="str">
        <f t="shared" si="6"/>
        <v/>
      </c>
      <c r="O131" s="7" t="str">
        <f t="shared" si="7"/>
        <v/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f>IFERROR(__xludf.DUMMYFUNCTION("""COMPUTED_VALUE"""),45569.0)</f>
        <v>45569</v>
      </c>
      <c r="B132" s="6">
        <f>IFERROR(__xludf.DUMMYFUNCTION("""COMPUTED_VALUE"""),1016.0)</f>
        <v>1016</v>
      </c>
      <c r="C132" s="6">
        <f>IFERROR(__xludf.DUMMYFUNCTION("""COMPUTED_VALUE"""),1020.5)</f>
        <v>1020.5</v>
      </c>
      <c r="D132" s="6">
        <f>IFERROR(__xludf.DUMMYFUNCTION("""COMPUTED_VALUE"""),955.0)</f>
        <v>955</v>
      </c>
      <c r="E132" s="6">
        <f>IFERROR(__xludf.DUMMYFUNCTION("""COMPUTED_VALUE"""),962.75)</f>
        <v>962.75</v>
      </c>
      <c r="F132" s="7">
        <f>IFERROR(__xludf.DUMMYFUNCTION("""COMPUTED_VALUE"""),5174616.0)</f>
        <v>5174616</v>
      </c>
      <c r="G132" s="7" t="str">
        <f>IFERROR(__xludf.DUMMYFUNCTION("""COMPUTED_VALUE"""),"ADANIENSOL.NS")</f>
        <v>ADANIENSOL.NS</v>
      </c>
      <c r="H132" s="8">
        <f t="shared" si="1"/>
        <v>-0.05241141732</v>
      </c>
      <c r="I132" s="8">
        <f t="shared" si="2"/>
        <v>0.05241141732</v>
      </c>
      <c r="J132" s="7" t="str">
        <f t="shared" si="3"/>
        <v>Oct-2024</v>
      </c>
      <c r="K132" s="9">
        <f t="shared" si="4"/>
        <v>45566</v>
      </c>
      <c r="L132" s="7" t="str">
        <f t="shared" si="5"/>
        <v>PRICE_MOVE_5PCT+</v>
      </c>
      <c r="M132" s="7" t="str">
        <f>IFERROR(__xludf.DUMMYFUNCTION("IFERROR(
  IF(
    F132 &gt;
    3*AVERAGE(
       FILTER($F$2:$F10491,
         $G$2:$G10491=G132,
         $A$2:$A10491&gt;=A132-20,
         $A$2:$A10491&lt;=A132
       )
    ),
    ""VOL_SPIKE_3X"",""""
  ),
"""")
"),"")</f>
        <v/>
      </c>
      <c r="N132" s="7" t="str">
        <f t="shared" si="6"/>
        <v>PRICE_MOVE_5PCT+</v>
      </c>
      <c r="O132" s="7" t="str">
        <f t="shared" si="7"/>
        <v/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f>IFERROR(__xludf.DUMMYFUNCTION("""COMPUTED_VALUE"""),45569.0)</f>
        <v>45569</v>
      </c>
      <c r="B133" s="6">
        <f>IFERROR(__xludf.DUMMYFUNCTION("""COMPUTED_VALUE"""),1811.9)</f>
        <v>1811.9</v>
      </c>
      <c r="C133" s="6">
        <f>IFERROR(__xludf.DUMMYFUNCTION("""COMPUTED_VALUE"""),1835.0)</f>
        <v>1835</v>
      </c>
      <c r="D133" s="6">
        <f>IFERROR(__xludf.DUMMYFUNCTION("""COMPUTED_VALUE"""),1780.0)</f>
        <v>1780</v>
      </c>
      <c r="E133" s="6">
        <f>IFERROR(__xludf.DUMMYFUNCTION("""COMPUTED_VALUE"""),1801.2)</f>
        <v>1801.2</v>
      </c>
      <c r="F133" s="7">
        <f>IFERROR(__xludf.DUMMYFUNCTION("""COMPUTED_VALUE"""),883170.0)</f>
        <v>883170</v>
      </c>
      <c r="G133" s="7" t="str">
        <f>IFERROR(__xludf.DUMMYFUNCTION("""COMPUTED_VALUE"""),"ADANIGREEN.NS")</f>
        <v>ADANIGREEN.NS</v>
      </c>
      <c r="H133" s="8">
        <f t="shared" si="1"/>
        <v>-0.005905403168</v>
      </c>
      <c r="I133" s="8">
        <f t="shared" si="2"/>
        <v>0.005905403168</v>
      </c>
      <c r="J133" s="7" t="str">
        <f t="shared" si="3"/>
        <v>Oct-2024</v>
      </c>
      <c r="K133" s="9">
        <f t="shared" si="4"/>
        <v>45566</v>
      </c>
      <c r="L133" s="7" t="str">
        <f t="shared" si="5"/>
        <v/>
      </c>
      <c r="M133" s="7" t="str">
        <f>IFERROR(__xludf.DUMMYFUNCTION("IFERROR(
  IF(
    F133 &gt;
    3*AVERAGE(
       FILTER($F$2:$F10491,
         $G$2:$G10491=G133,
         $A$2:$A10491&gt;=A133-20,
         $A$2:$A10491&lt;=A133
       )
    ),
    ""VOL_SPIKE_3X"",""""
  ),
"""")
"),"")</f>
        <v/>
      </c>
      <c r="N133" s="7" t="str">
        <f t="shared" si="6"/>
        <v/>
      </c>
      <c r="O133" s="7" t="str">
        <f t="shared" si="7"/>
        <v/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f>IFERROR(__xludf.DUMMYFUNCTION("""COMPUTED_VALUE"""),45569.0)</f>
        <v>45569</v>
      </c>
      <c r="B134" s="6">
        <f>IFERROR(__xludf.DUMMYFUNCTION("""COMPUTED_VALUE"""),342.5)</f>
        <v>342.5</v>
      </c>
      <c r="C134" s="6">
        <f>IFERROR(__xludf.DUMMYFUNCTION("""COMPUTED_VALUE"""),347.95)</f>
        <v>347.95</v>
      </c>
      <c r="D134" s="6">
        <f>IFERROR(__xludf.DUMMYFUNCTION("""COMPUTED_VALUE"""),334.35)</f>
        <v>334.35</v>
      </c>
      <c r="E134" s="6">
        <f>IFERROR(__xludf.DUMMYFUNCTION("""COMPUTED_VALUE"""),340.25)</f>
        <v>340.25</v>
      </c>
      <c r="F134" s="7">
        <f>IFERROR(__xludf.DUMMYFUNCTION("""COMPUTED_VALUE"""),1.8185208E7)</f>
        <v>18185208</v>
      </c>
      <c r="G134" s="7" t="str">
        <f>IFERROR(__xludf.DUMMYFUNCTION("""COMPUTED_VALUE"""),"BPCL.NS")</f>
        <v>BPCL.NS</v>
      </c>
      <c r="H134" s="8">
        <f t="shared" si="1"/>
        <v>-0.006569343066</v>
      </c>
      <c r="I134" s="8">
        <f t="shared" si="2"/>
        <v>0.006569343066</v>
      </c>
      <c r="J134" s="7" t="str">
        <f t="shared" si="3"/>
        <v>Oct-2024</v>
      </c>
      <c r="K134" s="9">
        <f t="shared" si="4"/>
        <v>45566</v>
      </c>
      <c r="L134" s="7" t="str">
        <f t="shared" si="5"/>
        <v/>
      </c>
      <c r="M134" s="7" t="str">
        <f>IFERROR(__xludf.DUMMYFUNCTION("IFERROR(
  IF(
    F134 &gt;
    3*AVERAGE(
       FILTER($F$2:$F10491,
         $G$2:$G10491=G134,
         $A$2:$A10491&gt;=A134-20,
         $A$2:$A10491&lt;=A134
       )
    ),
    ""VOL_SPIKE_3X"",""""
  ),
"""")
"),"")</f>
        <v/>
      </c>
      <c r="N134" s="7" t="str">
        <f t="shared" si="6"/>
        <v/>
      </c>
      <c r="O134" s="7" t="str">
        <f t="shared" si="7"/>
        <v/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f>IFERROR(__xludf.DUMMYFUNCTION("""COMPUTED_VALUE"""),45569.0)</f>
        <v>45569</v>
      </c>
      <c r="B135" s="6">
        <f>IFERROR(__xludf.DUMMYFUNCTION("""COMPUTED_VALUE"""),499.6)</f>
        <v>499.6</v>
      </c>
      <c r="C135" s="6">
        <f>IFERROR(__xludf.DUMMYFUNCTION("""COMPUTED_VALUE"""),504.65)</f>
        <v>504.65</v>
      </c>
      <c r="D135" s="6">
        <f>IFERROR(__xludf.DUMMYFUNCTION("""COMPUTED_VALUE"""),494.05)</f>
        <v>494.05</v>
      </c>
      <c r="E135" s="6">
        <f>IFERROR(__xludf.DUMMYFUNCTION("""COMPUTED_VALUE"""),497.2)</f>
        <v>497.2</v>
      </c>
      <c r="F135" s="7">
        <f>IFERROR(__xludf.DUMMYFUNCTION("""COMPUTED_VALUE"""),7170285.0)</f>
        <v>7170285</v>
      </c>
      <c r="G135" s="7" t="str">
        <f>IFERROR(__xludf.DUMMYFUNCTION("""COMPUTED_VALUE"""),"COALINDIA.NS")</f>
        <v>COALINDIA.NS</v>
      </c>
      <c r="H135" s="8">
        <f t="shared" si="1"/>
        <v>-0.004803843074</v>
      </c>
      <c r="I135" s="8">
        <f t="shared" si="2"/>
        <v>0.004803843074</v>
      </c>
      <c r="J135" s="7" t="str">
        <f t="shared" si="3"/>
        <v>Oct-2024</v>
      </c>
      <c r="K135" s="9">
        <f t="shared" si="4"/>
        <v>45566</v>
      </c>
      <c r="L135" s="7" t="str">
        <f t="shared" si="5"/>
        <v/>
      </c>
      <c r="M135" s="7" t="str">
        <f>IFERROR(__xludf.DUMMYFUNCTION("IFERROR(
  IF(
    F135 &gt;
    3*AVERAGE(
       FILTER($F$2:$F10491,
         $G$2:$G10491=G135,
         $A$2:$A10491&gt;=A135-20,
         $A$2:$A10491&lt;=A135
       )
    ),
    ""VOL_SPIKE_3X"",""""
  ),
"""")
"),"")</f>
        <v/>
      </c>
      <c r="N135" s="7" t="str">
        <f t="shared" si="6"/>
        <v/>
      </c>
      <c r="O135" s="7" t="str">
        <f t="shared" si="7"/>
        <v/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f>IFERROR(__xludf.DUMMYFUNCTION("""COMPUTED_VALUE"""),45569.0)</f>
        <v>45569</v>
      </c>
      <c r="B136" s="6">
        <f>IFERROR(__xludf.DUMMYFUNCTION("""COMPUTED_VALUE"""),407.0)</f>
        <v>407</v>
      </c>
      <c r="C136" s="6">
        <f>IFERROR(__xludf.DUMMYFUNCTION("""COMPUTED_VALUE"""),413.75)</f>
        <v>413.75</v>
      </c>
      <c r="D136" s="6">
        <f>IFERROR(__xludf.DUMMYFUNCTION("""COMPUTED_VALUE"""),395.1)</f>
        <v>395.1</v>
      </c>
      <c r="E136" s="6">
        <f>IFERROR(__xludf.DUMMYFUNCTION("""COMPUTED_VALUE"""),406.9)</f>
        <v>406.9</v>
      </c>
      <c r="F136" s="7">
        <f>IFERROR(__xludf.DUMMYFUNCTION("""COMPUTED_VALUE"""),1.235434E7)</f>
        <v>12354340</v>
      </c>
      <c r="G136" s="7" t="str">
        <f>IFERROR(__xludf.DUMMYFUNCTION("""COMPUTED_VALUE"""),"HINDPETRO.NS")</f>
        <v>HINDPETRO.NS</v>
      </c>
      <c r="H136" s="8">
        <f t="shared" si="1"/>
        <v>-0.0002457002457</v>
      </c>
      <c r="I136" s="8">
        <f t="shared" si="2"/>
        <v>0.0002457002457</v>
      </c>
      <c r="J136" s="7" t="str">
        <f t="shared" si="3"/>
        <v>Oct-2024</v>
      </c>
      <c r="K136" s="9">
        <f t="shared" si="4"/>
        <v>45566</v>
      </c>
      <c r="L136" s="7" t="str">
        <f t="shared" si="5"/>
        <v/>
      </c>
      <c r="M136" s="7" t="str">
        <f>IFERROR(__xludf.DUMMYFUNCTION("IFERROR(
  IF(
    F136 &gt;
    3*AVERAGE(
       FILTER($F$2:$F10491,
         $G$2:$G10491=G136,
         $A$2:$A10491&gt;=A136-20,
         $A$2:$A10491&lt;=A136
       )
    ),
    ""VOL_SPIKE_3X"",""""
  ),
"""")
"),"")</f>
        <v/>
      </c>
      <c r="N136" s="7" t="str">
        <f t="shared" si="6"/>
        <v/>
      </c>
      <c r="O136" s="7" t="str">
        <f t="shared" si="7"/>
        <v/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f>IFERROR(__xludf.DUMMYFUNCTION("""COMPUTED_VALUE"""),45569.0)</f>
        <v>45569</v>
      </c>
      <c r="B137" s="6">
        <f>IFERROR(__xludf.DUMMYFUNCTION("""COMPUTED_VALUE"""),169.5)</f>
        <v>169.5</v>
      </c>
      <c r="C137" s="6">
        <f>IFERROR(__xludf.DUMMYFUNCTION("""COMPUTED_VALUE"""),170.49)</f>
        <v>170.49</v>
      </c>
      <c r="D137" s="6">
        <f>IFERROR(__xludf.DUMMYFUNCTION("""COMPUTED_VALUE"""),165.6)</f>
        <v>165.6</v>
      </c>
      <c r="E137" s="6">
        <f>IFERROR(__xludf.DUMMYFUNCTION("""COMPUTED_VALUE"""),168.65)</f>
        <v>168.65</v>
      </c>
      <c r="F137" s="7">
        <f>IFERROR(__xludf.DUMMYFUNCTION("""COMPUTED_VALUE"""),2.5223563E7)</f>
        <v>25223563</v>
      </c>
      <c r="G137" s="7" t="str">
        <f>IFERROR(__xludf.DUMMYFUNCTION("""COMPUTED_VALUE"""),"IOC.NS")</f>
        <v>IOC.NS</v>
      </c>
      <c r="H137" s="8">
        <f t="shared" si="1"/>
        <v>-0.005014749263</v>
      </c>
      <c r="I137" s="8">
        <f t="shared" si="2"/>
        <v>0.005014749263</v>
      </c>
      <c r="J137" s="7" t="str">
        <f t="shared" si="3"/>
        <v>Oct-2024</v>
      </c>
      <c r="K137" s="9">
        <f t="shared" si="4"/>
        <v>45566</v>
      </c>
      <c r="L137" s="7" t="str">
        <f t="shared" si="5"/>
        <v/>
      </c>
      <c r="M137" s="7" t="str">
        <f>IFERROR(__xludf.DUMMYFUNCTION("IFERROR(
  IF(
    F137 &gt;
    3*AVERAGE(
       FILTER($F$2:$F10491,
         $G$2:$G10491=G137,
         $A$2:$A10491&gt;=A137-20,
         $A$2:$A10491&lt;=A137
       )
    ),
    ""VOL_SPIKE_3X"",""""
  ),
"""")
"),"")</f>
        <v/>
      </c>
      <c r="N137" s="7" t="str">
        <f t="shared" si="6"/>
        <v/>
      </c>
      <c r="O137" s="7" t="str">
        <f t="shared" si="7"/>
        <v/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f>IFERROR(__xludf.DUMMYFUNCTION("""COMPUTED_VALUE"""),45569.0)</f>
        <v>45569</v>
      </c>
      <c r="B138" s="6">
        <f>IFERROR(__xludf.DUMMYFUNCTION("""COMPUTED_VALUE"""),432.9)</f>
        <v>432.9</v>
      </c>
      <c r="C138" s="6">
        <f>IFERROR(__xludf.DUMMYFUNCTION("""COMPUTED_VALUE"""),439.35)</f>
        <v>439.35</v>
      </c>
      <c r="D138" s="6">
        <f>IFERROR(__xludf.DUMMYFUNCTION("""COMPUTED_VALUE"""),426.3)</f>
        <v>426.3</v>
      </c>
      <c r="E138" s="6">
        <f>IFERROR(__xludf.DUMMYFUNCTION("""COMPUTED_VALUE"""),430.45)</f>
        <v>430.45</v>
      </c>
      <c r="F138" s="7">
        <f>IFERROR(__xludf.DUMMYFUNCTION("""COMPUTED_VALUE"""),1.8347292E7)</f>
        <v>18347292</v>
      </c>
      <c r="G138" s="7" t="str">
        <f>IFERROR(__xludf.DUMMYFUNCTION("""COMPUTED_VALUE"""),"NTPC.NS")</f>
        <v>NTPC.NS</v>
      </c>
      <c r="H138" s="8">
        <f t="shared" si="1"/>
        <v>-0.00565950566</v>
      </c>
      <c r="I138" s="8">
        <f t="shared" si="2"/>
        <v>0.00565950566</v>
      </c>
      <c r="J138" s="7" t="str">
        <f t="shared" si="3"/>
        <v>Oct-2024</v>
      </c>
      <c r="K138" s="9">
        <f t="shared" si="4"/>
        <v>45566</v>
      </c>
      <c r="L138" s="7" t="str">
        <f t="shared" si="5"/>
        <v/>
      </c>
      <c r="M138" s="7" t="str">
        <f>IFERROR(__xludf.DUMMYFUNCTION("IFERROR(
  IF(
    F138 &gt;
    3*AVERAGE(
       FILTER($F$2:$F10491,
         $G$2:$G10491=G138,
         $A$2:$A10491&gt;=A138-20,
         $A$2:$A10491&lt;=A138
       )
    ),
    ""VOL_SPIKE_3X"",""""
  ),
"""")
"),"")</f>
        <v/>
      </c>
      <c r="N138" s="7" t="str">
        <f t="shared" si="6"/>
        <v/>
      </c>
      <c r="O138" s="7" t="str">
        <f t="shared" si="7"/>
        <v/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f>IFERROR(__xludf.DUMMYFUNCTION("""COMPUTED_VALUE"""),45569.0)</f>
        <v>45569</v>
      </c>
      <c r="B139" s="6">
        <f>IFERROR(__xludf.DUMMYFUNCTION("""COMPUTED_VALUE"""),297.0)</f>
        <v>297</v>
      </c>
      <c r="C139" s="6">
        <f>IFERROR(__xludf.DUMMYFUNCTION("""COMPUTED_VALUE"""),299.7)</f>
        <v>299.7</v>
      </c>
      <c r="D139" s="6">
        <f>IFERROR(__xludf.DUMMYFUNCTION("""COMPUTED_VALUE"""),293.2)</f>
        <v>293.2</v>
      </c>
      <c r="E139" s="6">
        <f>IFERROR(__xludf.DUMMYFUNCTION("""COMPUTED_VALUE"""),295.25)</f>
        <v>295.25</v>
      </c>
      <c r="F139" s="7">
        <f>IFERROR(__xludf.DUMMYFUNCTION("""COMPUTED_VALUE"""),2.3104209E7)</f>
        <v>23104209</v>
      </c>
      <c r="G139" s="7" t="str">
        <f>IFERROR(__xludf.DUMMYFUNCTION("""COMPUTED_VALUE"""),"ONGC.NS")</f>
        <v>ONGC.NS</v>
      </c>
      <c r="H139" s="8">
        <f t="shared" si="1"/>
        <v>-0.005892255892</v>
      </c>
      <c r="I139" s="8">
        <f t="shared" si="2"/>
        <v>0.005892255892</v>
      </c>
      <c r="J139" s="7" t="str">
        <f t="shared" si="3"/>
        <v>Oct-2024</v>
      </c>
      <c r="K139" s="9">
        <f t="shared" si="4"/>
        <v>45566</v>
      </c>
      <c r="L139" s="7" t="str">
        <f t="shared" si="5"/>
        <v/>
      </c>
      <c r="M139" s="7" t="str">
        <f>IFERROR(__xludf.DUMMYFUNCTION("IFERROR(
  IF(
    F139 &gt;
    3*AVERAGE(
       FILTER($F$2:$F10491,
         $G$2:$G10491=G139,
         $A$2:$A10491&gt;=A139-20,
         $A$2:$A10491&lt;=A139
       )
    ),
    ""VOL_SPIKE_3X"",""""
  ),
"""")
"),"")</f>
        <v/>
      </c>
      <c r="N139" s="7" t="str">
        <f t="shared" si="6"/>
        <v/>
      </c>
      <c r="O139" s="7" t="str">
        <f t="shared" si="7"/>
        <v/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f>IFERROR(__xludf.DUMMYFUNCTION("""COMPUTED_VALUE"""),45569.0)</f>
        <v>45569</v>
      </c>
      <c r="B140" s="6">
        <f>IFERROR(__xludf.DUMMYFUNCTION("""COMPUTED_VALUE"""),343.0)</f>
        <v>343</v>
      </c>
      <c r="C140" s="6">
        <f>IFERROR(__xludf.DUMMYFUNCTION("""COMPUTED_VALUE"""),347.45)</f>
        <v>347.45</v>
      </c>
      <c r="D140" s="6">
        <f>IFERROR(__xludf.DUMMYFUNCTION("""COMPUTED_VALUE"""),337.75)</f>
        <v>337.75</v>
      </c>
      <c r="E140" s="6">
        <f>IFERROR(__xludf.DUMMYFUNCTION("""COMPUTED_VALUE"""),338.85)</f>
        <v>338.85</v>
      </c>
      <c r="F140" s="7">
        <f>IFERROR(__xludf.DUMMYFUNCTION("""COMPUTED_VALUE"""),2.0121706E7)</f>
        <v>20121706</v>
      </c>
      <c r="G140" s="7" t="str">
        <f>IFERROR(__xludf.DUMMYFUNCTION("""COMPUTED_VALUE"""),"POWERGRID.NS")</f>
        <v>POWERGRID.NS</v>
      </c>
      <c r="H140" s="8">
        <f t="shared" si="1"/>
        <v>-0.01209912536</v>
      </c>
      <c r="I140" s="8">
        <f t="shared" si="2"/>
        <v>0.01209912536</v>
      </c>
      <c r="J140" s="7" t="str">
        <f t="shared" si="3"/>
        <v>Oct-2024</v>
      </c>
      <c r="K140" s="9">
        <f t="shared" si="4"/>
        <v>45566</v>
      </c>
      <c r="L140" s="7" t="str">
        <f t="shared" si="5"/>
        <v/>
      </c>
      <c r="M140" s="7" t="str">
        <f>IFERROR(__xludf.DUMMYFUNCTION("IFERROR(
  IF(
    F140 &gt;
    3*AVERAGE(
       FILTER($F$2:$F10491,
         $G$2:$G10491=G140,
         $A$2:$A10491&gt;=A140-20,
         $A$2:$A10491&lt;=A140
       )
    ),
    ""VOL_SPIKE_3X"",""""
  ),
"""")
"),"")</f>
        <v/>
      </c>
      <c r="N140" s="7" t="str">
        <f t="shared" si="6"/>
        <v/>
      </c>
      <c r="O140" s="7" t="str">
        <f t="shared" si="7"/>
        <v/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f>IFERROR(__xludf.DUMMYFUNCTION("""COMPUTED_VALUE"""),45569.0)</f>
        <v>45569</v>
      </c>
      <c r="B141" s="6">
        <f>IFERROR(__xludf.DUMMYFUNCTION("""COMPUTED_VALUE"""),1403.93)</f>
        <v>1403.93</v>
      </c>
      <c r="C141" s="6">
        <f>IFERROR(__xludf.DUMMYFUNCTION("""COMPUTED_VALUE"""),1417.35)</f>
        <v>1417.35</v>
      </c>
      <c r="D141" s="6">
        <f>IFERROR(__xludf.DUMMYFUNCTION("""COMPUTED_VALUE"""),1381.78)</f>
        <v>1381.78</v>
      </c>
      <c r="E141" s="6">
        <f>IFERROR(__xludf.DUMMYFUNCTION("""COMPUTED_VALUE"""),1386.53)</f>
        <v>1386.53</v>
      </c>
      <c r="F141" s="7">
        <f>IFERROR(__xludf.DUMMYFUNCTION("""COMPUTED_VALUE"""),1.8536438E7)</f>
        <v>18536438</v>
      </c>
      <c r="G141" s="7" t="str">
        <f>IFERROR(__xludf.DUMMYFUNCTION("""COMPUTED_VALUE"""),"RELIANCE.NS")</f>
        <v>RELIANCE.NS</v>
      </c>
      <c r="H141" s="8">
        <f t="shared" si="1"/>
        <v>-0.01239378032</v>
      </c>
      <c r="I141" s="8">
        <f t="shared" si="2"/>
        <v>0.01239378032</v>
      </c>
      <c r="J141" s="7" t="str">
        <f t="shared" si="3"/>
        <v>Oct-2024</v>
      </c>
      <c r="K141" s="9">
        <f t="shared" si="4"/>
        <v>45566</v>
      </c>
      <c r="L141" s="7" t="str">
        <f t="shared" si="5"/>
        <v/>
      </c>
      <c r="M141" s="7" t="str">
        <f>IFERROR(__xludf.DUMMYFUNCTION("IFERROR(
  IF(
    F141 &gt;
    3*AVERAGE(
       FILTER($F$2:$F10491,
         $G$2:$G10491=G141,
         $A$2:$A10491&gt;=A141-20,
         $A$2:$A10491&lt;=A141
       )
    ),
    ""VOL_SPIKE_3X"",""""
  ),
"""")
"),"")</f>
        <v/>
      </c>
      <c r="N141" s="7" t="str">
        <f t="shared" si="6"/>
        <v/>
      </c>
      <c r="O141" s="7" t="str">
        <f t="shared" si="7"/>
        <v/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f>IFERROR(__xludf.DUMMYFUNCTION("""COMPUTED_VALUE"""),45572.0)</f>
        <v>45572</v>
      </c>
      <c r="B142" s="6">
        <f>IFERROR(__xludf.DUMMYFUNCTION("""COMPUTED_VALUE"""),976.0)</f>
        <v>976</v>
      </c>
      <c r="C142" s="6">
        <f>IFERROR(__xludf.DUMMYFUNCTION("""COMPUTED_VALUE"""),982.7)</f>
        <v>982.7</v>
      </c>
      <c r="D142" s="6">
        <f>IFERROR(__xludf.DUMMYFUNCTION("""COMPUTED_VALUE"""),920.8)</f>
        <v>920.8</v>
      </c>
      <c r="E142" s="6">
        <f>IFERROR(__xludf.DUMMYFUNCTION("""COMPUTED_VALUE"""),934.2)</f>
        <v>934.2</v>
      </c>
      <c r="F142" s="7">
        <f>IFERROR(__xludf.DUMMYFUNCTION("""COMPUTED_VALUE"""),4321395.0)</f>
        <v>4321395</v>
      </c>
      <c r="G142" s="7" t="str">
        <f>IFERROR(__xludf.DUMMYFUNCTION("""COMPUTED_VALUE"""),"ADANIENSOL.NS")</f>
        <v>ADANIENSOL.NS</v>
      </c>
      <c r="H142" s="8">
        <f t="shared" si="1"/>
        <v>-0.04282786885</v>
      </c>
      <c r="I142" s="8">
        <f t="shared" si="2"/>
        <v>0.04282786885</v>
      </c>
      <c r="J142" s="7" t="str">
        <f t="shared" si="3"/>
        <v>Oct-2024</v>
      </c>
      <c r="K142" s="9">
        <f t="shared" si="4"/>
        <v>45566</v>
      </c>
      <c r="L142" s="7" t="str">
        <f t="shared" si="5"/>
        <v/>
      </c>
      <c r="M142" s="7" t="str">
        <f>IFERROR(__xludf.DUMMYFUNCTION("IFERROR(
  IF(
    F142 &gt;
    3*AVERAGE(
       FILTER($F$2:$F10491,
         $G$2:$G10491=G142,
         $A$2:$A10491&gt;=A142-20,
         $A$2:$A10491&lt;=A142
       )
    ),
    ""VOL_SPIKE_3X"",""""
  ),
"""")
"),"")</f>
        <v/>
      </c>
      <c r="N142" s="7" t="str">
        <f t="shared" si="6"/>
        <v/>
      </c>
      <c r="O142" s="7" t="str">
        <f t="shared" si="7"/>
        <v/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f>IFERROR(__xludf.DUMMYFUNCTION("""COMPUTED_VALUE"""),45572.0)</f>
        <v>45572</v>
      </c>
      <c r="B143" s="6">
        <f>IFERROR(__xludf.DUMMYFUNCTION("""COMPUTED_VALUE"""),1801.15)</f>
        <v>1801.15</v>
      </c>
      <c r="C143" s="6">
        <f>IFERROR(__xludf.DUMMYFUNCTION("""COMPUTED_VALUE"""),1815.1)</f>
        <v>1815.1</v>
      </c>
      <c r="D143" s="6">
        <f>IFERROR(__xludf.DUMMYFUNCTION("""COMPUTED_VALUE"""),1735.0)</f>
        <v>1735</v>
      </c>
      <c r="E143" s="6">
        <f>IFERROR(__xludf.DUMMYFUNCTION("""COMPUTED_VALUE"""),1752.45)</f>
        <v>1752.45</v>
      </c>
      <c r="F143" s="7">
        <f>IFERROR(__xludf.DUMMYFUNCTION("""COMPUTED_VALUE"""),694897.0)</f>
        <v>694897</v>
      </c>
      <c r="G143" s="7" t="str">
        <f>IFERROR(__xludf.DUMMYFUNCTION("""COMPUTED_VALUE"""),"ADANIGREEN.NS")</f>
        <v>ADANIGREEN.NS</v>
      </c>
      <c r="H143" s="8">
        <f t="shared" si="1"/>
        <v>-0.0270382811</v>
      </c>
      <c r="I143" s="8">
        <f t="shared" si="2"/>
        <v>0.0270382811</v>
      </c>
      <c r="J143" s="7" t="str">
        <f t="shared" si="3"/>
        <v>Oct-2024</v>
      </c>
      <c r="K143" s="9">
        <f t="shared" si="4"/>
        <v>45566</v>
      </c>
      <c r="L143" s="7" t="str">
        <f t="shared" si="5"/>
        <v/>
      </c>
      <c r="M143" s="7" t="str">
        <f>IFERROR(__xludf.DUMMYFUNCTION("IFERROR(
  IF(
    F143 &gt;
    3*AVERAGE(
       FILTER($F$2:$F10491,
         $G$2:$G10491=G143,
         $A$2:$A10491&gt;=A143-20,
         $A$2:$A10491&lt;=A143
       )
    ),
    ""VOL_SPIKE_3X"",""""
  ),
"""")
"),"")</f>
        <v/>
      </c>
      <c r="N143" s="7" t="str">
        <f t="shared" si="6"/>
        <v/>
      </c>
      <c r="O143" s="7" t="str">
        <f t="shared" si="7"/>
        <v/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f>IFERROR(__xludf.DUMMYFUNCTION("""COMPUTED_VALUE"""),45572.0)</f>
        <v>45572</v>
      </c>
      <c r="B144" s="6">
        <f>IFERROR(__xludf.DUMMYFUNCTION("""COMPUTED_VALUE"""),342.0)</f>
        <v>342</v>
      </c>
      <c r="C144" s="6">
        <f>IFERROR(__xludf.DUMMYFUNCTION("""COMPUTED_VALUE"""),343.3)</f>
        <v>343.3</v>
      </c>
      <c r="D144" s="6">
        <f>IFERROR(__xludf.DUMMYFUNCTION("""COMPUTED_VALUE"""),332.8)</f>
        <v>332.8</v>
      </c>
      <c r="E144" s="6">
        <f>IFERROR(__xludf.DUMMYFUNCTION("""COMPUTED_VALUE"""),335.0)</f>
        <v>335</v>
      </c>
      <c r="F144" s="7">
        <f>IFERROR(__xludf.DUMMYFUNCTION("""COMPUTED_VALUE"""),7847806.0)</f>
        <v>7847806</v>
      </c>
      <c r="G144" s="7" t="str">
        <f>IFERROR(__xludf.DUMMYFUNCTION("""COMPUTED_VALUE"""),"BPCL.NS")</f>
        <v>BPCL.NS</v>
      </c>
      <c r="H144" s="8">
        <f t="shared" si="1"/>
        <v>-0.02046783626</v>
      </c>
      <c r="I144" s="8">
        <f t="shared" si="2"/>
        <v>0.02046783626</v>
      </c>
      <c r="J144" s="7" t="str">
        <f t="shared" si="3"/>
        <v>Oct-2024</v>
      </c>
      <c r="K144" s="9">
        <f t="shared" si="4"/>
        <v>45566</v>
      </c>
      <c r="L144" s="7" t="str">
        <f t="shared" si="5"/>
        <v/>
      </c>
      <c r="M144" s="7" t="str">
        <f>IFERROR(__xludf.DUMMYFUNCTION("IFERROR(
  IF(
    F144 &gt;
    3*AVERAGE(
       FILTER($F$2:$F10491,
         $G$2:$G10491=G144,
         $A$2:$A10491&gt;=A144-20,
         $A$2:$A10491&lt;=A144
       )
    ),
    ""VOL_SPIKE_3X"",""""
  ),
"""")
"),"")</f>
        <v/>
      </c>
      <c r="N144" s="7" t="str">
        <f t="shared" si="6"/>
        <v/>
      </c>
      <c r="O144" s="7" t="str">
        <f t="shared" si="7"/>
        <v/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f>IFERROR(__xludf.DUMMYFUNCTION("""COMPUTED_VALUE"""),45572.0)</f>
        <v>45572</v>
      </c>
      <c r="B145" s="6">
        <f>IFERROR(__xludf.DUMMYFUNCTION("""COMPUTED_VALUE"""),498.1)</f>
        <v>498.1</v>
      </c>
      <c r="C145" s="6">
        <f>IFERROR(__xludf.DUMMYFUNCTION("""COMPUTED_VALUE"""),500.55)</f>
        <v>500.55</v>
      </c>
      <c r="D145" s="6">
        <f>IFERROR(__xludf.DUMMYFUNCTION("""COMPUTED_VALUE"""),475.35)</f>
        <v>475.35</v>
      </c>
      <c r="E145" s="6">
        <f>IFERROR(__xludf.DUMMYFUNCTION("""COMPUTED_VALUE"""),480.45)</f>
        <v>480.45</v>
      </c>
      <c r="F145" s="7">
        <f>IFERROR(__xludf.DUMMYFUNCTION("""COMPUTED_VALUE"""),8940891.0)</f>
        <v>8940891</v>
      </c>
      <c r="G145" s="7" t="str">
        <f>IFERROR(__xludf.DUMMYFUNCTION("""COMPUTED_VALUE"""),"COALINDIA.NS")</f>
        <v>COALINDIA.NS</v>
      </c>
      <c r="H145" s="8">
        <f t="shared" si="1"/>
        <v>-0.03543465168</v>
      </c>
      <c r="I145" s="8">
        <f t="shared" si="2"/>
        <v>0.03543465168</v>
      </c>
      <c r="J145" s="7" t="str">
        <f t="shared" si="3"/>
        <v>Oct-2024</v>
      </c>
      <c r="K145" s="9">
        <f t="shared" si="4"/>
        <v>45566</v>
      </c>
      <c r="L145" s="7" t="str">
        <f t="shared" si="5"/>
        <v/>
      </c>
      <c r="M145" s="7" t="str">
        <f>IFERROR(__xludf.DUMMYFUNCTION("IFERROR(
  IF(
    F145 &gt;
    3*AVERAGE(
       FILTER($F$2:$F10491,
         $G$2:$G10491=G145,
         $A$2:$A10491&gt;=A145-20,
         $A$2:$A10491&lt;=A145
       )
    ),
    ""VOL_SPIKE_3X"",""""
  ),
"""")
"),"")</f>
        <v/>
      </c>
      <c r="N145" s="7" t="str">
        <f t="shared" si="6"/>
        <v/>
      </c>
      <c r="O145" s="7" t="str">
        <f t="shared" si="7"/>
        <v/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f>IFERROR(__xludf.DUMMYFUNCTION("""COMPUTED_VALUE"""),45572.0)</f>
        <v>45572</v>
      </c>
      <c r="B146" s="6">
        <f>IFERROR(__xludf.DUMMYFUNCTION("""COMPUTED_VALUE"""),407.2)</f>
        <v>407.2</v>
      </c>
      <c r="C146" s="6">
        <f>IFERROR(__xludf.DUMMYFUNCTION("""COMPUTED_VALUE"""),409.35)</f>
        <v>409.35</v>
      </c>
      <c r="D146" s="6">
        <f>IFERROR(__xludf.DUMMYFUNCTION("""COMPUTED_VALUE"""),390.95)</f>
        <v>390.95</v>
      </c>
      <c r="E146" s="6">
        <f>IFERROR(__xludf.DUMMYFUNCTION("""COMPUTED_VALUE"""),393.65)</f>
        <v>393.65</v>
      </c>
      <c r="F146" s="7">
        <f>IFERROR(__xludf.DUMMYFUNCTION("""COMPUTED_VALUE"""),5679436.0)</f>
        <v>5679436</v>
      </c>
      <c r="G146" s="7" t="str">
        <f>IFERROR(__xludf.DUMMYFUNCTION("""COMPUTED_VALUE"""),"HINDPETRO.NS")</f>
        <v>HINDPETRO.NS</v>
      </c>
      <c r="H146" s="8">
        <f t="shared" si="1"/>
        <v>-0.03327603143</v>
      </c>
      <c r="I146" s="8">
        <f t="shared" si="2"/>
        <v>0.03327603143</v>
      </c>
      <c r="J146" s="7" t="str">
        <f t="shared" si="3"/>
        <v>Oct-2024</v>
      </c>
      <c r="K146" s="9">
        <f t="shared" si="4"/>
        <v>45566</v>
      </c>
      <c r="L146" s="7" t="str">
        <f t="shared" si="5"/>
        <v/>
      </c>
      <c r="M146" s="7" t="str">
        <f>IFERROR(__xludf.DUMMYFUNCTION("IFERROR(
  IF(
    F146 &gt;
    3*AVERAGE(
       FILTER($F$2:$F10491,
         $G$2:$G10491=G146,
         $A$2:$A10491&gt;=A146-20,
         $A$2:$A10491&lt;=A146
       )
    ),
    ""VOL_SPIKE_3X"",""""
  ),
"""")
"),"")</f>
        <v/>
      </c>
      <c r="N146" s="7" t="str">
        <f t="shared" si="6"/>
        <v/>
      </c>
      <c r="O146" s="7" t="str">
        <f t="shared" si="7"/>
        <v/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f>IFERROR(__xludf.DUMMYFUNCTION("""COMPUTED_VALUE"""),45572.0)</f>
        <v>45572</v>
      </c>
      <c r="B147" s="6">
        <f>IFERROR(__xludf.DUMMYFUNCTION("""COMPUTED_VALUE"""),170.79)</f>
        <v>170.79</v>
      </c>
      <c r="C147" s="6">
        <f>IFERROR(__xludf.DUMMYFUNCTION("""COMPUTED_VALUE"""),170.79)</f>
        <v>170.79</v>
      </c>
      <c r="D147" s="6">
        <f>IFERROR(__xludf.DUMMYFUNCTION("""COMPUTED_VALUE"""),162.1)</f>
        <v>162.1</v>
      </c>
      <c r="E147" s="6">
        <f>IFERROR(__xludf.DUMMYFUNCTION("""COMPUTED_VALUE"""),162.74)</f>
        <v>162.74</v>
      </c>
      <c r="F147" s="7">
        <f>IFERROR(__xludf.DUMMYFUNCTION("""COMPUTED_VALUE"""),1.9798152E7)</f>
        <v>19798152</v>
      </c>
      <c r="G147" s="7" t="str">
        <f>IFERROR(__xludf.DUMMYFUNCTION("""COMPUTED_VALUE"""),"IOC.NS")</f>
        <v>IOC.NS</v>
      </c>
      <c r="H147" s="8">
        <f t="shared" si="1"/>
        <v>-0.04713390714</v>
      </c>
      <c r="I147" s="8">
        <f t="shared" si="2"/>
        <v>0.04713390714</v>
      </c>
      <c r="J147" s="7" t="str">
        <f t="shared" si="3"/>
        <v>Oct-2024</v>
      </c>
      <c r="K147" s="9">
        <f t="shared" si="4"/>
        <v>45566</v>
      </c>
      <c r="L147" s="7" t="str">
        <f t="shared" si="5"/>
        <v/>
      </c>
      <c r="M147" s="7" t="str">
        <f>IFERROR(__xludf.DUMMYFUNCTION("IFERROR(
  IF(
    F147 &gt;
    3*AVERAGE(
       FILTER($F$2:$F10491,
         $G$2:$G10491=G147,
         $A$2:$A10491&gt;=A147-20,
         $A$2:$A10491&lt;=A147
       )
    ),
    ""VOL_SPIKE_3X"",""""
  ),
"""")
"),"")</f>
        <v/>
      </c>
      <c r="N147" s="7" t="str">
        <f t="shared" si="6"/>
        <v/>
      </c>
      <c r="O147" s="7" t="str">
        <f t="shared" si="7"/>
        <v/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f>IFERROR(__xludf.DUMMYFUNCTION("""COMPUTED_VALUE"""),45572.0)</f>
        <v>45572</v>
      </c>
      <c r="B148" s="6">
        <f>IFERROR(__xludf.DUMMYFUNCTION("""COMPUTED_VALUE"""),430.6)</f>
        <v>430.6</v>
      </c>
      <c r="C148" s="6">
        <f>IFERROR(__xludf.DUMMYFUNCTION("""COMPUTED_VALUE"""),433.0)</f>
        <v>433</v>
      </c>
      <c r="D148" s="6">
        <f>IFERROR(__xludf.DUMMYFUNCTION("""COMPUTED_VALUE"""),409.05)</f>
        <v>409.05</v>
      </c>
      <c r="E148" s="6">
        <f>IFERROR(__xludf.DUMMYFUNCTION("""COMPUTED_VALUE"""),415.45)</f>
        <v>415.45</v>
      </c>
      <c r="F148" s="7">
        <f>IFERROR(__xludf.DUMMYFUNCTION("""COMPUTED_VALUE"""),2.3431004E7)</f>
        <v>23431004</v>
      </c>
      <c r="G148" s="7" t="str">
        <f>IFERROR(__xludf.DUMMYFUNCTION("""COMPUTED_VALUE"""),"NTPC.NS")</f>
        <v>NTPC.NS</v>
      </c>
      <c r="H148" s="8">
        <f t="shared" si="1"/>
        <v>-0.03518346493</v>
      </c>
      <c r="I148" s="8">
        <f t="shared" si="2"/>
        <v>0.03518346493</v>
      </c>
      <c r="J148" s="7" t="str">
        <f t="shared" si="3"/>
        <v>Oct-2024</v>
      </c>
      <c r="K148" s="9">
        <f t="shared" si="4"/>
        <v>45566</v>
      </c>
      <c r="L148" s="7" t="str">
        <f t="shared" si="5"/>
        <v/>
      </c>
      <c r="M148" s="7" t="str">
        <f>IFERROR(__xludf.DUMMYFUNCTION("IFERROR(
  IF(
    F148 &gt;
    3*AVERAGE(
       FILTER($F$2:$F10491,
         $G$2:$G10491=G148,
         $A$2:$A10491&gt;=A148-20,
         $A$2:$A10491&lt;=A148
       )
    ),
    ""VOL_SPIKE_3X"",""""
  ),
"""")
"),"")</f>
        <v/>
      </c>
      <c r="N148" s="7" t="str">
        <f t="shared" si="6"/>
        <v/>
      </c>
      <c r="O148" s="7" t="str">
        <f t="shared" si="7"/>
        <v/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f>IFERROR(__xludf.DUMMYFUNCTION("""COMPUTED_VALUE"""),45572.0)</f>
        <v>45572</v>
      </c>
      <c r="B149" s="6">
        <f>IFERROR(__xludf.DUMMYFUNCTION("""COMPUTED_VALUE"""),296.0)</f>
        <v>296</v>
      </c>
      <c r="C149" s="6">
        <f>IFERROR(__xludf.DUMMYFUNCTION("""COMPUTED_VALUE"""),296.3)</f>
        <v>296.3</v>
      </c>
      <c r="D149" s="6">
        <f>IFERROR(__xludf.DUMMYFUNCTION("""COMPUTED_VALUE"""),281.5)</f>
        <v>281.5</v>
      </c>
      <c r="E149" s="6">
        <f>IFERROR(__xludf.DUMMYFUNCTION("""COMPUTED_VALUE"""),289.45)</f>
        <v>289.45</v>
      </c>
      <c r="F149" s="7">
        <f>IFERROR(__xludf.DUMMYFUNCTION("""COMPUTED_VALUE"""),2.0917962E7)</f>
        <v>20917962</v>
      </c>
      <c r="G149" s="7" t="str">
        <f>IFERROR(__xludf.DUMMYFUNCTION("""COMPUTED_VALUE"""),"ONGC.NS")</f>
        <v>ONGC.NS</v>
      </c>
      <c r="H149" s="8">
        <f t="shared" si="1"/>
        <v>-0.02212837838</v>
      </c>
      <c r="I149" s="8">
        <f t="shared" si="2"/>
        <v>0.02212837838</v>
      </c>
      <c r="J149" s="7" t="str">
        <f t="shared" si="3"/>
        <v>Oct-2024</v>
      </c>
      <c r="K149" s="9">
        <f t="shared" si="4"/>
        <v>45566</v>
      </c>
      <c r="L149" s="7" t="str">
        <f t="shared" si="5"/>
        <v/>
      </c>
      <c r="M149" s="7" t="str">
        <f>IFERROR(__xludf.DUMMYFUNCTION("IFERROR(
  IF(
    F149 &gt;
    3*AVERAGE(
       FILTER($F$2:$F10491,
         $G$2:$G10491=G149,
         $A$2:$A10491&gt;=A149-20,
         $A$2:$A10491&lt;=A149
       )
    ),
    ""VOL_SPIKE_3X"",""""
  ),
"""")
"),"")</f>
        <v/>
      </c>
      <c r="N149" s="7" t="str">
        <f t="shared" si="6"/>
        <v/>
      </c>
      <c r="O149" s="7" t="str">
        <f t="shared" si="7"/>
        <v/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f>IFERROR(__xludf.DUMMYFUNCTION("""COMPUTED_VALUE"""),45572.0)</f>
        <v>45572</v>
      </c>
      <c r="B150" s="6">
        <f>IFERROR(__xludf.DUMMYFUNCTION("""COMPUTED_VALUE"""),340.0)</f>
        <v>340</v>
      </c>
      <c r="C150" s="6">
        <f>IFERROR(__xludf.DUMMYFUNCTION("""COMPUTED_VALUE"""),340.0)</f>
        <v>340</v>
      </c>
      <c r="D150" s="6">
        <f>IFERROR(__xludf.DUMMYFUNCTION("""COMPUTED_VALUE"""),325.0)</f>
        <v>325</v>
      </c>
      <c r="E150" s="6">
        <f>IFERROR(__xludf.DUMMYFUNCTION("""COMPUTED_VALUE"""),328.95)</f>
        <v>328.95</v>
      </c>
      <c r="F150" s="7">
        <f>IFERROR(__xludf.DUMMYFUNCTION("""COMPUTED_VALUE"""),1.3851446E7)</f>
        <v>13851446</v>
      </c>
      <c r="G150" s="7" t="str">
        <f>IFERROR(__xludf.DUMMYFUNCTION("""COMPUTED_VALUE"""),"POWERGRID.NS")</f>
        <v>POWERGRID.NS</v>
      </c>
      <c r="H150" s="8">
        <f t="shared" si="1"/>
        <v>-0.0325</v>
      </c>
      <c r="I150" s="8">
        <f t="shared" si="2"/>
        <v>0.0325</v>
      </c>
      <c r="J150" s="7" t="str">
        <f t="shared" si="3"/>
        <v>Oct-2024</v>
      </c>
      <c r="K150" s="9">
        <f t="shared" si="4"/>
        <v>45566</v>
      </c>
      <c r="L150" s="7" t="str">
        <f t="shared" si="5"/>
        <v/>
      </c>
      <c r="M150" s="7" t="str">
        <f>IFERROR(__xludf.DUMMYFUNCTION("IFERROR(
  IF(
    F150 &gt;
    3*AVERAGE(
       FILTER($F$2:$F10491,
         $G$2:$G10491=G150,
         $A$2:$A10491&gt;=A150-20,
         $A$2:$A10491&lt;=A150
       )
    ),
    ""VOL_SPIKE_3X"",""""
  ),
"""")
"),"")</f>
        <v/>
      </c>
      <c r="N150" s="7" t="str">
        <f t="shared" si="6"/>
        <v/>
      </c>
      <c r="O150" s="7" t="str">
        <f t="shared" si="7"/>
        <v/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f>IFERROR(__xludf.DUMMYFUNCTION("""COMPUTED_VALUE"""),45572.0)</f>
        <v>45572</v>
      </c>
      <c r="B151" s="6">
        <f>IFERROR(__xludf.DUMMYFUNCTION("""COMPUTED_VALUE"""),1393.5)</f>
        <v>1393.5</v>
      </c>
      <c r="C151" s="6">
        <f>IFERROR(__xludf.DUMMYFUNCTION("""COMPUTED_VALUE"""),1396.5)</f>
        <v>1396.5</v>
      </c>
      <c r="D151" s="6">
        <f>IFERROR(__xludf.DUMMYFUNCTION("""COMPUTED_VALUE"""),1361.38)</f>
        <v>1361.38</v>
      </c>
      <c r="E151" s="6">
        <f>IFERROR(__xludf.DUMMYFUNCTION("""COMPUTED_VALUE"""),1370.73)</f>
        <v>1370.73</v>
      </c>
      <c r="F151" s="7">
        <f>IFERROR(__xludf.DUMMYFUNCTION("""COMPUTED_VALUE"""),1.109067E7)</f>
        <v>11090670</v>
      </c>
      <c r="G151" s="7" t="str">
        <f>IFERROR(__xludf.DUMMYFUNCTION("""COMPUTED_VALUE"""),"RELIANCE.NS")</f>
        <v>RELIANCE.NS</v>
      </c>
      <c r="H151" s="8">
        <f t="shared" si="1"/>
        <v>-0.0163401507</v>
      </c>
      <c r="I151" s="8">
        <f t="shared" si="2"/>
        <v>0.0163401507</v>
      </c>
      <c r="J151" s="7" t="str">
        <f t="shared" si="3"/>
        <v>Oct-2024</v>
      </c>
      <c r="K151" s="9">
        <f t="shared" si="4"/>
        <v>45566</v>
      </c>
      <c r="L151" s="7" t="str">
        <f t="shared" si="5"/>
        <v/>
      </c>
      <c r="M151" s="7" t="str">
        <f>IFERROR(__xludf.DUMMYFUNCTION("IFERROR(
  IF(
    F151 &gt;
    3*AVERAGE(
       FILTER($F$2:$F10491,
         $G$2:$G10491=G151,
         $A$2:$A10491&gt;=A151-20,
         $A$2:$A10491&lt;=A151
       )
    ),
    ""VOL_SPIKE_3X"",""""
  ),
"""")
"),"")</f>
        <v/>
      </c>
      <c r="N151" s="7" t="str">
        <f t="shared" si="6"/>
        <v/>
      </c>
      <c r="O151" s="7" t="str">
        <f t="shared" si="7"/>
        <v/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f>IFERROR(__xludf.DUMMYFUNCTION("""COMPUTED_VALUE"""),45573.0)</f>
        <v>45573</v>
      </c>
      <c r="B152" s="6">
        <f>IFERROR(__xludf.DUMMYFUNCTION("""COMPUTED_VALUE"""),931.0)</f>
        <v>931</v>
      </c>
      <c r="C152" s="6">
        <f>IFERROR(__xludf.DUMMYFUNCTION("""COMPUTED_VALUE"""),1010.0)</f>
        <v>1010</v>
      </c>
      <c r="D152" s="6">
        <f>IFERROR(__xludf.DUMMYFUNCTION("""COMPUTED_VALUE"""),915.0)</f>
        <v>915</v>
      </c>
      <c r="E152" s="6">
        <f>IFERROR(__xludf.DUMMYFUNCTION("""COMPUTED_VALUE"""),1007.3)</f>
        <v>1007.3</v>
      </c>
      <c r="F152" s="7">
        <f>IFERROR(__xludf.DUMMYFUNCTION("""COMPUTED_VALUE"""),4982440.0)</f>
        <v>4982440</v>
      </c>
      <c r="G152" s="7" t="str">
        <f>IFERROR(__xludf.DUMMYFUNCTION("""COMPUTED_VALUE"""),"ADANIENSOL.NS")</f>
        <v>ADANIENSOL.NS</v>
      </c>
      <c r="H152" s="8">
        <f t="shared" si="1"/>
        <v>0.08195488722</v>
      </c>
      <c r="I152" s="8">
        <f t="shared" si="2"/>
        <v>0.08195488722</v>
      </c>
      <c r="J152" s="7" t="str">
        <f t="shared" si="3"/>
        <v>Oct-2024</v>
      </c>
      <c r="K152" s="9">
        <f t="shared" si="4"/>
        <v>45566</v>
      </c>
      <c r="L152" s="7" t="str">
        <f t="shared" si="5"/>
        <v>PRICE_MOVE_5PCT+</v>
      </c>
      <c r="M152" s="7" t="str">
        <f>IFERROR(__xludf.DUMMYFUNCTION("IFERROR(
  IF(
    F152 &gt;
    3*AVERAGE(
       FILTER($F$2:$F10491,
         $G$2:$G10491=G152,
         $A$2:$A10491&gt;=A152-20,
         $A$2:$A10491&lt;=A152
       )
    ),
    ""VOL_SPIKE_3X"",""""
  ),
"""")
"),"")</f>
        <v/>
      </c>
      <c r="N152" s="7" t="str">
        <f t="shared" si="6"/>
        <v>PRICE_MOVE_5PCT+</v>
      </c>
      <c r="O152" s="7" t="str">
        <f t="shared" si="7"/>
        <v/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f>IFERROR(__xludf.DUMMYFUNCTION("""COMPUTED_VALUE"""),45573.0)</f>
        <v>45573</v>
      </c>
      <c r="B153" s="6">
        <f>IFERROR(__xludf.DUMMYFUNCTION("""COMPUTED_VALUE"""),1751.0)</f>
        <v>1751</v>
      </c>
      <c r="C153" s="6">
        <f>IFERROR(__xludf.DUMMYFUNCTION("""COMPUTED_VALUE"""),1822.0)</f>
        <v>1822</v>
      </c>
      <c r="D153" s="6">
        <f>IFERROR(__xludf.DUMMYFUNCTION("""COMPUTED_VALUE"""),1725.55)</f>
        <v>1725.55</v>
      </c>
      <c r="E153" s="6">
        <f>IFERROR(__xludf.DUMMYFUNCTION("""COMPUTED_VALUE"""),1813.85)</f>
        <v>1813.85</v>
      </c>
      <c r="F153" s="7">
        <f>IFERROR(__xludf.DUMMYFUNCTION("""COMPUTED_VALUE"""),752389.0)</f>
        <v>752389</v>
      </c>
      <c r="G153" s="7" t="str">
        <f>IFERROR(__xludf.DUMMYFUNCTION("""COMPUTED_VALUE"""),"ADANIGREEN.NS")</f>
        <v>ADANIGREEN.NS</v>
      </c>
      <c r="H153" s="8">
        <f t="shared" si="1"/>
        <v>0.03589377499</v>
      </c>
      <c r="I153" s="8">
        <f t="shared" si="2"/>
        <v>0.03589377499</v>
      </c>
      <c r="J153" s="7" t="str">
        <f t="shared" si="3"/>
        <v>Oct-2024</v>
      </c>
      <c r="K153" s="9">
        <f t="shared" si="4"/>
        <v>45566</v>
      </c>
      <c r="L153" s="7" t="str">
        <f t="shared" si="5"/>
        <v/>
      </c>
      <c r="M153" s="7" t="str">
        <f>IFERROR(__xludf.DUMMYFUNCTION("IFERROR(
  IF(
    F153 &gt;
    3*AVERAGE(
       FILTER($F$2:$F10491,
         $G$2:$G10491=G153,
         $A$2:$A10491&gt;=A153-20,
         $A$2:$A10491&lt;=A153
       )
    ),
    ""VOL_SPIKE_3X"",""""
  ),
"""")
"),"")</f>
        <v/>
      </c>
      <c r="N153" s="7" t="str">
        <f t="shared" si="6"/>
        <v/>
      </c>
      <c r="O153" s="7" t="str">
        <f t="shared" si="7"/>
        <v/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f>IFERROR(__xludf.DUMMYFUNCTION("""COMPUTED_VALUE"""),45573.0)</f>
        <v>45573</v>
      </c>
      <c r="B154" s="6">
        <f>IFERROR(__xludf.DUMMYFUNCTION("""COMPUTED_VALUE"""),331.5)</f>
        <v>331.5</v>
      </c>
      <c r="C154" s="6">
        <f>IFERROR(__xludf.DUMMYFUNCTION("""COMPUTED_VALUE"""),339.45)</f>
        <v>339.45</v>
      </c>
      <c r="D154" s="6">
        <f>IFERROR(__xludf.DUMMYFUNCTION("""COMPUTED_VALUE"""),328.25)</f>
        <v>328.25</v>
      </c>
      <c r="E154" s="6">
        <f>IFERROR(__xludf.DUMMYFUNCTION("""COMPUTED_VALUE"""),338.0)</f>
        <v>338</v>
      </c>
      <c r="F154" s="7">
        <f>IFERROR(__xludf.DUMMYFUNCTION("""COMPUTED_VALUE"""),9565667.0)</f>
        <v>9565667</v>
      </c>
      <c r="G154" s="7" t="str">
        <f>IFERROR(__xludf.DUMMYFUNCTION("""COMPUTED_VALUE"""),"BPCL.NS")</f>
        <v>BPCL.NS</v>
      </c>
      <c r="H154" s="8">
        <f t="shared" si="1"/>
        <v>0.01960784314</v>
      </c>
      <c r="I154" s="8">
        <f t="shared" si="2"/>
        <v>0.01960784314</v>
      </c>
      <c r="J154" s="7" t="str">
        <f t="shared" si="3"/>
        <v>Oct-2024</v>
      </c>
      <c r="K154" s="9">
        <f t="shared" si="4"/>
        <v>45566</v>
      </c>
      <c r="L154" s="7" t="str">
        <f t="shared" si="5"/>
        <v/>
      </c>
      <c r="M154" s="7" t="str">
        <f>IFERROR(__xludf.DUMMYFUNCTION("IFERROR(
  IF(
    F154 &gt;
    3*AVERAGE(
       FILTER($F$2:$F10491,
         $G$2:$G10491=G154,
         $A$2:$A10491&gt;=A154-20,
         $A$2:$A10491&lt;=A154
       )
    ),
    ""VOL_SPIKE_3X"",""""
  ),
"""")
"),"")</f>
        <v/>
      </c>
      <c r="N154" s="7" t="str">
        <f t="shared" si="6"/>
        <v/>
      </c>
      <c r="O154" s="7" t="str">
        <f t="shared" si="7"/>
        <v/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f>IFERROR(__xludf.DUMMYFUNCTION("""COMPUTED_VALUE"""),45573.0)</f>
        <v>45573</v>
      </c>
      <c r="B155" s="6">
        <f>IFERROR(__xludf.DUMMYFUNCTION("""COMPUTED_VALUE"""),480.8)</f>
        <v>480.8</v>
      </c>
      <c r="C155" s="6">
        <f>IFERROR(__xludf.DUMMYFUNCTION("""COMPUTED_VALUE"""),492.75)</f>
        <v>492.75</v>
      </c>
      <c r="D155" s="6">
        <f>IFERROR(__xludf.DUMMYFUNCTION("""COMPUTED_VALUE"""),476.45)</f>
        <v>476.45</v>
      </c>
      <c r="E155" s="6">
        <f>IFERROR(__xludf.DUMMYFUNCTION("""COMPUTED_VALUE"""),491.85)</f>
        <v>491.85</v>
      </c>
      <c r="F155" s="7">
        <f>IFERROR(__xludf.DUMMYFUNCTION("""COMPUTED_VALUE"""),6049075.0)</f>
        <v>6049075</v>
      </c>
      <c r="G155" s="7" t="str">
        <f>IFERROR(__xludf.DUMMYFUNCTION("""COMPUTED_VALUE"""),"COALINDIA.NS")</f>
        <v>COALINDIA.NS</v>
      </c>
      <c r="H155" s="8">
        <f t="shared" si="1"/>
        <v>0.02298252912</v>
      </c>
      <c r="I155" s="8">
        <f t="shared" si="2"/>
        <v>0.02298252912</v>
      </c>
      <c r="J155" s="7" t="str">
        <f t="shared" si="3"/>
        <v>Oct-2024</v>
      </c>
      <c r="K155" s="9">
        <f t="shared" si="4"/>
        <v>45566</v>
      </c>
      <c r="L155" s="7" t="str">
        <f t="shared" si="5"/>
        <v/>
      </c>
      <c r="M155" s="7" t="str">
        <f>IFERROR(__xludf.DUMMYFUNCTION("IFERROR(
  IF(
    F155 &gt;
    3*AVERAGE(
       FILTER($F$2:$F10491,
         $G$2:$G10491=G155,
         $A$2:$A10491&gt;=A155-20,
         $A$2:$A10491&lt;=A155
       )
    ),
    ""VOL_SPIKE_3X"",""""
  ),
"""")
"),"")</f>
        <v/>
      </c>
      <c r="N155" s="7" t="str">
        <f t="shared" si="6"/>
        <v/>
      </c>
      <c r="O155" s="7" t="str">
        <f t="shared" si="7"/>
        <v/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f>IFERROR(__xludf.DUMMYFUNCTION("""COMPUTED_VALUE"""),45573.0)</f>
        <v>45573</v>
      </c>
      <c r="B156" s="6">
        <f>IFERROR(__xludf.DUMMYFUNCTION("""COMPUTED_VALUE"""),388.0)</f>
        <v>388</v>
      </c>
      <c r="C156" s="6">
        <f>IFERROR(__xludf.DUMMYFUNCTION("""COMPUTED_VALUE"""),395.0)</f>
        <v>395</v>
      </c>
      <c r="D156" s="6">
        <f>IFERROR(__xludf.DUMMYFUNCTION("""COMPUTED_VALUE"""),381.5)</f>
        <v>381.5</v>
      </c>
      <c r="E156" s="6">
        <f>IFERROR(__xludf.DUMMYFUNCTION("""COMPUTED_VALUE"""),390.25)</f>
        <v>390.25</v>
      </c>
      <c r="F156" s="7">
        <f>IFERROR(__xludf.DUMMYFUNCTION("""COMPUTED_VALUE"""),1.2815777E7)</f>
        <v>12815777</v>
      </c>
      <c r="G156" s="7" t="str">
        <f>IFERROR(__xludf.DUMMYFUNCTION("""COMPUTED_VALUE"""),"HINDPETRO.NS")</f>
        <v>HINDPETRO.NS</v>
      </c>
      <c r="H156" s="8">
        <f t="shared" si="1"/>
        <v>0.005798969072</v>
      </c>
      <c r="I156" s="8">
        <f t="shared" si="2"/>
        <v>0.005798969072</v>
      </c>
      <c r="J156" s="7" t="str">
        <f t="shared" si="3"/>
        <v>Oct-2024</v>
      </c>
      <c r="K156" s="9">
        <f t="shared" si="4"/>
        <v>45566</v>
      </c>
      <c r="L156" s="7" t="str">
        <f t="shared" si="5"/>
        <v/>
      </c>
      <c r="M156" s="7" t="str">
        <f>IFERROR(__xludf.DUMMYFUNCTION("IFERROR(
  IF(
    F156 &gt;
    3*AVERAGE(
       FILTER($F$2:$F10491,
         $G$2:$G10491=G156,
         $A$2:$A10491&gt;=A156-20,
         $A$2:$A10491&lt;=A156
       )
    ),
    ""VOL_SPIKE_3X"",""""
  ),
"""")
"),"")</f>
        <v/>
      </c>
      <c r="N156" s="7" t="str">
        <f t="shared" si="6"/>
        <v/>
      </c>
      <c r="O156" s="7" t="str">
        <f t="shared" si="7"/>
        <v/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f>IFERROR(__xludf.DUMMYFUNCTION("""COMPUTED_VALUE"""),45573.0)</f>
        <v>45573</v>
      </c>
      <c r="B157" s="6">
        <f>IFERROR(__xludf.DUMMYFUNCTION("""COMPUTED_VALUE"""),162.05)</f>
        <v>162.05</v>
      </c>
      <c r="C157" s="6">
        <f>IFERROR(__xludf.DUMMYFUNCTION("""COMPUTED_VALUE"""),165.0)</f>
        <v>165</v>
      </c>
      <c r="D157" s="6">
        <f>IFERROR(__xludf.DUMMYFUNCTION("""COMPUTED_VALUE"""),160.76)</f>
        <v>160.76</v>
      </c>
      <c r="E157" s="6">
        <f>IFERROR(__xludf.DUMMYFUNCTION("""COMPUTED_VALUE"""),164.24)</f>
        <v>164.24</v>
      </c>
      <c r="F157" s="7">
        <f>IFERROR(__xludf.DUMMYFUNCTION("""COMPUTED_VALUE"""),1.4948163E7)</f>
        <v>14948163</v>
      </c>
      <c r="G157" s="7" t="str">
        <f>IFERROR(__xludf.DUMMYFUNCTION("""COMPUTED_VALUE"""),"IOC.NS")</f>
        <v>IOC.NS</v>
      </c>
      <c r="H157" s="8">
        <f t="shared" si="1"/>
        <v>0.01351434742</v>
      </c>
      <c r="I157" s="8">
        <f t="shared" si="2"/>
        <v>0.01351434742</v>
      </c>
      <c r="J157" s="7" t="str">
        <f t="shared" si="3"/>
        <v>Oct-2024</v>
      </c>
      <c r="K157" s="9">
        <f t="shared" si="4"/>
        <v>45566</v>
      </c>
      <c r="L157" s="7" t="str">
        <f t="shared" si="5"/>
        <v/>
      </c>
      <c r="M157" s="7" t="str">
        <f>IFERROR(__xludf.DUMMYFUNCTION("IFERROR(
  IF(
    F157 &gt;
    3*AVERAGE(
       FILTER($F$2:$F10491,
         $G$2:$G10491=G157,
         $A$2:$A10491&gt;=A157-20,
         $A$2:$A10491&lt;=A157
       )
    ),
    ""VOL_SPIKE_3X"",""""
  ),
"""")
"),"")</f>
        <v/>
      </c>
      <c r="N157" s="7" t="str">
        <f t="shared" si="6"/>
        <v/>
      </c>
      <c r="O157" s="7" t="str">
        <f t="shared" si="7"/>
        <v/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f>IFERROR(__xludf.DUMMYFUNCTION("""COMPUTED_VALUE"""),45573.0)</f>
        <v>45573</v>
      </c>
      <c r="B158" s="6">
        <f>IFERROR(__xludf.DUMMYFUNCTION("""COMPUTED_VALUE"""),414.0)</f>
        <v>414</v>
      </c>
      <c r="C158" s="6">
        <f>IFERROR(__xludf.DUMMYFUNCTION("""COMPUTED_VALUE"""),427.7)</f>
        <v>427.7</v>
      </c>
      <c r="D158" s="6">
        <f>IFERROR(__xludf.DUMMYFUNCTION("""COMPUTED_VALUE"""),411.3)</f>
        <v>411.3</v>
      </c>
      <c r="E158" s="6">
        <f>IFERROR(__xludf.DUMMYFUNCTION("""COMPUTED_VALUE"""),420.95)</f>
        <v>420.95</v>
      </c>
      <c r="F158" s="7">
        <f>IFERROR(__xludf.DUMMYFUNCTION("""COMPUTED_VALUE"""),1.8706355E7)</f>
        <v>18706355</v>
      </c>
      <c r="G158" s="7" t="str">
        <f>IFERROR(__xludf.DUMMYFUNCTION("""COMPUTED_VALUE"""),"NTPC.NS")</f>
        <v>NTPC.NS</v>
      </c>
      <c r="H158" s="8">
        <f t="shared" si="1"/>
        <v>0.01678743961</v>
      </c>
      <c r="I158" s="8">
        <f t="shared" si="2"/>
        <v>0.01678743961</v>
      </c>
      <c r="J158" s="7" t="str">
        <f t="shared" si="3"/>
        <v>Oct-2024</v>
      </c>
      <c r="K158" s="9">
        <f t="shared" si="4"/>
        <v>45566</v>
      </c>
      <c r="L158" s="7" t="str">
        <f t="shared" si="5"/>
        <v/>
      </c>
      <c r="M158" s="7" t="str">
        <f>IFERROR(__xludf.DUMMYFUNCTION("IFERROR(
  IF(
    F158 &gt;
    3*AVERAGE(
       FILTER($F$2:$F10491,
         $G$2:$G10491=G158,
         $A$2:$A10491&gt;=A158-20,
         $A$2:$A10491&lt;=A158
       )
    ),
    ""VOL_SPIKE_3X"",""""
  ),
"""")
"),"")</f>
        <v/>
      </c>
      <c r="N158" s="7" t="str">
        <f t="shared" si="6"/>
        <v/>
      </c>
      <c r="O158" s="7" t="str">
        <f t="shared" si="7"/>
        <v/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f>IFERROR(__xludf.DUMMYFUNCTION("""COMPUTED_VALUE"""),45573.0)</f>
        <v>45573</v>
      </c>
      <c r="B159" s="6">
        <f>IFERROR(__xludf.DUMMYFUNCTION("""COMPUTED_VALUE"""),288.15)</f>
        <v>288.15</v>
      </c>
      <c r="C159" s="6">
        <f>IFERROR(__xludf.DUMMYFUNCTION("""COMPUTED_VALUE"""),293.9)</f>
        <v>293.9</v>
      </c>
      <c r="D159" s="6">
        <f>IFERROR(__xludf.DUMMYFUNCTION("""COMPUTED_VALUE"""),280.55)</f>
        <v>280.55</v>
      </c>
      <c r="E159" s="6">
        <f>IFERROR(__xludf.DUMMYFUNCTION("""COMPUTED_VALUE"""),293.45)</f>
        <v>293.45</v>
      </c>
      <c r="F159" s="7">
        <f>IFERROR(__xludf.DUMMYFUNCTION("""COMPUTED_VALUE"""),1.057236E7)</f>
        <v>10572360</v>
      </c>
      <c r="G159" s="7" t="str">
        <f>IFERROR(__xludf.DUMMYFUNCTION("""COMPUTED_VALUE"""),"ONGC.NS")</f>
        <v>ONGC.NS</v>
      </c>
      <c r="H159" s="8">
        <f t="shared" si="1"/>
        <v>0.01839319799</v>
      </c>
      <c r="I159" s="8">
        <f t="shared" si="2"/>
        <v>0.01839319799</v>
      </c>
      <c r="J159" s="7" t="str">
        <f t="shared" si="3"/>
        <v>Oct-2024</v>
      </c>
      <c r="K159" s="9">
        <f t="shared" si="4"/>
        <v>45566</v>
      </c>
      <c r="L159" s="7" t="str">
        <f t="shared" si="5"/>
        <v/>
      </c>
      <c r="M159" s="7" t="str">
        <f>IFERROR(__xludf.DUMMYFUNCTION("IFERROR(
  IF(
    F159 &gt;
    3*AVERAGE(
       FILTER($F$2:$F10491,
         $G$2:$G10491=G159,
         $A$2:$A10491&gt;=A159-20,
         $A$2:$A10491&lt;=A159
       )
    ),
    ""VOL_SPIKE_3X"",""""
  ),
"""")
"),"")</f>
        <v/>
      </c>
      <c r="N159" s="7" t="str">
        <f t="shared" si="6"/>
        <v/>
      </c>
      <c r="O159" s="7" t="str">
        <f t="shared" si="7"/>
        <v/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f>IFERROR(__xludf.DUMMYFUNCTION("""COMPUTED_VALUE"""),45573.0)</f>
        <v>45573</v>
      </c>
      <c r="B160" s="6">
        <f>IFERROR(__xludf.DUMMYFUNCTION("""COMPUTED_VALUE"""),327.3)</f>
        <v>327.3</v>
      </c>
      <c r="C160" s="6">
        <f>IFERROR(__xludf.DUMMYFUNCTION("""COMPUTED_VALUE"""),331.0)</f>
        <v>331</v>
      </c>
      <c r="D160" s="6">
        <f>IFERROR(__xludf.DUMMYFUNCTION("""COMPUTED_VALUE"""),322.35)</f>
        <v>322.35</v>
      </c>
      <c r="E160" s="6">
        <f>IFERROR(__xludf.DUMMYFUNCTION("""COMPUTED_VALUE"""),327.15)</f>
        <v>327.15</v>
      </c>
      <c r="F160" s="7">
        <f>IFERROR(__xludf.DUMMYFUNCTION("""COMPUTED_VALUE"""),2.1148292E7)</f>
        <v>21148292</v>
      </c>
      <c r="G160" s="7" t="str">
        <f>IFERROR(__xludf.DUMMYFUNCTION("""COMPUTED_VALUE"""),"POWERGRID.NS")</f>
        <v>POWERGRID.NS</v>
      </c>
      <c r="H160" s="8">
        <f t="shared" si="1"/>
        <v>-0.0004582951421</v>
      </c>
      <c r="I160" s="8">
        <f t="shared" si="2"/>
        <v>0.0004582951421</v>
      </c>
      <c r="J160" s="7" t="str">
        <f t="shared" si="3"/>
        <v>Oct-2024</v>
      </c>
      <c r="K160" s="9">
        <f t="shared" si="4"/>
        <v>45566</v>
      </c>
      <c r="L160" s="7" t="str">
        <f t="shared" si="5"/>
        <v/>
      </c>
      <c r="M160" s="7" t="str">
        <f>IFERROR(__xludf.DUMMYFUNCTION("IFERROR(
  IF(
    F160 &gt;
    3*AVERAGE(
       FILTER($F$2:$F10491,
         $G$2:$G10491=G160,
         $A$2:$A10491&gt;=A160-20,
         $A$2:$A10491&lt;=A160
       )
    ),
    ""VOL_SPIKE_3X"",""""
  ),
"""")
"),"")</f>
        <v/>
      </c>
      <c r="N160" s="7" t="str">
        <f t="shared" si="6"/>
        <v/>
      </c>
      <c r="O160" s="7" t="str">
        <f t="shared" si="7"/>
        <v/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f>IFERROR(__xludf.DUMMYFUNCTION("""COMPUTED_VALUE"""),45573.0)</f>
        <v>45573</v>
      </c>
      <c r="B161" s="6">
        <f>IFERROR(__xludf.DUMMYFUNCTION("""COMPUTED_VALUE"""),1372.98)</f>
        <v>1372.98</v>
      </c>
      <c r="C161" s="6">
        <f>IFERROR(__xludf.DUMMYFUNCTION("""COMPUTED_VALUE"""),1401.0)</f>
        <v>1401</v>
      </c>
      <c r="D161" s="6">
        <f>IFERROR(__xludf.DUMMYFUNCTION("""COMPUTED_VALUE"""),1365.1)</f>
        <v>1365.1</v>
      </c>
      <c r="E161" s="6">
        <f>IFERROR(__xludf.DUMMYFUNCTION("""COMPUTED_VALUE"""),1397.35)</f>
        <v>1397.35</v>
      </c>
      <c r="F161" s="7">
        <f>IFERROR(__xludf.DUMMYFUNCTION("""COMPUTED_VALUE"""),8510404.0)</f>
        <v>8510404</v>
      </c>
      <c r="G161" s="7" t="str">
        <f>IFERROR(__xludf.DUMMYFUNCTION("""COMPUTED_VALUE"""),"RELIANCE.NS")</f>
        <v>RELIANCE.NS</v>
      </c>
      <c r="H161" s="8">
        <f t="shared" si="1"/>
        <v>0.0177497123</v>
      </c>
      <c r="I161" s="8">
        <f t="shared" si="2"/>
        <v>0.0177497123</v>
      </c>
      <c r="J161" s="7" t="str">
        <f t="shared" si="3"/>
        <v>Oct-2024</v>
      </c>
      <c r="K161" s="9">
        <f t="shared" si="4"/>
        <v>45566</v>
      </c>
      <c r="L161" s="7" t="str">
        <f t="shared" si="5"/>
        <v/>
      </c>
      <c r="M161" s="7" t="str">
        <f>IFERROR(__xludf.DUMMYFUNCTION("IFERROR(
  IF(
    F161 &gt;
    3*AVERAGE(
       FILTER($F$2:$F10491,
         $G$2:$G10491=G161,
         $A$2:$A10491&gt;=A161-20,
         $A$2:$A10491&lt;=A161
       )
    ),
    ""VOL_SPIKE_3X"",""""
  ),
"""")
"),"")</f>
        <v/>
      </c>
      <c r="N161" s="7" t="str">
        <f t="shared" si="6"/>
        <v/>
      </c>
      <c r="O161" s="7" t="str">
        <f t="shared" si="7"/>
        <v/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f>IFERROR(__xludf.DUMMYFUNCTION("""COMPUTED_VALUE"""),45574.0)</f>
        <v>45574</v>
      </c>
      <c r="B162" s="6">
        <f>IFERROR(__xludf.DUMMYFUNCTION("""COMPUTED_VALUE"""),1015.8)</f>
        <v>1015.8</v>
      </c>
      <c r="C162" s="6">
        <f>IFERROR(__xludf.DUMMYFUNCTION("""COMPUTED_VALUE"""),1017.45)</f>
        <v>1017.45</v>
      </c>
      <c r="D162" s="6">
        <f>IFERROR(__xludf.DUMMYFUNCTION("""COMPUTED_VALUE"""),980.5)</f>
        <v>980.5</v>
      </c>
      <c r="E162" s="6">
        <f>IFERROR(__xludf.DUMMYFUNCTION("""COMPUTED_VALUE"""),983.3)</f>
        <v>983.3</v>
      </c>
      <c r="F162" s="7">
        <f>IFERROR(__xludf.DUMMYFUNCTION("""COMPUTED_VALUE"""),1752790.0)</f>
        <v>1752790</v>
      </c>
      <c r="G162" s="7" t="str">
        <f>IFERROR(__xludf.DUMMYFUNCTION("""COMPUTED_VALUE"""),"ADANIENSOL.NS")</f>
        <v>ADANIENSOL.NS</v>
      </c>
      <c r="H162" s="8">
        <f t="shared" si="1"/>
        <v>-0.0319944871</v>
      </c>
      <c r="I162" s="8">
        <f t="shared" si="2"/>
        <v>0.0319944871</v>
      </c>
      <c r="J162" s="7" t="str">
        <f t="shared" si="3"/>
        <v>Oct-2024</v>
      </c>
      <c r="K162" s="9">
        <f t="shared" si="4"/>
        <v>45566</v>
      </c>
      <c r="L162" s="7" t="str">
        <f t="shared" si="5"/>
        <v/>
      </c>
      <c r="M162" s="7" t="str">
        <f>IFERROR(__xludf.DUMMYFUNCTION("IFERROR(
  IF(
    F162 &gt;
    3*AVERAGE(
       FILTER($F$2:$F10491,
         $G$2:$G10491=G162,
         $A$2:$A10491&gt;=A162-20,
         $A$2:$A10491&lt;=A162
       )
    ),
    ""VOL_SPIKE_3X"",""""
  ),
"""")
"),"")</f>
        <v/>
      </c>
      <c r="N162" s="7" t="str">
        <f t="shared" si="6"/>
        <v/>
      </c>
      <c r="O162" s="7" t="str">
        <f t="shared" si="7"/>
        <v/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f>IFERROR(__xludf.DUMMYFUNCTION("""COMPUTED_VALUE"""),45574.0)</f>
        <v>45574</v>
      </c>
      <c r="B163" s="6">
        <f>IFERROR(__xludf.DUMMYFUNCTION("""COMPUTED_VALUE"""),1827.0)</f>
        <v>1827</v>
      </c>
      <c r="C163" s="6">
        <f>IFERROR(__xludf.DUMMYFUNCTION("""COMPUTED_VALUE"""),1833.95)</f>
        <v>1833.95</v>
      </c>
      <c r="D163" s="6">
        <f>IFERROR(__xludf.DUMMYFUNCTION("""COMPUTED_VALUE"""),1779.45)</f>
        <v>1779.45</v>
      </c>
      <c r="E163" s="6">
        <f>IFERROR(__xludf.DUMMYFUNCTION("""COMPUTED_VALUE"""),1784.45)</f>
        <v>1784.45</v>
      </c>
      <c r="F163" s="7">
        <f>IFERROR(__xludf.DUMMYFUNCTION("""COMPUTED_VALUE"""),542956.0)</f>
        <v>542956</v>
      </c>
      <c r="G163" s="7" t="str">
        <f>IFERROR(__xludf.DUMMYFUNCTION("""COMPUTED_VALUE"""),"ADANIGREEN.NS")</f>
        <v>ADANIGREEN.NS</v>
      </c>
      <c r="H163" s="8">
        <f t="shared" si="1"/>
        <v>-0.0232895457</v>
      </c>
      <c r="I163" s="8">
        <f t="shared" si="2"/>
        <v>0.0232895457</v>
      </c>
      <c r="J163" s="7" t="str">
        <f t="shared" si="3"/>
        <v>Oct-2024</v>
      </c>
      <c r="K163" s="9">
        <f t="shared" si="4"/>
        <v>45566</v>
      </c>
      <c r="L163" s="7" t="str">
        <f t="shared" si="5"/>
        <v/>
      </c>
      <c r="M163" s="7" t="str">
        <f>IFERROR(__xludf.DUMMYFUNCTION("IFERROR(
  IF(
    F163 &gt;
    3*AVERAGE(
       FILTER($F$2:$F10491,
         $G$2:$G10491=G163,
         $A$2:$A10491&gt;=A163-20,
         $A$2:$A10491&lt;=A163
       )
    ),
    ""VOL_SPIKE_3X"",""""
  ),
"""")
"),"")</f>
        <v/>
      </c>
      <c r="N163" s="7" t="str">
        <f t="shared" si="6"/>
        <v/>
      </c>
      <c r="O163" s="7" t="str">
        <f t="shared" si="7"/>
        <v/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f>IFERROR(__xludf.DUMMYFUNCTION("""COMPUTED_VALUE"""),45574.0)</f>
        <v>45574</v>
      </c>
      <c r="B164" s="6">
        <f>IFERROR(__xludf.DUMMYFUNCTION("""COMPUTED_VALUE"""),345.0)</f>
        <v>345</v>
      </c>
      <c r="C164" s="6">
        <f>IFERROR(__xludf.DUMMYFUNCTION("""COMPUTED_VALUE"""),350.0)</f>
        <v>350</v>
      </c>
      <c r="D164" s="6">
        <f>IFERROR(__xludf.DUMMYFUNCTION("""COMPUTED_VALUE"""),337.75)</f>
        <v>337.75</v>
      </c>
      <c r="E164" s="6">
        <f>IFERROR(__xludf.DUMMYFUNCTION("""COMPUTED_VALUE"""),338.85)</f>
        <v>338.85</v>
      </c>
      <c r="F164" s="7">
        <f>IFERROR(__xludf.DUMMYFUNCTION("""COMPUTED_VALUE"""),1.3523561E7)</f>
        <v>13523561</v>
      </c>
      <c r="G164" s="7" t="str">
        <f>IFERROR(__xludf.DUMMYFUNCTION("""COMPUTED_VALUE"""),"BPCL.NS")</f>
        <v>BPCL.NS</v>
      </c>
      <c r="H164" s="8">
        <f t="shared" si="1"/>
        <v>-0.01782608696</v>
      </c>
      <c r="I164" s="8">
        <f t="shared" si="2"/>
        <v>0.01782608696</v>
      </c>
      <c r="J164" s="7" t="str">
        <f t="shared" si="3"/>
        <v>Oct-2024</v>
      </c>
      <c r="K164" s="9">
        <f t="shared" si="4"/>
        <v>45566</v>
      </c>
      <c r="L164" s="7" t="str">
        <f t="shared" si="5"/>
        <v/>
      </c>
      <c r="M164" s="7" t="str">
        <f>IFERROR(__xludf.DUMMYFUNCTION("IFERROR(
  IF(
    F164 &gt;
    3*AVERAGE(
       FILTER($F$2:$F10491,
         $G$2:$G10491=G164,
         $A$2:$A10491&gt;=A164-20,
         $A$2:$A10491&lt;=A164
       )
    ),
    ""VOL_SPIKE_3X"",""""
  ),
"""")
"),"")</f>
        <v/>
      </c>
      <c r="N164" s="7" t="str">
        <f t="shared" si="6"/>
        <v/>
      </c>
      <c r="O164" s="7" t="str">
        <f t="shared" si="7"/>
        <v/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f>IFERROR(__xludf.DUMMYFUNCTION("""COMPUTED_VALUE"""),45574.0)</f>
        <v>45574</v>
      </c>
      <c r="B165" s="6">
        <f>IFERROR(__xludf.DUMMYFUNCTION("""COMPUTED_VALUE"""),492.0)</f>
        <v>492</v>
      </c>
      <c r="C165" s="6">
        <f>IFERROR(__xludf.DUMMYFUNCTION("""COMPUTED_VALUE"""),496.0)</f>
        <v>496</v>
      </c>
      <c r="D165" s="6">
        <f>IFERROR(__xludf.DUMMYFUNCTION("""COMPUTED_VALUE"""),485.65)</f>
        <v>485.65</v>
      </c>
      <c r="E165" s="6">
        <f>IFERROR(__xludf.DUMMYFUNCTION("""COMPUTED_VALUE"""),486.95)</f>
        <v>486.95</v>
      </c>
      <c r="F165" s="7">
        <f>IFERROR(__xludf.DUMMYFUNCTION("""COMPUTED_VALUE"""),6874313.0)</f>
        <v>6874313</v>
      </c>
      <c r="G165" s="7" t="str">
        <f>IFERROR(__xludf.DUMMYFUNCTION("""COMPUTED_VALUE"""),"COALINDIA.NS")</f>
        <v>COALINDIA.NS</v>
      </c>
      <c r="H165" s="8">
        <f t="shared" si="1"/>
        <v>-0.01026422764</v>
      </c>
      <c r="I165" s="8">
        <f t="shared" si="2"/>
        <v>0.01026422764</v>
      </c>
      <c r="J165" s="7" t="str">
        <f t="shared" si="3"/>
        <v>Oct-2024</v>
      </c>
      <c r="K165" s="9">
        <f t="shared" si="4"/>
        <v>45566</v>
      </c>
      <c r="L165" s="7" t="str">
        <f t="shared" si="5"/>
        <v/>
      </c>
      <c r="M165" s="7" t="str">
        <f>IFERROR(__xludf.DUMMYFUNCTION("IFERROR(
  IF(
    F165 &gt;
    3*AVERAGE(
       FILTER($F$2:$F10491,
         $G$2:$G10491=G165,
         $A$2:$A10491&gt;=A165-20,
         $A$2:$A10491&lt;=A165
       )
    ),
    ""VOL_SPIKE_3X"",""""
  ),
"""")
"),"")</f>
        <v/>
      </c>
      <c r="N165" s="7" t="str">
        <f t="shared" si="6"/>
        <v/>
      </c>
      <c r="O165" s="7" t="str">
        <f t="shared" si="7"/>
        <v/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f>IFERROR(__xludf.DUMMYFUNCTION("""COMPUTED_VALUE"""),45574.0)</f>
        <v>45574</v>
      </c>
      <c r="B166" s="6">
        <f>IFERROR(__xludf.DUMMYFUNCTION("""COMPUTED_VALUE"""),400.0)</f>
        <v>400</v>
      </c>
      <c r="C166" s="6">
        <f>IFERROR(__xludf.DUMMYFUNCTION("""COMPUTED_VALUE"""),413.0)</f>
        <v>413</v>
      </c>
      <c r="D166" s="6">
        <f>IFERROR(__xludf.DUMMYFUNCTION("""COMPUTED_VALUE"""),393.25)</f>
        <v>393.25</v>
      </c>
      <c r="E166" s="6">
        <f>IFERROR(__xludf.DUMMYFUNCTION("""COMPUTED_VALUE"""),394.85)</f>
        <v>394.85</v>
      </c>
      <c r="F166" s="7">
        <f>IFERROR(__xludf.DUMMYFUNCTION("""COMPUTED_VALUE"""),1.1902837E7)</f>
        <v>11902837</v>
      </c>
      <c r="G166" s="7" t="str">
        <f>IFERROR(__xludf.DUMMYFUNCTION("""COMPUTED_VALUE"""),"HINDPETRO.NS")</f>
        <v>HINDPETRO.NS</v>
      </c>
      <c r="H166" s="8">
        <f t="shared" si="1"/>
        <v>-0.012875</v>
      </c>
      <c r="I166" s="8">
        <f t="shared" si="2"/>
        <v>0.012875</v>
      </c>
      <c r="J166" s="7" t="str">
        <f t="shared" si="3"/>
        <v>Oct-2024</v>
      </c>
      <c r="K166" s="9">
        <f t="shared" si="4"/>
        <v>45566</v>
      </c>
      <c r="L166" s="7" t="str">
        <f t="shared" si="5"/>
        <v/>
      </c>
      <c r="M166" s="7" t="str">
        <f>IFERROR(__xludf.DUMMYFUNCTION("IFERROR(
  IF(
    F166 &gt;
    3*AVERAGE(
       FILTER($F$2:$F10491,
         $G$2:$G10491=G166,
         $A$2:$A10491&gt;=A166-20,
         $A$2:$A10491&lt;=A166
       )
    ),
    ""VOL_SPIKE_3X"",""""
  ),
"""")
"),"")</f>
        <v/>
      </c>
      <c r="N166" s="7" t="str">
        <f t="shared" si="6"/>
        <v/>
      </c>
      <c r="O166" s="7" t="str">
        <f t="shared" si="7"/>
        <v/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f>IFERROR(__xludf.DUMMYFUNCTION("""COMPUTED_VALUE"""),45574.0)</f>
        <v>45574</v>
      </c>
      <c r="B167" s="6">
        <f>IFERROR(__xludf.DUMMYFUNCTION("""COMPUTED_VALUE"""),167.79)</f>
        <v>167.79</v>
      </c>
      <c r="C167" s="6">
        <f>IFERROR(__xludf.DUMMYFUNCTION("""COMPUTED_VALUE"""),169.24)</f>
        <v>169.24</v>
      </c>
      <c r="D167" s="6">
        <f>IFERROR(__xludf.DUMMYFUNCTION("""COMPUTED_VALUE"""),164.46)</f>
        <v>164.46</v>
      </c>
      <c r="E167" s="6">
        <f>IFERROR(__xludf.DUMMYFUNCTION("""COMPUTED_VALUE"""),164.74)</f>
        <v>164.74</v>
      </c>
      <c r="F167" s="7">
        <f>IFERROR(__xludf.DUMMYFUNCTION("""COMPUTED_VALUE"""),2.0278252E7)</f>
        <v>20278252</v>
      </c>
      <c r="G167" s="7" t="str">
        <f>IFERROR(__xludf.DUMMYFUNCTION("""COMPUTED_VALUE"""),"IOC.NS")</f>
        <v>IOC.NS</v>
      </c>
      <c r="H167" s="8">
        <f t="shared" si="1"/>
        <v>-0.01817748376</v>
      </c>
      <c r="I167" s="8">
        <f t="shared" si="2"/>
        <v>0.01817748376</v>
      </c>
      <c r="J167" s="7" t="str">
        <f t="shared" si="3"/>
        <v>Oct-2024</v>
      </c>
      <c r="K167" s="9">
        <f t="shared" si="4"/>
        <v>45566</v>
      </c>
      <c r="L167" s="7" t="str">
        <f t="shared" si="5"/>
        <v/>
      </c>
      <c r="M167" s="7" t="str">
        <f>IFERROR(__xludf.DUMMYFUNCTION("IFERROR(
  IF(
    F167 &gt;
    3*AVERAGE(
       FILTER($F$2:$F10491,
         $G$2:$G10491=G167,
         $A$2:$A10491&gt;=A167-20,
         $A$2:$A10491&lt;=A167
       )
    ),
    ""VOL_SPIKE_3X"",""""
  ),
"""")
"),"")</f>
        <v/>
      </c>
      <c r="N167" s="7" t="str">
        <f t="shared" si="6"/>
        <v/>
      </c>
      <c r="O167" s="7" t="str">
        <f t="shared" si="7"/>
        <v/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f>IFERROR(__xludf.DUMMYFUNCTION("""COMPUTED_VALUE"""),45574.0)</f>
        <v>45574</v>
      </c>
      <c r="B168" s="6">
        <f>IFERROR(__xludf.DUMMYFUNCTION("""COMPUTED_VALUE"""),424.45)</f>
        <v>424.45</v>
      </c>
      <c r="C168" s="6">
        <f>IFERROR(__xludf.DUMMYFUNCTION("""COMPUTED_VALUE"""),424.75)</f>
        <v>424.75</v>
      </c>
      <c r="D168" s="6">
        <f>IFERROR(__xludf.DUMMYFUNCTION("""COMPUTED_VALUE"""),417.0)</f>
        <v>417</v>
      </c>
      <c r="E168" s="6">
        <f>IFERROR(__xludf.DUMMYFUNCTION("""COMPUTED_VALUE"""),418.45)</f>
        <v>418.45</v>
      </c>
      <c r="F168" s="7">
        <f>IFERROR(__xludf.DUMMYFUNCTION("""COMPUTED_VALUE"""),1.3916492E7)</f>
        <v>13916492</v>
      </c>
      <c r="G168" s="7" t="str">
        <f>IFERROR(__xludf.DUMMYFUNCTION("""COMPUTED_VALUE"""),"NTPC.NS")</f>
        <v>NTPC.NS</v>
      </c>
      <c r="H168" s="8">
        <f t="shared" si="1"/>
        <v>-0.01413594063</v>
      </c>
      <c r="I168" s="8">
        <f t="shared" si="2"/>
        <v>0.01413594063</v>
      </c>
      <c r="J168" s="7" t="str">
        <f t="shared" si="3"/>
        <v>Oct-2024</v>
      </c>
      <c r="K168" s="9">
        <f t="shared" si="4"/>
        <v>45566</v>
      </c>
      <c r="L168" s="7" t="str">
        <f t="shared" si="5"/>
        <v/>
      </c>
      <c r="M168" s="7" t="str">
        <f>IFERROR(__xludf.DUMMYFUNCTION("IFERROR(
  IF(
    F168 &gt;
    3*AVERAGE(
       FILTER($F$2:$F10491,
         $G$2:$G10491=G168,
         $A$2:$A10491&gt;=A168-20,
         $A$2:$A10491&lt;=A168
       )
    ),
    ""VOL_SPIKE_3X"",""""
  ),
"""")
"),"")</f>
        <v/>
      </c>
      <c r="N168" s="7" t="str">
        <f t="shared" si="6"/>
        <v/>
      </c>
      <c r="O168" s="7" t="str">
        <f t="shared" si="7"/>
        <v/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f>IFERROR(__xludf.DUMMYFUNCTION("""COMPUTED_VALUE"""),45574.0)</f>
        <v>45574</v>
      </c>
      <c r="B169" s="6">
        <f>IFERROR(__xludf.DUMMYFUNCTION("""COMPUTED_VALUE"""),291.25)</f>
        <v>291.25</v>
      </c>
      <c r="C169" s="6">
        <f>IFERROR(__xludf.DUMMYFUNCTION("""COMPUTED_VALUE"""),291.9)</f>
        <v>291.9</v>
      </c>
      <c r="D169" s="6">
        <f>IFERROR(__xludf.DUMMYFUNCTION("""COMPUTED_VALUE"""),286.85)</f>
        <v>286.85</v>
      </c>
      <c r="E169" s="6">
        <f>IFERROR(__xludf.DUMMYFUNCTION("""COMPUTED_VALUE"""),288.5)</f>
        <v>288.5</v>
      </c>
      <c r="F169" s="7">
        <f>IFERROR(__xludf.DUMMYFUNCTION("""COMPUTED_VALUE"""),1.3147475E7)</f>
        <v>13147475</v>
      </c>
      <c r="G169" s="7" t="str">
        <f>IFERROR(__xludf.DUMMYFUNCTION("""COMPUTED_VALUE"""),"ONGC.NS")</f>
        <v>ONGC.NS</v>
      </c>
      <c r="H169" s="8">
        <f t="shared" si="1"/>
        <v>-0.009442060086</v>
      </c>
      <c r="I169" s="8">
        <f t="shared" si="2"/>
        <v>0.009442060086</v>
      </c>
      <c r="J169" s="7" t="str">
        <f t="shared" si="3"/>
        <v>Oct-2024</v>
      </c>
      <c r="K169" s="9">
        <f t="shared" si="4"/>
        <v>45566</v>
      </c>
      <c r="L169" s="7" t="str">
        <f t="shared" si="5"/>
        <v/>
      </c>
      <c r="M169" s="7" t="str">
        <f>IFERROR(__xludf.DUMMYFUNCTION("IFERROR(
  IF(
    F169 &gt;
    3*AVERAGE(
       FILTER($F$2:$F10491,
         $G$2:$G10491=G169,
         $A$2:$A10491&gt;=A169-20,
         $A$2:$A10491&lt;=A169
       )
    ),
    ""VOL_SPIKE_3X"",""""
  ),
"""")
"),"")</f>
        <v/>
      </c>
      <c r="N169" s="7" t="str">
        <f t="shared" si="6"/>
        <v/>
      </c>
      <c r="O169" s="7" t="str">
        <f t="shared" si="7"/>
        <v/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f>IFERROR(__xludf.DUMMYFUNCTION("""COMPUTED_VALUE"""),45574.0)</f>
        <v>45574</v>
      </c>
      <c r="B170" s="6">
        <f>IFERROR(__xludf.DUMMYFUNCTION("""COMPUTED_VALUE"""),327.0)</f>
        <v>327</v>
      </c>
      <c r="C170" s="6">
        <f>IFERROR(__xludf.DUMMYFUNCTION("""COMPUTED_VALUE"""),331.8)</f>
        <v>331.8</v>
      </c>
      <c r="D170" s="6">
        <f>IFERROR(__xludf.DUMMYFUNCTION("""COMPUTED_VALUE"""),325.5)</f>
        <v>325.5</v>
      </c>
      <c r="E170" s="6">
        <f>IFERROR(__xludf.DUMMYFUNCTION("""COMPUTED_VALUE"""),329.75)</f>
        <v>329.75</v>
      </c>
      <c r="F170" s="7">
        <f>IFERROR(__xludf.DUMMYFUNCTION("""COMPUTED_VALUE"""),9228363.0)</f>
        <v>9228363</v>
      </c>
      <c r="G170" s="7" t="str">
        <f>IFERROR(__xludf.DUMMYFUNCTION("""COMPUTED_VALUE"""),"POWERGRID.NS")</f>
        <v>POWERGRID.NS</v>
      </c>
      <c r="H170" s="8">
        <f t="shared" si="1"/>
        <v>0.008409785933</v>
      </c>
      <c r="I170" s="8">
        <f t="shared" si="2"/>
        <v>0.008409785933</v>
      </c>
      <c r="J170" s="7" t="str">
        <f t="shared" si="3"/>
        <v>Oct-2024</v>
      </c>
      <c r="K170" s="9">
        <f t="shared" si="4"/>
        <v>45566</v>
      </c>
      <c r="L170" s="7" t="str">
        <f t="shared" si="5"/>
        <v/>
      </c>
      <c r="M170" s="7" t="str">
        <f>IFERROR(__xludf.DUMMYFUNCTION("IFERROR(
  IF(
    F170 &gt;
    3*AVERAGE(
       FILTER($F$2:$F10491,
         $G$2:$G10491=G170,
         $A$2:$A10491&gt;=A170-20,
         $A$2:$A10491&lt;=A170
       )
    ),
    ""VOL_SPIKE_3X"",""""
  ),
"""")
"),"")</f>
        <v/>
      </c>
      <c r="N170" s="7" t="str">
        <f t="shared" si="6"/>
        <v/>
      </c>
      <c r="O170" s="7" t="str">
        <f t="shared" si="7"/>
        <v/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f>IFERROR(__xludf.DUMMYFUNCTION("""COMPUTED_VALUE"""),45574.0)</f>
        <v>45574</v>
      </c>
      <c r="B171" s="6">
        <f>IFERROR(__xludf.DUMMYFUNCTION("""COMPUTED_VALUE"""),1397.53)</f>
        <v>1397.53</v>
      </c>
      <c r="C171" s="6">
        <f>IFERROR(__xludf.DUMMYFUNCTION("""COMPUTED_VALUE"""),1400.98)</f>
        <v>1400.98</v>
      </c>
      <c r="D171" s="6">
        <f>IFERROR(__xludf.DUMMYFUNCTION("""COMPUTED_VALUE"""),1372.5)</f>
        <v>1372.5</v>
      </c>
      <c r="E171" s="6">
        <f>IFERROR(__xludf.DUMMYFUNCTION("""COMPUTED_VALUE"""),1374.6)</f>
        <v>1374.6</v>
      </c>
      <c r="F171" s="7">
        <f>IFERROR(__xludf.DUMMYFUNCTION("""COMPUTED_VALUE"""),7155305.0)</f>
        <v>7155305</v>
      </c>
      <c r="G171" s="7" t="str">
        <f>IFERROR(__xludf.DUMMYFUNCTION("""COMPUTED_VALUE"""),"RELIANCE.NS")</f>
        <v>RELIANCE.NS</v>
      </c>
      <c r="H171" s="8">
        <f t="shared" si="1"/>
        <v>-0.01640751898</v>
      </c>
      <c r="I171" s="8">
        <f t="shared" si="2"/>
        <v>0.01640751898</v>
      </c>
      <c r="J171" s="7" t="str">
        <f t="shared" si="3"/>
        <v>Oct-2024</v>
      </c>
      <c r="K171" s="9">
        <f t="shared" si="4"/>
        <v>45566</v>
      </c>
      <c r="L171" s="7" t="str">
        <f t="shared" si="5"/>
        <v/>
      </c>
      <c r="M171" s="7" t="str">
        <f>IFERROR(__xludf.DUMMYFUNCTION("IFERROR(
  IF(
    F171 &gt;
    3*AVERAGE(
       FILTER($F$2:$F10491,
         $G$2:$G10491=G171,
         $A$2:$A10491&gt;=A171-20,
         $A$2:$A10491&lt;=A171
       )
    ),
    ""VOL_SPIKE_3X"",""""
  ),
"""")
"),"")</f>
        <v/>
      </c>
      <c r="N171" s="7" t="str">
        <f t="shared" si="6"/>
        <v/>
      </c>
      <c r="O171" s="7" t="str">
        <f t="shared" si="7"/>
        <v/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f>IFERROR(__xludf.DUMMYFUNCTION("""COMPUTED_VALUE"""),45575.0)</f>
        <v>45575</v>
      </c>
      <c r="B172" s="6">
        <f>IFERROR(__xludf.DUMMYFUNCTION("""COMPUTED_VALUE"""),992.95)</f>
        <v>992.95</v>
      </c>
      <c r="C172" s="6">
        <f>IFERROR(__xludf.DUMMYFUNCTION("""COMPUTED_VALUE"""),1001.6)</f>
        <v>1001.6</v>
      </c>
      <c r="D172" s="6">
        <f>IFERROR(__xludf.DUMMYFUNCTION("""COMPUTED_VALUE"""),963.6)</f>
        <v>963.6</v>
      </c>
      <c r="E172" s="6">
        <f>IFERROR(__xludf.DUMMYFUNCTION("""COMPUTED_VALUE"""),989.85)</f>
        <v>989.85</v>
      </c>
      <c r="F172" s="7">
        <f>IFERROR(__xludf.DUMMYFUNCTION("""COMPUTED_VALUE"""),1981159.0)</f>
        <v>1981159</v>
      </c>
      <c r="G172" s="7" t="str">
        <f>IFERROR(__xludf.DUMMYFUNCTION("""COMPUTED_VALUE"""),"ADANIENSOL.NS")</f>
        <v>ADANIENSOL.NS</v>
      </c>
      <c r="H172" s="8">
        <f t="shared" si="1"/>
        <v>-0.003122010172</v>
      </c>
      <c r="I172" s="8">
        <f t="shared" si="2"/>
        <v>0.003122010172</v>
      </c>
      <c r="J172" s="7" t="str">
        <f t="shared" si="3"/>
        <v>Oct-2024</v>
      </c>
      <c r="K172" s="9">
        <f t="shared" si="4"/>
        <v>45566</v>
      </c>
      <c r="L172" s="7" t="str">
        <f t="shared" si="5"/>
        <v/>
      </c>
      <c r="M172" s="7" t="str">
        <f>IFERROR(__xludf.DUMMYFUNCTION("IFERROR(
  IF(
    F172 &gt;
    3*AVERAGE(
       FILTER($F$2:$F10491,
         $G$2:$G10491=G172,
         $A$2:$A10491&gt;=A172-20,
         $A$2:$A10491&lt;=A172
       )
    ),
    ""VOL_SPIKE_3X"",""""
  ),
"""")
"),"")</f>
        <v/>
      </c>
      <c r="N172" s="7" t="str">
        <f t="shared" si="6"/>
        <v/>
      </c>
      <c r="O172" s="7" t="str">
        <f t="shared" si="7"/>
        <v/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f>IFERROR(__xludf.DUMMYFUNCTION("""COMPUTED_VALUE"""),45575.0)</f>
        <v>45575</v>
      </c>
      <c r="B173" s="6">
        <f>IFERROR(__xludf.DUMMYFUNCTION("""COMPUTED_VALUE"""),1804.7)</f>
        <v>1804.7</v>
      </c>
      <c r="C173" s="6">
        <f>IFERROR(__xludf.DUMMYFUNCTION("""COMPUTED_VALUE"""),1804.7)</f>
        <v>1804.7</v>
      </c>
      <c r="D173" s="6">
        <f>IFERROR(__xludf.DUMMYFUNCTION("""COMPUTED_VALUE"""),1758.2)</f>
        <v>1758.2</v>
      </c>
      <c r="E173" s="6">
        <f>IFERROR(__xludf.DUMMYFUNCTION("""COMPUTED_VALUE"""),1780.5)</f>
        <v>1780.5</v>
      </c>
      <c r="F173" s="7">
        <f>IFERROR(__xludf.DUMMYFUNCTION("""COMPUTED_VALUE"""),595689.0)</f>
        <v>595689</v>
      </c>
      <c r="G173" s="7" t="str">
        <f>IFERROR(__xludf.DUMMYFUNCTION("""COMPUTED_VALUE"""),"ADANIGREEN.NS")</f>
        <v>ADANIGREEN.NS</v>
      </c>
      <c r="H173" s="8">
        <f t="shared" si="1"/>
        <v>-0.01340943093</v>
      </c>
      <c r="I173" s="8">
        <f t="shared" si="2"/>
        <v>0.01340943093</v>
      </c>
      <c r="J173" s="7" t="str">
        <f t="shared" si="3"/>
        <v>Oct-2024</v>
      </c>
      <c r="K173" s="9">
        <f t="shared" si="4"/>
        <v>45566</v>
      </c>
      <c r="L173" s="7" t="str">
        <f t="shared" si="5"/>
        <v/>
      </c>
      <c r="M173" s="7" t="str">
        <f>IFERROR(__xludf.DUMMYFUNCTION("IFERROR(
  IF(
    F173 &gt;
    3*AVERAGE(
       FILTER($F$2:$F10491,
         $G$2:$G10491=G173,
         $A$2:$A10491&gt;=A173-20,
         $A$2:$A10491&lt;=A173
       )
    ),
    ""VOL_SPIKE_3X"",""""
  ),
"""")
"),"")</f>
        <v/>
      </c>
      <c r="N173" s="7" t="str">
        <f t="shared" si="6"/>
        <v/>
      </c>
      <c r="O173" s="7" t="str">
        <f t="shared" si="7"/>
        <v/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f>IFERROR(__xludf.DUMMYFUNCTION("""COMPUTED_VALUE"""),45575.0)</f>
        <v>45575</v>
      </c>
      <c r="B174" s="6">
        <f>IFERROR(__xludf.DUMMYFUNCTION("""COMPUTED_VALUE"""),342.0)</f>
        <v>342</v>
      </c>
      <c r="C174" s="6">
        <f>IFERROR(__xludf.DUMMYFUNCTION("""COMPUTED_VALUE"""),343.3)</f>
        <v>343.3</v>
      </c>
      <c r="D174" s="6">
        <f>IFERROR(__xludf.DUMMYFUNCTION("""COMPUTED_VALUE"""),334.55)</f>
        <v>334.55</v>
      </c>
      <c r="E174" s="6">
        <f>IFERROR(__xludf.DUMMYFUNCTION("""COMPUTED_VALUE"""),335.45)</f>
        <v>335.45</v>
      </c>
      <c r="F174" s="7">
        <f>IFERROR(__xludf.DUMMYFUNCTION("""COMPUTED_VALUE"""),5706365.0)</f>
        <v>5706365</v>
      </c>
      <c r="G174" s="7" t="str">
        <f>IFERROR(__xludf.DUMMYFUNCTION("""COMPUTED_VALUE"""),"BPCL.NS")</f>
        <v>BPCL.NS</v>
      </c>
      <c r="H174" s="8">
        <f t="shared" si="1"/>
        <v>-0.01915204678</v>
      </c>
      <c r="I174" s="8">
        <f t="shared" si="2"/>
        <v>0.01915204678</v>
      </c>
      <c r="J174" s="7" t="str">
        <f t="shared" si="3"/>
        <v>Oct-2024</v>
      </c>
      <c r="K174" s="9">
        <f t="shared" si="4"/>
        <v>45566</v>
      </c>
      <c r="L174" s="7" t="str">
        <f t="shared" si="5"/>
        <v/>
      </c>
      <c r="M174" s="7" t="str">
        <f>IFERROR(__xludf.DUMMYFUNCTION("IFERROR(
  IF(
    F174 &gt;
    3*AVERAGE(
       FILTER($F$2:$F10491,
         $G$2:$G10491=G174,
         $A$2:$A10491&gt;=A174-20,
         $A$2:$A10491&lt;=A174
       )
    ),
    ""VOL_SPIKE_3X"",""""
  ),
"""")
"),"")</f>
        <v/>
      </c>
      <c r="N174" s="7" t="str">
        <f t="shared" si="6"/>
        <v/>
      </c>
      <c r="O174" s="7" t="str">
        <f t="shared" si="7"/>
        <v/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f>IFERROR(__xludf.DUMMYFUNCTION("""COMPUTED_VALUE"""),45575.0)</f>
        <v>45575</v>
      </c>
      <c r="B175" s="6">
        <f>IFERROR(__xludf.DUMMYFUNCTION("""COMPUTED_VALUE"""),488.7)</f>
        <v>488.7</v>
      </c>
      <c r="C175" s="6">
        <f>IFERROR(__xludf.DUMMYFUNCTION("""COMPUTED_VALUE"""),493.95)</f>
        <v>493.95</v>
      </c>
      <c r="D175" s="6">
        <f>IFERROR(__xludf.DUMMYFUNCTION("""COMPUTED_VALUE"""),486.05)</f>
        <v>486.05</v>
      </c>
      <c r="E175" s="6">
        <f>IFERROR(__xludf.DUMMYFUNCTION("""COMPUTED_VALUE"""),488.1)</f>
        <v>488.1</v>
      </c>
      <c r="F175" s="7">
        <f>IFERROR(__xludf.DUMMYFUNCTION("""COMPUTED_VALUE"""),4700891.0)</f>
        <v>4700891</v>
      </c>
      <c r="G175" s="7" t="str">
        <f>IFERROR(__xludf.DUMMYFUNCTION("""COMPUTED_VALUE"""),"COALINDIA.NS")</f>
        <v>COALINDIA.NS</v>
      </c>
      <c r="H175" s="8">
        <f t="shared" si="1"/>
        <v>-0.001227747084</v>
      </c>
      <c r="I175" s="8">
        <f t="shared" si="2"/>
        <v>0.001227747084</v>
      </c>
      <c r="J175" s="7" t="str">
        <f t="shared" si="3"/>
        <v>Oct-2024</v>
      </c>
      <c r="K175" s="9">
        <f t="shared" si="4"/>
        <v>45566</v>
      </c>
      <c r="L175" s="7" t="str">
        <f t="shared" si="5"/>
        <v/>
      </c>
      <c r="M175" s="7" t="str">
        <f>IFERROR(__xludf.DUMMYFUNCTION("IFERROR(
  IF(
    F175 &gt;
    3*AVERAGE(
       FILTER($F$2:$F10491,
         $G$2:$G10491=G175,
         $A$2:$A10491&gt;=A175-20,
         $A$2:$A10491&lt;=A175
       )
    ),
    ""VOL_SPIKE_3X"",""""
  ),
"""")
"),"")</f>
        <v/>
      </c>
      <c r="N175" s="7" t="str">
        <f t="shared" si="6"/>
        <v/>
      </c>
      <c r="O175" s="7" t="str">
        <f t="shared" si="7"/>
        <v/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f>IFERROR(__xludf.DUMMYFUNCTION("""COMPUTED_VALUE"""),45575.0)</f>
        <v>45575</v>
      </c>
      <c r="B176" s="6">
        <f>IFERROR(__xludf.DUMMYFUNCTION("""COMPUTED_VALUE"""),397.5)</f>
        <v>397.5</v>
      </c>
      <c r="C176" s="6">
        <f>IFERROR(__xludf.DUMMYFUNCTION("""COMPUTED_VALUE"""),404.0)</f>
        <v>404</v>
      </c>
      <c r="D176" s="6">
        <f>IFERROR(__xludf.DUMMYFUNCTION("""COMPUTED_VALUE"""),392.0)</f>
        <v>392</v>
      </c>
      <c r="E176" s="6">
        <f>IFERROR(__xludf.DUMMYFUNCTION("""COMPUTED_VALUE"""),392.5)</f>
        <v>392.5</v>
      </c>
      <c r="F176" s="7">
        <f>IFERROR(__xludf.DUMMYFUNCTION("""COMPUTED_VALUE"""),3363159.0)</f>
        <v>3363159</v>
      </c>
      <c r="G176" s="7" t="str">
        <f>IFERROR(__xludf.DUMMYFUNCTION("""COMPUTED_VALUE"""),"HINDPETRO.NS")</f>
        <v>HINDPETRO.NS</v>
      </c>
      <c r="H176" s="8">
        <f t="shared" si="1"/>
        <v>-0.01257861635</v>
      </c>
      <c r="I176" s="8">
        <f t="shared" si="2"/>
        <v>0.01257861635</v>
      </c>
      <c r="J176" s="7" t="str">
        <f t="shared" si="3"/>
        <v>Oct-2024</v>
      </c>
      <c r="K176" s="9">
        <f t="shared" si="4"/>
        <v>45566</v>
      </c>
      <c r="L176" s="7" t="str">
        <f t="shared" si="5"/>
        <v/>
      </c>
      <c r="M176" s="7" t="str">
        <f>IFERROR(__xludf.DUMMYFUNCTION("IFERROR(
  IF(
    F176 &gt;
    3*AVERAGE(
       FILTER($F$2:$F10491,
         $G$2:$G10491=G176,
         $A$2:$A10491&gt;=A176-20,
         $A$2:$A10491&lt;=A176
       )
    ),
    ""VOL_SPIKE_3X"",""""
  ),
"""")
"),"")</f>
        <v/>
      </c>
      <c r="N176" s="7" t="str">
        <f t="shared" si="6"/>
        <v/>
      </c>
      <c r="O176" s="7" t="str">
        <f t="shared" si="7"/>
        <v/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f>IFERROR(__xludf.DUMMYFUNCTION("""COMPUTED_VALUE"""),45575.0)</f>
        <v>45575</v>
      </c>
      <c r="B177" s="6">
        <f>IFERROR(__xludf.DUMMYFUNCTION("""COMPUTED_VALUE"""),165.17)</f>
        <v>165.17</v>
      </c>
      <c r="C177" s="6">
        <f>IFERROR(__xludf.DUMMYFUNCTION("""COMPUTED_VALUE"""),167.2)</f>
        <v>167.2</v>
      </c>
      <c r="D177" s="6">
        <f>IFERROR(__xludf.DUMMYFUNCTION("""COMPUTED_VALUE"""),164.01)</f>
        <v>164.01</v>
      </c>
      <c r="E177" s="6">
        <f>IFERROR(__xludf.DUMMYFUNCTION("""COMPUTED_VALUE"""),164.39)</f>
        <v>164.39</v>
      </c>
      <c r="F177" s="7">
        <f>IFERROR(__xludf.DUMMYFUNCTION("""COMPUTED_VALUE"""),1.0145184E7)</f>
        <v>10145184</v>
      </c>
      <c r="G177" s="7" t="str">
        <f>IFERROR(__xludf.DUMMYFUNCTION("""COMPUTED_VALUE"""),"IOC.NS")</f>
        <v>IOC.NS</v>
      </c>
      <c r="H177" s="8">
        <f t="shared" si="1"/>
        <v>-0.004722407217</v>
      </c>
      <c r="I177" s="8">
        <f t="shared" si="2"/>
        <v>0.004722407217</v>
      </c>
      <c r="J177" s="7" t="str">
        <f t="shared" si="3"/>
        <v>Oct-2024</v>
      </c>
      <c r="K177" s="9">
        <f t="shared" si="4"/>
        <v>45566</v>
      </c>
      <c r="L177" s="7" t="str">
        <f t="shared" si="5"/>
        <v/>
      </c>
      <c r="M177" s="7" t="str">
        <f>IFERROR(__xludf.DUMMYFUNCTION("IFERROR(
  IF(
    F177 &gt;
    3*AVERAGE(
       FILTER($F$2:$F10491,
         $G$2:$G10491=G177,
         $A$2:$A10491&gt;=A177-20,
         $A$2:$A10491&lt;=A177
       )
    ),
    ""VOL_SPIKE_3X"",""""
  ),
"""")
"),"")</f>
        <v/>
      </c>
      <c r="N177" s="7" t="str">
        <f t="shared" si="6"/>
        <v/>
      </c>
      <c r="O177" s="7" t="str">
        <f t="shared" si="7"/>
        <v/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f>IFERROR(__xludf.DUMMYFUNCTION("""COMPUTED_VALUE"""),45575.0)</f>
        <v>45575</v>
      </c>
      <c r="B178" s="6">
        <f>IFERROR(__xludf.DUMMYFUNCTION("""COMPUTED_VALUE"""),420.7)</f>
        <v>420.7</v>
      </c>
      <c r="C178" s="6">
        <f>IFERROR(__xludf.DUMMYFUNCTION("""COMPUTED_VALUE"""),429.9)</f>
        <v>429.9</v>
      </c>
      <c r="D178" s="6">
        <f>IFERROR(__xludf.DUMMYFUNCTION("""COMPUTED_VALUE"""),420.5)</f>
        <v>420.5</v>
      </c>
      <c r="E178" s="6">
        <f>IFERROR(__xludf.DUMMYFUNCTION("""COMPUTED_VALUE"""),422.7)</f>
        <v>422.7</v>
      </c>
      <c r="F178" s="7">
        <f>IFERROR(__xludf.DUMMYFUNCTION("""COMPUTED_VALUE"""),1.5866037E7)</f>
        <v>15866037</v>
      </c>
      <c r="G178" s="7" t="str">
        <f>IFERROR(__xludf.DUMMYFUNCTION("""COMPUTED_VALUE"""),"NTPC.NS")</f>
        <v>NTPC.NS</v>
      </c>
      <c r="H178" s="8">
        <f t="shared" si="1"/>
        <v>0.004753981459</v>
      </c>
      <c r="I178" s="8">
        <f t="shared" si="2"/>
        <v>0.004753981459</v>
      </c>
      <c r="J178" s="7" t="str">
        <f t="shared" si="3"/>
        <v>Oct-2024</v>
      </c>
      <c r="K178" s="9">
        <f t="shared" si="4"/>
        <v>45566</v>
      </c>
      <c r="L178" s="7" t="str">
        <f t="shared" si="5"/>
        <v/>
      </c>
      <c r="M178" s="7" t="str">
        <f>IFERROR(__xludf.DUMMYFUNCTION("IFERROR(
  IF(
    F178 &gt;
    3*AVERAGE(
       FILTER($F$2:$F10491,
         $G$2:$G10491=G178,
         $A$2:$A10491&gt;=A178-20,
         $A$2:$A10491&lt;=A178
       )
    ),
    ""VOL_SPIKE_3X"",""""
  ),
"""")
"),"")</f>
        <v/>
      </c>
      <c r="N178" s="7" t="str">
        <f t="shared" si="6"/>
        <v/>
      </c>
      <c r="O178" s="7" t="str">
        <f t="shared" si="7"/>
        <v/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f>IFERROR(__xludf.DUMMYFUNCTION("""COMPUTED_VALUE"""),45575.0)</f>
        <v>45575</v>
      </c>
      <c r="B179" s="6">
        <f>IFERROR(__xludf.DUMMYFUNCTION("""COMPUTED_VALUE"""),288.7)</f>
        <v>288.7</v>
      </c>
      <c r="C179" s="6">
        <f>IFERROR(__xludf.DUMMYFUNCTION("""COMPUTED_VALUE"""),292.15)</f>
        <v>292.15</v>
      </c>
      <c r="D179" s="6">
        <f>IFERROR(__xludf.DUMMYFUNCTION("""COMPUTED_VALUE"""),287.55)</f>
        <v>287.55</v>
      </c>
      <c r="E179" s="6">
        <f>IFERROR(__xludf.DUMMYFUNCTION("""COMPUTED_VALUE"""),288.75)</f>
        <v>288.75</v>
      </c>
      <c r="F179" s="7">
        <f>IFERROR(__xludf.DUMMYFUNCTION("""COMPUTED_VALUE"""),7237212.0)</f>
        <v>7237212</v>
      </c>
      <c r="G179" s="7" t="str">
        <f>IFERROR(__xludf.DUMMYFUNCTION("""COMPUTED_VALUE"""),"ONGC.NS")</f>
        <v>ONGC.NS</v>
      </c>
      <c r="H179" s="8">
        <f t="shared" si="1"/>
        <v>0.0001731901628</v>
      </c>
      <c r="I179" s="8">
        <f t="shared" si="2"/>
        <v>0.0001731901628</v>
      </c>
      <c r="J179" s="7" t="str">
        <f t="shared" si="3"/>
        <v>Oct-2024</v>
      </c>
      <c r="K179" s="9">
        <f t="shared" si="4"/>
        <v>45566</v>
      </c>
      <c r="L179" s="7" t="str">
        <f t="shared" si="5"/>
        <v/>
      </c>
      <c r="M179" s="7" t="str">
        <f>IFERROR(__xludf.DUMMYFUNCTION("IFERROR(
  IF(
    F179 &gt;
    3*AVERAGE(
       FILTER($F$2:$F10491,
         $G$2:$G10491=G179,
         $A$2:$A10491&gt;=A179-20,
         $A$2:$A10491&lt;=A179
       )
    ),
    ""VOL_SPIKE_3X"",""""
  ),
"""")
"),"")</f>
        <v/>
      </c>
      <c r="N179" s="7" t="str">
        <f t="shared" si="6"/>
        <v/>
      </c>
      <c r="O179" s="7" t="str">
        <f t="shared" si="7"/>
        <v/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f>IFERROR(__xludf.DUMMYFUNCTION("""COMPUTED_VALUE"""),45575.0)</f>
        <v>45575</v>
      </c>
      <c r="B180" s="6">
        <f>IFERROR(__xludf.DUMMYFUNCTION("""COMPUTED_VALUE"""),330.2)</f>
        <v>330.2</v>
      </c>
      <c r="C180" s="6">
        <f>IFERROR(__xludf.DUMMYFUNCTION("""COMPUTED_VALUE"""),338.1)</f>
        <v>338.1</v>
      </c>
      <c r="D180" s="6">
        <f>IFERROR(__xludf.DUMMYFUNCTION("""COMPUTED_VALUE"""),330.1)</f>
        <v>330.1</v>
      </c>
      <c r="E180" s="6">
        <f>IFERROR(__xludf.DUMMYFUNCTION("""COMPUTED_VALUE"""),334.35)</f>
        <v>334.35</v>
      </c>
      <c r="F180" s="7">
        <f>IFERROR(__xludf.DUMMYFUNCTION("""COMPUTED_VALUE"""),2.0773976E7)</f>
        <v>20773976</v>
      </c>
      <c r="G180" s="7" t="str">
        <f>IFERROR(__xludf.DUMMYFUNCTION("""COMPUTED_VALUE"""),"POWERGRID.NS")</f>
        <v>POWERGRID.NS</v>
      </c>
      <c r="H180" s="8">
        <f t="shared" si="1"/>
        <v>0.01256814052</v>
      </c>
      <c r="I180" s="8">
        <f t="shared" si="2"/>
        <v>0.01256814052</v>
      </c>
      <c r="J180" s="7" t="str">
        <f t="shared" si="3"/>
        <v>Oct-2024</v>
      </c>
      <c r="K180" s="9">
        <f t="shared" si="4"/>
        <v>45566</v>
      </c>
      <c r="L180" s="7" t="str">
        <f t="shared" si="5"/>
        <v/>
      </c>
      <c r="M180" s="7" t="str">
        <f>IFERROR(__xludf.DUMMYFUNCTION("IFERROR(
  IF(
    F180 &gt;
    3*AVERAGE(
       FILTER($F$2:$F10491,
         $G$2:$G10491=G180,
         $A$2:$A10491&gt;=A180-20,
         $A$2:$A10491&lt;=A180
       )
    ),
    ""VOL_SPIKE_3X"",""""
  ),
"""")
"),"")</f>
        <v/>
      </c>
      <c r="N180" s="7" t="str">
        <f t="shared" si="6"/>
        <v/>
      </c>
      <c r="O180" s="7" t="str">
        <f t="shared" si="7"/>
        <v/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f>IFERROR(__xludf.DUMMYFUNCTION("""COMPUTED_VALUE"""),45575.0)</f>
        <v>45575</v>
      </c>
      <c r="B181" s="6">
        <f>IFERROR(__xludf.DUMMYFUNCTION("""COMPUTED_VALUE"""),1380.03)</f>
        <v>1380.03</v>
      </c>
      <c r="C181" s="6">
        <f>IFERROR(__xludf.DUMMYFUNCTION("""COMPUTED_VALUE"""),1386.0)</f>
        <v>1386</v>
      </c>
      <c r="D181" s="6">
        <f>IFERROR(__xludf.DUMMYFUNCTION("""COMPUTED_VALUE"""),1369.43)</f>
        <v>1369.43</v>
      </c>
      <c r="E181" s="6">
        <f>IFERROR(__xludf.DUMMYFUNCTION("""COMPUTED_VALUE"""),1371.05)</f>
        <v>1371.05</v>
      </c>
      <c r="F181" s="7">
        <f>IFERROR(__xludf.DUMMYFUNCTION("""COMPUTED_VALUE"""),1.1179323E7)</f>
        <v>11179323</v>
      </c>
      <c r="G181" s="7" t="str">
        <f>IFERROR(__xludf.DUMMYFUNCTION("""COMPUTED_VALUE"""),"RELIANCE.NS")</f>
        <v>RELIANCE.NS</v>
      </c>
      <c r="H181" s="8">
        <f t="shared" si="1"/>
        <v>-0.006507104918</v>
      </c>
      <c r="I181" s="8">
        <f t="shared" si="2"/>
        <v>0.006507104918</v>
      </c>
      <c r="J181" s="7" t="str">
        <f t="shared" si="3"/>
        <v>Oct-2024</v>
      </c>
      <c r="K181" s="9">
        <f t="shared" si="4"/>
        <v>45566</v>
      </c>
      <c r="L181" s="7" t="str">
        <f t="shared" si="5"/>
        <v/>
      </c>
      <c r="M181" s="7" t="str">
        <f>IFERROR(__xludf.DUMMYFUNCTION("IFERROR(
  IF(
    F181 &gt;
    3*AVERAGE(
       FILTER($F$2:$F10491,
         $G$2:$G10491=G181,
         $A$2:$A10491&gt;=A181-20,
         $A$2:$A10491&lt;=A181
       )
    ),
    ""VOL_SPIKE_3X"",""""
  ),
"""")
"),"")</f>
        <v/>
      </c>
      <c r="N181" s="7" t="str">
        <f t="shared" si="6"/>
        <v/>
      </c>
      <c r="O181" s="7" t="str">
        <f t="shared" si="7"/>
        <v/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f>IFERROR(__xludf.DUMMYFUNCTION("""COMPUTED_VALUE"""),45576.0)</f>
        <v>45576</v>
      </c>
      <c r="B182" s="6">
        <f>IFERROR(__xludf.DUMMYFUNCTION("""COMPUTED_VALUE"""),997.9)</f>
        <v>997.9</v>
      </c>
      <c r="C182" s="6">
        <f>IFERROR(__xludf.DUMMYFUNCTION("""COMPUTED_VALUE"""),999.05)</f>
        <v>999.05</v>
      </c>
      <c r="D182" s="6">
        <f>IFERROR(__xludf.DUMMYFUNCTION("""COMPUTED_VALUE"""),974.7)</f>
        <v>974.7</v>
      </c>
      <c r="E182" s="6">
        <f>IFERROR(__xludf.DUMMYFUNCTION("""COMPUTED_VALUE"""),976.8)</f>
        <v>976.8</v>
      </c>
      <c r="F182" s="7">
        <f>IFERROR(__xludf.DUMMYFUNCTION("""COMPUTED_VALUE"""),1055225.0)</f>
        <v>1055225</v>
      </c>
      <c r="G182" s="7" t="str">
        <f>IFERROR(__xludf.DUMMYFUNCTION("""COMPUTED_VALUE"""),"ADANIENSOL.NS")</f>
        <v>ADANIENSOL.NS</v>
      </c>
      <c r="H182" s="8">
        <f t="shared" si="1"/>
        <v>-0.02114440325</v>
      </c>
      <c r="I182" s="8">
        <f t="shared" si="2"/>
        <v>0.02114440325</v>
      </c>
      <c r="J182" s="7" t="str">
        <f t="shared" si="3"/>
        <v>Oct-2024</v>
      </c>
      <c r="K182" s="9">
        <f t="shared" si="4"/>
        <v>45566</v>
      </c>
      <c r="L182" s="7" t="str">
        <f t="shared" si="5"/>
        <v/>
      </c>
      <c r="M182" s="7" t="str">
        <f>IFERROR(__xludf.DUMMYFUNCTION("IFERROR(
  IF(
    F182 &gt;
    3*AVERAGE(
       FILTER($F$2:$F10491,
         $G$2:$G10491=G182,
         $A$2:$A10491&gt;=A182-20,
         $A$2:$A10491&lt;=A182
       )
    ),
    ""VOL_SPIKE_3X"",""""
  ),
"""")
"),"")</f>
        <v/>
      </c>
      <c r="N182" s="7" t="str">
        <f t="shared" si="6"/>
        <v/>
      </c>
      <c r="O182" s="7" t="str">
        <f t="shared" si="7"/>
        <v/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f>IFERROR(__xludf.DUMMYFUNCTION("""COMPUTED_VALUE"""),45576.0)</f>
        <v>45576</v>
      </c>
      <c r="B183" s="6">
        <f>IFERROR(__xludf.DUMMYFUNCTION("""COMPUTED_VALUE"""),1782.0)</f>
        <v>1782</v>
      </c>
      <c r="C183" s="6">
        <f>IFERROR(__xludf.DUMMYFUNCTION("""COMPUTED_VALUE"""),1807.0)</f>
        <v>1807</v>
      </c>
      <c r="D183" s="6">
        <f>IFERROR(__xludf.DUMMYFUNCTION("""COMPUTED_VALUE"""),1767.0)</f>
        <v>1767</v>
      </c>
      <c r="E183" s="6">
        <f>IFERROR(__xludf.DUMMYFUNCTION("""COMPUTED_VALUE"""),1792.2)</f>
        <v>1792.2</v>
      </c>
      <c r="F183" s="7">
        <f>IFERROR(__xludf.DUMMYFUNCTION("""COMPUTED_VALUE"""),475444.0)</f>
        <v>475444</v>
      </c>
      <c r="G183" s="7" t="str">
        <f>IFERROR(__xludf.DUMMYFUNCTION("""COMPUTED_VALUE"""),"ADANIGREEN.NS")</f>
        <v>ADANIGREEN.NS</v>
      </c>
      <c r="H183" s="8">
        <f t="shared" si="1"/>
        <v>0.005723905724</v>
      </c>
      <c r="I183" s="8">
        <f t="shared" si="2"/>
        <v>0.005723905724</v>
      </c>
      <c r="J183" s="7" t="str">
        <f t="shared" si="3"/>
        <v>Oct-2024</v>
      </c>
      <c r="K183" s="9">
        <f t="shared" si="4"/>
        <v>45566</v>
      </c>
      <c r="L183" s="7" t="str">
        <f t="shared" si="5"/>
        <v/>
      </c>
      <c r="M183" s="7" t="str">
        <f>IFERROR(__xludf.DUMMYFUNCTION("IFERROR(
  IF(
    F183 &gt;
    3*AVERAGE(
       FILTER($F$2:$F10491,
         $G$2:$G10491=G183,
         $A$2:$A10491&gt;=A183-20,
         $A$2:$A10491&lt;=A183
       )
    ),
    ""VOL_SPIKE_3X"",""""
  ),
"""")
"),"")</f>
        <v/>
      </c>
      <c r="N183" s="7" t="str">
        <f t="shared" si="6"/>
        <v/>
      </c>
      <c r="O183" s="7" t="str">
        <f t="shared" si="7"/>
        <v/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f>IFERROR(__xludf.DUMMYFUNCTION("""COMPUTED_VALUE"""),45576.0)</f>
        <v>45576</v>
      </c>
      <c r="B184" s="6">
        <f>IFERROR(__xludf.DUMMYFUNCTION("""COMPUTED_VALUE"""),335.45)</f>
        <v>335.45</v>
      </c>
      <c r="C184" s="6">
        <f>IFERROR(__xludf.DUMMYFUNCTION("""COMPUTED_VALUE"""),339.4)</f>
        <v>339.4</v>
      </c>
      <c r="D184" s="6">
        <f>IFERROR(__xludf.DUMMYFUNCTION("""COMPUTED_VALUE"""),334.0)</f>
        <v>334</v>
      </c>
      <c r="E184" s="6">
        <f>IFERROR(__xludf.DUMMYFUNCTION("""COMPUTED_VALUE"""),337.65)</f>
        <v>337.65</v>
      </c>
      <c r="F184" s="7">
        <f>IFERROR(__xludf.DUMMYFUNCTION("""COMPUTED_VALUE"""),4046559.0)</f>
        <v>4046559</v>
      </c>
      <c r="G184" s="7" t="str">
        <f>IFERROR(__xludf.DUMMYFUNCTION("""COMPUTED_VALUE"""),"BPCL.NS")</f>
        <v>BPCL.NS</v>
      </c>
      <c r="H184" s="8">
        <f t="shared" si="1"/>
        <v>0.006558354449</v>
      </c>
      <c r="I184" s="8">
        <f t="shared" si="2"/>
        <v>0.006558354449</v>
      </c>
      <c r="J184" s="7" t="str">
        <f t="shared" si="3"/>
        <v>Oct-2024</v>
      </c>
      <c r="K184" s="9">
        <f t="shared" si="4"/>
        <v>45566</v>
      </c>
      <c r="L184" s="7" t="str">
        <f t="shared" si="5"/>
        <v/>
      </c>
      <c r="M184" s="7" t="str">
        <f>IFERROR(__xludf.DUMMYFUNCTION("IFERROR(
  IF(
    F184 &gt;
    3*AVERAGE(
       FILTER($F$2:$F10491,
         $G$2:$G10491=G184,
         $A$2:$A10491&gt;=A184-20,
         $A$2:$A10491&lt;=A184
       )
    ),
    ""VOL_SPIKE_3X"",""""
  ),
"""")
"),"")</f>
        <v/>
      </c>
      <c r="N184" s="7" t="str">
        <f t="shared" si="6"/>
        <v/>
      </c>
      <c r="O184" s="7" t="str">
        <f t="shared" si="7"/>
        <v/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f>IFERROR(__xludf.DUMMYFUNCTION("""COMPUTED_VALUE"""),45576.0)</f>
        <v>45576</v>
      </c>
      <c r="B185" s="6">
        <f>IFERROR(__xludf.DUMMYFUNCTION("""COMPUTED_VALUE"""),487.5)</f>
        <v>487.5</v>
      </c>
      <c r="C185" s="6">
        <f>IFERROR(__xludf.DUMMYFUNCTION("""COMPUTED_VALUE"""),493.9)</f>
        <v>493.9</v>
      </c>
      <c r="D185" s="6">
        <f>IFERROR(__xludf.DUMMYFUNCTION("""COMPUTED_VALUE"""),487.45)</f>
        <v>487.45</v>
      </c>
      <c r="E185" s="6">
        <f>IFERROR(__xludf.DUMMYFUNCTION("""COMPUTED_VALUE"""),492.95)</f>
        <v>492.95</v>
      </c>
      <c r="F185" s="7">
        <f>IFERROR(__xludf.DUMMYFUNCTION("""COMPUTED_VALUE"""),4364566.0)</f>
        <v>4364566</v>
      </c>
      <c r="G185" s="7" t="str">
        <f>IFERROR(__xludf.DUMMYFUNCTION("""COMPUTED_VALUE"""),"COALINDIA.NS")</f>
        <v>COALINDIA.NS</v>
      </c>
      <c r="H185" s="8">
        <f t="shared" si="1"/>
        <v>0.01117948718</v>
      </c>
      <c r="I185" s="8">
        <f t="shared" si="2"/>
        <v>0.01117948718</v>
      </c>
      <c r="J185" s="7" t="str">
        <f t="shared" si="3"/>
        <v>Oct-2024</v>
      </c>
      <c r="K185" s="9">
        <f t="shared" si="4"/>
        <v>45566</v>
      </c>
      <c r="L185" s="7" t="str">
        <f t="shared" si="5"/>
        <v/>
      </c>
      <c r="M185" s="7" t="str">
        <f>IFERROR(__xludf.DUMMYFUNCTION("IFERROR(
  IF(
    F185 &gt;
    3*AVERAGE(
       FILTER($F$2:$F10491,
         $G$2:$G10491=G185,
         $A$2:$A10491&gt;=A185-20,
         $A$2:$A10491&lt;=A185
       )
    ),
    ""VOL_SPIKE_3X"",""""
  ),
"""")
"),"")</f>
        <v/>
      </c>
      <c r="N185" s="7" t="str">
        <f t="shared" si="6"/>
        <v/>
      </c>
      <c r="O185" s="7" t="str">
        <f t="shared" si="7"/>
        <v/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f>IFERROR(__xludf.DUMMYFUNCTION("""COMPUTED_VALUE"""),45576.0)</f>
        <v>45576</v>
      </c>
      <c r="B186" s="6">
        <f>IFERROR(__xludf.DUMMYFUNCTION("""COMPUTED_VALUE"""),392.0)</f>
        <v>392</v>
      </c>
      <c r="C186" s="6">
        <f>IFERROR(__xludf.DUMMYFUNCTION("""COMPUTED_VALUE"""),397.05)</f>
        <v>397.05</v>
      </c>
      <c r="D186" s="6">
        <f>IFERROR(__xludf.DUMMYFUNCTION("""COMPUTED_VALUE"""),387.4)</f>
        <v>387.4</v>
      </c>
      <c r="E186" s="6">
        <f>IFERROR(__xludf.DUMMYFUNCTION("""COMPUTED_VALUE"""),395.5)</f>
        <v>395.5</v>
      </c>
      <c r="F186" s="7">
        <f>IFERROR(__xludf.DUMMYFUNCTION("""COMPUTED_VALUE"""),2978692.0)</f>
        <v>2978692</v>
      </c>
      <c r="G186" s="7" t="str">
        <f>IFERROR(__xludf.DUMMYFUNCTION("""COMPUTED_VALUE"""),"HINDPETRO.NS")</f>
        <v>HINDPETRO.NS</v>
      </c>
      <c r="H186" s="8">
        <f t="shared" si="1"/>
        <v>0.008928571429</v>
      </c>
      <c r="I186" s="8">
        <f t="shared" si="2"/>
        <v>0.008928571429</v>
      </c>
      <c r="J186" s="7" t="str">
        <f t="shared" si="3"/>
        <v>Oct-2024</v>
      </c>
      <c r="K186" s="9">
        <f t="shared" si="4"/>
        <v>45566</v>
      </c>
      <c r="L186" s="7" t="str">
        <f t="shared" si="5"/>
        <v/>
      </c>
      <c r="M186" s="7" t="str">
        <f>IFERROR(__xludf.DUMMYFUNCTION("IFERROR(
  IF(
    F186 &gt;
    3*AVERAGE(
       FILTER($F$2:$F10491,
         $G$2:$G10491=G186,
         $A$2:$A10491&gt;=A186-20,
         $A$2:$A10491&lt;=A186
       )
    ),
    ""VOL_SPIKE_3X"",""""
  ),
"""")
"),"")</f>
        <v/>
      </c>
      <c r="N186" s="7" t="str">
        <f t="shared" si="6"/>
        <v/>
      </c>
      <c r="O186" s="7" t="str">
        <f t="shared" si="7"/>
        <v/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f>IFERROR(__xludf.DUMMYFUNCTION("""COMPUTED_VALUE"""),45576.0)</f>
        <v>45576</v>
      </c>
      <c r="B187" s="6">
        <f>IFERROR(__xludf.DUMMYFUNCTION("""COMPUTED_VALUE"""),164.39)</f>
        <v>164.39</v>
      </c>
      <c r="C187" s="6">
        <f>IFERROR(__xludf.DUMMYFUNCTION("""COMPUTED_VALUE"""),164.74)</f>
        <v>164.74</v>
      </c>
      <c r="D187" s="6">
        <f>IFERROR(__xludf.DUMMYFUNCTION("""COMPUTED_VALUE"""),162.6)</f>
        <v>162.6</v>
      </c>
      <c r="E187" s="6">
        <f>IFERROR(__xludf.DUMMYFUNCTION("""COMPUTED_VALUE"""),163.15)</f>
        <v>163.15</v>
      </c>
      <c r="F187" s="7">
        <f>IFERROR(__xludf.DUMMYFUNCTION("""COMPUTED_VALUE"""),8750905.0)</f>
        <v>8750905</v>
      </c>
      <c r="G187" s="7" t="str">
        <f>IFERROR(__xludf.DUMMYFUNCTION("""COMPUTED_VALUE"""),"IOC.NS")</f>
        <v>IOC.NS</v>
      </c>
      <c r="H187" s="8">
        <f t="shared" si="1"/>
        <v>-0.007543037898</v>
      </c>
      <c r="I187" s="8">
        <f t="shared" si="2"/>
        <v>0.007543037898</v>
      </c>
      <c r="J187" s="7" t="str">
        <f t="shared" si="3"/>
        <v>Oct-2024</v>
      </c>
      <c r="K187" s="9">
        <f t="shared" si="4"/>
        <v>45566</v>
      </c>
      <c r="L187" s="7" t="str">
        <f t="shared" si="5"/>
        <v/>
      </c>
      <c r="M187" s="7" t="str">
        <f>IFERROR(__xludf.DUMMYFUNCTION("IFERROR(
  IF(
    F187 &gt;
    3*AVERAGE(
       FILTER($F$2:$F10491,
         $G$2:$G10491=G187,
         $A$2:$A10491&gt;=A187-20,
         $A$2:$A10491&lt;=A187
       )
    ),
    ""VOL_SPIKE_3X"",""""
  ),
"""")
"),"")</f>
        <v/>
      </c>
      <c r="N187" s="7" t="str">
        <f t="shared" si="6"/>
        <v/>
      </c>
      <c r="O187" s="7" t="str">
        <f t="shared" si="7"/>
        <v/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f>IFERROR(__xludf.DUMMYFUNCTION("""COMPUTED_VALUE"""),45576.0)</f>
        <v>45576</v>
      </c>
      <c r="B188" s="6">
        <f>IFERROR(__xludf.DUMMYFUNCTION("""COMPUTED_VALUE"""),423.95)</f>
        <v>423.95</v>
      </c>
      <c r="C188" s="6">
        <f>IFERROR(__xludf.DUMMYFUNCTION("""COMPUTED_VALUE"""),426.65)</f>
        <v>426.65</v>
      </c>
      <c r="D188" s="6">
        <f>IFERROR(__xludf.DUMMYFUNCTION("""COMPUTED_VALUE"""),419.6)</f>
        <v>419.6</v>
      </c>
      <c r="E188" s="6">
        <f>IFERROR(__xludf.DUMMYFUNCTION("""COMPUTED_VALUE"""),422.5)</f>
        <v>422.5</v>
      </c>
      <c r="F188" s="7">
        <f>IFERROR(__xludf.DUMMYFUNCTION("""COMPUTED_VALUE"""),8639087.0)</f>
        <v>8639087</v>
      </c>
      <c r="G188" s="7" t="str">
        <f>IFERROR(__xludf.DUMMYFUNCTION("""COMPUTED_VALUE"""),"NTPC.NS")</f>
        <v>NTPC.NS</v>
      </c>
      <c r="H188" s="8">
        <f t="shared" si="1"/>
        <v>-0.003420214648</v>
      </c>
      <c r="I188" s="8">
        <f t="shared" si="2"/>
        <v>0.003420214648</v>
      </c>
      <c r="J188" s="7" t="str">
        <f t="shared" si="3"/>
        <v>Oct-2024</v>
      </c>
      <c r="K188" s="9">
        <f t="shared" si="4"/>
        <v>45566</v>
      </c>
      <c r="L188" s="7" t="str">
        <f t="shared" si="5"/>
        <v/>
      </c>
      <c r="M188" s="7" t="str">
        <f>IFERROR(__xludf.DUMMYFUNCTION("IFERROR(
  IF(
    F188 &gt;
    3*AVERAGE(
       FILTER($F$2:$F10491,
         $G$2:$G10491=G188,
         $A$2:$A10491&gt;=A188-20,
         $A$2:$A10491&lt;=A188
       )
    ),
    ""VOL_SPIKE_3X"",""""
  ),
"""")
"),"")</f>
        <v/>
      </c>
      <c r="N188" s="7" t="str">
        <f t="shared" si="6"/>
        <v/>
      </c>
      <c r="O188" s="7" t="str">
        <f t="shared" si="7"/>
        <v/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f>IFERROR(__xludf.DUMMYFUNCTION("""COMPUTED_VALUE"""),45576.0)</f>
        <v>45576</v>
      </c>
      <c r="B189" s="6">
        <f>IFERROR(__xludf.DUMMYFUNCTION("""COMPUTED_VALUE"""),291.3)</f>
        <v>291.3</v>
      </c>
      <c r="C189" s="6">
        <f>IFERROR(__xludf.DUMMYFUNCTION("""COMPUTED_VALUE"""),293.65)</f>
        <v>293.65</v>
      </c>
      <c r="D189" s="6">
        <f>IFERROR(__xludf.DUMMYFUNCTION("""COMPUTED_VALUE"""),289.5)</f>
        <v>289.5</v>
      </c>
      <c r="E189" s="6">
        <f>IFERROR(__xludf.DUMMYFUNCTION("""COMPUTED_VALUE"""),292.55)</f>
        <v>292.55</v>
      </c>
      <c r="F189" s="7">
        <f>IFERROR(__xludf.DUMMYFUNCTION("""COMPUTED_VALUE"""),7011704.0)</f>
        <v>7011704</v>
      </c>
      <c r="G189" s="7" t="str">
        <f>IFERROR(__xludf.DUMMYFUNCTION("""COMPUTED_VALUE"""),"ONGC.NS")</f>
        <v>ONGC.NS</v>
      </c>
      <c r="H189" s="8">
        <f t="shared" si="1"/>
        <v>0.004291108823</v>
      </c>
      <c r="I189" s="8">
        <f t="shared" si="2"/>
        <v>0.004291108823</v>
      </c>
      <c r="J189" s="7" t="str">
        <f t="shared" si="3"/>
        <v>Oct-2024</v>
      </c>
      <c r="K189" s="9">
        <f t="shared" si="4"/>
        <v>45566</v>
      </c>
      <c r="L189" s="7" t="str">
        <f t="shared" si="5"/>
        <v/>
      </c>
      <c r="M189" s="7" t="str">
        <f>IFERROR(__xludf.DUMMYFUNCTION("IFERROR(
  IF(
    F189 &gt;
    3*AVERAGE(
       FILTER($F$2:$F10491,
         $G$2:$G10491=G189,
         $A$2:$A10491&gt;=A189-20,
         $A$2:$A10491&lt;=A189
       )
    ),
    ""VOL_SPIKE_3X"",""""
  ),
"""")
"),"")</f>
        <v/>
      </c>
      <c r="N189" s="7" t="str">
        <f t="shared" si="6"/>
        <v/>
      </c>
      <c r="O189" s="7" t="str">
        <f t="shared" si="7"/>
        <v/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f>IFERROR(__xludf.DUMMYFUNCTION("""COMPUTED_VALUE"""),45576.0)</f>
        <v>45576</v>
      </c>
      <c r="B190" s="6">
        <f>IFERROR(__xludf.DUMMYFUNCTION("""COMPUTED_VALUE"""),334.45)</f>
        <v>334.45</v>
      </c>
      <c r="C190" s="6">
        <f>IFERROR(__xludf.DUMMYFUNCTION("""COMPUTED_VALUE"""),335.35)</f>
        <v>335.35</v>
      </c>
      <c r="D190" s="6">
        <f>IFERROR(__xludf.DUMMYFUNCTION("""COMPUTED_VALUE"""),329.5)</f>
        <v>329.5</v>
      </c>
      <c r="E190" s="6">
        <f>IFERROR(__xludf.DUMMYFUNCTION("""COMPUTED_VALUE"""),330.05)</f>
        <v>330.05</v>
      </c>
      <c r="F190" s="7">
        <f>IFERROR(__xludf.DUMMYFUNCTION("""COMPUTED_VALUE"""),6098468.0)</f>
        <v>6098468</v>
      </c>
      <c r="G190" s="7" t="str">
        <f>IFERROR(__xludf.DUMMYFUNCTION("""COMPUTED_VALUE"""),"POWERGRID.NS")</f>
        <v>POWERGRID.NS</v>
      </c>
      <c r="H190" s="8">
        <f t="shared" si="1"/>
        <v>-0.01315592764</v>
      </c>
      <c r="I190" s="8">
        <f t="shared" si="2"/>
        <v>0.01315592764</v>
      </c>
      <c r="J190" s="7" t="str">
        <f t="shared" si="3"/>
        <v>Oct-2024</v>
      </c>
      <c r="K190" s="9">
        <f t="shared" si="4"/>
        <v>45566</v>
      </c>
      <c r="L190" s="7" t="str">
        <f t="shared" si="5"/>
        <v/>
      </c>
      <c r="M190" s="7" t="str">
        <f>IFERROR(__xludf.DUMMYFUNCTION("IFERROR(
  IF(
    F190 &gt;
    3*AVERAGE(
       FILTER($F$2:$F10491,
         $G$2:$G10491=G190,
         $A$2:$A10491&gt;=A190-20,
         $A$2:$A10491&lt;=A190
       )
    ),
    ""VOL_SPIKE_3X"",""""
  ),
"""")
"),"")</f>
        <v/>
      </c>
      <c r="N190" s="7" t="str">
        <f t="shared" si="6"/>
        <v/>
      </c>
      <c r="O190" s="7" t="str">
        <f t="shared" si="7"/>
        <v/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f>IFERROR(__xludf.DUMMYFUNCTION("""COMPUTED_VALUE"""),45576.0)</f>
        <v>45576</v>
      </c>
      <c r="B191" s="6">
        <f>IFERROR(__xludf.DUMMYFUNCTION("""COMPUTED_VALUE"""),1370.0)</f>
        <v>1370</v>
      </c>
      <c r="C191" s="6">
        <f>IFERROR(__xludf.DUMMYFUNCTION("""COMPUTED_VALUE"""),1383.28)</f>
        <v>1383.28</v>
      </c>
      <c r="D191" s="6">
        <f>IFERROR(__xludf.DUMMYFUNCTION("""COMPUTED_VALUE"""),1368.83)</f>
        <v>1368.83</v>
      </c>
      <c r="E191" s="6">
        <f>IFERROR(__xludf.DUMMYFUNCTION("""COMPUTED_VALUE"""),1372.1)</f>
        <v>1372.1</v>
      </c>
      <c r="F191" s="7">
        <f>IFERROR(__xludf.DUMMYFUNCTION("""COMPUTED_VALUE"""),3990061.0)</f>
        <v>3990061</v>
      </c>
      <c r="G191" s="7" t="str">
        <f>IFERROR(__xludf.DUMMYFUNCTION("""COMPUTED_VALUE"""),"RELIANCE.NS")</f>
        <v>RELIANCE.NS</v>
      </c>
      <c r="H191" s="8">
        <f t="shared" si="1"/>
        <v>0.001532846715</v>
      </c>
      <c r="I191" s="8">
        <f t="shared" si="2"/>
        <v>0.001532846715</v>
      </c>
      <c r="J191" s="7" t="str">
        <f t="shared" si="3"/>
        <v>Oct-2024</v>
      </c>
      <c r="K191" s="9">
        <f t="shared" si="4"/>
        <v>45566</v>
      </c>
      <c r="L191" s="7" t="str">
        <f t="shared" si="5"/>
        <v/>
      </c>
      <c r="M191" s="7" t="str">
        <f>IFERROR(__xludf.DUMMYFUNCTION("IFERROR(
  IF(
    F191 &gt;
    3*AVERAGE(
       FILTER($F$2:$F10491,
         $G$2:$G10491=G191,
         $A$2:$A10491&gt;=A191-20,
         $A$2:$A10491&lt;=A191
       )
    ),
    ""VOL_SPIKE_3X"",""""
  ),
"""")
"),"")</f>
        <v/>
      </c>
      <c r="N191" s="7" t="str">
        <f t="shared" si="6"/>
        <v/>
      </c>
      <c r="O191" s="7" t="str">
        <f t="shared" si="7"/>
        <v/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f>IFERROR(__xludf.DUMMYFUNCTION("""COMPUTED_VALUE"""),45579.0)</f>
        <v>45579</v>
      </c>
      <c r="B192" s="6">
        <f>IFERROR(__xludf.DUMMYFUNCTION("""COMPUTED_VALUE"""),994.0)</f>
        <v>994</v>
      </c>
      <c r="C192" s="6">
        <f>IFERROR(__xludf.DUMMYFUNCTION("""COMPUTED_VALUE"""),1014.8)</f>
        <v>1014.8</v>
      </c>
      <c r="D192" s="6">
        <f>IFERROR(__xludf.DUMMYFUNCTION("""COMPUTED_VALUE"""),977.1)</f>
        <v>977.1</v>
      </c>
      <c r="E192" s="6">
        <f>IFERROR(__xludf.DUMMYFUNCTION("""COMPUTED_VALUE"""),982.4)</f>
        <v>982.4</v>
      </c>
      <c r="F192" s="7">
        <f>IFERROR(__xludf.DUMMYFUNCTION("""COMPUTED_VALUE"""),1363315.0)</f>
        <v>1363315</v>
      </c>
      <c r="G192" s="7" t="str">
        <f>IFERROR(__xludf.DUMMYFUNCTION("""COMPUTED_VALUE"""),"ADANIENSOL.NS")</f>
        <v>ADANIENSOL.NS</v>
      </c>
      <c r="H192" s="8">
        <f t="shared" si="1"/>
        <v>-0.01167002012</v>
      </c>
      <c r="I192" s="8">
        <f t="shared" si="2"/>
        <v>0.01167002012</v>
      </c>
      <c r="J192" s="7" t="str">
        <f t="shared" si="3"/>
        <v>Oct-2024</v>
      </c>
      <c r="K192" s="9">
        <f t="shared" si="4"/>
        <v>45566</v>
      </c>
      <c r="L192" s="7" t="str">
        <f t="shared" si="5"/>
        <v/>
      </c>
      <c r="M192" s="7" t="str">
        <f>IFERROR(__xludf.DUMMYFUNCTION("IFERROR(
  IF(
    F192 &gt;
    3*AVERAGE(
       FILTER($F$2:$F10491,
         $G$2:$G10491=G192,
         $A$2:$A10491&gt;=A192-20,
         $A$2:$A10491&lt;=A192
       )
    ),
    ""VOL_SPIKE_3X"",""""
  ),
"""")
"),"")</f>
        <v/>
      </c>
      <c r="N192" s="7" t="str">
        <f t="shared" si="6"/>
        <v/>
      </c>
      <c r="O192" s="7" t="str">
        <f t="shared" si="7"/>
        <v/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f>IFERROR(__xludf.DUMMYFUNCTION("""COMPUTED_VALUE"""),45579.0)</f>
        <v>45579</v>
      </c>
      <c r="B193" s="6">
        <f>IFERROR(__xludf.DUMMYFUNCTION("""COMPUTED_VALUE"""),1793.0)</f>
        <v>1793</v>
      </c>
      <c r="C193" s="6">
        <f>IFERROR(__xludf.DUMMYFUNCTION("""COMPUTED_VALUE"""),1804.35)</f>
        <v>1804.35</v>
      </c>
      <c r="D193" s="6">
        <f>IFERROR(__xludf.DUMMYFUNCTION("""COMPUTED_VALUE"""),1765.05)</f>
        <v>1765.05</v>
      </c>
      <c r="E193" s="6">
        <f>IFERROR(__xludf.DUMMYFUNCTION("""COMPUTED_VALUE"""),1775.35)</f>
        <v>1775.35</v>
      </c>
      <c r="F193" s="7">
        <f>IFERROR(__xludf.DUMMYFUNCTION("""COMPUTED_VALUE"""),369972.0)</f>
        <v>369972</v>
      </c>
      <c r="G193" s="7" t="str">
        <f>IFERROR(__xludf.DUMMYFUNCTION("""COMPUTED_VALUE"""),"ADANIGREEN.NS")</f>
        <v>ADANIGREEN.NS</v>
      </c>
      <c r="H193" s="8">
        <f t="shared" si="1"/>
        <v>-0.009843837144</v>
      </c>
      <c r="I193" s="8">
        <f t="shared" si="2"/>
        <v>0.009843837144</v>
      </c>
      <c r="J193" s="7" t="str">
        <f t="shared" si="3"/>
        <v>Oct-2024</v>
      </c>
      <c r="K193" s="9">
        <f t="shared" si="4"/>
        <v>45566</v>
      </c>
      <c r="L193" s="7" t="str">
        <f t="shared" si="5"/>
        <v/>
      </c>
      <c r="M193" s="7" t="str">
        <f>IFERROR(__xludf.DUMMYFUNCTION("IFERROR(
  IF(
    F193 &gt;
    3*AVERAGE(
       FILTER($F$2:$F10491,
         $G$2:$G10491=G193,
         $A$2:$A10491&gt;=A193-20,
         $A$2:$A10491&lt;=A193
       )
    ),
    ""VOL_SPIKE_3X"",""""
  ),
"""")
"),"")</f>
        <v/>
      </c>
      <c r="N193" s="7" t="str">
        <f t="shared" si="6"/>
        <v/>
      </c>
      <c r="O193" s="7" t="str">
        <f t="shared" si="7"/>
        <v/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f>IFERROR(__xludf.DUMMYFUNCTION("""COMPUTED_VALUE"""),45579.0)</f>
        <v>45579</v>
      </c>
      <c r="B194" s="6">
        <f>IFERROR(__xludf.DUMMYFUNCTION("""COMPUTED_VALUE"""),340.0)</f>
        <v>340</v>
      </c>
      <c r="C194" s="6">
        <f>IFERROR(__xludf.DUMMYFUNCTION("""COMPUTED_VALUE"""),344.6)</f>
        <v>344.6</v>
      </c>
      <c r="D194" s="6">
        <f>IFERROR(__xludf.DUMMYFUNCTION("""COMPUTED_VALUE"""),337.25)</f>
        <v>337.25</v>
      </c>
      <c r="E194" s="6">
        <f>IFERROR(__xludf.DUMMYFUNCTION("""COMPUTED_VALUE"""),340.75)</f>
        <v>340.75</v>
      </c>
      <c r="F194" s="7">
        <f>IFERROR(__xludf.DUMMYFUNCTION("""COMPUTED_VALUE"""),7967181.0)</f>
        <v>7967181</v>
      </c>
      <c r="G194" s="7" t="str">
        <f>IFERROR(__xludf.DUMMYFUNCTION("""COMPUTED_VALUE"""),"BPCL.NS")</f>
        <v>BPCL.NS</v>
      </c>
      <c r="H194" s="8">
        <f t="shared" si="1"/>
        <v>0.002205882353</v>
      </c>
      <c r="I194" s="8">
        <f t="shared" si="2"/>
        <v>0.002205882353</v>
      </c>
      <c r="J194" s="7" t="str">
        <f t="shared" si="3"/>
        <v>Oct-2024</v>
      </c>
      <c r="K194" s="9">
        <f t="shared" si="4"/>
        <v>45566</v>
      </c>
      <c r="L194" s="7" t="str">
        <f t="shared" si="5"/>
        <v/>
      </c>
      <c r="M194" s="7" t="str">
        <f>IFERROR(__xludf.DUMMYFUNCTION("IFERROR(
  IF(
    F194 &gt;
    3*AVERAGE(
       FILTER($F$2:$F10491,
         $G$2:$G10491=G194,
         $A$2:$A10491&gt;=A194-20,
         $A$2:$A10491&lt;=A194
       )
    ),
    ""VOL_SPIKE_3X"",""""
  ),
"""")
"),"")</f>
        <v/>
      </c>
      <c r="N194" s="7" t="str">
        <f t="shared" si="6"/>
        <v/>
      </c>
      <c r="O194" s="7" t="str">
        <f t="shared" si="7"/>
        <v/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f>IFERROR(__xludf.DUMMYFUNCTION("""COMPUTED_VALUE"""),45579.0)</f>
        <v>45579</v>
      </c>
      <c r="B195" s="6">
        <f>IFERROR(__xludf.DUMMYFUNCTION("""COMPUTED_VALUE"""),494.95)</f>
        <v>494.95</v>
      </c>
      <c r="C195" s="6">
        <f>IFERROR(__xludf.DUMMYFUNCTION("""COMPUTED_VALUE"""),502.45)</f>
        <v>502.45</v>
      </c>
      <c r="D195" s="6">
        <f>IFERROR(__xludf.DUMMYFUNCTION("""COMPUTED_VALUE"""),492.95)</f>
        <v>492.95</v>
      </c>
      <c r="E195" s="6">
        <f>IFERROR(__xludf.DUMMYFUNCTION("""COMPUTED_VALUE"""),498.3)</f>
        <v>498.3</v>
      </c>
      <c r="F195" s="7">
        <f>IFERROR(__xludf.DUMMYFUNCTION("""COMPUTED_VALUE"""),5369297.0)</f>
        <v>5369297</v>
      </c>
      <c r="G195" s="7" t="str">
        <f>IFERROR(__xludf.DUMMYFUNCTION("""COMPUTED_VALUE"""),"COALINDIA.NS")</f>
        <v>COALINDIA.NS</v>
      </c>
      <c r="H195" s="8">
        <f t="shared" si="1"/>
        <v>0.00676836044</v>
      </c>
      <c r="I195" s="8">
        <f t="shared" si="2"/>
        <v>0.00676836044</v>
      </c>
      <c r="J195" s="7" t="str">
        <f t="shared" si="3"/>
        <v>Oct-2024</v>
      </c>
      <c r="K195" s="9">
        <f t="shared" si="4"/>
        <v>45566</v>
      </c>
      <c r="L195" s="7" t="str">
        <f t="shared" si="5"/>
        <v/>
      </c>
      <c r="M195" s="7" t="str">
        <f>IFERROR(__xludf.DUMMYFUNCTION("IFERROR(
  IF(
    F195 &gt;
    3*AVERAGE(
       FILTER($F$2:$F10491,
         $G$2:$G10491=G195,
         $A$2:$A10491&gt;=A195-20,
         $A$2:$A10491&lt;=A195
       )
    ),
    ""VOL_SPIKE_3X"",""""
  ),
"""")
"),"")</f>
        <v/>
      </c>
      <c r="N195" s="7" t="str">
        <f t="shared" si="6"/>
        <v/>
      </c>
      <c r="O195" s="7" t="str">
        <f t="shared" si="7"/>
        <v/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f>IFERROR(__xludf.DUMMYFUNCTION("""COMPUTED_VALUE"""),45579.0)</f>
        <v>45579</v>
      </c>
      <c r="B196" s="6">
        <f>IFERROR(__xludf.DUMMYFUNCTION("""COMPUTED_VALUE"""),397.5)</f>
        <v>397.5</v>
      </c>
      <c r="C196" s="6">
        <f>IFERROR(__xludf.DUMMYFUNCTION("""COMPUTED_VALUE"""),407.9)</f>
        <v>407.9</v>
      </c>
      <c r="D196" s="6">
        <f>IFERROR(__xludf.DUMMYFUNCTION("""COMPUTED_VALUE"""),396.05)</f>
        <v>396.05</v>
      </c>
      <c r="E196" s="6">
        <f>IFERROR(__xludf.DUMMYFUNCTION("""COMPUTED_VALUE"""),405.85)</f>
        <v>405.85</v>
      </c>
      <c r="F196" s="7">
        <f>IFERROR(__xludf.DUMMYFUNCTION("""COMPUTED_VALUE"""),6151692.0)</f>
        <v>6151692</v>
      </c>
      <c r="G196" s="7" t="str">
        <f>IFERROR(__xludf.DUMMYFUNCTION("""COMPUTED_VALUE"""),"HINDPETRO.NS")</f>
        <v>HINDPETRO.NS</v>
      </c>
      <c r="H196" s="8">
        <f t="shared" si="1"/>
        <v>0.02100628931</v>
      </c>
      <c r="I196" s="8">
        <f t="shared" si="2"/>
        <v>0.02100628931</v>
      </c>
      <c r="J196" s="7" t="str">
        <f t="shared" si="3"/>
        <v>Oct-2024</v>
      </c>
      <c r="K196" s="9">
        <f t="shared" si="4"/>
        <v>45566</v>
      </c>
      <c r="L196" s="7" t="str">
        <f t="shared" si="5"/>
        <v/>
      </c>
      <c r="M196" s="7" t="str">
        <f>IFERROR(__xludf.DUMMYFUNCTION("IFERROR(
  IF(
    F196 &gt;
    3*AVERAGE(
       FILTER($F$2:$F10491,
         $G$2:$G10491=G196,
         $A$2:$A10491&gt;=A196-20,
         $A$2:$A10491&lt;=A196
       )
    ),
    ""VOL_SPIKE_3X"",""""
  ),
"""")
"),"")</f>
        <v/>
      </c>
      <c r="N196" s="7" t="str">
        <f t="shared" si="6"/>
        <v/>
      </c>
      <c r="O196" s="7" t="str">
        <f t="shared" si="7"/>
        <v/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f>IFERROR(__xludf.DUMMYFUNCTION("""COMPUTED_VALUE"""),45579.0)</f>
        <v>45579</v>
      </c>
      <c r="B197" s="6">
        <f>IFERROR(__xludf.DUMMYFUNCTION("""COMPUTED_VALUE"""),164.15)</f>
        <v>164.15</v>
      </c>
      <c r="C197" s="6">
        <f>IFERROR(__xludf.DUMMYFUNCTION("""COMPUTED_VALUE"""),166.01)</f>
        <v>166.01</v>
      </c>
      <c r="D197" s="6">
        <f>IFERROR(__xludf.DUMMYFUNCTION("""COMPUTED_VALUE"""),162.85)</f>
        <v>162.85</v>
      </c>
      <c r="E197" s="6">
        <f>IFERROR(__xludf.DUMMYFUNCTION("""COMPUTED_VALUE"""),165.47)</f>
        <v>165.47</v>
      </c>
      <c r="F197" s="7">
        <f>IFERROR(__xludf.DUMMYFUNCTION("""COMPUTED_VALUE"""),1.434512E7)</f>
        <v>14345120</v>
      </c>
      <c r="G197" s="7" t="str">
        <f>IFERROR(__xludf.DUMMYFUNCTION("""COMPUTED_VALUE"""),"IOC.NS")</f>
        <v>IOC.NS</v>
      </c>
      <c r="H197" s="8">
        <f t="shared" si="1"/>
        <v>0.008041425525</v>
      </c>
      <c r="I197" s="8">
        <f t="shared" si="2"/>
        <v>0.008041425525</v>
      </c>
      <c r="J197" s="7" t="str">
        <f t="shared" si="3"/>
        <v>Oct-2024</v>
      </c>
      <c r="K197" s="9">
        <f t="shared" si="4"/>
        <v>45566</v>
      </c>
      <c r="L197" s="7" t="str">
        <f t="shared" si="5"/>
        <v/>
      </c>
      <c r="M197" s="7" t="str">
        <f>IFERROR(__xludf.DUMMYFUNCTION("IFERROR(
  IF(
    F197 &gt;
    3*AVERAGE(
       FILTER($F$2:$F10491,
         $G$2:$G10491=G197,
         $A$2:$A10491&gt;=A197-20,
         $A$2:$A10491&lt;=A197
       )
    ),
    ""VOL_SPIKE_3X"",""""
  ),
"""")
"),"")</f>
        <v/>
      </c>
      <c r="N197" s="7" t="str">
        <f t="shared" si="6"/>
        <v/>
      </c>
      <c r="O197" s="7" t="str">
        <f t="shared" si="7"/>
        <v/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f>IFERROR(__xludf.DUMMYFUNCTION("""COMPUTED_VALUE"""),45579.0)</f>
        <v>45579</v>
      </c>
      <c r="B198" s="6">
        <f>IFERROR(__xludf.DUMMYFUNCTION("""COMPUTED_VALUE"""),424.6)</f>
        <v>424.6</v>
      </c>
      <c r="C198" s="6">
        <f>IFERROR(__xludf.DUMMYFUNCTION("""COMPUTED_VALUE"""),426.0)</f>
        <v>426</v>
      </c>
      <c r="D198" s="6">
        <f>IFERROR(__xludf.DUMMYFUNCTION("""COMPUTED_VALUE"""),420.0)</f>
        <v>420</v>
      </c>
      <c r="E198" s="6">
        <f>IFERROR(__xludf.DUMMYFUNCTION("""COMPUTED_VALUE"""),424.5)</f>
        <v>424.5</v>
      </c>
      <c r="F198" s="7">
        <f>IFERROR(__xludf.DUMMYFUNCTION("""COMPUTED_VALUE"""),8483177.0)</f>
        <v>8483177</v>
      </c>
      <c r="G198" s="7" t="str">
        <f>IFERROR(__xludf.DUMMYFUNCTION("""COMPUTED_VALUE"""),"NTPC.NS")</f>
        <v>NTPC.NS</v>
      </c>
      <c r="H198" s="8">
        <f t="shared" si="1"/>
        <v>-0.0002355157796</v>
      </c>
      <c r="I198" s="8">
        <f t="shared" si="2"/>
        <v>0.0002355157796</v>
      </c>
      <c r="J198" s="7" t="str">
        <f t="shared" si="3"/>
        <v>Oct-2024</v>
      </c>
      <c r="K198" s="9">
        <f t="shared" si="4"/>
        <v>45566</v>
      </c>
      <c r="L198" s="7" t="str">
        <f t="shared" si="5"/>
        <v/>
      </c>
      <c r="M198" s="7" t="str">
        <f>IFERROR(__xludf.DUMMYFUNCTION("IFERROR(
  IF(
    F198 &gt;
    3*AVERAGE(
       FILTER($F$2:$F10491,
         $G$2:$G10491=G198,
         $A$2:$A10491&gt;=A198-20,
         $A$2:$A10491&lt;=A198
       )
    ),
    ""VOL_SPIKE_3X"",""""
  ),
"""")
"),"")</f>
        <v/>
      </c>
      <c r="N198" s="7" t="str">
        <f t="shared" si="6"/>
        <v/>
      </c>
      <c r="O198" s="7" t="str">
        <f t="shared" si="7"/>
        <v/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f>IFERROR(__xludf.DUMMYFUNCTION("""COMPUTED_VALUE"""),45579.0)</f>
        <v>45579</v>
      </c>
      <c r="B199" s="6">
        <f>IFERROR(__xludf.DUMMYFUNCTION("""COMPUTED_VALUE"""),292.7)</f>
        <v>292.7</v>
      </c>
      <c r="C199" s="6">
        <f>IFERROR(__xludf.DUMMYFUNCTION("""COMPUTED_VALUE"""),292.9)</f>
        <v>292.9</v>
      </c>
      <c r="D199" s="6">
        <f>IFERROR(__xludf.DUMMYFUNCTION("""COMPUTED_VALUE"""),285.15)</f>
        <v>285.15</v>
      </c>
      <c r="E199" s="6">
        <f>IFERROR(__xludf.DUMMYFUNCTION("""COMPUTED_VALUE"""),286.5)</f>
        <v>286.5</v>
      </c>
      <c r="F199" s="7">
        <f>IFERROR(__xludf.DUMMYFUNCTION("""COMPUTED_VALUE"""),1.2690951E7)</f>
        <v>12690951</v>
      </c>
      <c r="G199" s="7" t="str">
        <f>IFERROR(__xludf.DUMMYFUNCTION("""COMPUTED_VALUE"""),"ONGC.NS")</f>
        <v>ONGC.NS</v>
      </c>
      <c r="H199" s="8">
        <f t="shared" si="1"/>
        <v>-0.02118209771</v>
      </c>
      <c r="I199" s="8">
        <f t="shared" si="2"/>
        <v>0.02118209771</v>
      </c>
      <c r="J199" s="7" t="str">
        <f t="shared" si="3"/>
        <v>Oct-2024</v>
      </c>
      <c r="K199" s="9">
        <f t="shared" si="4"/>
        <v>45566</v>
      </c>
      <c r="L199" s="7" t="str">
        <f t="shared" si="5"/>
        <v/>
      </c>
      <c r="M199" s="7" t="str">
        <f>IFERROR(__xludf.DUMMYFUNCTION("IFERROR(
  IF(
    F199 &gt;
    3*AVERAGE(
       FILTER($F$2:$F10491,
         $G$2:$G10491=G199,
         $A$2:$A10491&gt;=A199-20,
         $A$2:$A10491&lt;=A199
       )
    ),
    ""VOL_SPIKE_3X"",""""
  ),
"""")
"),"")</f>
        <v/>
      </c>
      <c r="N199" s="7" t="str">
        <f t="shared" si="6"/>
        <v/>
      </c>
      <c r="O199" s="7" t="str">
        <f t="shared" si="7"/>
        <v/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f>IFERROR(__xludf.DUMMYFUNCTION("""COMPUTED_VALUE"""),45579.0)</f>
        <v>45579</v>
      </c>
      <c r="B200" s="6">
        <f>IFERROR(__xludf.DUMMYFUNCTION("""COMPUTED_VALUE"""),330.05)</f>
        <v>330.05</v>
      </c>
      <c r="C200" s="6">
        <f>IFERROR(__xludf.DUMMYFUNCTION("""COMPUTED_VALUE"""),331.5)</f>
        <v>331.5</v>
      </c>
      <c r="D200" s="6">
        <f>IFERROR(__xludf.DUMMYFUNCTION("""COMPUTED_VALUE"""),327.8)</f>
        <v>327.8</v>
      </c>
      <c r="E200" s="6">
        <f>IFERROR(__xludf.DUMMYFUNCTION("""COMPUTED_VALUE"""),330.7)</f>
        <v>330.7</v>
      </c>
      <c r="F200" s="7">
        <f>IFERROR(__xludf.DUMMYFUNCTION("""COMPUTED_VALUE"""),5944216.0)</f>
        <v>5944216</v>
      </c>
      <c r="G200" s="7" t="str">
        <f>IFERROR(__xludf.DUMMYFUNCTION("""COMPUTED_VALUE"""),"POWERGRID.NS")</f>
        <v>POWERGRID.NS</v>
      </c>
      <c r="H200" s="8">
        <f t="shared" si="1"/>
        <v>0.001969398576</v>
      </c>
      <c r="I200" s="8">
        <f t="shared" si="2"/>
        <v>0.001969398576</v>
      </c>
      <c r="J200" s="7" t="str">
        <f t="shared" si="3"/>
        <v>Oct-2024</v>
      </c>
      <c r="K200" s="9">
        <f t="shared" si="4"/>
        <v>45566</v>
      </c>
      <c r="L200" s="7" t="str">
        <f t="shared" si="5"/>
        <v/>
      </c>
      <c r="M200" s="7" t="str">
        <f>IFERROR(__xludf.DUMMYFUNCTION("IFERROR(
  IF(
    F200 &gt;
    3*AVERAGE(
       FILTER($F$2:$F10491,
         $G$2:$G10491=G200,
         $A$2:$A10491&gt;=A200-20,
         $A$2:$A10491&lt;=A200
       )
    ),
    ""VOL_SPIKE_3X"",""""
  ),
"""")
"),"")</f>
        <v/>
      </c>
      <c r="N200" s="7" t="str">
        <f t="shared" si="6"/>
        <v/>
      </c>
      <c r="O200" s="7" t="str">
        <f t="shared" si="7"/>
        <v/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f>IFERROR(__xludf.DUMMYFUNCTION("""COMPUTED_VALUE"""),45579.0)</f>
        <v>45579</v>
      </c>
      <c r="B201" s="6">
        <f>IFERROR(__xludf.DUMMYFUNCTION("""COMPUTED_VALUE"""),1379.45)</f>
        <v>1379.45</v>
      </c>
      <c r="C201" s="6">
        <f>IFERROR(__xludf.DUMMYFUNCTION("""COMPUTED_VALUE"""),1380.08)</f>
        <v>1380.08</v>
      </c>
      <c r="D201" s="6">
        <f>IFERROR(__xludf.DUMMYFUNCTION("""COMPUTED_VALUE"""),1368.25)</f>
        <v>1368.25</v>
      </c>
      <c r="E201" s="6">
        <f>IFERROR(__xludf.DUMMYFUNCTION("""COMPUTED_VALUE"""),1372.53)</f>
        <v>1372.53</v>
      </c>
      <c r="F201" s="7">
        <f>IFERROR(__xludf.DUMMYFUNCTION("""COMPUTED_VALUE"""),6110716.0)</f>
        <v>6110716</v>
      </c>
      <c r="G201" s="7" t="str">
        <f>IFERROR(__xludf.DUMMYFUNCTION("""COMPUTED_VALUE"""),"RELIANCE.NS")</f>
        <v>RELIANCE.NS</v>
      </c>
      <c r="H201" s="8">
        <f t="shared" si="1"/>
        <v>-0.00501649208</v>
      </c>
      <c r="I201" s="8">
        <f t="shared" si="2"/>
        <v>0.00501649208</v>
      </c>
      <c r="J201" s="7" t="str">
        <f t="shared" si="3"/>
        <v>Oct-2024</v>
      </c>
      <c r="K201" s="9">
        <f t="shared" si="4"/>
        <v>45566</v>
      </c>
      <c r="L201" s="7" t="str">
        <f t="shared" si="5"/>
        <v/>
      </c>
      <c r="M201" s="7" t="str">
        <f>IFERROR(__xludf.DUMMYFUNCTION("IFERROR(
  IF(
    F201 &gt;
    3*AVERAGE(
       FILTER($F$2:$F10491,
         $G$2:$G10491=G201,
         $A$2:$A10491&gt;=A201-20,
         $A$2:$A10491&lt;=A201
       )
    ),
    ""VOL_SPIKE_3X"",""""
  ),
"""")
"),"")</f>
        <v/>
      </c>
      <c r="N201" s="7" t="str">
        <f t="shared" si="6"/>
        <v/>
      </c>
      <c r="O201" s="7" t="str">
        <f t="shared" si="7"/>
        <v/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f>IFERROR(__xludf.DUMMYFUNCTION("""COMPUTED_VALUE"""),45580.0)</f>
        <v>45580</v>
      </c>
      <c r="B202" s="6">
        <f>IFERROR(__xludf.DUMMYFUNCTION("""COMPUTED_VALUE"""),984.85)</f>
        <v>984.85</v>
      </c>
      <c r="C202" s="6">
        <f>IFERROR(__xludf.DUMMYFUNCTION("""COMPUTED_VALUE"""),1009.0)</f>
        <v>1009</v>
      </c>
      <c r="D202" s="6">
        <f>IFERROR(__xludf.DUMMYFUNCTION("""COMPUTED_VALUE"""),974.05)</f>
        <v>974.05</v>
      </c>
      <c r="E202" s="6">
        <f>IFERROR(__xludf.DUMMYFUNCTION("""COMPUTED_VALUE"""),1004.7)</f>
        <v>1004.7</v>
      </c>
      <c r="F202" s="7">
        <f>IFERROR(__xludf.DUMMYFUNCTION("""COMPUTED_VALUE"""),2474266.0)</f>
        <v>2474266</v>
      </c>
      <c r="G202" s="7" t="str">
        <f>IFERROR(__xludf.DUMMYFUNCTION("""COMPUTED_VALUE"""),"ADANIENSOL.NS")</f>
        <v>ADANIENSOL.NS</v>
      </c>
      <c r="H202" s="8">
        <f t="shared" si="1"/>
        <v>0.02015535361</v>
      </c>
      <c r="I202" s="8">
        <f t="shared" si="2"/>
        <v>0.02015535361</v>
      </c>
      <c r="J202" s="7" t="str">
        <f t="shared" si="3"/>
        <v>Oct-2024</v>
      </c>
      <c r="K202" s="9">
        <f t="shared" si="4"/>
        <v>45566</v>
      </c>
      <c r="L202" s="7" t="str">
        <f t="shared" si="5"/>
        <v/>
      </c>
      <c r="M202" s="7" t="str">
        <f>IFERROR(__xludf.DUMMYFUNCTION("IFERROR(
  IF(
    F202 &gt;
    3*AVERAGE(
       FILTER($F$2:$F10491,
         $G$2:$G10491=G202,
         $A$2:$A10491&gt;=A202-20,
         $A$2:$A10491&lt;=A202
       )
    ),
    ""VOL_SPIKE_3X"",""""
  ),
"""")
"),"")</f>
        <v/>
      </c>
      <c r="N202" s="7" t="str">
        <f t="shared" si="6"/>
        <v/>
      </c>
      <c r="O202" s="7" t="str">
        <f t="shared" si="7"/>
        <v/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f>IFERROR(__xludf.DUMMYFUNCTION("""COMPUTED_VALUE"""),45580.0)</f>
        <v>45580</v>
      </c>
      <c r="B203" s="6">
        <f>IFERROR(__xludf.DUMMYFUNCTION("""COMPUTED_VALUE"""),1777.0)</f>
        <v>1777</v>
      </c>
      <c r="C203" s="6">
        <f>IFERROR(__xludf.DUMMYFUNCTION("""COMPUTED_VALUE"""),1783.9)</f>
        <v>1783.9</v>
      </c>
      <c r="D203" s="6">
        <f>IFERROR(__xludf.DUMMYFUNCTION("""COMPUTED_VALUE"""),1750.0)</f>
        <v>1750</v>
      </c>
      <c r="E203" s="6">
        <f>IFERROR(__xludf.DUMMYFUNCTION("""COMPUTED_VALUE"""),1763.0)</f>
        <v>1763</v>
      </c>
      <c r="F203" s="7">
        <f>IFERROR(__xludf.DUMMYFUNCTION("""COMPUTED_VALUE"""),335436.0)</f>
        <v>335436</v>
      </c>
      <c r="G203" s="7" t="str">
        <f>IFERROR(__xludf.DUMMYFUNCTION("""COMPUTED_VALUE"""),"ADANIGREEN.NS")</f>
        <v>ADANIGREEN.NS</v>
      </c>
      <c r="H203" s="8">
        <f t="shared" si="1"/>
        <v>-0.00787844682</v>
      </c>
      <c r="I203" s="8">
        <f t="shared" si="2"/>
        <v>0.00787844682</v>
      </c>
      <c r="J203" s="7" t="str">
        <f t="shared" si="3"/>
        <v>Oct-2024</v>
      </c>
      <c r="K203" s="9">
        <f t="shared" si="4"/>
        <v>45566</v>
      </c>
      <c r="L203" s="7" t="str">
        <f t="shared" si="5"/>
        <v/>
      </c>
      <c r="M203" s="7" t="str">
        <f>IFERROR(__xludf.DUMMYFUNCTION("IFERROR(
  IF(
    F203 &gt;
    3*AVERAGE(
       FILTER($F$2:$F10491,
         $G$2:$G10491=G203,
         $A$2:$A10491&gt;=A203-20,
         $A$2:$A10491&lt;=A203
       )
    ),
    ""VOL_SPIKE_3X"",""""
  ),
"""")
"),"")</f>
        <v/>
      </c>
      <c r="N203" s="7" t="str">
        <f t="shared" si="6"/>
        <v/>
      </c>
      <c r="O203" s="7" t="str">
        <f t="shared" si="7"/>
        <v/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f>IFERROR(__xludf.DUMMYFUNCTION("""COMPUTED_VALUE"""),45580.0)</f>
        <v>45580</v>
      </c>
      <c r="B204" s="6">
        <f>IFERROR(__xludf.DUMMYFUNCTION("""COMPUTED_VALUE"""),344.2)</f>
        <v>344.2</v>
      </c>
      <c r="C204" s="6">
        <f>IFERROR(__xludf.DUMMYFUNCTION("""COMPUTED_VALUE"""),351.5)</f>
        <v>351.5</v>
      </c>
      <c r="D204" s="6">
        <f>IFERROR(__xludf.DUMMYFUNCTION("""COMPUTED_VALUE"""),343.9)</f>
        <v>343.9</v>
      </c>
      <c r="E204" s="6">
        <f>IFERROR(__xludf.DUMMYFUNCTION("""COMPUTED_VALUE"""),348.75)</f>
        <v>348.75</v>
      </c>
      <c r="F204" s="7">
        <f>IFERROR(__xludf.DUMMYFUNCTION("""COMPUTED_VALUE"""),1.7183945E7)</f>
        <v>17183945</v>
      </c>
      <c r="G204" s="7" t="str">
        <f>IFERROR(__xludf.DUMMYFUNCTION("""COMPUTED_VALUE"""),"BPCL.NS")</f>
        <v>BPCL.NS</v>
      </c>
      <c r="H204" s="8">
        <f t="shared" si="1"/>
        <v>0.01321905869</v>
      </c>
      <c r="I204" s="8">
        <f t="shared" si="2"/>
        <v>0.01321905869</v>
      </c>
      <c r="J204" s="7" t="str">
        <f t="shared" si="3"/>
        <v>Oct-2024</v>
      </c>
      <c r="K204" s="9">
        <f t="shared" si="4"/>
        <v>45566</v>
      </c>
      <c r="L204" s="7" t="str">
        <f t="shared" si="5"/>
        <v/>
      </c>
      <c r="M204" s="7" t="str">
        <f>IFERROR(__xludf.DUMMYFUNCTION("IFERROR(
  IF(
    F204 &gt;
    3*AVERAGE(
       FILTER($F$2:$F10491,
         $G$2:$G10491=G204,
         $A$2:$A10491&gt;=A204-20,
         $A$2:$A10491&lt;=A204
       )
    ),
    ""VOL_SPIKE_3X"",""""
  ),
"""")
"),"")</f>
        <v/>
      </c>
      <c r="N204" s="7" t="str">
        <f t="shared" si="6"/>
        <v/>
      </c>
      <c r="O204" s="7" t="str">
        <f t="shared" si="7"/>
        <v/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f>IFERROR(__xludf.DUMMYFUNCTION("""COMPUTED_VALUE"""),45580.0)</f>
        <v>45580</v>
      </c>
      <c r="B205" s="6">
        <f>IFERROR(__xludf.DUMMYFUNCTION("""COMPUTED_VALUE"""),498.3)</f>
        <v>498.3</v>
      </c>
      <c r="C205" s="6">
        <f>IFERROR(__xludf.DUMMYFUNCTION("""COMPUTED_VALUE"""),499.35)</f>
        <v>499.35</v>
      </c>
      <c r="D205" s="6">
        <f>IFERROR(__xludf.DUMMYFUNCTION("""COMPUTED_VALUE"""),490.05)</f>
        <v>490.05</v>
      </c>
      <c r="E205" s="6">
        <f>IFERROR(__xludf.DUMMYFUNCTION("""COMPUTED_VALUE"""),494.45)</f>
        <v>494.45</v>
      </c>
      <c r="F205" s="7">
        <f>IFERROR(__xludf.DUMMYFUNCTION("""COMPUTED_VALUE"""),4279311.0)</f>
        <v>4279311</v>
      </c>
      <c r="G205" s="7" t="str">
        <f>IFERROR(__xludf.DUMMYFUNCTION("""COMPUTED_VALUE"""),"COALINDIA.NS")</f>
        <v>COALINDIA.NS</v>
      </c>
      <c r="H205" s="8">
        <f t="shared" si="1"/>
        <v>-0.007726269316</v>
      </c>
      <c r="I205" s="8">
        <f t="shared" si="2"/>
        <v>0.007726269316</v>
      </c>
      <c r="J205" s="7" t="str">
        <f t="shared" si="3"/>
        <v>Oct-2024</v>
      </c>
      <c r="K205" s="9">
        <f t="shared" si="4"/>
        <v>45566</v>
      </c>
      <c r="L205" s="7" t="str">
        <f t="shared" si="5"/>
        <v/>
      </c>
      <c r="M205" s="7" t="str">
        <f>IFERROR(__xludf.DUMMYFUNCTION("IFERROR(
  IF(
    F205 &gt;
    3*AVERAGE(
       FILTER($F$2:$F10491,
         $G$2:$G10491=G205,
         $A$2:$A10491&gt;=A205-20,
         $A$2:$A10491&lt;=A205
       )
    ),
    ""VOL_SPIKE_3X"",""""
  ),
"""")
"),"")</f>
        <v/>
      </c>
      <c r="N205" s="7" t="str">
        <f t="shared" si="6"/>
        <v/>
      </c>
      <c r="O205" s="7" t="str">
        <f t="shared" si="7"/>
        <v/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f>IFERROR(__xludf.DUMMYFUNCTION("""COMPUTED_VALUE"""),45580.0)</f>
        <v>45580</v>
      </c>
      <c r="B206" s="6">
        <f>IFERROR(__xludf.DUMMYFUNCTION("""COMPUTED_VALUE"""),414.0)</f>
        <v>414</v>
      </c>
      <c r="C206" s="6">
        <f>IFERROR(__xludf.DUMMYFUNCTION("""COMPUTED_VALUE"""),426.9)</f>
        <v>426.9</v>
      </c>
      <c r="D206" s="6">
        <f>IFERROR(__xludf.DUMMYFUNCTION("""COMPUTED_VALUE"""),412.25)</f>
        <v>412.25</v>
      </c>
      <c r="E206" s="6">
        <f>IFERROR(__xludf.DUMMYFUNCTION("""COMPUTED_VALUE"""),422.9)</f>
        <v>422.9</v>
      </c>
      <c r="F206" s="7">
        <f>IFERROR(__xludf.DUMMYFUNCTION("""COMPUTED_VALUE"""),1.6856309E7)</f>
        <v>16856309</v>
      </c>
      <c r="G206" s="7" t="str">
        <f>IFERROR(__xludf.DUMMYFUNCTION("""COMPUTED_VALUE"""),"HINDPETRO.NS")</f>
        <v>HINDPETRO.NS</v>
      </c>
      <c r="H206" s="8">
        <f t="shared" si="1"/>
        <v>0.02149758454</v>
      </c>
      <c r="I206" s="8">
        <f t="shared" si="2"/>
        <v>0.02149758454</v>
      </c>
      <c r="J206" s="7" t="str">
        <f t="shared" si="3"/>
        <v>Oct-2024</v>
      </c>
      <c r="K206" s="9">
        <f t="shared" si="4"/>
        <v>45566</v>
      </c>
      <c r="L206" s="7" t="str">
        <f t="shared" si="5"/>
        <v/>
      </c>
      <c r="M206" s="7" t="str">
        <f>IFERROR(__xludf.DUMMYFUNCTION("IFERROR(
  IF(
    F206 &gt;
    3*AVERAGE(
       FILTER($F$2:$F10491,
         $G$2:$G10491=G206,
         $A$2:$A10491&gt;=A206-20,
         $A$2:$A10491&lt;=A206
       )
    ),
    ""VOL_SPIKE_3X"",""""
  ),
"""")
"),"")</f>
        <v/>
      </c>
      <c r="N206" s="7" t="str">
        <f t="shared" si="6"/>
        <v/>
      </c>
      <c r="O206" s="7" t="str">
        <f t="shared" si="7"/>
        <v/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f>IFERROR(__xludf.DUMMYFUNCTION("""COMPUTED_VALUE"""),45580.0)</f>
        <v>45580</v>
      </c>
      <c r="B207" s="6">
        <f>IFERROR(__xludf.DUMMYFUNCTION("""COMPUTED_VALUE"""),168.0)</f>
        <v>168</v>
      </c>
      <c r="C207" s="6">
        <f>IFERROR(__xludf.DUMMYFUNCTION("""COMPUTED_VALUE"""),169.65)</f>
        <v>169.65</v>
      </c>
      <c r="D207" s="6">
        <f>IFERROR(__xludf.DUMMYFUNCTION("""COMPUTED_VALUE"""),166.5)</f>
        <v>166.5</v>
      </c>
      <c r="E207" s="6">
        <f>IFERROR(__xludf.DUMMYFUNCTION("""COMPUTED_VALUE"""),167.93)</f>
        <v>167.93</v>
      </c>
      <c r="F207" s="7">
        <f>IFERROR(__xludf.DUMMYFUNCTION("""COMPUTED_VALUE"""),2.2551022E7)</f>
        <v>22551022</v>
      </c>
      <c r="G207" s="7" t="str">
        <f>IFERROR(__xludf.DUMMYFUNCTION("""COMPUTED_VALUE"""),"IOC.NS")</f>
        <v>IOC.NS</v>
      </c>
      <c r="H207" s="8">
        <f t="shared" si="1"/>
        <v>-0.0004166666667</v>
      </c>
      <c r="I207" s="8">
        <f t="shared" si="2"/>
        <v>0.0004166666667</v>
      </c>
      <c r="J207" s="7" t="str">
        <f t="shared" si="3"/>
        <v>Oct-2024</v>
      </c>
      <c r="K207" s="9">
        <f t="shared" si="4"/>
        <v>45566</v>
      </c>
      <c r="L207" s="7" t="str">
        <f t="shared" si="5"/>
        <v/>
      </c>
      <c r="M207" s="7" t="str">
        <f>IFERROR(__xludf.DUMMYFUNCTION("IFERROR(
  IF(
    F207 &gt;
    3*AVERAGE(
       FILTER($F$2:$F10491,
         $G$2:$G10491=G207,
         $A$2:$A10491&gt;=A207-20,
         $A$2:$A10491&lt;=A207
       )
    ),
    ""VOL_SPIKE_3X"",""""
  ),
"""")
"),"")</f>
        <v/>
      </c>
      <c r="N207" s="7" t="str">
        <f t="shared" si="6"/>
        <v/>
      </c>
      <c r="O207" s="7" t="str">
        <f t="shared" si="7"/>
        <v/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f>IFERROR(__xludf.DUMMYFUNCTION("""COMPUTED_VALUE"""),45580.0)</f>
        <v>45580</v>
      </c>
      <c r="B208" s="6">
        <f>IFERROR(__xludf.DUMMYFUNCTION("""COMPUTED_VALUE"""),426.65)</f>
        <v>426.65</v>
      </c>
      <c r="C208" s="6">
        <f>IFERROR(__xludf.DUMMYFUNCTION("""COMPUTED_VALUE"""),427.2)</f>
        <v>427.2</v>
      </c>
      <c r="D208" s="6">
        <f>IFERROR(__xludf.DUMMYFUNCTION("""COMPUTED_VALUE"""),423.55)</f>
        <v>423.55</v>
      </c>
      <c r="E208" s="6">
        <f>IFERROR(__xludf.DUMMYFUNCTION("""COMPUTED_VALUE"""),426.6)</f>
        <v>426.6</v>
      </c>
      <c r="F208" s="7">
        <f>IFERROR(__xludf.DUMMYFUNCTION("""COMPUTED_VALUE"""),9365964.0)</f>
        <v>9365964</v>
      </c>
      <c r="G208" s="7" t="str">
        <f>IFERROR(__xludf.DUMMYFUNCTION("""COMPUTED_VALUE"""),"NTPC.NS")</f>
        <v>NTPC.NS</v>
      </c>
      <c r="H208" s="8">
        <f t="shared" si="1"/>
        <v>-0.0001171920778</v>
      </c>
      <c r="I208" s="8">
        <f t="shared" si="2"/>
        <v>0.0001171920778</v>
      </c>
      <c r="J208" s="7" t="str">
        <f t="shared" si="3"/>
        <v>Oct-2024</v>
      </c>
      <c r="K208" s="9">
        <f t="shared" si="4"/>
        <v>45566</v>
      </c>
      <c r="L208" s="7" t="str">
        <f t="shared" si="5"/>
        <v/>
      </c>
      <c r="M208" s="7" t="str">
        <f>IFERROR(__xludf.DUMMYFUNCTION("IFERROR(
  IF(
    F208 &gt;
    3*AVERAGE(
       FILTER($F$2:$F10491,
         $G$2:$G10491=G208,
         $A$2:$A10491&gt;=A208-20,
         $A$2:$A10491&lt;=A208
       )
    ),
    ""VOL_SPIKE_3X"",""""
  ),
"""")
"),"")</f>
        <v/>
      </c>
      <c r="N208" s="7" t="str">
        <f t="shared" si="6"/>
        <v/>
      </c>
      <c r="O208" s="7" t="str">
        <f t="shared" si="7"/>
        <v/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f>IFERROR(__xludf.DUMMYFUNCTION("""COMPUTED_VALUE"""),45580.0)</f>
        <v>45580</v>
      </c>
      <c r="B209" s="6">
        <f>IFERROR(__xludf.DUMMYFUNCTION("""COMPUTED_VALUE"""),286.4)</f>
        <v>286.4</v>
      </c>
      <c r="C209" s="6">
        <f>IFERROR(__xludf.DUMMYFUNCTION("""COMPUTED_VALUE"""),286.4)</f>
        <v>286.4</v>
      </c>
      <c r="D209" s="6">
        <f>IFERROR(__xludf.DUMMYFUNCTION("""COMPUTED_VALUE"""),280.85)</f>
        <v>280.85</v>
      </c>
      <c r="E209" s="6">
        <f>IFERROR(__xludf.DUMMYFUNCTION("""COMPUTED_VALUE"""),283.7)</f>
        <v>283.7</v>
      </c>
      <c r="F209" s="7">
        <f>IFERROR(__xludf.DUMMYFUNCTION("""COMPUTED_VALUE"""),1.5087155E7)</f>
        <v>15087155</v>
      </c>
      <c r="G209" s="7" t="str">
        <f>IFERROR(__xludf.DUMMYFUNCTION("""COMPUTED_VALUE"""),"ONGC.NS")</f>
        <v>ONGC.NS</v>
      </c>
      <c r="H209" s="8">
        <f t="shared" si="1"/>
        <v>-0.009427374302</v>
      </c>
      <c r="I209" s="8">
        <f t="shared" si="2"/>
        <v>0.009427374302</v>
      </c>
      <c r="J209" s="7" t="str">
        <f t="shared" si="3"/>
        <v>Oct-2024</v>
      </c>
      <c r="K209" s="9">
        <f t="shared" si="4"/>
        <v>45566</v>
      </c>
      <c r="L209" s="7" t="str">
        <f t="shared" si="5"/>
        <v/>
      </c>
      <c r="M209" s="7" t="str">
        <f>IFERROR(__xludf.DUMMYFUNCTION("IFERROR(
  IF(
    F209 &gt;
    3*AVERAGE(
       FILTER($F$2:$F10491,
         $G$2:$G10491=G209,
         $A$2:$A10491&gt;=A209-20,
         $A$2:$A10491&lt;=A209
       )
    ),
    ""VOL_SPIKE_3X"",""""
  ),
"""")
"),"")</f>
        <v/>
      </c>
      <c r="N209" s="7" t="str">
        <f t="shared" si="6"/>
        <v/>
      </c>
      <c r="O209" s="7" t="str">
        <f t="shared" si="7"/>
        <v/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f>IFERROR(__xludf.DUMMYFUNCTION("""COMPUTED_VALUE"""),45580.0)</f>
        <v>45580</v>
      </c>
      <c r="B210" s="6">
        <f>IFERROR(__xludf.DUMMYFUNCTION("""COMPUTED_VALUE"""),333.45)</f>
        <v>333.45</v>
      </c>
      <c r="C210" s="6">
        <f>IFERROR(__xludf.DUMMYFUNCTION("""COMPUTED_VALUE"""),333.45)</f>
        <v>333.45</v>
      </c>
      <c r="D210" s="6">
        <f>IFERROR(__xludf.DUMMYFUNCTION("""COMPUTED_VALUE"""),327.5)</f>
        <v>327.5</v>
      </c>
      <c r="E210" s="6">
        <f>IFERROR(__xludf.DUMMYFUNCTION("""COMPUTED_VALUE"""),329.85)</f>
        <v>329.85</v>
      </c>
      <c r="F210" s="7">
        <f>IFERROR(__xludf.DUMMYFUNCTION("""COMPUTED_VALUE"""),1.2415489E7)</f>
        <v>12415489</v>
      </c>
      <c r="G210" s="7" t="str">
        <f>IFERROR(__xludf.DUMMYFUNCTION("""COMPUTED_VALUE"""),"POWERGRID.NS")</f>
        <v>POWERGRID.NS</v>
      </c>
      <c r="H210" s="8">
        <f t="shared" si="1"/>
        <v>-0.01079622132</v>
      </c>
      <c r="I210" s="8">
        <f t="shared" si="2"/>
        <v>0.01079622132</v>
      </c>
      <c r="J210" s="7" t="str">
        <f t="shared" si="3"/>
        <v>Oct-2024</v>
      </c>
      <c r="K210" s="9">
        <f t="shared" si="4"/>
        <v>45566</v>
      </c>
      <c r="L210" s="7" t="str">
        <f t="shared" si="5"/>
        <v/>
      </c>
      <c r="M210" s="7" t="str">
        <f>IFERROR(__xludf.DUMMYFUNCTION("IFERROR(
  IF(
    F210 &gt;
    3*AVERAGE(
       FILTER($F$2:$F10491,
         $G$2:$G10491=G210,
         $A$2:$A10491&gt;=A210-20,
         $A$2:$A10491&lt;=A210
       )
    ),
    ""VOL_SPIKE_3X"",""""
  ),
"""")
"),"")</f>
        <v/>
      </c>
      <c r="N210" s="7" t="str">
        <f t="shared" si="6"/>
        <v/>
      </c>
      <c r="O210" s="7" t="str">
        <f t="shared" si="7"/>
        <v/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f>IFERROR(__xludf.DUMMYFUNCTION("""COMPUTED_VALUE"""),45580.0)</f>
        <v>45580</v>
      </c>
      <c r="B211" s="6">
        <f>IFERROR(__xludf.DUMMYFUNCTION("""COMPUTED_VALUE"""),1358.53)</f>
        <v>1358.53</v>
      </c>
      <c r="C211" s="6">
        <f>IFERROR(__xludf.DUMMYFUNCTION("""COMPUTED_VALUE"""),1371.7)</f>
        <v>1371.7</v>
      </c>
      <c r="D211" s="6">
        <f>IFERROR(__xludf.DUMMYFUNCTION("""COMPUTED_VALUE"""),1340.7)</f>
        <v>1340.7</v>
      </c>
      <c r="E211" s="6">
        <f>IFERROR(__xludf.DUMMYFUNCTION("""COMPUTED_VALUE"""),1344.03)</f>
        <v>1344.03</v>
      </c>
      <c r="F211" s="7">
        <f>IFERROR(__xludf.DUMMYFUNCTION("""COMPUTED_VALUE"""),1.6881397E7)</f>
        <v>16881397</v>
      </c>
      <c r="G211" s="7" t="str">
        <f>IFERROR(__xludf.DUMMYFUNCTION("""COMPUTED_VALUE"""),"RELIANCE.NS")</f>
        <v>RELIANCE.NS</v>
      </c>
      <c r="H211" s="8">
        <f t="shared" si="1"/>
        <v>-0.01067330129</v>
      </c>
      <c r="I211" s="8">
        <f t="shared" si="2"/>
        <v>0.01067330129</v>
      </c>
      <c r="J211" s="7" t="str">
        <f t="shared" si="3"/>
        <v>Oct-2024</v>
      </c>
      <c r="K211" s="9">
        <f t="shared" si="4"/>
        <v>45566</v>
      </c>
      <c r="L211" s="7" t="str">
        <f t="shared" si="5"/>
        <v/>
      </c>
      <c r="M211" s="7" t="str">
        <f>IFERROR(__xludf.DUMMYFUNCTION("IFERROR(
  IF(
    F211 &gt;
    3*AVERAGE(
       FILTER($F$2:$F10491,
         $G$2:$G10491=G211,
         $A$2:$A10491&gt;=A211-20,
         $A$2:$A10491&lt;=A211
       )
    ),
    ""VOL_SPIKE_3X"",""""
  ),
"""")
"),"")</f>
        <v/>
      </c>
      <c r="N211" s="7" t="str">
        <f t="shared" si="6"/>
        <v/>
      </c>
      <c r="O211" s="7" t="str">
        <f t="shared" si="7"/>
        <v/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f>IFERROR(__xludf.DUMMYFUNCTION("""COMPUTED_VALUE"""),45581.0)</f>
        <v>45581</v>
      </c>
      <c r="B212" s="6">
        <f>IFERROR(__xludf.DUMMYFUNCTION("""COMPUTED_VALUE"""),1010.75)</f>
        <v>1010.75</v>
      </c>
      <c r="C212" s="6">
        <f>IFERROR(__xludf.DUMMYFUNCTION("""COMPUTED_VALUE"""),1038.35)</f>
        <v>1038.35</v>
      </c>
      <c r="D212" s="6">
        <f>IFERROR(__xludf.DUMMYFUNCTION("""COMPUTED_VALUE"""),1003.2)</f>
        <v>1003.2</v>
      </c>
      <c r="E212" s="6">
        <f>IFERROR(__xludf.DUMMYFUNCTION("""COMPUTED_VALUE"""),1032.65)</f>
        <v>1032.65</v>
      </c>
      <c r="F212" s="7">
        <f>IFERROR(__xludf.DUMMYFUNCTION("""COMPUTED_VALUE"""),3045843.0)</f>
        <v>3045843</v>
      </c>
      <c r="G212" s="7" t="str">
        <f>IFERROR(__xludf.DUMMYFUNCTION("""COMPUTED_VALUE"""),"ADANIENSOL.NS")</f>
        <v>ADANIENSOL.NS</v>
      </c>
      <c r="H212" s="8">
        <f t="shared" si="1"/>
        <v>0.0216670789</v>
      </c>
      <c r="I212" s="8">
        <f t="shared" si="2"/>
        <v>0.0216670789</v>
      </c>
      <c r="J212" s="7" t="str">
        <f t="shared" si="3"/>
        <v>Oct-2024</v>
      </c>
      <c r="K212" s="9">
        <f t="shared" si="4"/>
        <v>45566</v>
      </c>
      <c r="L212" s="7" t="str">
        <f t="shared" si="5"/>
        <v/>
      </c>
      <c r="M212" s="7" t="str">
        <f>IFERROR(__xludf.DUMMYFUNCTION("IFERROR(
  IF(
    F212 &gt;
    3*AVERAGE(
       FILTER($F$2:$F10491,
         $G$2:$G10491=G212,
         $A$2:$A10491&gt;=A212-20,
         $A$2:$A10491&lt;=A212
       )
    ),
    ""VOL_SPIKE_3X"",""""
  ),
"""")
"),"")</f>
        <v/>
      </c>
      <c r="N212" s="7" t="str">
        <f t="shared" si="6"/>
        <v/>
      </c>
      <c r="O212" s="7" t="str">
        <f t="shared" si="7"/>
        <v/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f>IFERROR(__xludf.DUMMYFUNCTION("""COMPUTED_VALUE"""),45581.0)</f>
        <v>45581</v>
      </c>
      <c r="B213" s="6">
        <f>IFERROR(__xludf.DUMMYFUNCTION("""COMPUTED_VALUE"""),1760.0)</f>
        <v>1760</v>
      </c>
      <c r="C213" s="6">
        <f>IFERROR(__xludf.DUMMYFUNCTION("""COMPUTED_VALUE"""),1774.2)</f>
        <v>1774.2</v>
      </c>
      <c r="D213" s="6">
        <f>IFERROR(__xludf.DUMMYFUNCTION("""COMPUTED_VALUE"""),1740.55)</f>
        <v>1740.55</v>
      </c>
      <c r="E213" s="6">
        <f>IFERROR(__xludf.DUMMYFUNCTION("""COMPUTED_VALUE"""),1751.05)</f>
        <v>1751.05</v>
      </c>
      <c r="F213" s="7">
        <f>IFERROR(__xludf.DUMMYFUNCTION("""COMPUTED_VALUE"""),377378.0)</f>
        <v>377378</v>
      </c>
      <c r="G213" s="7" t="str">
        <f>IFERROR(__xludf.DUMMYFUNCTION("""COMPUTED_VALUE"""),"ADANIGREEN.NS")</f>
        <v>ADANIGREEN.NS</v>
      </c>
      <c r="H213" s="8">
        <f t="shared" si="1"/>
        <v>-0.005085227273</v>
      </c>
      <c r="I213" s="8">
        <f t="shared" si="2"/>
        <v>0.005085227273</v>
      </c>
      <c r="J213" s="7" t="str">
        <f t="shared" si="3"/>
        <v>Oct-2024</v>
      </c>
      <c r="K213" s="9">
        <f t="shared" si="4"/>
        <v>45566</v>
      </c>
      <c r="L213" s="7" t="str">
        <f t="shared" si="5"/>
        <v/>
      </c>
      <c r="M213" s="7" t="str">
        <f>IFERROR(__xludf.DUMMYFUNCTION("IFERROR(
  IF(
    F213 &gt;
    3*AVERAGE(
       FILTER($F$2:$F10491,
         $G$2:$G10491=G213,
         $A$2:$A10491&gt;=A213-20,
         $A$2:$A10491&lt;=A213
       )
    ),
    ""VOL_SPIKE_3X"",""""
  ),
"""")
"),"")</f>
        <v/>
      </c>
      <c r="N213" s="7" t="str">
        <f t="shared" si="6"/>
        <v/>
      </c>
      <c r="O213" s="7" t="str">
        <f t="shared" si="7"/>
        <v/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f>IFERROR(__xludf.DUMMYFUNCTION("""COMPUTED_VALUE"""),45581.0)</f>
        <v>45581</v>
      </c>
      <c r="B214" s="6">
        <f>IFERROR(__xludf.DUMMYFUNCTION("""COMPUTED_VALUE"""),352.0)</f>
        <v>352</v>
      </c>
      <c r="C214" s="6">
        <f>IFERROR(__xludf.DUMMYFUNCTION("""COMPUTED_VALUE"""),355.9)</f>
        <v>355.9</v>
      </c>
      <c r="D214" s="6">
        <f>IFERROR(__xludf.DUMMYFUNCTION("""COMPUTED_VALUE"""),348.05)</f>
        <v>348.05</v>
      </c>
      <c r="E214" s="6">
        <f>IFERROR(__xludf.DUMMYFUNCTION("""COMPUTED_VALUE"""),350.75)</f>
        <v>350.75</v>
      </c>
      <c r="F214" s="7">
        <f>IFERROR(__xludf.DUMMYFUNCTION("""COMPUTED_VALUE"""),1.70737E7)</f>
        <v>17073700</v>
      </c>
      <c r="G214" s="7" t="str">
        <f>IFERROR(__xludf.DUMMYFUNCTION("""COMPUTED_VALUE"""),"BPCL.NS")</f>
        <v>BPCL.NS</v>
      </c>
      <c r="H214" s="8">
        <f t="shared" si="1"/>
        <v>-0.003551136364</v>
      </c>
      <c r="I214" s="8">
        <f t="shared" si="2"/>
        <v>0.003551136364</v>
      </c>
      <c r="J214" s="7" t="str">
        <f t="shared" si="3"/>
        <v>Oct-2024</v>
      </c>
      <c r="K214" s="9">
        <f t="shared" si="4"/>
        <v>45566</v>
      </c>
      <c r="L214" s="7" t="str">
        <f t="shared" si="5"/>
        <v/>
      </c>
      <c r="M214" s="7" t="str">
        <f>IFERROR(__xludf.DUMMYFUNCTION("IFERROR(
  IF(
    F214 &gt;
    3*AVERAGE(
       FILTER($F$2:$F10491,
         $G$2:$G10491=G214,
         $A$2:$A10491&gt;=A214-20,
         $A$2:$A10491&lt;=A214
       )
    ),
    ""VOL_SPIKE_3X"",""""
  ),
"""")
"),"")</f>
        <v/>
      </c>
      <c r="N214" s="7" t="str">
        <f t="shared" si="6"/>
        <v/>
      </c>
      <c r="O214" s="7" t="str">
        <f t="shared" si="7"/>
        <v/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f>IFERROR(__xludf.DUMMYFUNCTION("""COMPUTED_VALUE"""),45581.0)</f>
        <v>45581</v>
      </c>
      <c r="B215" s="6">
        <f>IFERROR(__xludf.DUMMYFUNCTION("""COMPUTED_VALUE"""),495.0)</f>
        <v>495</v>
      </c>
      <c r="C215" s="6">
        <f>IFERROR(__xludf.DUMMYFUNCTION("""COMPUTED_VALUE"""),499.4)</f>
        <v>499.4</v>
      </c>
      <c r="D215" s="6">
        <f>IFERROR(__xludf.DUMMYFUNCTION("""COMPUTED_VALUE"""),492.9)</f>
        <v>492.9</v>
      </c>
      <c r="E215" s="6">
        <f>IFERROR(__xludf.DUMMYFUNCTION("""COMPUTED_VALUE"""),495.75)</f>
        <v>495.75</v>
      </c>
      <c r="F215" s="7">
        <f>IFERROR(__xludf.DUMMYFUNCTION("""COMPUTED_VALUE"""),8000451.0)</f>
        <v>8000451</v>
      </c>
      <c r="G215" s="7" t="str">
        <f>IFERROR(__xludf.DUMMYFUNCTION("""COMPUTED_VALUE"""),"COALINDIA.NS")</f>
        <v>COALINDIA.NS</v>
      </c>
      <c r="H215" s="8">
        <f t="shared" si="1"/>
        <v>0.001515151515</v>
      </c>
      <c r="I215" s="8">
        <f t="shared" si="2"/>
        <v>0.001515151515</v>
      </c>
      <c r="J215" s="7" t="str">
        <f t="shared" si="3"/>
        <v>Oct-2024</v>
      </c>
      <c r="K215" s="9">
        <f t="shared" si="4"/>
        <v>45566</v>
      </c>
      <c r="L215" s="7" t="str">
        <f t="shared" si="5"/>
        <v/>
      </c>
      <c r="M215" s="7" t="str">
        <f>IFERROR(__xludf.DUMMYFUNCTION("IFERROR(
  IF(
    F215 &gt;
    3*AVERAGE(
       FILTER($F$2:$F10491,
         $G$2:$G10491=G215,
         $A$2:$A10491&gt;=A215-20,
         $A$2:$A10491&lt;=A215
       )
    ),
    ""VOL_SPIKE_3X"",""""
  ),
"""")
"),"")</f>
        <v/>
      </c>
      <c r="N215" s="7" t="str">
        <f t="shared" si="6"/>
        <v/>
      </c>
      <c r="O215" s="7" t="str">
        <f t="shared" si="7"/>
        <v/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f>IFERROR(__xludf.DUMMYFUNCTION("""COMPUTED_VALUE"""),45581.0)</f>
        <v>45581</v>
      </c>
      <c r="B216" s="6">
        <f>IFERROR(__xludf.DUMMYFUNCTION("""COMPUTED_VALUE"""),427.0)</f>
        <v>427</v>
      </c>
      <c r="C216" s="6">
        <f>IFERROR(__xludf.DUMMYFUNCTION("""COMPUTED_VALUE"""),438.35)</f>
        <v>438.35</v>
      </c>
      <c r="D216" s="6">
        <f>IFERROR(__xludf.DUMMYFUNCTION("""COMPUTED_VALUE"""),425.15)</f>
        <v>425.15</v>
      </c>
      <c r="E216" s="6">
        <f>IFERROR(__xludf.DUMMYFUNCTION("""COMPUTED_VALUE"""),434.65)</f>
        <v>434.65</v>
      </c>
      <c r="F216" s="7">
        <f>IFERROR(__xludf.DUMMYFUNCTION("""COMPUTED_VALUE"""),1.6355809E7)</f>
        <v>16355809</v>
      </c>
      <c r="G216" s="7" t="str">
        <f>IFERROR(__xludf.DUMMYFUNCTION("""COMPUTED_VALUE"""),"HINDPETRO.NS")</f>
        <v>HINDPETRO.NS</v>
      </c>
      <c r="H216" s="8">
        <f t="shared" si="1"/>
        <v>0.01791569087</v>
      </c>
      <c r="I216" s="8">
        <f t="shared" si="2"/>
        <v>0.01791569087</v>
      </c>
      <c r="J216" s="7" t="str">
        <f t="shared" si="3"/>
        <v>Oct-2024</v>
      </c>
      <c r="K216" s="9">
        <f t="shared" si="4"/>
        <v>45566</v>
      </c>
      <c r="L216" s="7" t="str">
        <f t="shared" si="5"/>
        <v/>
      </c>
      <c r="M216" s="7" t="str">
        <f>IFERROR(__xludf.DUMMYFUNCTION("IFERROR(
  IF(
    F216 &gt;
    3*AVERAGE(
       FILTER($F$2:$F10491,
         $G$2:$G10491=G216,
         $A$2:$A10491&gt;=A216-20,
         $A$2:$A10491&lt;=A216
       )
    ),
    ""VOL_SPIKE_3X"",""""
  ),
"""")
"),"")</f>
        <v/>
      </c>
      <c r="N216" s="7" t="str">
        <f t="shared" si="6"/>
        <v/>
      </c>
      <c r="O216" s="7" t="str">
        <f t="shared" si="7"/>
        <v/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f>IFERROR(__xludf.DUMMYFUNCTION("""COMPUTED_VALUE"""),45581.0)</f>
        <v>45581</v>
      </c>
      <c r="B217" s="6">
        <f>IFERROR(__xludf.DUMMYFUNCTION("""COMPUTED_VALUE"""),168.25)</f>
        <v>168.25</v>
      </c>
      <c r="C217" s="6">
        <f>IFERROR(__xludf.DUMMYFUNCTION("""COMPUTED_VALUE"""),171.65)</f>
        <v>171.65</v>
      </c>
      <c r="D217" s="6">
        <f>IFERROR(__xludf.DUMMYFUNCTION("""COMPUTED_VALUE"""),167.61)</f>
        <v>167.61</v>
      </c>
      <c r="E217" s="6">
        <f>IFERROR(__xludf.DUMMYFUNCTION("""COMPUTED_VALUE"""),168.39)</f>
        <v>168.39</v>
      </c>
      <c r="F217" s="7">
        <f>IFERROR(__xludf.DUMMYFUNCTION("""COMPUTED_VALUE"""),2.1433632E7)</f>
        <v>21433632</v>
      </c>
      <c r="G217" s="7" t="str">
        <f>IFERROR(__xludf.DUMMYFUNCTION("""COMPUTED_VALUE"""),"IOC.NS")</f>
        <v>IOC.NS</v>
      </c>
      <c r="H217" s="8">
        <f t="shared" si="1"/>
        <v>0.0008320950966</v>
      </c>
      <c r="I217" s="8">
        <f t="shared" si="2"/>
        <v>0.0008320950966</v>
      </c>
      <c r="J217" s="7" t="str">
        <f t="shared" si="3"/>
        <v>Oct-2024</v>
      </c>
      <c r="K217" s="9">
        <f t="shared" si="4"/>
        <v>45566</v>
      </c>
      <c r="L217" s="7" t="str">
        <f t="shared" si="5"/>
        <v/>
      </c>
      <c r="M217" s="7" t="str">
        <f>IFERROR(__xludf.DUMMYFUNCTION("IFERROR(
  IF(
    F217 &gt;
    3*AVERAGE(
       FILTER($F$2:$F10491,
         $G$2:$G10491=G217,
         $A$2:$A10491&gt;=A217-20,
         $A$2:$A10491&lt;=A217
       )
    ),
    ""VOL_SPIKE_3X"",""""
  ),
"""")
"),"")</f>
        <v/>
      </c>
      <c r="N217" s="7" t="str">
        <f t="shared" si="6"/>
        <v/>
      </c>
      <c r="O217" s="7" t="str">
        <f t="shared" si="7"/>
        <v/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f>IFERROR(__xludf.DUMMYFUNCTION("""COMPUTED_VALUE"""),45581.0)</f>
        <v>45581</v>
      </c>
      <c r="B218" s="6">
        <f>IFERROR(__xludf.DUMMYFUNCTION("""COMPUTED_VALUE"""),425.3)</f>
        <v>425.3</v>
      </c>
      <c r="C218" s="6">
        <f>IFERROR(__xludf.DUMMYFUNCTION("""COMPUTED_VALUE"""),429.4)</f>
        <v>429.4</v>
      </c>
      <c r="D218" s="6">
        <f>IFERROR(__xludf.DUMMYFUNCTION("""COMPUTED_VALUE"""),421.25)</f>
        <v>421.25</v>
      </c>
      <c r="E218" s="6">
        <f>IFERROR(__xludf.DUMMYFUNCTION("""COMPUTED_VALUE"""),424.25)</f>
        <v>424.25</v>
      </c>
      <c r="F218" s="7">
        <f>IFERROR(__xludf.DUMMYFUNCTION("""COMPUTED_VALUE"""),6219440.0)</f>
        <v>6219440</v>
      </c>
      <c r="G218" s="7" t="str">
        <f>IFERROR(__xludf.DUMMYFUNCTION("""COMPUTED_VALUE"""),"NTPC.NS")</f>
        <v>NTPC.NS</v>
      </c>
      <c r="H218" s="8">
        <f t="shared" si="1"/>
        <v>-0.002468845521</v>
      </c>
      <c r="I218" s="8">
        <f t="shared" si="2"/>
        <v>0.002468845521</v>
      </c>
      <c r="J218" s="7" t="str">
        <f t="shared" si="3"/>
        <v>Oct-2024</v>
      </c>
      <c r="K218" s="9">
        <f t="shared" si="4"/>
        <v>45566</v>
      </c>
      <c r="L218" s="7" t="str">
        <f t="shared" si="5"/>
        <v/>
      </c>
      <c r="M218" s="7" t="str">
        <f>IFERROR(__xludf.DUMMYFUNCTION("IFERROR(
  IF(
    F218 &gt;
    3*AVERAGE(
       FILTER($F$2:$F10491,
         $G$2:$G10491=G218,
         $A$2:$A10491&gt;=A218-20,
         $A$2:$A10491&lt;=A218
       )
    ),
    ""VOL_SPIKE_3X"",""""
  ),
"""")
"),"")</f>
        <v/>
      </c>
      <c r="N218" s="7" t="str">
        <f t="shared" si="6"/>
        <v/>
      </c>
      <c r="O218" s="7" t="str">
        <f t="shared" si="7"/>
        <v/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f>IFERROR(__xludf.DUMMYFUNCTION("""COMPUTED_VALUE"""),45581.0)</f>
        <v>45581</v>
      </c>
      <c r="B219" s="6">
        <f>IFERROR(__xludf.DUMMYFUNCTION("""COMPUTED_VALUE"""),283.0)</f>
        <v>283</v>
      </c>
      <c r="C219" s="6">
        <f>IFERROR(__xludf.DUMMYFUNCTION("""COMPUTED_VALUE"""),287.25)</f>
        <v>287.25</v>
      </c>
      <c r="D219" s="6">
        <f>IFERROR(__xludf.DUMMYFUNCTION("""COMPUTED_VALUE"""),280.65)</f>
        <v>280.65</v>
      </c>
      <c r="E219" s="6">
        <f>IFERROR(__xludf.DUMMYFUNCTION("""COMPUTED_VALUE"""),285.4)</f>
        <v>285.4</v>
      </c>
      <c r="F219" s="7">
        <f>IFERROR(__xludf.DUMMYFUNCTION("""COMPUTED_VALUE"""),1.8188885E7)</f>
        <v>18188885</v>
      </c>
      <c r="G219" s="7" t="str">
        <f>IFERROR(__xludf.DUMMYFUNCTION("""COMPUTED_VALUE"""),"ONGC.NS")</f>
        <v>ONGC.NS</v>
      </c>
      <c r="H219" s="8">
        <f t="shared" si="1"/>
        <v>0.008480565371</v>
      </c>
      <c r="I219" s="8">
        <f t="shared" si="2"/>
        <v>0.008480565371</v>
      </c>
      <c r="J219" s="7" t="str">
        <f t="shared" si="3"/>
        <v>Oct-2024</v>
      </c>
      <c r="K219" s="9">
        <f t="shared" si="4"/>
        <v>45566</v>
      </c>
      <c r="L219" s="7" t="str">
        <f t="shared" si="5"/>
        <v/>
      </c>
      <c r="M219" s="7" t="str">
        <f>IFERROR(__xludf.DUMMYFUNCTION("IFERROR(
  IF(
    F219 &gt;
    3*AVERAGE(
       FILTER($F$2:$F10491,
         $G$2:$G10491=G219,
         $A$2:$A10491&gt;=A219-20,
         $A$2:$A10491&lt;=A219
       )
    ),
    ""VOL_SPIKE_3X"",""""
  ),
"""")
"),"")</f>
        <v/>
      </c>
      <c r="N219" s="7" t="str">
        <f t="shared" si="6"/>
        <v/>
      </c>
      <c r="O219" s="7" t="str">
        <f t="shared" si="7"/>
        <v/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f>IFERROR(__xludf.DUMMYFUNCTION("""COMPUTED_VALUE"""),45581.0)</f>
        <v>45581</v>
      </c>
      <c r="B220" s="6">
        <f>IFERROR(__xludf.DUMMYFUNCTION("""COMPUTED_VALUE"""),331.7)</f>
        <v>331.7</v>
      </c>
      <c r="C220" s="6">
        <f>IFERROR(__xludf.DUMMYFUNCTION("""COMPUTED_VALUE"""),332.65)</f>
        <v>332.65</v>
      </c>
      <c r="D220" s="6">
        <f>IFERROR(__xludf.DUMMYFUNCTION("""COMPUTED_VALUE"""),324.95)</f>
        <v>324.95</v>
      </c>
      <c r="E220" s="6">
        <f>IFERROR(__xludf.DUMMYFUNCTION("""COMPUTED_VALUE"""),327.2)</f>
        <v>327.2</v>
      </c>
      <c r="F220" s="7">
        <f>IFERROR(__xludf.DUMMYFUNCTION("""COMPUTED_VALUE"""),2.2085298E7)</f>
        <v>22085298</v>
      </c>
      <c r="G220" s="7" t="str">
        <f>IFERROR(__xludf.DUMMYFUNCTION("""COMPUTED_VALUE"""),"POWERGRID.NS")</f>
        <v>POWERGRID.NS</v>
      </c>
      <c r="H220" s="8">
        <f t="shared" si="1"/>
        <v>-0.01356647573</v>
      </c>
      <c r="I220" s="8">
        <f t="shared" si="2"/>
        <v>0.01356647573</v>
      </c>
      <c r="J220" s="7" t="str">
        <f t="shared" si="3"/>
        <v>Oct-2024</v>
      </c>
      <c r="K220" s="9">
        <f t="shared" si="4"/>
        <v>45566</v>
      </c>
      <c r="L220" s="7" t="str">
        <f t="shared" si="5"/>
        <v/>
      </c>
      <c r="M220" s="7" t="str">
        <f>IFERROR(__xludf.DUMMYFUNCTION("IFERROR(
  IF(
    F220 &gt;
    3*AVERAGE(
       FILTER($F$2:$F10491,
         $G$2:$G10491=G220,
         $A$2:$A10491&gt;=A220-20,
         $A$2:$A10491&lt;=A220
       )
    ),
    ""VOL_SPIKE_3X"",""""
  ),
"""")
"),"")</f>
        <v/>
      </c>
      <c r="N220" s="7" t="str">
        <f t="shared" si="6"/>
        <v/>
      </c>
      <c r="O220" s="7" t="str">
        <f t="shared" si="7"/>
        <v/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f>IFERROR(__xludf.DUMMYFUNCTION("""COMPUTED_VALUE"""),45581.0)</f>
        <v>45581</v>
      </c>
      <c r="B221" s="6">
        <f>IFERROR(__xludf.DUMMYFUNCTION("""COMPUTED_VALUE"""),1340.0)</f>
        <v>1340</v>
      </c>
      <c r="C221" s="6">
        <f>IFERROR(__xludf.DUMMYFUNCTION("""COMPUTED_VALUE"""),1364.0)</f>
        <v>1364</v>
      </c>
      <c r="D221" s="6">
        <f>IFERROR(__xludf.DUMMYFUNCTION("""COMPUTED_VALUE"""),1337.63)</f>
        <v>1337.63</v>
      </c>
      <c r="E221" s="6">
        <f>IFERROR(__xludf.DUMMYFUNCTION("""COMPUTED_VALUE"""),1354.08)</f>
        <v>1354.08</v>
      </c>
      <c r="F221" s="7">
        <f>IFERROR(__xludf.DUMMYFUNCTION("""COMPUTED_VALUE"""),1.0017219E7)</f>
        <v>10017219</v>
      </c>
      <c r="G221" s="7" t="str">
        <f>IFERROR(__xludf.DUMMYFUNCTION("""COMPUTED_VALUE"""),"RELIANCE.NS")</f>
        <v>RELIANCE.NS</v>
      </c>
      <c r="H221" s="8">
        <f t="shared" si="1"/>
        <v>0.01050746269</v>
      </c>
      <c r="I221" s="8">
        <f t="shared" si="2"/>
        <v>0.01050746269</v>
      </c>
      <c r="J221" s="7" t="str">
        <f t="shared" si="3"/>
        <v>Oct-2024</v>
      </c>
      <c r="K221" s="9">
        <f t="shared" si="4"/>
        <v>45566</v>
      </c>
      <c r="L221" s="7" t="str">
        <f t="shared" si="5"/>
        <v/>
      </c>
      <c r="M221" s="7" t="str">
        <f>IFERROR(__xludf.DUMMYFUNCTION("IFERROR(
  IF(
    F221 &gt;
    3*AVERAGE(
       FILTER($F$2:$F10491,
         $G$2:$G10491=G221,
         $A$2:$A10491&gt;=A221-20,
         $A$2:$A10491&lt;=A221
       )
    ),
    ""VOL_SPIKE_3X"",""""
  ),
"""")
"),"")</f>
        <v/>
      </c>
      <c r="N221" s="7" t="str">
        <f t="shared" si="6"/>
        <v/>
      </c>
      <c r="O221" s="7" t="str">
        <f t="shared" si="7"/>
        <v/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f>IFERROR(__xludf.DUMMYFUNCTION("""COMPUTED_VALUE"""),45582.0)</f>
        <v>45582</v>
      </c>
      <c r="B222" s="6">
        <f>IFERROR(__xludf.DUMMYFUNCTION("""COMPUTED_VALUE"""),1027.05)</f>
        <v>1027.05</v>
      </c>
      <c r="C222" s="6">
        <f>IFERROR(__xludf.DUMMYFUNCTION("""COMPUTED_VALUE"""),1036.85)</f>
        <v>1036.85</v>
      </c>
      <c r="D222" s="6">
        <f>IFERROR(__xludf.DUMMYFUNCTION("""COMPUTED_VALUE"""),1015.0)</f>
        <v>1015</v>
      </c>
      <c r="E222" s="6">
        <f>IFERROR(__xludf.DUMMYFUNCTION("""COMPUTED_VALUE"""),1021.65)</f>
        <v>1021.65</v>
      </c>
      <c r="F222" s="7">
        <f>IFERROR(__xludf.DUMMYFUNCTION("""COMPUTED_VALUE"""),1487254.0)</f>
        <v>1487254</v>
      </c>
      <c r="G222" s="7" t="str">
        <f>IFERROR(__xludf.DUMMYFUNCTION("""COMPUTED_VALUE"""),"ADANIENSOL.NS")</f>
        <v>ADANIENSOL.NS</v>
      </c>
      <c r="H222" s="8">
        <f t="shared" si="1"/>
        <v>-0.005257777129</v>
      </c>
      <c r="I222" s="8">
        <f t="shared" si="2"/>
        <v>0.005257777129</v>
      </c>
      <c r="J222" s="7" t="str">
        <f t="shared" si="3"/>
        <v>Oct-2024</v>
      </c>
      <c r="K222" s="9">
        <f t="shared" si="4"/>
        <v>45566</v>
      </c>
      <c r="L222" s="7" t="str">
        <f t="shared" si="5"/>
        <v/>
      </c>
      <c r="M222" s="7" t="str">
        <f>IFERROR(__xludf.DUMMYFUNCTION("IFERROR(
  IF(
    F222 &gt;
    3*AVERAGE(
       FILTER($F$2:$F10491,
         $G$2:$G10491=G222,
         $A$2:$A10491&gt;=A222-20,
         $A$2:$A10491&lt;=A222
       )
    ),
    ""VOL_SPIKE_3X"",""""
  ),
"""")
"),"")</f>
        <v/>
      </c>
      <c r="N222" s="7" t="str">
        <f t="shared" si="6"/>
        <v/>
      </c>
      <c r="O222" s="7" t="str">
        <f t="shared" si="7"/>
        <v/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f>IFERROR(__xludf.DUMMYFUNCTION("""COMPUTED_VALUE"""),45582.0)</f>
        <v>45582</v>
      </c>
      <c r="B223" s="6">
        <f>IFERROR(__xludf.DUMMYFUNCTION("""COMPUTED_VALUE"""),1750.05)</f>
        <v>1750.05</v>
      </c>
      <c r="C223" s="6">
        <f>IFERROR(__xludf.DUMMYFUNCTION("""COMPUTED_VALUE"""),1767.7)</f>
        <v>1767.7</v>
      </c>
      <c r="D223" s="6">
        <f>IFERROR(__xludf.DUMMYFUNCTION("""COMPUTED_VALUE"""),1719.0)</f>
        <v>1719</v>
      </c>
      <c r="E223" s="6">
        <f>IFERROR(__xludf.DUMMYFUNCTION("""COMPUTED_VALUE"""),1733.55)</f>
        <v>1733.55</v>
      </c>
      <c r="F223" s="7">
        <f>IFERROR(__xludf.DUMMYFUNCTION("""COMPUTED_VALUE"""),355958.0)</f>
        <v>355958</v>
      </c>
      <c r="G223" s="7" t="str">
        <f>IFERROR(__xludf.DUMMYFUNCTION("""COMPUTED_VALUE"""),"ADANIGREEN.NS")</f>
        <v>ADANIGREEN.NS</v>
      </c>
      <c r="H223" s="8">
        <f t="shared" si="1"/>
        <v>-0.009428302049</v>
      </c>
      <c r="I223" s="8">
        <f t="shared" si="2"/>
        <v>0.009428302049</v>
      </c>
      <c r="J223" s="7" t="str">
        <f t="shared" si="3"/>
        <v>Oct-2024</v>
      </c>
      <c r="K223" s="9">
        <f t="shared" si="4"/>
        <v>45566</v>
      </c>
      <c r="L223" s="7" t="str">
        <f t="shared" si="5"/>
        <v/>
      </c>
      <c r="M223" s="7" t="str">
        <f>IFERROR(__xludf.DUMMYFUNCTION("IFERROR(
  IF(
    F223 &gt;
    3*AVERAGE(
       FILTER($F$2:$F10491,
         $G$2:$G10491=G223,
         $A$2:$A10491&gt;=A223-20,
         $A$2:$A10491&lt;=A223
       )
    ),
    ""VOL_SPIKE_3X"",""""
  ),
"""")
"),"")</f>
        <v/>
      </c>
      <c r="N223" s="7" t="str">
        <f t="shared" si="6"/>
        <v/>
      </c>
      <c r="O223" s="7" t="str">
        <f t="shared" si="7"/>
        <v/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f>IFERROR(__xludf.DUMMYFUNCTION("""COMPUTED_VALUE"""),45582.0)</f>
        <v>45582</v>
      </c>
      <c r="B224" s="6">
        <f>IFERROR(__xludf.DUMMYFUNCTION("""COMPUTED_VALUE"""),349.15)</f>
        <v>349.15</v>
      </c>
      <c r="C224" s="6">
        <f>IFERROR(__xludf.DUMMYFUNCTION("""COMPUTED_VALUE"""),350.6)</f>
        <v>350.6</v>
      </c>
      <c r="D224" s="6">
        <f>IFERROR(__xludf.DUMMYFUNCTION("""COMPUTED_VALUE"""),341.85)</f>
        <v>341.85</v>
      </c>
      <c r="E224" s="6">
        <f>IFERROR(__xludf.DUMMYFUNCTION("""COMPUTED_VALUE"""),342.7)</f>
        <v>342.7</v>
      </c>
      <c r="F224" s="7">
        <f>IFERROR(__xludf.DUMMYFUNCTION("""COMPUTED_VALUE"""),1.1023063E7)</f>
        <v>11023063</v>
      </c>
      <c r="G224" s="7" t="str">
        <f>IFERROR(__xludf.DUMMYFUNCTION("""COMPUTED_VALUE"""),"BPCL.NS")</f>
        <v>BPCL.NS</v>
      </c>
      <c r="H224" s="8">
        <f t="shared" si="1"/>
        <v>-0.01847343549</v>
      </c>
      <c r="I224" s="8">
        <f t="shared" si="2"/>
        <v>0.01847343549</v>
      </c>
      <c r="J224" s="7" t="str">
        <f t="shared" si="3"/>
        <v>Oct-2024</v>
      </c>
      <c r="K224" s="9">
        <f t="shared" si="4"/>
        <v>45566</v>
      </c>
      <c r="L224" s="7" t="str">
        <f t="shared" si="5"/>
        <v/>
      </c>
      <c r="M224" s="7" t="str">
        <f>IFERROR(__xludf.DUMMYFUNCTION("IFERROR(
  IF(
    F224 &gt;
    3*AVERAGE(
       FILTER($F$2:$F10491,
         $G$2:$G10491=G224,
         $A$2:$A10491&gt;=A224-20,
         $A$2:$A10491&lt;=A224
       )
    ),
    ""VOL_SPIKE_3X"",""""
  ),
"""")
"),"")</f>
        <v/>
      </c>
      <c r="N224" s="7" t="str">
        <f t="shared" si="6"/>
        <v/>
      </c>
      <c r="O224" s="7" t="str">
        <f t="shared" si="7"/>
        <v/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f>IFERROR(__xludf.DUMMYFUNCTION("""COMPUTED_VALUE"""),45582.0)</f>
        <v>45582</v>
      </c>
      <c r="B225" s="6">
        <f>IFERROR(__xludf.DUMMYFUNCTION("""COMPUTED_VALUE"""),495.75)</f>
        <v>495.75</v>
      </c>
      <c r="C225" s="6">
        <f>IFERROR(__xludf.DUMMYFUNCTION("""COMPUTED_VALUE"""),497.25)</f>
        <v>497.25</v>
      </c>
      <c r="D225" s="6">
        <f>IFERROR(__xludf.DUMMYFUNCTION("""COMPUTED_VALUE"""),487.2)</f>
        <v>487.2</v>
      </c>
      <c r="E225" s="6">
        <f>IFERROR(__xludf.DUMMYFUNCTION("""COMPUTED_VALUE"""),489.9)</f>
        <v>489.9</v>
      </c>
      <c r="F225" s="7">
        <f>IFERROR(__xludf.DUMMYFUNCTION("""COMPUTED_VALUE"""),4334990.0)</f>
        <v>4334990</v>
      </c>
      <c r="G225" s="7" t="str">
        <f>IFERROR(__xludf.DUMMYFUNCTION("""COMPUTED_VALUE"""),"COALINDIA.NS")</f>
        <v>COALINDIA.NS</v>
      </c>
      <c r="H225" s="8">
        <f t="shared" si="1"/>
        <v>-0.01180030257</v>
      </c>
      <c r="I225" s="8">
        <f t="shared" si="2"/>
        <v>0.01180030257</v>
      </c>
      <c r="J225" s="7" t="str">
        <f t="shared" si="3"/>
        <v>Oct-2024</v>
      </c>
      <c r="K225" s="9">
        <f t="shared" si="4"/>
        <v>45566</v>
      </c>
      <c r="L225" s="7" t="str">
        <f t="shared" si="5"/>
        <v/>
      </c>
      <c r="M225" s="7" t="str">
        <f>IFERROR(__xludf.DUMMYFUNCTION("IFERROR(
  IF(
    F225 &gt;
    3*AVERAGE(
       FILTER($F$2:$F10491,
         $G$2:$G10491=G225,
         $A$2:$A10491&gt;=A225-20,
         $A$2:$A10491&lt;=A225
       )
    ),
    ""VOL_SPIKE_3X"",""""
  ),
"""")
"),"")</f>
        <v/>
      </c>
      <c r="N225" s="7" t="str">
        <f t="shared" si="6"/>
        <v/>
      </c>
      <c r="O225" s="7" t="str">
        <f t="shared" si="7"/>
        <v/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f>IFERROR(__xludf.DUMMYFUNCTION("""COMPUTED_VALUE"""),45582.0)</f>
        <v>45582</v>
      </c>
      <c r="B226" s="6">
        <f>IFERROR(__xludf.DUMMYFUNCTION("""COMPUTED_VALUE"""),431.95)</f>
        <v>431.95</v>
      </c>
      <c r="C226" s="6">
        <f>IFERROR(__xludf.DUMMYFUNCTION("""COMPUTED_VALUE"""),439.0)</f>
        <v>439</v>
      </c>
      <c r="D226" s="6">
        <f>IFERROR(__xludf.DUMMYFUNCTION("""COMPUTED_VALUE"""),428.25)</f>
        <v>428.25</v>
      </c>
      <c r="E226" s="6">
        <f>IFERROR(__xludf.DUMMYFUNCTION("""COMPUTED_VALUE"""),433.35)</f>
        <v>433.35</v>
      </c>
      <c r="F226" s="7">
        <f>IFERROR(__xludf.DUMMYFUNCTION("""COMPUTED_VALUE"""),1.1762175E7)</f>
        <v>11762175</v>
      </c>
      <c r="G226" s="7" t="str">
        <f>IFERROR(__xludf.DUMMYFUNCTION("""COMPUTED_VALUE"""),"HINDPETRO.NS")</f>
        <v>HINDPETRO.NS</v>
      </c>
      <c r="H226" s="8">
        <f t="shared" si="1"/>
        <v>0.00324111587</v>
      </c>
      <c r="I226" s="8">
        <f t="shared" si="2"/>
        <v>0.00324111587</v>
      </c>
      <c r="J226" s="7" t="str">
        <f t="shared" si="3"/>
        <v>Oct-2024</v>
      </c>
      <c r="K226" s="9">
        <f t="shared" si="4"/>
        <v>45566</v>
      </c>
      <c r="L226" s="7" t="str">
        <f t="shared" si="5"/>
        <v/>
      </c>
      <c r="M226" s="7" t="str">
        <f>IFERROR(__xludf.DUMMYFUNCTION("IFERROR(
  IF(
    F226 &gt;
    3*AVERAGE(
       FILTER($F$2:$F10491,
         $G$2:$G10491=G226,
         $A$2:$A10491&gt;=A226-20,
         $A$2:$A10491&lt;=A226
       )
    ),
    ""VOL_SPIKE_3X"",""""
  ),
"""")
"),"")</f>
        <v/>
      </c>
      <c r="N226" s="7" t="str">
        <f t="shared" si="6"/>
        <v/>
      </c>
      <c r="O226" s="7" t="str">
        <f t="shared" si="7"/>
        <v/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f>IFERROR(__xludf.DUMMYFUNCTION("""COMPUTED_VALUE"""),45582.0)</f>
        <v>45582</v>
      </c>
      <c r="B227" s="6">
        <f>IFERROR(__xludf.DUMMYFUNCTION("""COMPUTED_VALUE"""),168.0)</f>
        <v>168</v>
      </c>
      <c r="C227" s="6">
        <f>IFERROR(__xludf.DUMMYFUNCTION("""COMPUTED_VALUE"""),168.6)</f>
        <v>168.6</v>
      </c>
      <c r="D227" s="6">
        <f>IFERROR(__xludf.DUMMYFUNCTION("""COMPUTED_VALUE"""),164.0)</f>
        <v>164</v>
      </c>
      <c r="E227" s="6">
        <f>IFERROR(__xludf.DUMMYFUNCTION("""COMPUTED_VALUE"""),164.28)</f>
        <v>164.28</v>
      </c>
      <c r="F227" s="7">
        <f>IFERROR(__xludf.DUMMYFUNCTION("""COMPUTED_VALUE"""),1.3215492E7)</f>
        <v>13215492</v>
      </c>
      <c r="G227" s="7" t="str">
        <f>IFERROR(__xludf.DUMMYFUNCTION("""COMPUTED_VALUE"""),"IOC.NS")</f>
        <v>IOC.NS</v>
      </c>
      <c r="H227" s="8">
        <f t="shared" si="1"/>
        <v>-0.02214285714</v>
      </c>
      <c r="I227" s="8">
        <f t="shared" si="2"/>
        <v>0.02214285714</v>
      </c>
      <c r="J227" s="7" t="str">
        <f t="shared" si="3"/>
        <v>Oct-2024</v>
      </c>
      <c r="K227" s="9">
        <f t="shared" si="4"/>
        <v>45566</v>
      </c>
      <c r="L227" s="7" t="str">
        <f t="shared" si="5"/>
        <v/>
      </c>
      <c r="M227" s="7" t="str">
        <f>IFERROR(__xludf.DUMMYFUNCTION("IFERROR(
  IF(
    F227 &gt;
    3*AVERAGE(
       FILTER($F$2:$F10491,
         $G$2:$G10491=G227,
         $A$2:$A10491&gt;=A227-20,
         $A$2:$A10491&lt;=A227
       )
    ),
    ""VOL_SPIKE_3X"",""""
  ),
"""")
"),"")</f>
        <v/>
      </c>
      <c r="N227" s="7" t="str">
        <f t="shared" si="6"/>
        <v/>
      </c>
      <c r="O227" s="7" t="str">
        <f t="shared" si="7"/>
        <v/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f>IFERROR(__xludf.DUMMYFUNCTION("""COMPUTED_VALUE"""),45582.0)</f>
        <v>45582</v>
      </c>
      <c r="B228" s="6">
        <f>IFERROR(__xludf.DUMMYFUNCTION("""COMPUTED_VALUE"""),423.65)</f>
        <v>423.65</v>
      </c>
      <c r="C228" s="6">
        <f>IFERROR(__xludf.DUMMYFUNCTION("""COMPUTED_VALUE"""),425.6)</f>
        <v>425.6</v>
      </c>
      <c r="D228" s="6">
        <f>IFERROR(__xludf.DUMMYFUNCTION("""COMPUTED_VALUE"""),416.6)</f>
        <v>416.6</v>
      </c>
      <c r="E228" s="6">
        <f>IFERROR(__xludf.DUMMYFUNCTION("""COMPUTED_VALUE"""),417.75)</f>
        <v>417.75</v>
      </c>
      <c r="F228" s="7">
        <f>IFERROR(__xludf.DUMMYFUNCTION("""COMPUTED_VALUE"""),1.1968387E7)</f>
        <v>11968387</v>
      </c>
      <c r="G228" s="7" t="str">
        <f>IFERROR(__xludf.DUMMYFUNCTION("""COMPUTED_VALUE"""),"NTPC.NS")</f>
        <v>NTPC.NS</v>
      </c>
      <c r="H228" s="8">
        <f t="shared" si="1"/>
        <v>-0.01392659035</v>
      </c>
      <c r="I228" s="8">
        <f t="shared" si="2"/>
        <v>0.01392659035</v>
      </c>
      <c r="J228" s="7" t="str">
        <f t="shared" si="3"/>
        <v>Oct-2024</v>
      </c>
      <c r="K228" s="9">
        <f t="shared" si="4"/>
        <v>45566</v>
      </c>
      <c r="L228" s="7" t="str">
        <f t="shared" si="5"/>
        <v/>
      </c>
      <c r="M228" s="7" t="str">
        <f>IFERROR(__xludf.DUMMYFUNCTION("IFERROR(
  IF(
    F228 &gt;
    3*AVERAGE(
       FILTER($F$2:$F10491,
         $G$2:$G10491=G228,
         $A$2:$A10491&gt;=A228-20,
         $A$2:$A10491&lt;=A228
       )
    ),
    ""VOL_SPIKE_3X"",""""
  ),
"""")
"),"")</f>
        <v/>
      </c>
      <c r="N228" s="7" t="str">
        <f t="shared" si="6"/>
        <v/>
      </c>
      <c r="O228" s="7" t="str">
        <f t="shared" si="7"/>
        <v/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f>IFERROR(__xludf.DUMMYFUNCTION("""COMPUTED_VALUE"""),45582.0)</f>
        <v>45582</v>
      </c>
      <c r="B229" s="6">
        <f>IFERROR(__xludf.DUMMYFUNCTION("""COMPUTED_VALUE"""),285.0)</f>
        <v>285</v>
      </c>
      <c r="C229" s="6">
        <f>IFERROR(__xludf.DUMMYFUNCTION("""COMPUTED_VALUE"""),287.6)</f>
        <v>287.6</v>
      </c>
      <c r="D229" s="6">
        <f>IFERROR(__xludf.DUMMYFUNCTION("""COMPUTED_VALUE"""),280.95)</f>
        <v>280.95</v>
      </c>
      <c r="E229" s="6">
        <f>IFERROR(__xludf.DUMMYFUNCTION("""COMPUTED_VALUE"""),281.6)</f>
        <v>281.6</v>
      </c>
      <c r="F229" s="7">
        <f>IFERROR(__xludf.DUMMYFUNCTION("""COMPUTED_VALUE"""),1.3343303E7)</f>
        <v>13343303</v>
      </c>
      <c r="G229" s="7" t="str">
        <f>IFERROR(__xludf.DUMMYFUNCTION("""COMPUTED_VALUE"""),"ONGC.NS")</f>
        <v>ONGC.NS</v>
      </c>
      <c r="H229" s="8">
        <f t="shared" si="1"/>
        <v>-0.01192982456</v>
      </c>
      <c r="I229" s="8">
        <f t="shared" si="2"/>
        <v>0.01192982456</v>
      </c>
      <c r="J229" s="7" t="str">
        <f t="shared" si="3"/>
        <v>Oct-2024</v>
      </c>
      <c r="K229" s="9">
        <f t="shared" si="4"/>
        <v>45566</v>
      </c>
      <c r="L229" s="7" t="str">
        <f t="shared" si="5"/>
        <v/>
      </c>
      <c r="M229" s="7" t="str">
        <f>IFERROR(__xludf.DUMMYFUNCTION("IFERROR(
  IF(
    F229 &gt;
    3*AVERAGE(
       FILTER($F$2:$F10491,
         $G$2:$G10491=G229,
         $A$2:$A10491&gt;=A229-20,
         $A$2:$A10491&lt;=A229
       )
    ),
    ""VOL_SPIKE_3X"",""""
  ),
"""")
"),"")</f>
        <v/>
      </c>
      <c r="N229" s="7" t="str">
        <f t="shared" si="6"/>
        <v/>
      </c>
      <c r="O229" s="7" t="str">
        <f t="shared" si="7"/>
        <v/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f>IFERROR(__xludf.DUMMYFUNCTION("""COMPUTED_VALUE"""),45582.0)</f>
        <v>45582</v>
      </c>
      <c r="B230" s="6">
        <f>IFERROR(__xludf.DUMMYFUNCTION("""COMPUTED_VALUE"""),328.5)</f>
        <v>328.5</v>
      </c>
      <c r="C230" s="6">
        <f>IFERROR(__xludf.DUMMYFUNCTION("""COMPUTED_VALUE"""),331.9)</f>
        <v>331.9</v>
      </c>
      <c r="D230" s="6">
        <f>IFERROR(__xludf.DUMMYFUNCTION("""COMPUTED_VALUE"""),324.6)</f>
        <v>324.6</v>
      </c>
      <c r="E230" s="6">
        <f>IFERROR(__xludf.DUMMYFUNCTION("""COMPUTED_VALUE"""),331.15)</f>
        <v>331.15</v>
      </c>
      <c r="F230" s="7">
        <f>IFERROR(__xludf.DUMMYFUNCTION("""COMPUTED_VALUE"""),1.7039729E7)</f>
        <v>17039729</v>
      </c>
      <c r="G230" s="7" t="str">
        <f>IFERROR(__xludf.DUMMYFUNCTION("""COMPUTED_VALUE"""),"POWERGRID.NS")</f>
        <v>POWERGRID.NS</v>
      </c>
      <c r="H230" s="8">
        <f t="shared" si="1"/>
        <v>0.008066971081</v>
      </c>
      <c r="I230" s="8">
        <f t="shared" si="2"/>
        <v>0.008066971081</v>
      </c>
      <c r="J230" s="7" t="str">
        <f t="shared" si="3"/>
        <v>Oct-2024</v>
      </c>
      <c r="K230" s="9">
        <f t="shared" si="4"/>
        <v>45566</v>
      </c>
      <c r="L230" s="7" t="str">
        <f t="shared" si="5"/>
        <v/>
      </c>
      <c r="M230" s="7" t="str">
        <f>IFERROR(__xludf.DUMMYFUNCTION("IFERROR(
  IF(
    F230 &gt;
    3*AVERAGE(
       FILTER($F$2:$F10491,
         $G$2:$G10491=G230,
         $A$2:$A10491&gt;=A230-20,
         $A$2:$A10491&lt;=A230
       )
    ),
    ""VOL_SPIKE_3X"",""""
  ),
"""")
"),"")</f>
        <v/>
      </c>
      <c r="N230" s="7" t="str">
        <f t="shared" si="6"/>
        <v/>
      </c>
      <c r="O230" s="7" t="str">
        <f t="shared" si="7"/>
        <v/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f>IFERROR(__xludf.DUMMYFUNCTION("""COMPUTED_VALUE"""),45582.0)</f>
        <v>45582</v>
      </c>
      <c r="B231" s="6">
        <f>IFERROR(__xludf.DUMMYFUNCTION("""COMPUTED_VALUE"""),1365.7)</f>
        <v>1365.7</v>
      </c>
      <c r="C231" s="6">
        <f>IFERROR(__xludf.DUMMYFUNCTION("""COMPUTED_VALUE"""),1368.45)</f>
        <v>1368.45</v>
      </c>
      <c r="D231" s="6">
        <f>IFERROR(__xludf.DUMMYFUNCTION("""COMPUTED_VALUE"""),1352.05)</f>
        <v>1352.05</v>
      </c>
      <c r="E231" s="6">
        <f>IFERROR(__xludf.DUMMYFUNCTION("""COMPUTED_VALUE"""),1356.43)</f>
        <v>1356.43</v>
      </c>
      <c r="F231" s="7">
        <f>IFERROR(__xludf.DUMMYFUNCTION("""COMPUTED_VALUE"""),7771830.0)</f>
        <v>7771830</v>
      </c>
      <c r="G231" s="7" t="str">
        <f>IFERROR(__xludf.DUMMYFUNCTION("""COMPUTED_VALUE"""),"RELIANCE.NS")</f>
        <v>RELIANCE.NS</v>
      </c>
      <c r="H231" s="8">
        <f t="shared" si="1"/>
        <v>-0.006787727905</v>
      </c>
      <c r="I231" s="8">
        <f t="shared" si="2"/>
        <v>0.006787727905</v>
      </c>
      <c r="J231" s="7" t="str">
        <f t="shared" si="3"/>
        <v>Oct-2024</v>
      </c>
      <c r="K231" s="9">
        <f t="shared" si="4"/>
        <v>45566</v>
      </c>
      <c r="L231" s="7" t="str">
        <f t="shared" si="5"/>
        <v/>
      </c>
      <c r="M231" s="7" t="str">
        <f>IFERROR(__xludf.DUMMYFUNCTION("IFERROR(
  IF(
    F231 &gt;
    3*AVERAGE(
       FILTER($F$2:$F10491,
         $G$2:$G10491=G231,
         $A$2:$A10491&gt;=A231-20,
         $A$2:$A10491&lt;=A231
       )
    ),
    ""VOL_SPIKE_3X"",""""
  ),
"""")
"),"")</f>
        <v/>
      </c>
      <c r="N231" s="7" t="str">
        <f t="shared" si="6"/>
        <v/>
      </c>
      <c r="O231" s="7" t="str">
        <f t="shared" si="7"/>
        <v/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f>IFERROR(__xludf.DUMMYFUNCTION("""COMPUTED_VALUE"""),45583.0)</f>
        <v>45583</v>
      </c>
      <c r="B232" s="6">
        <f>IFERROR(__xludf.DUMMYFUNCTION("""COMPUTED_VALUE"""),1015.55)</f>
        <v>1015.55</v>
      </c>
      <c r="C232" s="6">
        <f>IFERROR(__xludf.DUMMYFUNCTION("""COMPUTED_VALUE"""),1046.0)</f>
        <v>1046</v>
      </c>
      <c r="D232" s="6">
        <f>IFERROR(__xludf.DUMMYFUNCTION("""COMPUTED_VALUE"""),1004.0)</f>
        <v>1004</v>
      </c>
      <c r="E232" s="6">
        <f>IFERROR(__xludf.DUMMYFUNCTION("""COMPUTED_VALUE"""),1043.3)</f>
        <v>1043.3</v>
      </c>
      <c r="F232" s="7">
        <f>IFERROR(__xludf.DUMMYFUNCTION("""COMPUTED_VALUE"""),2162032.0)</f>
        <v>2162032</v>
      </c>
      <c r="G232" s="7" t="str">
        <f>IFERROR(__xludf.DUMMYFUNCTION("""COMPUTED_VALUE"""),"ADANIENSOL.NS")</f>
        <v>ADANIENSOL.NS</v>
      </c>
      <c r="H232" s="8">
        <f t="shared" si="1"/>
        <v>0.02732509478</v>
      </c>
      <c r="I232" s="8">
        <f t="shared" si="2"/>
        <v>0.02732509478</v>
      </c>
      <c r="J232" s="7" t="str">
        <f t="shared" si="3"/>
        <v>Oct-2024</v>
      </c>
      <c r="K232" s="9">
        <f t="shared" si="4"/>
        <v>45566</v>
      </c>
      <c r="L232" s="7" t="str">
        <f t="shared" si="5"/>
        <v/>
      </c>
      <c r="M232" s="7" t="str">
        <f>IFERROR(__xludf.DUMMYFUNCTION("IFERROR(
  IF(
    F232 &gt;
    3*AVERAGE(
       FILTER($F$2:$F10491,
         $G$2:$G10491=G232,
         $A$2:$A10491&gt;=A232-20,
         $A$2:$A10491&lt;=A232
       )
    ),
    ""VOL_SPIKE_3X"",""""
  ),
"""")
"),"")</f>
        <v/>
      </c>
      <c r="N232" s="7" t="str">
        <f t="shared" si="6"/>
        <v/>
      </c>
      <c r="O232" s="7" t="str">
        <f t="shared" si="7"/>
        <v/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f>IFERROR(__xludf.DUMMYFUNCTION("""COMPUTED_VALUE"""),45583.0)</f>
        <v>45583</v>
      </c>
      <c r="B233" s="6">
        <f>IFERROR(__xludf.DUMMYFUNCTION("""COMPUTED_VALUE"""),1735.0)</f>
        <v>1735</v>
      </c>
      <c r="C233" s="6">
        <f>IFERROR(__xludf.DUMMYFUNCTION("""COMPUTED_VALUE"""),1745.5)</f>
        <v>1745.5</v>
      </c>
      <c r="D233" s="6">
        <f>IFERROR(__xludf.DUMMYFUNCTION("""COMPUTED_VALUE"""),1703.0)</f>
        <v>1703</v>
      </c>
      <c r="E233" s="6">
        <f>IFERROR(__xludf.DUMMYFUNCTION("""COMPUTED_VALUE"""),1736.05)</f>
        <v>1736.05</v>
      </c>
      <c r="F233" s="7">
        <f>IFERROR(__xludf.DUMMYFUNCTION("""COMPUTED_VALUE"""),410948.0)</f>
        <v>410948</v>
      </c>
      <c r="G233" s="7" t="str">
        <f>IFERROR(__xludf.DUMMYFUNCTION("""COMPUTED_VALUE"""),"ADANIGREEN.NS")</f>
        <v>ADANIGREEN.NS</v>
      </c>
      <c r="H233" s="8">
        <f t="shared" si="1"/>
        <v>0.0006051873199</v>
      </c>
      <c r="I233" s="8">
        <f t="shared" si="2"/>
        <v>0.0006051873199</v>
      </c>
      <c r="J233" s="7" t="str">
        <f t="shared" si="3"/>
        <v>Oct-2024</v>
      </c>
      <c r="K233" s="9">
        <f t="shared" si="4"/>
        <v>45566</v>
      </c>
      <c r="L233" s="7" t="str">
        <f t="shared" si="5"/>
        <v/>
      </c>
      <c r="M233" s="7" t="str">
        <f>IFERROR(__xludf.DUMMYFUNCTION("IFERROR(
  IF(
    F233 &gt;
    3*AVERAGE(
       FILTER($F$2:$F10491,
         $G$2:$G10491=G233,
         $A$2:$A10491&gt;=A233-20,
         $A$2:$A10491&lt;=A233
       )
    ),
    ""VOL_SPIKE_3X"",""""
  ),
"""")
"),"")</f>
        <v/>
      </c>
      <c r="N233" s="7" t="str">
        <f t="shared" si="6"/>
        <v/>
      </c>
      <c r="O233" s="7" t="str">
        <f t="shared" si="7"/>
        <v/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f>IFERROR(__xludf.DUMMYFUNCTION("""COMPUTED_VALUE"""),45583.0)</f>
        <v>45583</v>
      </c>
      <c r="B234" s="6">
        <f>IFERROR(__xludf.DUMMYFUNCTION("""COMPUTED_VALUE"""),342.7)</f>
        <v>342.7</v>
      </c>
      <c r="C234" s="6">
        <f>IFERROR(__xludf.DUMMYFUNCTION("""COMPUTED_VALUE"""),343.9)</f>
        <v>343.9</v>
      </c>
      <c r="D234" s="6">
        <f>IFERROR(__xludf.DUMMYFUNCTION("""COMPUTED_VALUE"""),334.3)</f>
        <v>334.3</v>
      </c>
      <c r="E234" s="6">
        <f>IFERROR(__xludf.DUMMYFUNCTION("""COMPUTED_VALUE"""),342.5)</f>
        <v>342.5</v>
      </c>
      <c r="F234" s="7">
        <f>IFERROR(__xludf.DUMMYFUNCTION("""COMPUTED_VALUE"""),7328694.0)</f>
        <v>7328694</v>
      </c>
      <c r="G234" s="7" t="str">
        <f>IFERROR(__xludf.DUMMYFUNCTION("""COMPUTED_VALUE"""),"BPCL.NS")</f>
        <v>BPCL.NS</v>
      </c>
      <c r="H234" s="8">
        <f t="shared" si="1"/>
        <v>-0.000583600817</v>
      </c>
      <c r="I234" s="8">
        <f t="shared" si="2"/>
        <v>0.000583600817</v>
      </c>
      <c r="J234" s="7" t="str">
        <f t="shared" si="3"/>
        <v>Oct-2024</v>
      </c>
      <c r="K234" s="9">
        <f t="shared" si="4"/>
        <v>45566</v>
      </c>
      <c r="L234" s="7" t="str">
        <f t="shared" si="5"/>
        <v/>
      </c>
      <c r="M234" s="7" t="str">
        <f>IFERROR(__xludf.DUMMYFUNCTION("IFERROR(
  IF(
    F234 &gt;
    3*AVERAGE(
       FILTER($F$2:$F10491,
         $G$2:$G10491=G234,
         $A$2:$A10491&gt;=A234-20,
         $A$2:$A10491&lt;=A234
       )
    ),
    ""VOL_SPIKE_3X"",""""
  ),
"""")
"),"")</f>
        <v/>
      </c>
      <c r="N234" s="7" t="str">
        <f t="shared" si="6"/>
        <v/>
      </c>
      <c r="O234" s="7" t="str">
        <f t="shared" si="7"/>
        <v/>
      </c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f>IFERROR(__xludf.DUMMYFUNCTION("""COMPUTED_VALUE"""),45583.0)</f>
        <v>45583</v>
      </c>
      <c r="B235" s="6">
        <f>IFERROR(__xludf.DUMMYFUNCTION("""COMPUTED_VALUE"""),488.0)</f>
        <v>488</v>
      </c>
      <c r="C235" s="6">
        <f>IFERROR(__xludf.DUMMYFUNCTION("""COMPUTED_VALUE"""),493.75)</f>
        <v>493.75</v>
      </c>
      <c r="D235" s="6">
        <f>IFERROR(__xludf.DUMMYFUNCTION("""COMPUTED_VALUE"""),483.35)</f>
        <v>483.35</v>
      </c>
      <c r="E235" s="6">
        <f>IFERROR(__xludf.DUMMYFUNCTION("""COMPUTED_VALUE"""),492.2)</f>
        <v>492.2</v>
      </c>
      <c r="F235" s="7">
        <f>IFERROR(__xludf.DUMMYFUNCTION("""COMPUTED_VALUE"""),4573163.0)</f>
        <v>4573163</v>
      </c>
      <c r="G235" s="7" t="str">
        <f>IFERROR(__xludf.DUMMYFUNCTION("""COMPUTED_VALUE"""),"COALINDIA.NS")</f>
        <v>COALINDIA.NS</v>
      </c>
      <c r="H235" s="8">
        <f t="shared" si="1"/>
        <v>0.008606557377</v>
      </c>
      <c r="I235" s="8">
        <f t="shared" si="2"/>
        <v>0.008606557377</v>
      </c>
      <c r="J235" s="7" t="str">
        <f t="shared" si="3"/>
        <v>Oct-2024</v>
      </c>
      <c r="K235" s="9">
        <f t="shared" si="4"/>
        <v>45566</v>
      </c>
      <c r="L235" s="7" t="str">
        <f t="shared" si="5"/>
        <v/>
      </c>
      <c r="M235" s="7" t="str">
        <f>IFERROR(__xludf.DUMMYFUNCTION("IFERROR(
  IF(
    F235 &gt;
    3*AVERAGE(
       FILTER($F$2:$F10491,
         $G$2:$G10491=G235,
         $A$2:$A10491&gt;=A235-20,
         $A$2:$A10491&lt;=A235
       )
    ),
    ""VOL_SPIKE_3X"",""""
  ),
"""")
"),"")</f>
        <v/>
      </c>
      <c r="N235" s="7" t="str">
        <f t="shared" si="6"/>
        <v/>
      </c>
      <c r="O235" s="7" t="str">
        <f t="shared" si="7"/>
        <v/>
      </c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f>IFERROR(__xludf.DUMMYFUNCTION("""COMPUTED_VALUE"""),45583.0)</f>
        <v>45583</v>
      </c>
      <c r="B236" s="6">
        <f>IFERROR(__xludf.DUMMYFUNCTION("""COMPUTED_VALUE"""),430.4)</f>
        <v>430.4</v>
      </c>
      <c r="C236" s="6">
        <f>IFERROR(__xludf.DUMMYFUNCTION("""COMPUTED_VALUE"""),435.3)</f>
        <v>435.3</v>
      </c>
      <c r="D236" s="6">
        <f>IFERROR(__xludf.DUMMYFUNCTION("""COMPUTED_VALUE"""),422.65)</f>
        <v>422.65</v>
      </c>
      <c r="E236" s="6">
        <f>IFERROR(__xludf.DUMMYFUNCTION("""COMPUTED_VALUE"""),431.6)</f>
        <v>431.6</v>
      </c>
      <c r="F236" s="7">
        <f>IFERROR(__xludf.DUMMYFUNCTION("""COMPUTED_VALUE"""),4941502.0)</f>
        <v>4941502</v>
      </c>
      <c r="G236" s="7" t="str">
        <f>IFERROR(__xludf.DUMMYFUNCTION("""COMPUTED_VALUE"""),"HINDPETRO.NS")</f>
        <v>HINDPETRO.NS</v>
      </c>
      <c r="H236" s="8">
        <f t="shared" si="1"/>
        <v>0.002788104089</v>
      </c>
      <c r="I236" s="8">
        <f t="shared" si="2"/>
        <v>0.002788104089</v>
      </c>
      <c r="J236" s="7" t="str">
        <f t="shared" si="3"/>
        <v>Oct-2024</v>
      </c>
      <c r="K236" s="9">
        <f t="shared" si="4"/>
        <v>45566</v>
      </c>
      <c r="L236" s="7" t="str">
        <f t="shared" si="5"/>
        <v/>
      </c>
      <c r="M236" s="7" t="str">
        <f>IFERROR(__xludf.DUMMYFUNCTION("IFERROR(
  IF(
    F236 &gt;
    3*AVERAGE(
       FILTER($F$2:$F10491,
         $G$2:$G10491=G236,
         $A$2:$A10491&gt;=A236-20,
         $A$2:$A10491&lt;=A236
       )
    ),
    ""VOL_SPIKE_3X"",""""
  ),
"""")
"),"")</f>
        <v/>
      </c>
      <c r="N236" s="7" t="str">
        <f t="shared" si="6"/>
        <v/>
      </c>
      <c r="O236" s="7" t="str">
        <f t="shared" si="7"/>
        <v/>
      </c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f>IFERROR(__xludf.DUMMYFUNCTION("""COMPUTED_VALUE"""),45583.0)</f>
        <v>45583</v>
      </c>
      <c r="B237" s="6">
        <f>IFERROR(__xludf.DUMMYFUNCTION("""COMPUTED_VALUE"""),163.3)</f>
        <v>163.3</v>
      </c>
      <c r="C237" s="6">
        <f>IFERROR(__xludf.DUMMYFUNCTION("""COMPUTED_VALUE"""),165.97)</f>
        <v>165.97</v>
      </c>
      <c r="D237" s="6">
        <f>IFERROR(__xludf.DUMMYFUNCTION("""COMPUTED_VALUE"""),161.74)</f>
        <v>161.74</v>
      </c>
      <c r="E237" s="6">
        <f>IFERROR(__xludf.DUMMYFUNCTION("""COMPUTED_VALUE"""),165.35)</f>
        <v>165.35</v>
      </c>
      <c r="F237" s="7">
        <f>IFERROR(__xludf.DUMMYFUNCTION("""COMPUTED_VALUE"""),1.1701011E7)</f>
        <v>11701011</v>
      </c>
      <c r="G237" s="7" t="str">
        <f>IFERROR(__xludf.DUMMYFUNCTION("""COMPUTED_VALUE"""),"IOC.NS")</f>
        <v>IOC.NS</v>
      </c>
      <c r="H237" s="8">
        <f t="shared" si="1"/>
        <v>0.01255358236</v>
      </c>
      <c r="I237" s="8">
        <f t="shared" si="2"/>
        <v>0.01255358236</v>
      </c>
      <c r="J237" s="7" t="str">
        <f t="shared" si="3"/>
        <v>Oct-2024</v>
      </c>
      <c r="K237" s="9">
        <f t="shared" si="4"/>
        <v>45566</v>
      </c>
      <c r="L237" s="7" t="str">
        <f t="shared" si="5"/>
        <v/>
      </c>
      <c r="M237" s="7" t="str">
        <f>IFERROR(__xludf.DUMMYFUNCTION("IFERROR(
  IF(
    F237 &gt;
    3*AVERAGE(
       FILTER($F$2:$F10491,
         $G$2:$G10491=G237,
         $A$2:$A10491&gt;=A237-20,
         $A$2:$A10491&lt;=A237
       )
    ),
    ""VOL_SPIKE_3X"",""""
  ),
"""")
"),"")</f>
        <v/>
      </c>
      <c r="N237" s="7" t="str">
        <f t="shared" si="6"/>
        <v/>
      </c>
      <c r="O237" s="7" t="str">
        <f t="shared" si="7"/>
        <v/>
      </c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f>IFERROR(__xludf.DUMMYFUNCTION("""COMPUTED_VALUE"""),45583.0)</f>
        <v>45583</v>
      </c>
      <c r="B238" s="6">
        <f>IFERROR(__xludf.DUMMYFUNCTION("""COMPUTED_VALUE"""),417.7)</f>
        <v>417.7</v>
      </c>
      <c r="C238" s="6">
        <f>IFERROR(__xludf.DUMMYFUNCTION("""COMPUTED_VALUE"""),425.95)</f>
        <v>425.95</v>
      </c>
      <c r="D238" s="6">
        <f>IFERROR(__xludf.DUMMYFUNCTION("""COMPUTED_VALUE"""),414.45)</f>
        <v>414.45</v>
      </c>
      <c r="E238" s="6">
        <f>IFERROR(__xludf.DUMMYFUNCTION("""COMPUTED_VALUE"""),424.95)</f>
        <v>424.95</v>
      </c>
      <c r="F238" s="7">
        <f>IFERROR(__xludf.DUMMYFUNCTION("""COMPUTED_VALUE"""),8828971.0)</f>
        <v>8828971</v>
      </c>
      <c r="G238" s="7" t="str">
        <f>IFERROR(__xludf.DUMMYFUNCTION("""COMPUTED_VALUE"""),"NTPC.NS")</f>
        <v>NTPC.NS</v>
      </c>
      <c r="H238" s="8">
        <f t="shared" si="1"/>
        <v>0.01735695475</v>
      </c>
      <c r="I238" s="8">
        <f t="shared" si="2"/>
        <v>0.01735695475</v>
      </c>
      <c r="J238" s="7" t="str">
        <f t="shared" si="3"/>
        <v>Oct-2024</v>
      </c>
      <c r="K238" s="9">
        <f t="shared" si="4"/>
        <v>45566</v>
      </c>
      <c r="L238" s="7" t="str">
        <f t="shared" si="5"/>
        <v/>
      </c>
      <c r="M238" s="7" t="str">
        <f>IFERROR(__xludf.DUMMYFUNCTION("IFERROR(
  IF(
    F238 &gt;
    3*AVERAGE(
       FILTER($F$2:$F10491,
         $G$2:$G10491=G238,
         $A$2:$A10491&gt;=A238-20,
         $A$2:$A10491&lt;=A238
       )
    ),
    ""VOL_SPIKE_3X"",""""
  ),
"""")
"),"")</f>
        <v/>
      </c>
      <c r="N238" s="7" t="str">
        <f t="shared" si="6"/>
        <v/>
      </c>
      <c r="O238" s="7" t="str">
        <f t="shared" si="7"/>
        <v/>
      </c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f>IFERROR(__xludf.DUMMYFUNCTION("""COMPUTED_VALUE"""),45583.0)</f>
        <v>45583</v>
      </c>
      <c r="B239" s="6">
        <f>IFERROR(__xludf.DUMMYFUNCTION("""COMPUTED_VALUE"""),282.0)</f>
        <v>282</v>
      </c>
      <c r="C239" s="6">
        <f>IFERROR(__xludf.DUMMYFUNCTION("""COMPUTED_VALUE"""),284.5)</f>
        <v>284.5</v>
      </c>
      <c r="D239" s="6">
        <f>IFERROR(__xludf.DUMMYFUNCTION("""COMPUTED_VALUE"""),279.2)</f>
        <v>279.2</v>
      </c>
      <c r="E239" s="6">
        <f>IFERROR(__xludf.DUMMYFUNCTION("""COMPUTED_VALUE"""),283.3)</f>
        <v>283.3</v>
      </c>
      <c r="F239" s="7">
        <f>IFERROR(__xludf.DUMMYFUNCTION("""COMPUTED_VALUE"""),1.4028398E7)</f>
        <v>14028398</v>
      </c>
      <c r="G239" s="7" t="str">
        <f>IFERROR(__xludf.DUMMYFUNCTION("""COMPUTED_VALUE"""),"ONGC.NS")</f>
        <v>ONGC.NS</v>
      </c>
      <c r="H239" s="8">
        <f t="shared" si="1"/>
        <v>0.004609929078</v>
      </c>
      <c r="I239" s="8">
        <f t="shared" si="2"/>
        <v>0.004609929078</v>
      </c>
      <c r="J239" s="7" t="str">
        <f t="shared" si="3"/>
        <v>Oct-2024</v>
      </c>
      <c r="K239" s="9">
        <f t="shared" si="4"/>
        <v>45566</v>
      </c>
      <c r="L239" s="7" t="str">
        <f t="shared" si="5"/>
        <v/>
      </c>
      <c r="M239" s="7" t="str">
        <f>IFERROR(__xludf.DUMMYFUNCTION("IFERROR(
  IF(
    F239 &gt;
    3*AVERAGE(
       FILTER($F$2:$F10491,
         $G$2:$G10491=G239,
         $A$2:$A10491&gt;=A239-20,
         $A$2:$A10491&lt;=A239
       )
    ),
    ""VOL_SPIKE_3X"",""""
  ),
"""")
"),"")</f>
        <v/>
      </c>
      <c r="N239" s="7" t="str">
        <f t="shared" si="6"/>
        <v/>
      </c>
      <c r="O239" s="7" t="str">
        <f t="shared" si="7"/>
        <v/>
      </c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f>IFERROR(__xludf.DUMMYFUNCTION("""COMPUTED_VALUE"""),45583.0)</f>
        <v>45583</v>
      </c>
      <c r="B240" s="6">
        <f>IFERROR(__xludf.DUMMYFUNCTION("""COMPUTED_VALUE"""),331.5)</f>
        <v>331.5</v>
      </c>
      <c r="C240" s="6">
        <f>IFERROR(__xludf.DUMMYFUNCTION("""COMPUTED_VALUE"""),333.85)</f>
        <v>333.85</v>
      </c>
      <c r="D240" s="6">
        <f>IFERROR(__xludf.DUMMYFUNCTION("""COMPUTED_VALUE"""),328.25)</f>
        <v>328.25</v>
      </c>
      <c r="E240" s="6">
        <f>IFERROR(__xludf.DUMMYFUNCTION("""COMPUTED_VALUE"""),332.05)</f>
        <v>332.05</v>
      </c>
      <c r="F240" s="7">
        <f>IFERROR(__xludf.DUMMYFUNCTION("""COMPUTED_VALUE"""),1.0569021E7)</f>
        <v>10569021</v>
      </c>
      <c r="G240" s="7" t="str">
        <f>IFERROR(__xludf.DUMMYFUNCTION("""COMPUTED_VALUE"""),"POWERGRID.NS")</f>
        <v>POWERGRID.NS</v>
      </c>
      <c r="H240" s="8">
        <f t="shared" si="1"/>
        <v>0.001659125189</v>
      </c>
      <c r="I240" s="8">
        <f t="shared" si="2"/>
        <v>0.001659125189</v>
      </c>
      <c r="J240" s="7" t="str">
        <f t="shared" si="3"/>
        <v>Oct-2024</v>
      </c>
      <c r="K240" s="9">
        <f t="shared" si="4"/>
        <v>45566</v>
      </c>
      <c r="L240" s="7" t="str">
        <f t="shared" si="5"/>
        <v/>
      </c>
      <c r="M240" s="7" t="str">
        <f>IFERROR(__xludf.DUMMYFUNCTION("IFERROR(
  IF(
    F240 &gt;
    3*AVERAGE(
       FILTER($F$2:$F10491,
         $G$2:$G10491=G240,
         $A$2:$A10491&gt;=A240-20,
         $A$2:$A10491&lt;=A240
       )
    ),
    ""VOL_SPIKE_3X"",""""
  ),
"""")
"),"")</f>
        <v/>
      </c>
      <c r="N240" s="7" t="str">
        <f t="shared" si="6"/>
        <v/>
      </c>
      <c r="O240" s="7" t="str">
        <f t="shared" si="7"/>
        <v/>
      </c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f>IFERROR(__xludf.DUMMYFUNCTION("""COMPUTED_VALUE"""),45583.0)</f>
        <v>45583</v>
      </c>
      <c r="B241" s="6">
        <f>IFERROR(__xludf.DUMMYFUNCTION("""COMPUTED_VALUE"""),1352.18)</f>
        <v>1352.18</v>
      </c>
      <c r="C241" s="6">
        <f>IFERROR(__xludf.DUMMYFUNCTION("""COMPUTED_VALUE"""),1368.43)</f>
        <v>1368.43</v>
      </c>
      <c r="D241" s="6">
        <f>IFERROR(__xludf.DUMMYFUNCTION("""COMPUTED_VALUE"""),1341.33)</f>
        <v>1341.33</v>
      </c>
      <c r="E241" s="6">
        <f>IFERROR(__xludf.DUMMYFUNCTION("""COMPUTED_VALUE"""),1359.3)</f>
        <v>1359.3</v>
      </c>
      <c r="F241" s="7">
        <f>IFERROR(__xludf.DUMMYFUNCTION("""COMPUTED_VALUE"""),6041226.0)</f>
        <v>6041226</v>
      </c>
      <c r="G241" s="7" t="str">
        <f>IFERROR(__xludf.DUMMYFUNCTION("""COMPUTED_VALUE"""),"RELIANCE.NS")</f>
        <v>RELIANCE.NS</v>
      </c>
      <c r="H241" s="8">
        <f t="shared" si="1"/>
        <v>0.005265571152</v>
      </c>
      <c r="I241" s="8">
        <f t="shared" si="2"/>
        <v>0.005265571152</v>
      </c>
      <c r="J241" s="7" t="str">
        <f t="shared" si="3"/>
        <v>Oct-2024</v>
      </c>
      <c r="K241" s="9">
        <f t="shared" si="4"/>
        <v>45566</v>
      </c>
      <c r="L241" s="7" t="str">
        <f t="shared" si="5"/>
        <v/>
      </c>
      <c r="M241" s="7" t="str">
        <f>IFERROR(__xludf.DUMMYFUNCTION("IFERROR(
  IF(
    F241 &gt;
    3*AVERAGE(
       FILTER($F$2:$F10491,
         $G$2:$G10491=G241,
         $A$2:$A10491&gt;=A241-20,
         $A$2:$A10491&lt;=A241
       )
    ),
    ""VOL_SPIKE_3X"",""""
  ),
"""")
"),"")</f>
        <v/>
      </c>
      <c r="N241" s="7" t="str">
        <f t="shared" si="6"/>
        <v/>
      </c>
      <c r="O241" s="7" t="str">
        <f t="shared" si="7"/>
        <v/>
      </c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f>IFERROR(__xludf.DUMMYFUNCTION("""COMPUTED_VALUE"""),45586.0)</f>
        <v>45586</v>
      </c>
      <c r="B242" s="6">
        <f>IFERROR(__xludf.DUMMYFUNCTION("""COMPUTED_VALUE"""),1043.3)</f>
        <v>1043.3</v>
      </c>
      <c r="C242" s="6">
        <f>IFERROR(__xludf.DUMMYFUNCTION("""COMPUTED_VALUE"""),1048.7)</f>
        <v>1048.7</v>
      </c>
      <c r="D242" s="6">
        <f>IFERROR(__xludf.DUMMYFUNCTION("""COMPUTED_VALUE"""),1008.0)</f>
        <v>1008</v>
      </c>
      <c r="E242" s="6">
        <f>IFERROR(__xludf.DUMMYFUNCTION("""COMPUTED_VALUE"""),1017.55)</f>
        <v>1017.55</v>
      </c>
      <c r="F242" s="7">
        <f>IFERROR(__xludf.DUMMYFUNCTION("""COMPUTED_VALUE"""),799922.0)</f>
        <v>799922</v>
      </c>
      <c r="G242" s="7" t="str">
        <f>IFERROR(__xludf.DUMMYFUNCTION("""COMPUTED_VALUE"""),"ADANIENSOL.NS")</f>
        <v>ADANIENSOL.NS</v>
      </c>
      <c r="H242" s="8">
        <f t="shared" si="1"/>
        <v>-0.02468129972</v>
      </c>
      <c r="I242" s="8">
        <f t="shared" si="2"/>
        <v>0.02468129972</v>
      </c>
      <c r="J242" s="7" t="str">
        <f t="shared" si="3"/>
        <v>Oct-2024</v>
      </c>
      <c r="K242" s="9">
        <f t="shared" si="4"/>
        <v>45566</v>
      </c>
      <c r="L242" s="7" t="str">
        <f t="shared" si="5"/>
        <v/>
      </c>
      <c r="M242" s="7" t="str">
        <f>IFERROR(__xludf.DUMMYFUNCTION("IFERROR(
  IF(
    F242 &gt;
    3*AVERAGE(
       FILTER($F$2:$F10491,
         $G$2:$G10491=G242,
         $A$2:$A10491&gt;=A242-20,
         $A$2:$A10491&lt;=A242
       )
    ),
    ""VOL_SPIKE_3X"",""""
  ),
"""")
"),"")</f>
        <v/>
      </c>
      <c r="N242" s="7" t="str">
        <f t="shared" si="6"/>
        <v/>
      </c>
      <c r="O242" s="7" t="str">
        <f t="shared" si="7"/>
        <v/>
      </c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f>IFERROR(__xludf.DUMMYFUNCTION("""COMPUTED_VALUE"""),45586.0)</f>
        <v>45586</v>
      </c>
      <c r="B243" s="6">
        <f>IFERROR(__xludf.DUMMYFUNCTION("""COMPUTED_VALUE"""),1741.0)</f>
        <v>1741</v>
      </c>
      <c r="C243" s="6">
        <f>IFERROR(__xludf.DUMMYFUNCTION("""COMPUTED_VALUE"""),1753.0)</f>
        <v>1753</v>
      </c>
      <c r="D243" s="6">
        <f>IFERROR(__xludf.DUMMYFUNCTION("""COMPUTED_VALUE"""),1705.0)</f>
        <v>1705</v>
      </c>
      <c r="E243" s="6">
        <f>IFERROR(__xludf.DUMMYFUNCTION("""COMPUTED_VALUE"""),1710.8)</f>
        <v>1710.8</v>
      </c>
      <c r="F243" s="7">
        <f>IFERROR(__xludf.DUMMYFUNCTION("""COMPUTED_VALUE"""),298218.0)</f>
        <v>298218</v>
      </c>
      <c r="G243" s="7" t="str">
        <f>IFERROR(__xludf.DUMMYFUNCTION("""COMPUTED_VALUE"""),"ADANIGREEN.NS")</f>
        <v>ADANIGREEN.NS</v>
      </c>
      <c r="H243" s="8">
        <f t="shared" si="1"/>
        <v>-0.01734635267</v>
      </c>
      <c r="I243" s="8">
        <f t="shared" si="2"/>
        <v>0.01734635267</v>
      </c>
      <c r="J243" s="7" t="str">
        <f t="shared" si="3"/>
        <v>Oct-2024</v>
      </c>
      <c r="K243" s="9">
        <f t="shared" si="4"/>
        <v>45566</v>
      </c>
      <c r="L243" s="7" t="str">
        <f t="shared" si="5"/>
        <v/>
      </c>
      <c r="M243" s="7" t="str">
        <f>IFERROR(__xludf.DUMMYFUNCTION("IFERROR(
  IF(
    F243 &gt;
    3*AVERAGE(
       FILTER($F$2:$F10491,
         $G$2:$G10491=G243,
         $A$2:$A10491&gt;=A243-20,
         $A$2:$A10491&lt;=A243
       )
    ),
    ""VOL_SPIKE_3X"",""""
  ),
"""")
"),"")</f>
        <v/>
      </c>
      <c r="N243" s="7" t="str">
        <f t="shared" si="6"/>
        <v/>
      </c>
      <c r="O243" s="7" t="str">
        <f t="shared" si="7"/>
        <v/>
      </c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f>IFERROR(__xludf.DUMMYFUNCTION("""COMPUTED_VALUE"""),45586.0)</f>
        <v>45586</v>
      </c>
      <c r="B244" s="6">
        <f>IFERROR(__xludf.DUMMYFUNCTION("""COMPUTED_VALUE"""),342.55)</f>
        <v>342.55</v>
      </c>
      <c r="C244" s="6">
        <f>IFERROR(__xludf.DUMMYFUNCTION("""COMPUTED_VALUE"""),345.5)</f>
        <v>345.5</v>
      </c>
      <c r="D244" s="6">
        <f>IFERROR(__xludf.DUMMYFUNCTION("""COMPUTED_VALUE"""),330.2)</f>
        <v>330.2</v>
      </c>
      <c r="E244" s="6">
        <f>IFERROR(__xludf.DUMMYFUNCTION("""COMPUTED_VALUE"""),331.65)</f>
        <v>331.65</v>
      </c>
      <c r="F244" s="7">
        <f>IFERROR(__xludf.DUMMYFUNCTION("""COMPUTED_VALUE"""),8609636.0)</f>
        <v>8609636</v>
      </c>
      <c r="G244" s="7" t="str">
        <f>IFERROR(__xludf.DUMMYFUNCTION("""COMPUTED_VALUE"""),"BPCL.NS")</f>
        <v>BPCL.NS</v>
      </c>
      <c r="H244" s="8">
        <f t="shared" si="1"/>
        <v>-0.03182017224</v>
      </c>
      <c r="I244" s="8">
        <f t="shared" si="2"/>
        <v>0.03182017224</v>
      </c>
      <c r="J244" s="7" t="str">
        <f t="shared" si="3"/>
        <v>Oct-2024</v>
      </c>
      <c r="K244" s="9">
        <f t="shared" si="4"/>
        <v>45566</v>
      </c>
      <c r="L244" s="7" t="str">
        <f t="shared" si="5"/>
        <v/>
      </c>
      <c r="M244" s="7" t="str">
        <f>IFERROR(__xludf.DUMMYFUNCTION("IFERROR(
  IF(
    F244 &gt;
    3*AVERAGE(
       FILTER($F$2:$F10491,
         $G$2:$G10491=G244,
         $A$2:$A10491&gt;=A244-20,
         $A$2:$A10491&lt;=A244
       )
    ),
    ""VOL_SPIKE_3X"",""""
  ),
"""")
"),"")</f>
        <v/>
      </c>
      <c r="N244" s="7" t="str">
        <f t="shared" si="6"/>
        <v/>
      </c>
      <c r="O244" s="7" t="str">
        <f t="shared" si="7"/>
        <v/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f>IFERROR(__xludf.DUMMYFUNCTION("""COMPUTED_VALUE"""),45586.0)</f>
        <v>45586</v>
      </c>
      <c r="B245" s="6">
        <f>IFERROR(__xludf.DUMMYFUNCTION("""COMPUTED_VALUE"""),492.0)</f>
        <v>492</v>
      </c>
      <c r="C245" s="6">
        <f>IFERROR(__xludf.DUMMYFUNCTION("""COMPUTED_VALUE"""),494.75)</f>
        <v>494.75</v>
      </c>
      <c r="D245" s="6">
        <f>IFERROR(__xludf.DUMMYFUNCTION("""COMPUTED_VALUE"""),482.35)</f>
        <v>482.35</v>
      </c>
      <c r="E245" s="6">
        <f>IFERROR(__xludf.DUMMYFUNCTION("""COMPUTED_VALUE"""),485.4)</f>
        <v>485.4</v>
      </c>
      <c r="F245" s="7">
        <f>IFERROR(__xludf.DUMMYFUNCTION("""COMPUTED_VALUE"""),4737527.0)</f>
        <v>4737527</v>
      </c>
      <c r="G245" s="7" t="str">
        <f>IFERROR(__xludf.DUMMYFUNCTION("""COMPUTED_VALUE"""),"COALINDIA.NS")</f>
        <v>COALINDIA.NS</v>
      </c>
      <c r="H245" s="8">
        <f t="shared" si="1"/>
        <v>-0.01341463415</v>
      </c>
      <c r="I245" s="8">
        <f t="shared" si="2"/>
        <v>0.01341463415</v>
      </c>
      <c r="J245" s="7" t="str">
        <f t="shared" si="3"/>
        <v>Oct-2024</v>
      </c>
      <c r="K245" s="9">
        <f t="shared" si="4"/>
        <v>45566</v>
      </c>
      <c r="L245" s="7" t="str">
        <f t="shared" si="5"/>
        <v/>
      </c>
      <c r="M245" s="7" t="str">
        <f>IFERROR(__xludf.DUMMYFUNCTION("IFERROR(
  IF(
    F245 &gt;
    3*AVERAGE(
       FILTER($F$2:$F10491,
         $G$2:$G10491=G245,
         $A$2:$A10491&gt;=A245-20,
         $A$2:$A10491&lt;=A245
       )
    ),
    ""VOL_SPIKE_3X"",""""
  ),
"""")
"),"")</f>
        <v/>
      </c>
      <c r="N245" s="7" t="str">
        <f t="shared" si="6"/>
        <v/>
      </c>
      <c r="O245" s="7" t="str">
        <f t="shared" si="7"/>
        <v/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f>IFERROR(__xludf.DUMMYFUNCTION("""COMPUTED_VALUE"""),45586.0)</f>
        <v>45586</v>
      </c>
      <c r="B246" s="6">
        <f>IFERROR(__xludf.DUMMYFUNCTION("""COMPUTED_VALUE"""),433.0)</f>
        <v>433</v>
      </c>
      <c r="C246" s="6">
        <f>IFERROR(__xludf.DUMMYFUNCTION("""COMPUTED_VALUE"""),436.3)</f>
        <v>436.3</v>
      </c>
      <c r="D246" s="6">
        <f>IFERROR(__xludf.DUMMYFUNCTION("""COMPUTED_VALUE"""),413.85)</f>
        <v>413.85</v>
      </c>
      <c r="E246" s="6">
        <f>IFERROR(__xludf.DUMMYFUNCTION("""COMPUTED_VALUE"""),415.15)</f>
        <v>415.15</v>
      </c>
      <c r="F246" s="7">
        <f>IFERROR(__xludf.DUMMYFUNCTION("""COMPUTED_VALUE"""),9263679.0)</f>
        <v>9263679</v>
      </c>
      <c r="G246" s="7" t="str">
        <f>IFERROR(__xludf.DUMMYFUNCTION("""COMPUTED_VALUE"""),"HINDPETRO.NS")</f>
        <v>HINDPETRO.NS</v>
      </c>
      <c r="H246" s="8">
        <f t="shared" si="1"/>
        <v>-0.04122401848</v>
      </c>
      <c r="I246" s="8">
        <f t="shared" si="2"/>
        <v>0.04122401848</v>
      </c>
      <c r="J246" s="7" t="str">
        <f t="shared" si="3"/>
        <v>Oct-2024</v>
      </c>
      <c r="K246" s="9">
        <f t="shared" si="4"/>
        <v>45566</v>
      </c>
      <c r="L246" s="7" t="str">
        <f t="shared" si="5"/>
        <v/>
      </c>
      <c r="M246" s="7" t="str">
        <f>IFERROR(__xludf.DUMMYFUNCTION("IFERROR(
  IF(
    F246 &gt;
    3*AVERAGE(
       FILTER($F$2:$F10491,
         $G$2:$G10491=G246,
         $A$2:$A10491&gt;=A246-20,
         $A$2:$A10491&lt;=A246
       )
    ),
    ""VOL_SPIKE_3X"",""""
  ),
"""")
"),"")</f>
        <v/>
      </c>
      <c r="N246" s="7" t="str">
        <f t="shared" si="6"/>
        <v/>
      </c>
      <c r="O246" s="7" t="str">
        <f t="shared" si="7"/>
        <v/>
      </c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f>IFERROR(__xludf.DUMMYFUNCTION("""COMPUTED_VALUE"""),45586.0)</f>
        <v>45586</v>
      </c>
      <c r="B247" s="6">
        <f>IFERROR(__xludf.DUMMYFUNCTION("""COMPUTED_VALUE"""),165.1)</f>
        <v>165.1</v>
      </c>
      <c r="C247" s="6">
        <f>IFERROR(__xludf.DUMMYFUNCTION("""COMPUTED_VALUE"""),166.68)</f>
        <v>166.68</v>
      </c>
      <c r="D247" s="6">
        <f>IFERROR(__xludf.DUMMYFUNCTION("""COMPUTED_VALUE"""),159.75)</f>
        <v>159.75</v>
      </c>
      <c r="E247" s="6">
        <f>IFERROR(__xludf.DUMMYFUNCTION("""COMPUTED_VALUE"""),160.12)</f>
        <v>160.12</v>
      </c>
      <c r="F247" s="7">
        <f>IFERROR(__xludf.DUMMYFUNCTION("""COMPUTED_VALUE"""),2.0627025E7)</f>
        <v>20627025</v>
      </c>
      <c r="G247" s="7" t="str">
        <f>IFERROR(__xludf.DUMMYFUNCTION("""COMPUTED_VALUE"""),"IOC.NS")</f>
        <v>IOC.NS</v>
      </c>
      <c r="H247" s="8">
        <f t="shared" si="1"/>
        <v>-0.03016353725</v>
      </c>
      <c r="I247" s="8">
        <f t="shared" si="2"/>
        <v>0.03016353725</v>
      </c>
      <c r="J247" s="7" t="str">
        <f t="shared" si="3"/>
        <v>Oct-2024</v>
      </c>
      <c r="K247" s="9">
        <f t="shared" si="4"/>
        <v>45566</v>
      </c>
      <c r="L247" s="7" t="str">
        <f t="shared" si="5"/>
        <v/>
      </c>
      <c r="M247" s="7" t="str">
        <f>IFERROR(__xludf.DUMMYFUNCTION("IFERROR(
  IF(
    F247 &gt;
    3*AVERAGE(
       FILTER($F$2:$F10491,
         $G$2:$G10491=G247,
         $A$2:$A10491&gt;=A247-20,
         $A$2:$A10491&lt;=A247
       )
    ),
    ""VOL_SPIKE_3X"",""""
  ),
"""")
"),"")</f>
        <v/>
      </c>
      <c r="N247" s="7" t="str">
        <f t="shared" si="6"/>
        <v/>
      </c>
      <c r="O247" s="7" t="str">
        <f t="shared" si="7"/>
        <v/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f>IFERROR(__xludf.DUMMYFUNCTION("""COMPUTED_VALUE"""),45586.0)</f>
        <v>45586</v>
      </c>
      <c r="B248" s="6">
        <f>IFERROR(__xludf.DUMMYFUNCTION("""COMPUTED_VALUE"""),426.05)</f>
        <v>426.05</v>
      </c>
      <c r="C248" s="6">
        <f>IFERROR(__xludf.DUMMYFUNCTION("""COMPUTED_VALUE"""),428.75)</f>
        <v>428.75</v>
      </c>
      <c r="D248" s="6">
        <f>IFERROR(__xludf.DUMMYFUNCTION("""COMPUTED_VALUE"""),419.1)</f>
        <v>419.1</v>
      </c>
      <c r="E248" s="6">
        <f>IFERROR(__xludf.DUMMYFUNCTION("""COMPUTED_VALUE"""),425.0)</f>
        <v>425</v>
      </c>
      <c r="F248" s="7">
        <f>IFERROR(__xludf.DUMMYFUNCTION("""COMPUTED_VALUE"""),9139781.0)</f>
        <v>9139781</v>
      </c>
      <c r="G248" s="7" t="str">
        <f>IFERROR(__xludf.DUMMYFUNCTION("""COMPUTED_VALUE"""),"NTPC.NS")</f>
        <v>NTPC.NS</v>
      </c>
      <c r="H248" s="8">
        <f t="shared" si="1"/>
        <v>-0.002464499472</v>
      </c>
      <c r="I248" s="8">
        <f t="shared" si="2"/>
        <v>0.002464499472</v>
      </c>
      <c r="J248" s="7" t="str">
        <f t="shared" si="3"/>
        <v>Oct-2024</v>
      </c>
      <c r="K248" s="9">
        <f t="shared" si="4"/>
        <v>45566</v>
      </c>
      <c r="L248" s="7" t="str">
        <f t="shared" si="5"/>
        <v/>
      </c>
      <c r="M248" s="7" t="str">
        <f>IFERROR(__xludf.DUMMYFUNCTION("IFERROR(
  IF(
    F248 &gt;
    3*AVERAGE(
       FILTER($F$2:$F10491,
         $G$2:$G10491=G248,
         $A$2:$A10491&gt;=A248-20,
         $A$2:$A10491&lt;=A248
       )
    ),
    ""VOL_SPIKE_3X"",""""
  ),
"""")
"),"")</f>
        <v/>
      </c>
      <c r="N248" s="7" t="str">
        <f t="shared" si="6"/>
        <v/>
      </c>
      <c r="O248" s="7" t="str">
        <f t="shared" si="7"/>
        <v/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>
        <f>IFERROR(__xludf.DUMMYFUNCTION("""COMPUTED_VALUE"""),45586.0)</f>
        <v>45586</v>
      </c>
      <c r="B249" s="6">
        <f>IFERROR(__xludf.DUMMYFUNCTION("""COMPUTED_VALUE"""),281.15)</f>
        <v>281.15</v>
      </c>
      <c r="C249" s="6">
        <f>IFERROR(__xludf.DUMMYFUNCTION("""COMPUTED_VALUE"""),284.0)</f>
        <v>284</v>
      </c>
      <c r="D249" s="6">
        <f>IFERROR(__xludf.DUMMYFUNCTION("""COMPUTED_VALUE"""),274.55)</f>
        <v>274.55</v>
      </c>
      <c r="E249" s="6">
        <f>IFERROR(__xludf.DUMMYFUNCTION("""COMPUTED_VALUE"""),276.6)</f>
        <v>276.6</v>
      </c>
      <c r="F249" s="7">
        <f>IFERROR(__xludf.DUMMYFUNCTION("""COMPUTED_VALUE"""),1.0299773E7)</f>
        <v>10299773</v>
      </c>
      <c r="G249" s="7" t="str">
        <f>IFERROR(__xludf.DUMMYFUNCTION("""COMPUTED_VALUE"""),"ONGC.NS")</f>
        <v>ONGC.NS</v>
      </c>
      <c r="H249" s="8">
        <f t="shared" si="1"/>
        <v>-0.01618353192</v>
      </c>
      <c r="I249" s="8">
        <f t="shared" si="2"/>
        <v>0.01618353192</v>
      </c>
      <c r="J249" s="7" t="str">
        <f t="shared" si="3"/>
        <v>Oct-2024</v>
      </c>
      <c r="K249" s="9">
        <f t="shared" si="4"/>
        <v>45566</v>
      </c>
      <c r="L249" s="7" t="str">
        <f t="shared" si="5"/>
        <v/>
      </c>
      <c r="M249" s="7" t="str">
        <f>IFERROR(__xludf.DUMMYFUNCTION("IFERROR(
  IF(
    F249 &gt;
    3*AVERAGE(
       FILTER($F$2:$F10491,
         $G$2:$G10491=G249,
         $A$2:$A10491&gt;=A249-20,
         $A$2:$A10491&lt;=A249
       )
    ),
    ""VOL_SPIKE_3X"",""""
  ),
"""")
"),"")</f>
        <v/>
      </c>
      <c r="N249" s="7" t="str">
        <f t="shared" si="6"/>
        <v/>
      </c>
      <c r="O249" s="7" t="str">
        <f t="shared" si="7"/>
        <v/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>
        <f>IFERROR(__xludf.DUMMYFUNCTION("""COMPUTED_VALUE"""),45586.0)</f>
        <v>45586</v>
      </c>
      <c r="B250" s="6">
        <f>IFERROR(__xludf.DUMMYFUNCTION("""COMPUTED_VALUE"""),333.0)</f>
        <v>333</v>
      </c>
      <c r="C250" s="6">
        <f>IFERROR(__xludf.DUMMYFUNCTION("""COMPUTED_VALUE"""),333.75)</f>
        <v>333.75</v>
      </c>
      <c r="D250" s="6">
        <f>IFERROR(__xludf.DUMMYFUNCTION("""COMPUTED_VALUE"""),329.45)</f>
        <v>329.45</v>
      </c>
      <c r="E250" s="6">
        <f>IFERROR(__xludf.DUMMYFUNCTION("""COMPUTED_VALUE"""),331.15)</f>
        <v>331.15</v>
      </c>
      <c r="F250" s="7">
        <f>IFERROR(__xludf.DUMMYFUNCTION("""COMPUTED_VALUE"""),8745904.0)</f>
        <v>8745904</v>
      </c>
      <c r="G250" s="7" t="str">
        <f>IFERROR(__xludf.DUMMYFUNCTION("""COMPUTED_VALUE"""),"POWERGRID.NS")</f>
        <v>POWERGRID.NS</v>
      </c>
      <c r="H250" s="8">
        <f t="shared" si="1"/>
        <v>-0.005555555556</v>
      </c>
      <c r="I250" s="8">
        <f t="shared" si="2"/>
        <v>0.005555555556</v>
      </c>
      <c r="J250" s="7" t="str">
        <f t="shared" si="3"/>
        <v>Oct-2024</v>
      </c>
      <c r="K250" s="9">
        <f t="shared" si="4"/>
        <v>45566</v>
      </c>
      <c r="L250" s="7" t="str">
        <f t="shared" si="5"/>
        <v/>
      </c>
      <c r="M250" s="7" t="str">
        <f>IFERROR(__xludf.DUMMYFUNCTION("IFERROR(
  IF(
    F250 &gt;
    3*AVERAGE(
       FILTER($F$2:$F10491,
         $G$2:$G10491=G250,
         $A$2:$A10491&gt;=A250-20,
         $A$2:$A10491&lt;=A250
       )
    ),
    ""VOL_SPIKE_3X"",""""
  ),
"""")
"),"")</f>
        <v/>
      </c>
      <c r="N250" s="7" t="str">
        <f t="shared" si="6"/>
        <v/>
      </c>
      <c r="O250" s="7" t="str">
        <f t="shared" si="7"/>
        <v/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>
        <f>IFERROR(__xludf.DUMMYFUNCTION("""COMPUTED_VALUE"""),45586.0)</f>
        <v>45586</v>
      </c>
      <c r="B251" s="6">
        <f>IFERROR(__xludf.DUMMYFUNCTION("""COMPUTED_VALUE"""),1367.13)</f>
        <v>1367.13</v>
      </c>
      <c r="C251" s="6">
        <f>IFERROR(__xludf.DUMMYFUNCTION("""COMPUTED_VALUE"""),1374.0)</f>
        <v>1374</v>
      </c>
      <c r="D251" s="6">
        <f>IFERROR(__xludf.DUMMYFUNCTION("""COMPUTED_VALUE"""),1357.73)</f>
        <v>1357.73</v>
      </c>
      <c r="E251" s="6">
        <f>IFERROR(__xludf.DUMMYFUNCTION("""COMPUTED_VALUE"""),1369.2)</f>
        <v>1369.2</v>
      </c>
      <c r="F251" s="7">
        <f>IFERROR(__xludf.DUMMYFUNCTION("""COMPUTED_VALUE"""),7033704.0)</f>
        <v>7033704</v>
      </c>
      <c r="G251" s="7" t="str">
        <f>IFERROR(__xludf.DUMMYFUNCTION("""COMPUTED_VALUE"""),"RELIANCE.NS")</f>
        <v>RELIANCE.NS</v>
      </c>
      <c r="H251" s="8">
        <f t="shared" si="1"/>
        <v>0.001514120822</v>
      </c>
      <c r="I251" s="8">
        <f t="shared" si="2"/>
        <v>0.001514120822</v>
      </c>
      <c r="J251" s="7" t="str">
        <f t="shared" si="3"/>
        <v>Oct-2024</v>
      </c>
      <c r="K251" s="9">
        <f t="shared" si="4"/>
        <v>45566</v>
      </c>
      <c r="L251" s="7" t="str">
        <f t="shared" si="5"/>
        <v/>
      </c>
      <c r="M251" s="7" t="str">
        <f>IFERROR(__xludf.DUMMYFUNCTION("IFERROR(
  IF(
    F251 &gt;
    3*AVERAGE(
       FILTER($F$2:$F10491,
         $G$2:$G10491=G251,
         $A$2:$A10491&gt;=A251-20,
         $A$2:$A10491&lt;=A251
       )
    ),
    ""VOL_SPIKE_3X"",""""
  ),
"""")
"),"")</f>
        <v/>
      </c>
      <c r="N251" s="7" t="str">
        <f t="shared" si="6"/>
        <v/>
      </c>
      <c r="O251" s="7" t="str">
        <f t="shared" si="7"/>
        <v/>
      </c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>
        <f>IFERROR(__xludf.DUMMYFUNCTION("""COMPUTED_VALUE"""),45587.0)</f>
        <v>45587</v>
      </c>
      <c r="B252" s="6">
        <f>IFERROR(__xludf.DUMMYFUNCTION("""COMPUTED_VALUE"""),1017.5)</f>
        <v>1017.5</v>
      </c>
      <c r="C252" s="6">
        <f>IFERROR(__xludf.DUMMYFUNCTION("""COMPUTED_VALUE"""),1043.4)</f>
        <v>1043.4</v>
      </c>
      <c r="D252" s="6">
        <f>IFERROR(__xludf.DUMMYFUNCTION("""COMPUTED_VALUE"""),987.0)</f>
        <v>987</v>
      </c>
      <c r="E252" s="6">
        <f>IFERROR(__xludf.DUMMYFUNCTION("""COMPUTED_VALUE"""),1009.85)</f>
        <v>1009.85</v>
      </c>
      <c r="F252" s="7">
        <f>IFERROR(__xludf.DUMMYFUNCTION("""COMPUTED_VALUE"""),3785445.0)</f>
        <v>3785445</v>
      </c>
      <c r="G252" s="7" t="str">
        <f>IFERROR(__xludf.DUMMYFUNCTION("""COMPUTED_VALUE"""),"ADANIENSOL.NS")</f>
        <v>ADANIENSOL.NS</v>
      </c>
      <c r="H252" s="8">
        <f t="shared" si="1"/>
        <v>-0.007518427518</v>
      </c>
      <c r="I252" s="8">
        <f t="shared" si="2"/>
        <v>0.007518427518</v>
      </c>
      <c r="J252" s="7" t="str">
        <f t="shared" si="3"/>
        <v>Oct-2024</v>
      </c>
      <c r="K252" s="9">
        <f t="shared" si="4"/>
        <v>45566</v>
      </c>
      <c r="L252" s="7" t="str">
        <f t="shared" si="5"/>
        <v/>
      </c>
      <c r="M252" s="7" t="str">
        <f>IFERROR(__xludf.DUMMYFUNCTION("IFERROR(
  IF(
    F252 &gt;
    3*AVERAGE(
       FILTER($F$2:$F10491,
         $G$2:$G10491=G252,
         $A$2:$A10491&gt;=A252-20,
         $A$2:$A10491&lt;=A252
       )
    ),
    ""VOL_SPIKE_3X"",""""
  ),
"""")
"),"")</f>
        <v/>
      </c>
      <c r="N252" s="7" t="str">
        <f t="shared" si="6"/>
        <v/>
      </c>
      <c r="O252" s="7" t="str">
        <f t="shared" si="7"/>
        <v/>
      </c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>
        <f>IFERROR(__xludf.DUMMYFUNCTION("""COMPUTED_VALUE"""),45587.0)</f>
        <v>45587</v>
      </c>
      <c r="B253" s="6">
        <f>IFERROR(__xludf.DUMMYFUNCTION("""COMPUTED_VALUE"""),1732.0)</f>
        <v>1732</v>
      </c>
      <c r="C253" s="6">
        <f>IFERROR(__xludf.DUMMYFUNCTION("""COMPUTED_VALUE"""),1747.4)</f>
        <v>1747.4</v>
      </c>
      <c r="D253" s="6">
        <f>IFERROR(__xludf.DUMMYFUNCTION("""COMPUTED_VALUE"""),1668.25)</f>
        <v>1668.25</v>
      </c>
      <c r="E253" s="6">
        <f>IFERROR(__xludf.DUMMYFUNCTION("""COMPUTED_VALUE"""),1684.45)</f>
        <v>1684.45</v>
      </c>
      <c r="F253" s="7">
        <f>IFERROR(__xludf.DUMMYFUNCTION("""COMPUTED_VALUE"""),809408.0)</f>
        <v>809408</v>
      </c>
      <c r="G253" s="7" t="str">
        <f>IFERROR(__xludf.DUMMYFUNCTION("""COMPUTED_VALUE"""),"ADANIGREEN.NS")</f>
        <v>ADANIGREEN.NS</v>
      </c>
      <c r="H253" s="8">
        <f t="shared" si="1"/>
        <v>-0.02745381062</v>
      </c>
      <c r="I253" s="8">
        <f t="shared" si="2"/>
        <v>0.02745381062</v>
      </c>
      <c r="J253" s="7" t="str">
        <f t="shared" si="3"/>
        <v>Oct-2024</v>
      </c>
      <c r="K253" s="9">
        <f t="shared" si="4"/>
        <v>45566</v>
      </c>
      <c r="L253" s="7" t="str">
        <f t="shared" si="5"/>
        <v/>
      </c>
      <c r="M253" s="7" t="str">
        <f>IFERROR(__xludf.DUMMYFUNCTION("IFERROR(
  IF(
    F253 &gt;
    3*AVERAGE(
       FILTER($F$2:$F10491,
         $G$2:$G10491=G253,
         $A$2:$A10491&gt;=A253-20,
         $A$2:$A10491&lt;=A253
       )
    ),
    ""VOL_SPIKE_3X"",""""
  ),
"""")
"),"")</f>
        <v/>
      </c>
      <c r="N253" s="7" t="str">
        <f t="shared" si="6"/>
        <v/>
      </c>
      <c r="O253" s="7" t="str">
        <f t="shared" si="7"/>
        <v/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>
        <f>IFERROR(__xludf.DUMMYFUNCTION("""COMPUTED_VALUE"""),45587.0)</f>
        <v>45587</v>
      </c>
      <c r="B254" s="6">
        <f>IFERROR(__xludf.DUMMYFUNCTION("""COMPUTED_VALUE"""),332.0)</f>
        <v>332</v>
      </c>
      <c r="C254" s="6">
        <f>IFERROR(__xludf.DUMMYFUNCTION("""COMPUTED_VALUE"""),332.55)</f>
        <v>332.55</v>
      </c>
      <c r="D254" s="6">
        <f>IFERROR(__xludf.DUMMYFUNCTION("""COMPUTED_VALUE"""),322.0)</f>
        <v>322</v>
      </c>
      <c r="E254" s="6">
        <f>IFERROR(__xludf.DUMMYFUNCTION("""COMPUTED_VALUE"""),322.9)</f>
        <v>322.9</v>
      </c>
      <c r="F254" s="7">
        <f>IFERROR(__xludf.DUMMYFUNCTION("""COMPUTED_VALUE"""),6372285.0)</f>
        <v>6372285</v>
      </c>
      <c r="G254" s="7" t="str">
        <f>IFERROR(__xludf.DUMMYFUNCTION("""COMPUTED_VALUE"""),"BPCL.NS")</f>
        <v>BPCL.NS</v>
      </c>
      <c r="H254" s="8">
        <f t="shared" si="1"/>
        <v>-0.02740963855</v>
      </c>
      <c r="I254" s="8">
        <f t="shared" si="2"/>
        <v>0.02740963855</v>
      </c>
      <c r="J254" s="7" t="str">
        <f t="shared" si="3"/>
        <v>Oct-2024</v>
      </c>
      <c r="K254" s="9">
        <f t="shared" si="4"/>
        <v>45566</v>
      </c>
      <c r="L254" s="7" t="str">
        <f t="shared" si="5"/>
        <v/>
      </c>
      <c r="M254" s="7" t="str">
        <f>IFERROR(__xludf.DUMMYFUNCTION("IFERROR(
  IF(
    F254 &gt;
    3*AVERAGE(
       FILTER($F$2:$F10491,
         $G$2:$G10491=G254,
         $A$2:$A10491&gt;=A254-20,
         $A$2:$A10491&lt;=A254
       )
    ),
    ""VOL_SPIKE_3X"",""""
  ),
"""")
"),"")</f>
        <v/>
      </c>
      <c r="N254" s="7" t="str">
        <f t="shared" si="6"/>
        <v/>
      </c>
      <c r="O254" s="7" t="str">
        <f t="shared" si="7"/>
        <v/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>
        <f>IFERROR(__xludf.DUMMYFUNCTION("""COMPUTED_VALUE"""),45587.0)</f>
        <v>45587</v>
      </c>
      <c r="B255" s="6">
        <f>IFERROR(__xludf.DUMMYFUNCTION("""COMPUTED_VALUE"""),485.0)</f>
        <v>485</v>
      </c>
      <c r="C255" s="6">
        <f>IFERROR(__xludf.DUMMYFUNCTION("""COMPUTED_VALUE"""),487.5)</f>
        <v>487.5</v>
      </c>
      <c r="D255" s="6">
        <f>IFERROR(__xludf.DUMMYFUNCTION("""COMPUTED_VALUE"""),467.2)</f>
        <v>467.2</v>
      </c>
      <c r="E255" s="6">
        <f>IFERROR(__xludf.DUMMYFUNCTION("""COMPUTED_VALUE"""),468.35)</f>
        <v>468.35</v>
      </c>
      <c r="F255" s="7">
        <f>IFERROR(__xludf.DUMMYFUNCTION("""COMPUTED_VALUE"""),8671135.0)</f>
        <v>8671135</v>
      </c>
      <c r="G255" s="7" t="str">
        <f>IFERROR(__xludf.DUMMYFUNCTION("""COMPUTED_VALUE"""),"COALINDIA.NS")</f>
        <v>COALINDIA.NS</v>
      </c>
      <c r="H255" s="8">
        <f t="shared" si="1"/>
        <v>-0.03432989691</v>
      </c>
      <c r="I255" s="8">
        <f t="shared" si="2"/>
        <v>0.03432989691</v>
      </c>
      <c r="J255" s="7" t="str">
        <f t="shared" si="3"/>
        <v>Oct-2024</v>
      </c>
      <c r="K255" s="9">
        <f t="shared" si="4"/>
        <v>45566</v>
      </c>
      <c r="L255" s="7" t="str">
        <f t="shared" si="5"/>
        <v/>
      </c>
      <c r="M255" s="7" t="str">
        <f>IFERROR(__xludf.DUMMYFUNCTION("IFERROR(
  IF(
    F255 &gt;
    3*AVERAGE(
       FILTER($F$2:$F10491,
         $G$2:$G10491=G255,
         $A$2:$A10491&gt;=A255-20,
         $A$2:$A10491&lt;=A255
       )
    ),
    ""VOL_SPIKE_3X"",""""
  ),
"""")
"),"")</f>
        <v/>
      </c>
      <c r="N255" s="7" t="str">
        <f t="shared" si="6"/>
        <v/>
      </c>
      <c r="O255" s="7" t="str">
        <f t="shared" si="7"/>
        <v/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>
        <f>IFERROR(__xludf.DUMMYFUNCTION("""COMPUTED_VALUE"""),45587.0)</f>
        <v>45587</v>
      </c>
      <c r="B256" s="6">
        <f>IFERROR(__xludf.DUMMYFUNCTION("""COMPUTED_VALUE"""),414.1)</f>
        <v>414.1</v>
      </c>
      <c r="C256" s="6">
        <f>IFERROR(__xludf.DUMMYFUNCTION("""COMPUTED_VALUE"""),416.6)</f>
        <v>416.6</v>
      </c>
      <c r="D256" s="6">
        <f>IFERROR(__xludf.DUMMYFUNCTION("""COMPUTED_VALUE"""),400.5)</f>
        <v>400.5</v>
      </c>
      <c r="E256" s="6">
        <f>IFERROR(__xludf.DUMMYFUNCTION("""COMPUTED_VALUE"""),402.1)</f>
        <v>402.1</v>
      </c>
      <c r="F256" s="7">
        <f>IFERROR(__xludf.DUMMYFUNCTION("""COMPUTED_VALUE"""),5951071.0)</f>
        <v>5951071</v>
      </c>
      <c r="G256" s="7" t="str">
        <f>IFERROR(__xludf.DUMMYFUNCTION("""COMPUTED_VALUE"""),"HINDPETRO.NS")</f>
        <v>HINDPETRO.NS</v>
      </c>
      <c r="H256" s="8">
        <f t="shared" si="1"/>
        <v>-0.02897850761</v>
      </c>
      <c r="I256" s="8">
        <f t="shared" si="2"/>
        <v>0.02897850761</v>
      </c>
      <c r="J256" s="7" t="str">
        <f t="shared" si="3"/>
        <v>Oct-2024</v>
      </c>
      <c r="K256" s="9">
        <f t="shared" si="4"/>
        <v>45566</v>
      </c>
      <c r="L256" s="7" t="str">
        <f t="shared" si="5"/>
        <v/>
      </c>
      <c r="M256" s="7" t="str">
        <f>IFERROR(__xludf.DUMMYFUNCTION("IFERROR(
  IF(
    F256 &gt;
    3*AVERAGE(
       FILTER($F$2:$F10491,
         $G$2:$G10491=G256,
         $A$2:$A10491&gt;=A256-20,
         $A$2:$A10491&lt;=A256
       )
    ),
    ""VOL_SPIKE_3X"",""""
  ),
"""")
"),"")</f>
        <v/>
      </c>
      <c r="N256" s="7" t="str">
        <f t="shared" si="6"/>
        <v/>
      </c>
      <c r="O256" s="7" t="str">
        <f t="shared" si="7"/>
        <v/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>
        <f>IFERROR(__xludf.DUMMYFUNCTION("""COMPUTED_VALUE"""),45587.0)</f>
        <v>45587</v>
      </c>
      <c r="B257" s="6">
        <f>IFERROR(__xludf.DUMMYFUNCTION("""COMPUTED_VALUE"""),160.0)</f>
        <v>160</v>
      </c>
      <c r="C257" s="6">
        <f>IFERROR(__xludf.DUMMYFUNCTION("""COMPUTED_VALUE"""),160.74)</f>
        <v>160.74</v>
      </c>
      <c r="D257" s="6">
        <f>IFERROR(__xludf.DUMMYFUNCTION("""COMPUTED_VALUE"""),154.86)</f>
        <v>154.86</v>
      </c>
      <c r="E257" s="6">
        <f>IFERROR(__xludf.DUMMYFUNCTION("""COMPUTED_VALUE"""),155.31)</f>
        <v>155.31</v>
      </c>
      <c r="F257" s="7">
        <f>IFERROR(__xludf.DUMMYFUNCTION("""COMPUTED_VALUE"""),1.5190259E7)</f>
        <v>15190259</v>
      </c>
      <c r="G257" s="7" t="str">
        <f>IFERROR(__xludf.DUMMYFUNCTION("""COMPUTED_VALUE"""),"IOC.NS")</f>
        <v>IOC.NS</v>
      </c>
      <c r="H257" s="8">
        <f t="shared" si="1"/>
        <v>-0.0293125</v>
      </c>
      <c r="I257" s="8">
        <f t="shared" si="2"/>
        <v>0.0293125</v>
      </c>
      <c r="J257" s="7" t="str">
        <f t="shared" si="3"/>
        <v>Oct-2024</v>
      </c>
      <c r="K257" s="9">
        <f t="shared" si="4"/>
        <v>45566</v>
      </c>
      <c r="L257" s="7" t="str">
        <f t="shared" si="5"/>
        <v/>
      </c>
      <c r="M257" s="7" t="str">
        <f>IFERROR(__xludf.DUMMYFUNCTION("IFERROR(
  IF(
    F257 &gt;
    3*AVERAGE(
       FILTER($F$2:$F10491,
         $G$2:$G10491=G257,
         $A$2:$A10491&gt;=A257-20,
         $A$2:$A10491&lt;=A257
       )
    ),
    ""VOL_SPIKE_3X"",""""
  ),
"""")
"),"")</f>
        <v/>
      </c>
      <c r="N257" s="7" t="str">
        <f t="shared" si="6"/>
        <v/>
      </c>
      <c r="O257" s="7" t="str">
        <f t="shared" si="7"/>
        <v/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>
        <f>IFERROR(__xludf.DUMMYFUNCTION("""COMPUTED_VALUE"""),45587.0)</f>
        <v>45587</v>
      </c>
      <c r="B258" s="6">
        <f>IFERROR(__xludf.DUMMYFUNCTION("""COMPUTED_VALUE"""),422.85)</f>
        <v>422.85</v>
      </c>
      <c r="C258" s="6">
        <f>IFERROR(__xludf.DUMMYFUNCTION("""COMPUTED_VALUE"""),426.3)</f>
        <v>426.3</v>
      </c>
      <c r="D258" s="6">
        <f>IFERROR(__xludf.DUMMYFUNCTION("""COMPUTED_VALUE"""),413.45)</f>
        <v>413.45</v>
      </c>
      <c r="E258" s="6">
        <f>IFERROR(__xludf.DUMMYFUNCTION("""COMPUTED_VALUE"""),415.75)</f>
        <v>415.75</v>
      </c>
      <c r="F258" s="7">
        <f>IFERROR(__xludf.DUMMYFUNCTION("""COMPUTED_VALUE"""),1.4242323E7)</f>
        <v>14242323</v>
      </c>
      <c r="G258" s="7" t="str">
        <f>IFERROR(__xludf.DUMMYFUNCTION("""COMPUTED_VALUE"""),"NTPC.NS")</f>
        <v>NTPC.NS</v>
      </c>
      <c r="H258" s="8">
        <f t="shared" si="1"/>
        <v>-0.01679082417</v>
      </c>
      <c r="I258" s="8">
        <f t="shared" si="2"/>
        <v>0.01679082417</v>
      </c>
      <c r="J258" s="7" t="str">
        <f t="shared" si="3"/>
        <v>Oct-2024</v>
      </c>
      <c r="K258" s="9">
        <f t="shared" si="4"/>
        <v>45566</v>
      </c>
      <c r="L258" s="7" t="str">
        <f t="shared" si="5"/>
        <v/>
      </c>
      <c r="M258" s="7" t="str">
        <f>IFERROR(__xludf.DUMMYFUNCTION("IFERROR(
  IF(
    F258 &gt;
    3*AVERAGE(
       FILTER($F$2:$F10491,
         $G$2:$G10491=G258,
         $A$2:$A10491&gt;=A258-20,
         $A$2:$A10491&lt;=A258
       )
    ),
    ""VOL_SPIKE_3X"",""""
  ),
"""")
"),"")</f>
        <v/>
      </c>
      <c r="N258" s="7" t="str">
        <f t="shared" si="6"/>
        <v/>
      </c>
      <c r="O258" s="7" t="str">
        <f t="shared" si="7"/>
        <v/>
      </c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>
        <f>IFERROR(__xludf.DUMMYFUNCTION("""COMPUTED_VALUE"""),45587.0)</f>
        <v>45587</v>
      </c>
      <c r="B259" s="6">
        <f>IFERROR(__xludf.DUMMYFUNCTION("""COMPUTED_VALUE"""),278.0)</f>
        <v>278</v>
      </c>
      <c r="C259" s="6">
        <f>IFERROR(__xludf.DUMMYFUNCTION("""COMPUTED_VALUE"""),278.15)</f>
        <v>278.15</v>
      </c>
      <c r="D259" s="6">
        <f>IFERROR(__xludf.DUMMYFUNCTION("""COMPUTED_VALUE"""),270.0)</f>
        <v>270</v>
      </c>
      <c r="E259" s="6">
        <f>IFERROR(__xludf.DUMMYFUNCTION("""COMPUTED_VALUE"""),270.8)</f>
        <v>270.8</v>
      </c>
      <c r="F259" s="7">
        <f>IFERROR(__xludf.DUMMYFUNCTION("""COMPUTED_VALUE"""),1.0028511E7)</f>
        <v>10028511</v>
      </c>
      <c r="G259" s="7" t="str">
        <f>IFERROR(__xludf.DUMMYFUNCTION("""COMPUTED_VALUE"""),"ONGC.NS")</f>
        <v>ONGC.NS</v>
      </c>
      <c r="H259" s="8">
        <f t="shared" si="1"/>
        <v>-0.02589928058</v>
      </c>
      <c r="I259" s="8">
        <f t="shared" si="2"/>
        <v>0.02589928058</v>
      </c>
      <c r="J259" s="7" t="str">
        <f t="shared" si="3"/>
        <v>Oct-2024</v>
      </c>
      <c r="K259" s="9">
        <f t="shared" si="4"/>
        <v>45566</v>
      </c>
      <c r="L259" s="7" t="str">
        <f t="shared" si="5"/>
        <v/>
      </c>
      <c r="M259" s="7" t="str">
        <f>IFERROR(__xludf.DUMMYFUNCTION("IFERROR(
  IF(
    F259 &gt;
    3*AVERAGE(
       FILTER($F$2:$F10491,
         $G$2:$G10491=G259,
         $A$2:$A10491&gt;=A259-20,
         $A$2:$A10491&lt;=A259
       )
    ),
    ""VOL_SPIKE_3X"",""""
  ),
"""")
"),"")</f>
        <v/>
      </c>
      <c r="N259" s="7" t="str">
        <f t="shared" si="6"/>
        <v/>
      </c>
      <c r="O259" s="7" t="str">
        <f t="shared" si="7"/>
        <v/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>
        <f>IFERROR(__xludf.DUMMYFUNCTION("""COMPUTED_VALUE"""),45587.0)</f>
        <v>45587</v>
      </c>
      <c r="B260" s="6">
        <f>IFERROR(__xludf.DUMMYFUNCTION("""COMPUTED_VALUE"""),332.9)</f>
        <v>332.9</v>
      </c>
      <c r="C260" s="6">
        <f>IFERROR(__xludf.DUMMYFUNCTION("""COMPUTED_VALUE"""),335.65)</f>
        <v>335.65</v>
      </c>
      <c r="D260" s="6">
        <f>IFERROR(__xludf.DUMMYFUNCTION("""COMPUTED_VALUE"""),321.05)</f>
        <v>321.05</v>
      </c>
      <c r="E260" s="6">
        <f>IFERROR(__xludf.DUMMYFUNCTION("""COMPUTED_VALUE"""),322.75)</f>
        <v>322.75</v>
      </c>
      <c r="F260" s="7">
        <f>IFERROR(__xludf.DUMMYFUNCTION("""COMPUTED_VALUE"""),1.1219831E7)</f>
        <v>11219831</v>
      </c>
      <c r="G260" s="7" t="str">
        <f>IFERROR(__xludf.DUMMYFUNCTION("""COMPUTED_VALUE"""),"POWERGRID.NS")</f>
        <v>POWERGRID.NS</v>
      </c>
      <c r="H260" s="8">
        <f t="shared" si="1"/>
        <v>-0.03048963653</v>
      </c>
      <c r="I260" s="8">
        <f t="shared" si="2"/>
        <v>0.03048963653</v>
      </c>
      <c r="J260" s="7" t="str">
        <f t="shared" si="3"/>
        <v>Oct-2024</v>
      </c>
      <c r="K260" s="9">
        <f t="shared" si="4"/>
        <v>45566</v>
      </c>
      <c r="L260" s="7" t="str">
        <f t="shared" si="5"/>
        <v/>
      </c>
      <c r="M260" s="7" t="str">
        <f>IFERROR(__xludf.DUMMYFUNCTION("IFERROR(
  IF(
    F260 &gt;
    3*AVERAGE(
       FILTER($F$2:$F10491,
         $G$2:$G10491=G260,
         $A$2:$A10491&gt;=A260-20,
         $A$2:$A10491&lt;=A260
       )
    ),
    ""VOL_SPIKE_3X"",""""
  ),
"""")
"),"")</f>
        <v/>
      </c>
      <c r="N260" s="7" t="str">
        <f t="shared" si="6"/>
        <v/>
      </c>
      <c r="O260" s="7" t="str">
        <f t="shared" si="7"/>
        <v/>
      </c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>
        <f>IFERROR(__xludf.DUMMYFUNCTION("""COMPUTED_VALUE"""),45587.0)</f>
        <v>45587</v>
      </c>
      <c r="B261" s="6">
        <f>IFERROR(__xludf.DUMMYFUNCTION("""COMPUTED_VALUE"""),1369.2)</f>
        <v>1369.2</v>
      </c>
      <c r="C261" s="6">
        <f>IFERROR(__xludf.DUMMYFUNCTION("""COMPUTED_VALUE"""),1376.0)</f>
        <v>1376</v>
      </c>
      <c r="D261" s="6">
        <f>IFERROR(__xludf.DUMMYFUNCTION("""COMPUTED_VALUE"""),1340.23)</f>
        <v>1340.23</v>
      </c>
      <c r="E261" s="6">
        <f>IFERROR(__xludf.DUMMYFUNCTION("""COMPUTED_VALUE"""),1343.35)</f>
        <v>1343.35</v>
      </c>
      <c r="F261" s="7">
        <f>IFERROR(__xludf.DUMMYFUNCTION("""COMPUTED_VALUE"""),7915980.0)</f>
        <v>7915980</v>
      </c>
      <c r="G261" s="7" t="str">
        <f>IFERROR(__xludf.DUMMYFUNCTION("""COMPUTED_VALUE"""),"RELIANCE.NS")</f>
        <v>RELIANCE.NS</v>
      </c>
      <c r="H261" s="8">
        <f t="shared" si="1"/>
        <v>-0.01887963774</v>
      </c>
      <c r="I261" s="8">
        <f t="shared" si="2"/>
        <v>0.01887963774</v>
      </c>
      <c r="J261" s="7" t="str">
        <f t="shared" si="3"/>
        <v>Oct-2024</v>
      </c>
      <c r="K261" s="9">
        <f t="shared" si="4"/>
        <v>45566</v>
      </c>
      <c r="L261" s="7" t="str">
        <f t="shared" si="5"/>
        <v/>
      </c>
      <c r="M261" s="7" t="str">
        <f>IFERROR(__xludf.DUMMYFUNCTION("IFERROR(
  IF(
    F261 &gt;
    3*AVERAGE(
       FILTER($F$2:$F10491,
         $G$2:$G10491=G261,
         $A$2:$A10491&gt;=A261-20,
         $A$2:$A10491&lt;=A261
       )
    ),
    ""VOL_SPIKE_3X"",""""
  ),
"""")
"),"")</f>
        <v/>
      </c>
      <c r="N261" s="7" t="str">
        <f t="shared" si="6"/>
        <v/>
      </c>
      <c r="O261" s="7" t="str">
        <f t="shared" si="7"/>
        <v/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>
        <f>IFERROR(__xludf.DUMMYFUNCTION("""COMPUTED_VALUE"""),45588.0)</f>
        <v>45588</v>
      </c>
      <c r="B262" s="6">
        <f>IFERROR(__xludf.DUMMYFUNCTION("""COMPUTED_VALUE"""),1008.95)</f>
        <v>1008.95</v>
      </c>
      <c r="C262" s="6">
        <f>IFERROR(__xludf.DUMMYFUNCTION("""COMPUTED_VALUE"""),1008.95)</f>
        <v>1008.95</v>
      </c>
      <c r="D262" s="6">
        <f>IFERROR(__xludf.DUMMYFUNCTION("""COMPUTED_VALUE"""),965.4)</f>
        <v>965.4</v>
      </c>
      <c r="E262" s="6">
        <f>IFERROR(__xludf.DUMMYFUNCTION("""COMPUTED_VALUE"""),981.6)</f>
        <v>981.6</v>
      </c>
      <c r="F262" s="7">
        <f>IFERROR(__xludf.DUMMYFUNCTION("""COMPUTED_VALUE"""),3268890.0)</f>
        <v>3268890</v>
      </c>
      <c r="G262" s="7" t="str">
        <f>IFERROR(__xludf.DUMMYFUNCTION("""COMPUTED_VALUE"""),"ADANIENSOL.NS")</f>
        <v>ADANIENSOL.NS</v>
      </c>
      <c r="H262" s="8">
        <f t="shared" si="1"/>
        <v>-0.02710738887</v>
      </c>
      <c r="I262" s="8">
        <f t="shared" si="2"/>
        <v>0.02710738887</v>
      </c>
      <c r="J262" s="7" t="str">
        <f t="shared" si="3"/>
        <v>Oct-2024</v>
      </c>
      <c r="K262" s="9">
        <f t="shared" si="4"/>
        <v>45566</v>
      </c>
      <c r="L262" s="7" t="str">
        <f t="shared" si="5"/>
        <v/>
      </c>
      <c r="M262" s="7" t="str">
        <f>IFERROR(__xludf.DUMMYFUNCTION("IFERROR(
  IF(
    F262 &gt;
    3*AVERAGE(
       FILTER($F$2:$F10491,
         $G$2:$G10491=G262,
         $A$2:$A10491&gt;=A262-20,
         $A$2:$A10491&lt;=A262
       )
    ),
    ""VOL_SPIKE_3X"",""""
  ),
"""")
"),"")</f>
        <v/>
      </c>
      <c r="N262" s="7" t="str">
        <f t="shared" si="6"/>
        <v/>
      </c>
      <c r="O262" s="7" t="str">
        <f t="shared" si="7"/>
        <v/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>
        <f>IFERROR(__xludf.DUMMYFUNCTION("""COMPUTED_VALUE"""),45588.0)</f>
        <v>45588</v>
      </c>
      <c r="B263" s="6">
        <f>IFERROR(__xludf.DUMMYFUNCTION("""COMPUTED_VALUE"""),1684.45)</f>
        <v>1684.45</v>
      </c>
      <c r="C263" s="6">
        <f>IFERROR(__xludf.DUMMYFUNCTION("""COMPUTED_VALUE"""),1725.0)</f>
        <v>1725</v>
      </c>
      <c r="D263" s="6">
        <f>IFERROR(__xludf.DUMMYFUNCTION("""COMPUTED_VALUE"""),1627.85)</f>
        <v>1627.85</v>
      </c>
      <c r="E263" s="6">
        <f>IFERROR(__xludf.DUMMYFUNCTION("""COMPUTED_VALUE"""),1702.1)</f>
        <v>1702.1</v>
      </c>
      <c r="F263" s="7">
        <f>IFERROR(__xludf.DUMMYFUNCTION("""COMPUTED_VALUE"""),1504049.0)</f>
        <v>1504049</v>
      </c>
      <c r="G263" s="7" t="str">
        <f>IFERROR(__xludf.DUMMYFUNCTION("""COMPUTED_VALUE"""),"ADANIGREEN.NS")</f>
        <v>ADANIGREEN.NS</v>
      </c>
      <c r="H263" s="8">
        <f t="shared" si="1"/>
        <v>0.01047819763</v>
      </c>
      <c r="I263" s="8">
        <f t="shared" si="2"/>
        <v>0.01047819763</v>
      </c>
      <c r="J263" s="7" t="str">
        <f t="shared" si="3"/>
        <v>Oct-2024</v>
      </c>
      <c r="K263" s="9">
        <f t="shared" si="4"/>
        <v>45566</v>
      </c>
      <c r="L263" s="7" t="str">
        <f t="shared" si="5"/>
        <v/>
      </c>
      <c r="M263" s="7" t="str">
        <f>IFERROR(__xludf.DUMMYFUNCTION("IFERROR(
  IF(
    F263 &gt;
    3*AVERAGE(
       FILTER($F$2:$F10491,
         $G$2:$G10491=G263,
         $A$2:$A10491&gt;=A263-20,
         $A$2:$A10491&lt;=A263
       )
    ),
    ""VOL_SPIKE_3X"",""""
  ),
"""")
"),"")</f>
        <v/>
      </c>
      <c r="N263" s="7" t="str">
        <f t="shared" si="6"/>
        <v/>
      </c>
      <c r="O263" s="7" t="str">
        <f t="shared" si="7"/>
        <v/>
      </c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>
        <f>IFERROR(__xludf.DUMMYFUNCTION("""COMPUTED_VALUE"""),45588.0)</f>
        <v>45588</v>
      </c>
      <c r="B264" s="6">
        <f>IFERROR(__xludf.DUMMYFUNCTION("""COMPUTED_VALUE"""),322.0)</f>
        <v>322</v>
      </c>
      <c r="C264" s="6">
        <f>IFERROR(__xludf.DUMMYFUNCTION("""COMPUTED_VALUE"""),325.85)</f>
        <v>325.85</v>
      </c>
      <c r="D264" s="6">
        <f>IFERROR(__xludf.DUMMYFUNCTION("""COMPUTED_VALUE"""),316.55)</f>
        <v>316.55</v>
      </c>
      <c r="E264" s="6">
        <f>IFERROR(__xludf.DUMMYFUNCTION("""COMPUTED_VALUE"""),323.05)</f>
        <v>323.05</v>
      </c>
      <c r="F264" s="7">
        <f>IFERROR(__xludf.DUMMYFUNCTION("""COMPUTED_VALUE"""),6639274.0)</f>
        <v>6639274</v>
      </c>
      <c r="G264" s="7" t="str">
        <f>IFERROR(__xludf.DUMMYFUNCTION("""COMPUTED_VALUE"""),"BPCL.NS")</f>
        <v>BPCL.NS</v>
      </c>
      <c r="H264" s="8">
        <f t="shared" si="1"/>
        <v>0.003260869565</v>
      </c>
      <c r="I264" s="8">
        <f t="shared" si="2"/>
        <v>0.003260869565</v>
      </c>
      <c r="J264" s="7" t="str">
        <f t="shared" si="3"/>
        <v>Oct-2024</v>
      </c>
      <c r="K264" s="9">
        <f t="shared" si="4"/>
        <v>45566</v>
      </c>
      <c r="L264" s="7" t="str">
        <f t="shared" si="5"/>
        <v/>
      </c>
      <c r="M264" s="7" t="str">
        <f>IFERROR(__xludf.DUMMYFUNCTION("IFERROR(
  IF(
    F264 &gt;
    3*AVERAGE(
       FILTER($F$2:$F10491,
         $G$2:$G10491=G264,
         $A$2:$A10491&gt;=A264-20,
         $A$2:$A10491&lt;=A264
       )
    ),
    ""VOL_SPIKE_3X"",""""
  ),
"""")
"),"")</f>
        <v/>
      </c>
      <c r="N264" s="7" t="str">
        <f t="shared" si="6"/>
        <v/>
      </c>
      <c r="O264" s="7" t="str">
        <f t="shared" si="7"/>
        <v/>
      </c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>
        <f>IFERROR(__xludf.DUMMYFUNCTION("""COMPUTED_VALUE"""),45588.0)</f>
        <v>45588</v>
      </c>
      <c r="B265" s="6">
        <f>IFERROR(__xludf.DUMMYFUNCTION("""COMPUTED_VALUE"""),468.35)</f>
        <v>468.35</v>
      </c>
      <c r="C265" s="6">
        <f>IFERROR(__xludf.DUMMYFUNCTION("""COMPUTED_VALUE"""),476.05)</f>
        <v>476.05</v>
      </c>
      <c r="D265" s="6">
        <f>IFERROR(__xludf.DUMMYFUNCTION("""COMPUTED_VALUE"""),458.95)</f>
        <v>458.95</v>
      </c>
      <c r="E265" s="6">
        <f>IFERROR(__xludf.DUMMYFUNCTION("""COMPUTED_VALUE"""),474.1)</f>
        <v>474.1</v>
      </c>
      <c r="F265" s="7">
        <f>IFERROR(__xludf.DUMMYFUNCTION("""COMPUTED_VALUE"""),1.0686743E7)</f>
        <v>10686743</v>
      </c>
      <c r="G265" s="7" t="str">
        <f>IFERROR(__xludf.DUMMYFUNCTION("""COMPUTED_VALUE"""),"COALINDIA.NS")</f>
        <v>COALINDIA.NS</v>
      </c>
      <c r="H265" s="8">
        <f t="shared" si="1"/>
        <v>0.01227714316</v>
      </c>
      <c r="I265" s="8">
        <f t="shared" si="2"/>
        <v>0.01227714316</v>
      </c>
      <c r="J265" s="7" t="str">
        <f t="shared" si="3"/>
        <v>Oct-2024</v>
      </c>
      <c r="K265" s="9">
        <f t="shared" si="4"/>
        <v>45566</v>
      </c>
      <c r="L265" s="7" t="str">
        <f t="shared" si="5"/>
        <v/>
      </c>
      <c r="M265" s="7" t="str">
        <f>IFERROR(__xludf.DUMMYFUNCTION("IFERROR(
  IF(
    F265 &gt;
    3*AVERAGE(
       FILTER($F$2:$F10491,
         $G$2:$G10491=G265,
         $A$2:$A10491&gt;=A265-20,
         $A$2:$A10491&lt;=A265
       )
    ),
    ""VOL_SPIKE_3X"",""""
  ),
"""")
"),"")</f>
        <v/>
      </c>
      <c r="N265" s="7" t="str">
        <f t="shared" si="6"/>
        <v/>
      </c>
      <c r="O265" s="7" t="str">
        <f t="shared" si="7"/>
        <v/>
      </c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>
        <f>IFERROR(__xludf.DUMMYFUNCTION("""COMPUTED_VALUE"""),45588.0)</f>
        <v>45588</v>
      </c>
      <c r="B266" s="6">
        <f>IFERROR(__xludf.DUMMYFUNCTION("""COMPUTED_VALUE"""),402.1)</f>
        <v>402.1</v>
      </c>
      <c r="C266" s="6">
        <f>IFERROR(__xludf.DUMMYFUNCTION("""COMPUTED_VALUE"""),403.3)</f>
        <v>403.3</v>
      </c>
      <c r="D266" s="6">
        <f>IFERROR(__xludf.DUMMYFUNCTION("""COMPUTED_VALUE"""),394.2)</f>
        <v>394.2</v>
      </c>
      <c r="E266" s="6">
        <f>IFERROR(__xludf.DUMMYFUNCTION("""COMPUTED_VALUE"""),397.85)</f>
        <v>397.85</v>
      </c>
      <c r="F266" s="7">
        <f>IFERROR(__xludf.DUMMYFUNCTION("""COMPUTED_VALUE"""),3779746.0)</f>
        <v>3779746</v>
      </c>
      <c r="G266" s="7" t="str">
        <f>IFERROR(__xludf.DUMMYFUNCTION("""COMPUTED_VALUE"""),"HINDPETRO.NS")</f>
        <v>HINDPETRO.NS</v>
      </c>
      <c r="H266" s="8">
        <f t="shared" si="1"/>
        <v>-0.01056951007</v>
      </c>
      <c r="I266" s="8">
        <f t="shared" si="2"/>
        <v>0.01056951007</v>
      </c>
      <c r="J266" s="7" t="str">
        <f t="shared" si="3"/>
        <v>Oct-2024</v>
      </c>
      <c r="K266" s="9">
        <f t="shared" si="4"/>
        <v>45566</v>
      </c>
      <c r="L266" s="7" t="str">
        <f t="shared" si="5"/>
        <v/>
      </c>
      <c r="M266" s="7" t="str">
        <f>IFERROR(__xludf.DUMMYFUNCTION("IFERROR(
  IF(
    F266 &gt;
    3*AVERAGE(
       FILTER($F$2:$F10491,
         $G$2:$G10491=G266,
         $A$2:$A10491&gt;=A266-20,
         $A$2:$A10491&lt;=A266
       )
    ),
    ""VOL_SPIKE_3X"",""""
  ),
"""")
"),"")</f>
        <v/>
      </c>
      <c r="N266" s="7" t="str">
        <f t="shared" si="6"/>
        <v/>
      </c>
      <c r="O266" s="7" t="str">
        <f t="shared" si="7"/>
        <v/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>
        <f>IFERROR(__xludf.DUMMYFUNCTION("""COMPUTED_VALUE"""),45588.0)</f>
        <v>45588</v>
      </c>
      <c r="B267" s="6">
        <f>IFERROR(__xludf.DUMMYFUNCTION("""COMPUTED_VALUE"""),154.9)</f>
        <v>154.9</v>
      </c>
      <c r="C267" s="6">
        <f>IFERROR(__xludf.DUMMYFUNCTION("""COMPUTED_VALUE"""),155.54)</f>
        <v>155.54</v>
      </c>
      <c r="D267" s="6">
        <f>IFERROR(__xludf.DUMMYFUNCTION("""COMPUTED_VALUE"""),150.15)</f>
        <v>150.15</v>
      </c>
      <c r="E267" s="6">
        <f>IFERROR(__xludf.DUMMYFUNCTION("""COMPUTED_VALUE"""),152.94)</f>
        <v>152.94</v>
      </c>
      <c r="F267" s="7">
        <f>IFERROR(__xludf.DUMMYFUNCTION("""COMPUTED_VALUE"""),1.650329E7)</f>
        <v>16503290</v>
      </c>
      <c r="G267" s="7" t="str">
        <f>IFERROR(__xludf.DUMMYFUNCTION("""COMPUTED_VALUE"""),"IOC.NS")</f>
        <v>IOC.NS</v>
      </c>
      <c r="H267" s="8">
        <f t="shared" si="1"/>
        <v>-0.01265332473</v>
      </c>
      <c r="I267" s="8">
        <f t="shared" si="2"/>
        <v>0.01265332473</v>
      </c>
      <c r="J267" s="7" t="str">
        <f t="shared" si="3"/>
        <v>Oct-2024</v>
      </c>
      <c r="K267" s="9">
        <f t="shared" si="4"/>
        <v>45566</v>
      </c>
      <c r="L267" s="7" t="str">
        <f t="shared" si="5"/>
        <v/>
      </c>
      <c r="M267" s="7" t="str">
        <f>IFERROR(__xludf.DUMMYFUNCTION("IFERROR(
  IF(
    F267 &gt;
    3*AVERAGE(
       FILTER($F$2:$F10491,
         $G$2:$G10491=G267,
         $A$2:$A10491&gt;=A267-20,
         $A$2:$A10491&lt;=A267
       )
    ),
    ""VOL_SPIKE_3X"",""""
  ),
"""")
"),"")</f>
        <v/>
      </c>
      <c r="N267" s="7" t="str">
        <f t="shared" si="6"/>
        <v/>
      </c>
      <c r="O267" s="7" t="str">
        <f t="shared" si="7"/>
        <v/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>
        <f>IFERROR(__xludf.DUMMYFUNCTION("""COMPUTED_VALUE"""),45588.0)</f>
        <v>45588</v>
      </c>
      <c r="B268" s="6">
        <f>IFERROR(__xludf.DUMMYFUNCTION("""COMPUTED_VALUE"""),414.0)</f>
        <v>414</v>
      </c>
      <c r="C268" s="6">
        <f>IFERROR(__xludf.DUMMYFUNCTION("""COMPUTED_VALUE"""),414.75)</f>
        <v>414.75</v>
      </c>
      <c r="D268" s="6">
        <f>IFERROR(__xludf.DUMMYFUNCTION("""COMPUTED_VALUE"""),401.7)</f>
        <v>401.7</v>
      </c>
      <c r="E268" s="6">
        <f>IFERROR(__xludf.DUMMYFUNCTION("""COMPUTED_VALUE"""),408.3)</f>
        <v>408.3</v>
      </c>
      <c r="F268" s="7">
        <f>IFERROR(__xludf.DUMMYFUNCTION("""COMPUTED_VALUE"""),2.2522821E7)</f>
        <v>22522821</v>
      </c>
      <c r="G268" s="7" t="str">
        <f>IFERROR(__xludf.DUMMYFUNCTION("""COMPUTED_VALUE"""),"NTPC.NS")</f>
        <v>NTPC.NS</v>
      </c>
      <c r="H268" s="8">
        <f t="shared" si="1"/>
        <v>-0.01376811594</v>
      </c>
      <c r="I268" s="8">
        <f t="shared" si="2"/>
        <v>0.01376811594</v>
      </c>
      <c r="J268" s="7" t="str">
        <f t="shared" si="3"/>
        <v>Oct-2024</v>
      </c>
      <c r="K268" s="9">
        <f t="shared" si="4"/>
        <v>45566</v>
      </c>
      <c r="L268" s="7" t="str">
        <f t="shared" si="5"/>
        <v/>
      </c>
      <c r="M268" s="7" t="str">
        <f>IFERROR(__xludf.DUMMYFUNCTION("IFERROR(
  IF(
    F268 &gt;
    3*AVERAGE(
       FILTER($F$2:$F10491,
         $G$2:$G10491=G268,
         $A$2:$A10491&gt;=A268-20,
         $A$2:$A10491&lt;=A268
       )
    ),
    ""VOL_SPIKE_3X"",""""
  ),
"""")
"),"")</f>
        <v/>
      </c>
      <c r="N268" s="7" t="str">
        <f t="shared" si="6"/>
        <v/>
      </c>
      <c r="O268" s="7" t="str">
        <f t="shared" si="7"/>
        <v/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>
        <f>IFERROR(__xludf.DUMMYFUNCTION("""COMPUTED_VALUE"""),45588.0)</f>
        <v>45588</v>
      </c>
      <c r="B269" s="6">
        <f>IFERROR(__xludf.DUMMYFUNCTION("""COMPUTED_VALUE"""),270.0)</f>
        <v>270</v>
      </c>
      <c r="C269" s="6">
        <f>IFERROR(__xludf.DUMMYFUNCTION("""COMPUTED_VALUE"""),274.4)</f>
        <v>274.4</v>
      </c>
      <c r="D269" s="6">
        <f>IFERROR(__xludf.DUMMYFUNCTION("""COMPUTED_VALUE"""),265.05)</f>
        <v>265.05</v>
      </c>
      <c r="E269" s="6">
        <f>IFERROR(__xludf.DUMMYFUNCTION("""COMPUTED_VALUE"""),270.85)</f>
        <v>270.85</v>
      </c>
      <c r="F269" s="7">
        <f>IFERROR(__xludf.DUMMYFUNCTION("""COMPUTED_VALUE"""),1.8823321E7)</f>
        <v>18823321</v>
      </c>
      <c r="G269" s="7" t="str">
        <f>IFERROR(__xludf.DUMMYFUNCTION("""COMPUTED_VALUE"""),"ONGC.NS")</f>
        <v>ONGC.NS</v>
      </c>
      <c r="H269" s="8">
        <f t="shared" si="1"/>
        <v>0.003148148148</v>
      </c>
      <c r="I269" s="8">
        <f t="shared" si="2"/>
        <v>0.003148148148</v>
      </c>
      <c r="J269" s="7" t="str">
        <f t="shared" si="3"/>
        <v>Oct-2024</v>
      </c>
      <c r="K269" s="9">
        <f t="shared" si="4"/>
        <v>45566</v>
      </c>
      <c r="L269" s="7" t="str">
        <f t="shared" si="5"/>
        <v/>
      </c>
      <c r="M269" s="7" t="str">
        <f>IFERROR(__xludf.DUMMYFUNCTION("IFERROR(
  IF(
    F269 &gt;
    3*AVERAGE(
       FILTER($F$2:$F10491,
         $G$2:$G10491=G269,
         $A$2:$A10491&gt;=A269-20,
         $A$2:$A10491&lt;=A269
       )
    ),
    ""VOL_SPIKE_3X"",""""
  ),
"""")
"),"")</f>
        <v/>
      </c>
      <c r="N269" s="7" t="str">
        <f t="shared" si="6"/>
        <v/>
      </c>
      <c r="O269" s="7" t="str">
        <f t="shared" si="7"/>
        <v/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>
        <f>IFERROR(__xludf.DUMMYFUNCTION("""COMPUTED_VALUE"""),45588.0)</f>
        <v>45588</v>
      </c>
      <c r="B270" s="6">
        <f>IFERROR(__xludf.DUMMYFUNCTION("""COMPUTED_VALUE"""),319.2)</f>
        <v>319.2</v>
      </c>
      <c r="C270" s="6">
        <f>IFERROR(__xludf.DUMMYFUNCTION("""COMPUTED_VALUE"""),321.9)</f>
        <v>321.9</v>
      </c>
      <c r="D270" s="6">
        <f>IFERROR(__xludf.DUMMYFUNCTION("""COMPUTED_VALUE"""),313.85)</f>
        <v>313.85</v>
      </c>
      <c r="E270" s="6">
        <f>IFERROR(__xludf.DUMMYFUNCTION("""COMPUTED_VALUE"""),316.9)</f>
        <v>316.9</v>
      </c>
      <c r="F270" s="7">
        <f>IFERROR(__xludf.DUMMYFUNCTION("""COMPUTED_VALUE"""),1.2541589E7)</f>
        <v>12541589</v>
      </c>
      <c r="G270" s="7" t="str">
        <f>IFERROR(__xludf.DUMMYFUNCTION("""COMPUTED_VALUE"""),"POWERGRID.NS")</f>
        <v>POWERGRID.NS</v>
      </c>
      <c r="H270" s="8">
        <f t="shared" si="1"/>
        <v>-0.007205513784</v>
      </c>
      <c r="I270" s="8">
        <f t="shared" si="2"/>
        <v>0.007205513784</v>
      </c>
      <c r="J270" s="7" t="str">
        <f t="shared" si="3"/>
        <v>Oct-2024</v>
      </c>
      <c r="K270" s="9">
        <f t="shared" si="4"/>
        <v>45566</v>
      </c>
      <c r="L270" s="7" t="str">
        <f t="shared" si="5"/>
        <v/>
      </c>
      <c r="M270" s="7" t="str">
        <f>IFERROR(__xludf.DUMMYFUNCTION("IFERROR(
  IF(
    F270 &gt;
    3*AVERAGE(
       FILTER($F$2:$F10491,
         $G$2:$G10491=G270,
         $A$2:$A10491&gt;=A270-20,
         $A$2:$A10491&lt;=A270
       )
    ),
    ""VOL_SPIKE_3X"",""""
  ),
"""")
"),"")</f>
        <v/>
      </c>
      <c r="N270" s="7" t="str">
        <f t="shared" si="6"/>
        <v/>
      </c>
      <c r="O270" s="7" t="str">
        <f t="shared" si="7"/>
        <v/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>
        <f>IFERROR(__xludf.DUMMYFUNCTION("""COMPUTED_VALUE"""),45588.0)</f>
        <v>45588</v>
      </c>
      <c r="B271" s="6">
        <f>IFERROR(__xludf.DUMMYFUNCTION("""COMPUTED_VALUE"""),1337.5)</f>
        <v>1337.5</v>
      </c>
      <c r="C271" s="6">
        <f>IFERROR(__xludf.DUMMYFUNCTION("""COMPUTED_VALUE"""),1357.48)</f>
        <v>1357.48</v>
      </c>
      <c r="D271" s="6">
        <f>IFERROR(__xludf.DUMMYFUNCTION("""COMPUTED_VALUE"""),1335.0)</f>
        <v>1335</v>
      </c>
      <c r="E271" s="6">
        <f>IFERROR(__xludf.DUMMYFUNCTION("""COMPUTED_VALUE"""),1338.53)</f>
        <v>1338.53</v>
      </c>
      <c r="F271" s="7">
        <f>IFERROR(__xludf.DUMMYFUNCTION("""COMPUTED_VALUE"""),8607371.0)</f>
        <v>8607371</v>
      </c>
      <c r="G271" s="7" t="str">
        <f>IFERROR(__xludf.DUMMYFUNCTION("""COMPUTED_VALUE"""),"RELIANCE.NS")</f>
        <v>RELIANCE.NS</v>
      </c>
      <c r="H271" s="8">
        <f t="shared" si="1"/>
        <v>0.0007700934579</v>
      </c>
      <c r="I271" s="8">
        <f t="shared" si="2"/>
        <v>0.0007700934579</v>
      </c>
      <c r="J271" s="7" t="str">
        <f t="shared" si="3"/>
        <v>Oct-2024</v>
      </c>
      <c r="K271" s="9">
        <f t="shared" si="4"/>
        <v>45566</v>
      </c>
      <c r="L271" s="7" t="str">
        <f t="shared" si="5"/>
        <v/>
      </c>
      <c r="M271" s="7" t="str">
        <f>IFERROR(__xludf.DUMMYFUNCTION("IFERROR(
  IF(
    F271 &gt;
    3*AVERAGE(
       FILTER($F$2:$F10491,
         $G$2:$G10491=G271,
         $A$2:$A10491&gt;=A271-20,
         $A$2:$A10491&lt;=A271
       )
    ),
    ""VOL_SPIKE_3X"",""""
  ),
"""")
"),"")</f>
        <v/>
      </c>
      <c r="N271" s="7" t="str">
        <f t="shared" si="6"/>
        <v/>
      </c>
      <c r="O271" s="7" t="str">
        <f t="shared" si="7"/>
        <v/>
      </c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>
        <f>IFERROR(__xludf.DUMMYFUNCTION("""COMPUTED_VALUE"""),45589.0)</f>
        <v>45589</v>
      </c>
      <c r="B272" s="6">
        <f>IFERROR(__xludf.DUMMYFUNCTION("""COMPUTED_VALUE"""),981.9)</f>
        <v>981.9</v>
      </c>
      <c r="C272" s="6">
        <f>IFERROR(__xludf.DUMMYFUNCTION("""COMPUTED_VALUE"""),988.5)</f>
        <v>988.5</v>
      </c>
      <c r="D272" s="6">
        <f>IFERROR(__xludf.DUMMYFUNCTION("""COMPUTED_VALUE"""),969.0)</f>
        <v>969</v>
      </c>
      <c r="E272" s="6">
        <f>IFERROR(__xludf.DUMMYFUNCTION("""COMPUTED_VALUE"""),976.35)</f>
        <v>976.35</v>
      </c>
      <c r="F272" s="7">
        <f>IFERROR(__xludf.DUMMYFUNCTION("""COMPUTED_VALUE"""),1904115.0)</f>
        <v>1904115</v>
      </c>
      <c r="G272" s="7" t="str">
        <f>IFERROR(__xludf.DUMMYFUNCTION("""COMPUTED_VALUE"""),"ADANIENSOL.NS")</f>
        <v>ADANIENSOL.NS</v>
      </c>
      <c r="H272" s="8">
        <f t="shared" si="1"/>
        <v>-0.005652306752</v>
      </c>
      <c r="I272" s="8">
        <f t="shared" si="2"/>
        <v>0.005652306752</v>
      </c>
      <c r="J272" s="7" t="str">
        <f t="shared" si="3"/>
        <v>Oct-2024</v>
      </c>
      <c r="K272" s="9">
        <f t="shared" si="4"/>
        <v>45566</v>
      </c>
      <c r="L272" s="7" t="str">
        <f t="shared" si="5"/>
        <v/>
      </c>
      <c r="M272" s="7" t="str">
        <f>IFERROR(__xludf.DUMMYFUNCTION("IFERROR(
  IF(
    F272 &gt;
    3*AVERAGE(
       FILTER($F$2:$F10491,
         $G$2:$G10491=G272,
         $A$2:$A10491&gt;=A272-20,
         $A$2:$A10491&lt;=A272
       )
    ),
    ""VOL_SPIKE_3X"",""""
  ),
"""")
"),"")</f>
        <v/>
      </c>
      <c r="N272" s="7" t="str">
        <f t="shared" si="6"/>
        <v/>
      </c>
      <c r="O272" s="7" t="str">
        <f t="shared" si="7"/>
        <v/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>
        <f>IFERROR(__xludf.DUMMYFUNCTION("""COMPUTED_VALUE"""),45589.0)</f>
        <v>45589</v>
      </c>
      <c r="B273" s="6">
        <f>IFERROR(__xludf.DUMMYFUNCTION("""COMPUTED_VALUE"""),1691.0)</f>
        <v>1691</v>
      </c>
      <c r="C273" s="6">
        <f>IFERROR(__xludf.DUMMYFUNCTION("""COMPUTED_VALUE"""),1710.85)</f>
        <v>1710.85</v>
      </c>
      <c r="D273" s="6">
        <f>IFERROR(__xludf.DUMMYFUNCTION("""COMPUTED_VALUE"""),1681.0)</f>
        <v>1681</v>
      </c>
      <c r="E273" s="6">
        <f>IFERROR(__xludf.DUMMYFUNCTION("""COMPUTED_VALUE"""),1692.4)</f>
        <v>1692.4</v>
      </c>
      <c r="F273" s="7">
        <f>IFERROR(__xludf.DUMMYFUNCTION("""COMPUTED_VALUE"""),472958.0)</f>
        <v>472958</v>
      </c>
      <c r="G273" s="7" t="str">
        <f>IFERROR(__xludf.DUMMYFUNCTION("""COMPUTED_VALUE"""),"ADANIGREEN.NS")</f>
        <v>ADANIGREEN.NS</v>
      </c>
      <c r="H273" s="8">
        <f t="shared" si="1"/>
        <v>0.0008279124778</v>
      </c>
      <c r="I273" s="8">
        <f t="shared" si="2"/>
        <v>0.0008279124778</v>
      </c>
      <c r="J273" s="7" t="str">
        <f t="shared" si="3"/>
        <v>Oct-2024</v>
      </c>
      <c r="K273" s="9">
        <f t="shared" si="4"/>
        <v>45566</v>
      </c>
      <c r="L273" s="7" t="str">
        <f t="shared" si="5"/>
        <v/>
      </c>
      <c r="M273" s="7" t="str">
        <f>IFERROR(__xludf.DUMMYFUNCTION("IFERROR(
  IF(
    F273 &gt;
    3*AVERAGE(
       FILTER($F$2:$F10491,
         $G$2:$G10491=G273,
         $A$2:$A10491&gt;=A273-20,
         $A$2:$A10491&lt;=A273
       )
    ),
    ""VOL_SPIKE_3X"",""""
  ),
"""")
"),"")</f>
        <v/>
      </c>
      <c r="N273" s="7" t="str">
        <f t="shared" si="6"/>
        <v/>
      </c>
      <c r="O273" s="7" t="str">
        <f t="shared" si="7"/>
        <v/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>
        <f>IFERROR(__xludf.DUMMYFUNCTION("""COMPUTED_VALUE"""),45589.0)</f>
        <v>45589</v>
      </c>
      <c r="B274" s="6">
        <f>IFERROR(__xludf.DUMMYFUNCTION("""COMPUTED_VALUE"""),323.0)</f>
        <v>323</v>
      </c>
      <c r="C274" s="6">
        <f>IFERROR(__xludf.DUMMYFUNCTION("""COMPUTED_VALUE"""),325.4)</f>
        <v>325.4</v>
      </c>
      <c r="D274" s="6">
        <f>IFERROR(__xludf.DUMMYFUNCTION("""COMPUTED_VALUE"""),320.0)</f>
        <v>320</v>
      </c>
      <c r="E274" s="6">
        <f>IFERROR(__xludf.DUMMYFUNCTION("""COMPUTED_VALUE"""),321.45)</f>
        <v>321.45</v>
      </c>
      <c r="F274" s="7">
        <f>IFERROR(__xludf.DUMMYFUNCTION("""COMPUTED_VALUE"""),5706821.0)</f>
        <v>5706821</v>
      </c>
      <c r="G274" s="7" t="str">
        <f>IFERROR(__xludf.DUMMYFUNCTION("""COMPUTED_VALUE"""),"BPCL.NS")</f>
        <v>BPCL.NS</v>
      </c>
      <c r="H274" s="8">
        <f t="shared" si="1"/>
        <v>-0.00479876161</v>
      </c>
      <c r="I274" s="8">
        <f t="shared" si="2"/>
        <v>0.00479876161</v>
      </c>
      <c r="J274" s="7" t="str">
        <f t="shared" si="3"/>
        <v>Oct-2024</v>
      </c>
      <c r="K274" s="9">
        <f t="shared" si="4"/>
        <v>45566</v>
      </c>
      <c r="L274" s="7" t="str">
        <f t="shared" si="5"/>
        <v/>
      </c>
      <c r="M274" s="7" t="str">
        <f>IFERROR(__xludf.DUMMYFUNCTION("IFERROR(
  IF(
    F274 &gt;
    3*AVERAGE(
       FILTER($F$2:$F10491,
         $G$2:$G10491=G274,
         $A$2:$A10491&gt;=A274-20,
         $A$2:$A10491&lt;=A274
       )
    ),
    ""VOL_SPIKE_3X"",""""
  ),
"""")
"),"")</f>
        <v/>
      </c>
      <c r="N274" s="7" t="str">
        <f t="shared" si="6"/>
        <v/>
      </c>
      <c r="O274" s="7" t="str">
        <f t="shared" si="7"/>
        <v/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>
        <f>IFERROR(__xludf.DUMMYFUNCTION("""COMPUTED_VALUE"""),45589.0)</f>
        <v>45589</v>
      </c>
      <c r="B275" s="6">
        <f>IFERROR(__xludf.DUMMYFUNCTION("""COMPUTED_VALUE"""),474.1)</f>
        <v>474.1</v>
      </c>
      <c r="C275" s="6">
        <f>IFERROR(__xludf.DUMMYFUNCTION("""COMPUTED_VALUE"""),483.8)</f>
        <v>483.8</v>
      </c>
      <c r="D275" s="6">
        <f>IFERROR(__xludf.DUMMYFUNCTION("""COMPUTED_VALUE"""),473.05)</f>
        <v>473.05</v>
      </c>
      <c r="E275" s="6">
        <f>IFERROR(__xludf.DUMMYFUNCTION("""COMPUTED_VALUE"""),477.25)</f>
        <v>477.25</v>
      </c>
      <c r="F275" s="7">
        <f>IFERROR(__xludf.DUMMYFUNCTION("""COMPUTED_VALUE"""),5045880.0)</f>
        <v>5045880</v>
      </c>
      <c r="G275" s="7" t="str">
        <f>IFERROR(__xludf.DUMMYFUNCTION("""COMPUTED_VALUE"""),"COALINDIA.NS")</f>
        <v>COALINDIA.NS</v>
      </c>
      <c r="H275" s="8">
        <f t="shared" si="1"/>
        <v>0.006644167897</v>
      </c>
      <c r="I275" s="8">
        <f t="shared" si="2"/>
        <v>0.006644167897</v>
      </c>
      <c r="J275" s="7" t="str">
        <f t="shared" si="3"/>
        <v>Oct-2024</v>
      </c>
      <c r="K275" s="9">
        <f t="shared" si="4"/>
        <v>45566</v>
      </c>
      <c r="L275" s="7" t="str">
        <f t="shared" si="5"/>
        <v/>
      </c>
      <c r="M275" s="7" t="str">
        <f>IFERROR(__xludf.DUMMYFUNCTION("IFERROR(
  IF(
    F275 &gt;
    3*AVERAGE(
       FILTER($F$2:$F10491,
         $G$2:$G10491=G275,
         $A$2:$A10491&gt;=A275-20,
         $A$2:$A10491&lt;=A275
       )
    ),
    ""VOL_SPIKE_3X"",""""
  ),
"""")
"),"")</f>
        <v/>
      </c>
      <c r="N275" s="7" t="str">
        <f t="shared" si="6"/>
        <v/>
      </c>
      <c r="O275" s="7" t="str">
        <f t="shared" si="7"/>
        <v/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>
        <f>IFERROR(__xludf.DUMMYFUNCTION("""COMPUTED_VALUE"""),45589.0)</f>
        <v>45589</v>
      </c>
      <c r="B276" s="6">
        <f>IFERROR(__xludf.DUMMYFUNCTION("""COMPUTED_VALUE"""),396.0)</f>
        <v>396</v>
      </c>
      <c r="C276" s="6">
        <f>IFERROR(__xludf.DUMMYFUNCTION("""COMPUTED_VALUE"""),405.4)</f>
        <v>405.4</v>
      </c>
      <c r="D276" s="6">
        <f>IFERROR(__xludf.DUMMYFUNCTION("""COMPUTED_VALUE"""),393.45)</f>
        <v>393.45</v>
      </c>
      <c r="E276" s="6">
        <f>IFERROR(__xludf.DUMMYFUNCTION("""COMPUTED_VALUE"""),404.75)</f>
        <v>404.75</v>
      </c>
      <c r="F276" s="7">
        <f>IFERROR(__xludf.DUMMYFUNCTION("""COMPUTED_VALUE"""),7703516.0)</f>
        <v>7703516</v>
      </c>
      <c r="G276" s="7" t="str">
        <f>IFERROR(__xludf.DUMMYFUNCTION("""COMPUTED_VALUE"""),"HINDPETRO.NS")</f>
        <v>HINDPETRO.NS</v>
      </c>
      <c r="H276" s="8">
        <f t="shared" si="1"/>
        <v>0.0220959596</v>
      </c>
      <c r="I276" s="8">
        <f t="shared" si="2"/>
        <v>0.0220959596</v>
      </c>
      <c r="J276" s="7" t="str">
        <f t="shared" si="3"/>
        <v>Oct-2024</v>
      </c>
      <c r="K276" s="9">
        <f t="shared" si="4"/>
        <v>45566</v>
      </c>
      <c r="L276" s="7" t="str">
        <f t="shared" si="5"/>
        <v/>
      </c>
      <c r="M276" s="7" t="str">
        <f>IFERROR(__xludf.DUMMYFUNCTION("IFERROR(
  IF(
    F276 &gt;
    3*AVERAGE(
       FILTER($F$2:$F10491,
         $G$2:$G10491=G276,
         $A$2:$A10491&gt;=A276-20,
         $A$2:$A10491&lt;=A276
       )
    ),
    ""VOL_SPIKE_3X"",""""
  ),
"""")
"),"")</f>
        <v/>
      </c>
      <c r="N276" s="7" t="str">
        <f t="shared" si="6"/>
        <v/>
      </c>
      <c r="O276" s="7" t="str">
        <f t="shared" si="7"/>
        <v/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>
        <f>IFERROR(__xludf.DUMMYFUNCTION("""COMPUTED_VALUE"""),45589.0)</f>
        <v>45589</v>
      </c>
      <c r="B277" s="6">
        <f>IFERROR(__xludf.DUMMYFUNCTION("""COMPUTED_VALUE"""),152.94)</f>
        <v>152.94</v>
      </c>
      <c r="C277" s="6">
        <f>IFERROR(__xludf.DUMMYFUNCTION("""COMPUTED_VALUE"""),154.34)</f>
        <v>154.34</v>
      </c>
      <c r="D277" s="6">
        <f>IFERROR(__xludf.DUMMYFUNCTION("""COMPUTED_VALUE"""),152.52)</f>
        <v>152.52</v>
      </c>
      <c r="E277" s="6">
        <f>IFERROR(__xludf.DUMMYFUNCTION("""COMPUTED_VALUE"""),153.27)</f>
        <v>153.27</v>
      </c>
      <c r="F277" s="7">
        <f>IFERROR(__xludf.DUMMYFUNCTION("""COMPUTED_VALUE"""),8648491.0)</f>
        <v>8648491</v>
      </c>
      <c r="G277" s="7" t="str">
        <f>IFERROR(__xludf.DUMMYFUNCTION("""COMPUTED_VALUE"""),"IOC.NS")</f>
        <v>IOC.NS</v>
      </c>
      <c r="H277" s="8">
        <f t="shared" si="1"/>
        <v>0.002157708905</v>
      </c>
      <c r="I277" s="8">
        <f t="shared" si="2"/>
        <v>0.002157708905</v>
      </c>
      <c r="J277" s="7" t="str">
        <f t="shared" si="3"/>
        <v>Oct-2024</v>
      </c>
      <c r="K277" s="9">
        <f t="shared" si="4"/>
        <v>45566</v>
      </c>
      <c r="L277" s="7" t="str">
        <f t="shared" si="5"/>
        <v/>
      </c>
      <c r="M277" s="7" t="str">
        <f>IFERROR(__xludf.DUMMYFUNCTION("IFERROR(
  IF(
    F277 &gt;
    3*AVERAGE(
       FILTER($F$2:$F10491,
         $G$2:$G10491=G277,
         $A$2:$A10491&gt;=A277-20,
         $A$2:$A10491&lt;=A277
       )
    ),
    ""VOL_SPIKE_3X"",""""
  ),
"""")
"),"")</f>
        <v/>
      </c>
      <c r="N277" s="7" t="str">
        <f t="shared" si="6"/>
        <v/>
      </c>
      <c r="O277" s="7" t="str">
        <f t="shared" si="7"/>
        <v/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>
        <f>IFERROR(__xludf.DUMMYFUNCTION("""COMPUTED_VALUE"""),45589.0)</f>
        <v>45589</v>
      </c>
      <c r="B278" s="6">
        <f>IFERROR(__xludf.DUMMYFUNCTION("""COMPUTED_VALUE"""),409.25)</f>
        <v>409.25</v>
      </c>
      <c r="C278" s="6">
        <f>IFERROR(__xludf.DUMMYFUNCTION("""COMPUTED_VALUE"""),415.25)</f>
        <v>415.25</v>
      </c>
      <c r="D278" s="6">
        <f>IFERROR(__xludf.DUMMYFUNCTION("""COMPUTED_VALUE"""),406.8)</f>
        <v>406.8</v>
      </c>
      <c r="E278" s="6">
        <f>IFERROR(__xludf.DUMMYFUNCTION("""COMPUTED_VALUE"""),411.9)</f>
        <v>411.9</v>
      </c>
      <c r="F278" s="7">
        <f>IFERROR(__xludf.DUMMYFUNCTION("""COMPUTED_VALUE"""),9400171.0)</f>
        <v>9400171</v>
      </c>
      <c r="G278" s="7" t="str">
        <f>IFERROR(__xludf.DUMMYFUNCTION("""COMPUTED_VALUE"""),"NTPC.NS")</f>
        <v>NTPC.NS</v>
      </c>
      <c r="H278" s="8">
        <f t="shared" si="1"/>
        <v>0.006475259621</v>
      </c>
      <c r="I278" s="8">
        <f t="shared" si="2"/>
        <v>0.006475259621</v>
      </c>
      <c r="J278" s="7" t="str">
        <f t="shared" si="3"/>
        <v>Oct-2024</v>
      </c>
      <c r="K278" s="9">
        <f t="shared" si="4"/>
        <v>45566</v>
      </c>
      <c r="L278" s="7" t="str">
        <f t="shared" si="5"/>
        <v/>
      </c>
      <c r="M278" s="7" t="str">
        <f>IFERROR(__xludf.DUMMYFUNCTION("IFERROR(
  IF(
    F278 &gt;
    3*AVERAGE(
       FILTER($F$2:$F10491,
         $G$2:$G10491=G278,
         $A$2:$A10491&gt;=A278-20,
         $A$2:$A10491&lt;=A278
       )
    ),
    ""VOL_SPIKE_3X"",""""
  ),
"""")
"),"")</f>
        <v/>
      </c>
      <c r="N278" s="7" t="str">
        <f t="shared" si="6"/>
        <v/>
      </c>
      <c r="O278" s="7" t="str">
        <f t="shared" si="7"/>
        <v/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>
        <f>IFERROR(__xludf.DUMMYFUNCTION("""COMPUTED_VALUE"""),45589.0)</f>
        <v>45589</v>
      </c>
      <c r="B279" s="6">
        <f>IFERROR(__xludf.DUMMYFUNCTION("""COMPUTED_VALUE"""),271.9)</f>
        <v>271.9</v>
      </c>
      <c r="C279" s="6">
        <f>IFERROR(__xludf.DUMMYFUNCTION("""COMPUTED_VALUE"""),272.45)</f>
        <v>272.45</v>
      </c>
      <c r="D279" s="6">
        <f>IFERROR(__xludf.DUMMYFUNCTION("""COMPUTED_VALUE"""),268.35)</f>
        <v>268.35</v>
      </c>
      <c r="E279" s="6">
        <f>IFERROR(__xludf.DUMMYFUNCTION("""COMPUTED_VALUE"""),269.1)</f>
        <v>269.1</v>
      </c>
      <c r="F279" s="7">
        <f>IFERROR(__xludf.DUMMYFUNCTION("""COMPUTED_VALUE"""),7488521.0)</f>
        <v>7488521</v>
      </c>
      <c r="G279" s="7" t="str">
        <f>IFERROR(__xludf.DUMMYFUNCTION("""COMPUTED_VALUE"""),"ONGC.NS")</f>
        <v>ONGC.NS</v>
      </c>
      <c r="H279" s="8">
        <f t="shared" si="1"/>
        <v>-0.01029790364</v>
      </c>
      <c r="I279" s="8">
        <f t="shared" si="2"/>
        <v>0.01029790364</v>
      </c>
      <c r="J279" s="7" t="str">
        <f t="shared" si="3"/>
        <v>Oct-2024</v>
      </c>
      <c r="K279" s="9">
        <f t="shared" si="4"/>
        <v>45566</v>
      </c>
      <c r="L279" s="7" t="str">
        <f t="shared" si="5"/>
        <v/>
      </c>
      <c r="M279" s="7" t="str">
        <f>IFERROR(__xludf.DUMMYFUNCTION("IFERROR(
  IF(
    F279 &gt;
    3*AVERAGE(
       FILTER($F$2:$F10491,
         $G$2:$G10491=G279,
         $A$2:$A10491&gt;=A279-20,
         $A$2:$A10491&lt;=A279
       )
    ),
    ""VOL_SPIKE_3X"",""""
  ),
"""")
"),"")</f>
        <v/>
      </c>
      <c r="N279" s="7" t="str">
        <f t="shared" si="6"/>
        <v/>
      </c>
      <c r="O279" s="7" t="str">
        <f t="shared" si="7"/>
        <v/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>
        <f>IFERROR(__xludf.DUMMYFUNCTION("""COMPUTED_VALUE"""),45589.0)</f>
        <v>45589</v>
      </c>
      <c r="B280" s="6">
        <f>IFERROR(__xludf.DUMMYFUNCTION("""COMPUTED_VALUE"""),315.25)</f>
        <v>315.25</v>
      </c>
      <c r="C280" s="6">
        <f>IFERROR(__xludf.DUMMYFUNCTION("""COMPUTED_VALUE"""),320.8)</f>
        <v>320.8</v>
      </c>
      <c r="D280" s="6">
        <f>IFERROR(__xludf.DUMMYFUNCTION("""COMPUTED_VALUE"""),315.25)</f>
        <v>315.25</v>
      </c>
      <c r="E280" s="6">
        <f>IFERROR(__xludf.DUMMYFUNCTION("""COMPUTED_VALUE"""),319.15)</f>
        <v>319.15</v>
      </c>
      <c r="F280" s="7">
        <f>IFERROR(__xludf.DUMMYFUNCTION("""COMPUTED_VALUE"""),8327779.0)</f>
        <v>8327779</v>
      </c>
      <c r="G280" s="7" t="str">
        <f>IFERROR(__xludf.DUMMYFUNCTION("""COMPUTED_VALUE"""),"POWERGRID.NS")</f>
        <v>POWERGRID.NS</v>
      </c>
      <c r="H280" s="8">
        <f t="shared" si="1"/>
        <v>0.01237113402</v>
      </c>
      <c r="I280" s="8">
        <f t="shared" si="2"/>
        <v>0.01237113402</v>
      </c>
      <c r="J280" s="7" t="str">
        <f t="shared" si="3"/>
        <v>Oct-2024</v>
      </c>
      <c r="K280" s="9">
        <f t="shared" si="4"/>
        <v>45566</v>
      </c>
      <c r="L280" s="7" t="str">
        <f t="shared" si="5"/>
        <v/>
      </c>
      <c r="M280" s="7" t="str">
        <f>IFERROR(__xludf.DUMMYFUNCTION("IFERROR(
  IF(
    F280 &gt;
    3*AVERAGE(
       FILTER($F$2:$F10491,
         $G$2:$G10491=G280,
         $A$2:$A10491&gt;=A280-20,
         $A$2:$A10491&lt;=A280
       )
    ),
    ""VOL_SPIKE_3X"",""""
  ),
"""")
"),"")</f>
        <v/>
      </c>
      <c r="N280" s="7" t="str">
        <f t="shared" si="6"/>
        <v/>
      </c>
      <c r="O280" s="7" t="str">
        <f t="shared" si="7"/>
        <v/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>
        <f>IFERROR(__xludf.DUMMYFUNCTION("""COMPUTED_VALUE"""),45589.0)</f>
        <v>45589</v>
      </c>
      <c r="B281" s="6">
        <f>IFERROR(__xludf.DUMMYFUNCTION("""COMPUTED_VALUE"""),1335.28)</f>
        <v>1335.28</v>
      </c>
      <c r="C281" s="6">
        <f>IFERROR(__xludf.DUMMYFUNCTION("""COMPUTED_VALUE"""),1343.7)</f>
        <v>1343.7</v>
      </c>
      <c r="D281" s="6">
        <f>IFERROR(__xludf.DUMMYFUNCTION("""COMPUTED_VALUE"""),1323.13)</f>
        <v>1323.13</v>
      </c>
      <c r="E281" s="6">
        <f>IFERROR(__xludf.DUMMYFUNCTION("""COMPUTED_VALUE"""),1339.8)</f>
        <v>1339.8</v>
      </c>
      <c r="F281" s="7">
        <f>IFERROR(__xludf.DUMMYFUNCTION("""COMPUTED_VALUE"""),1.1077967E7)</f>
        <v>11077967</v>
      </c>
      <c r="G281" s="7" t="str">
        <f>IFERROR(__xludf.DUMMYFUNCTION("""COMPUTED_VALUE"""),"RELIANCE.NS")</f>
        <v>RELIANCE.NS</v>
      </c>
      <c r="H281" s="8">
        <f t="shared" si="1"/>
        <v>0.003385057816</v>
      </c>
      <c r="I281" s="8">
        <f t="shared" si="2"/>
        <v>0.003385057816</v>
      </c>
      <c r="J281" s="7" t="str">
        <f t="shared" si="3"/>
        <v>Oct-2024</v>
      </c>
      <c r="K281" s="9">
        <f t="shared" si="4"/>
        <v>45566</v>
      </c>
      <c r="L281" s="7" t="str">
        <f t="shared" si="5"/>
        <v/>
      </c>
      <c r="M281" s="7" t="str">
        <f>IFERROR(__xludf.DUMMYFUNCTION("IFERROR(
  IF(
    F281 &gt;
    3*AVERAGE(
       FILTER($F$2:$F10491,
         $G$2:$G10491=G281,
         $A$2:$A10491&gt;=A281-20,
         $A$2:$A10491&lt;=A281
       )
    ),
    ""VOL_SPIKE_3X"",""""
  ),
"""")
"),"")</f>
        <v/>
      </c>
      <c r="N281" s="7" t="str">
        <f t="shared" si="6"/>
        <v/>
      </c>
      <c r="O281" s="7" t="str">
        <f t="shared" si="7"/>
        <v/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>
        <f>IFERROR(__xludf.DUMMYFUNCTION("""COMPUTED_VALUE"""),45590.0)</f>
        <v>45590</v>
      </c>
      <c r="B282" s="6">
        <f>IFERROR(__xludf.DUMMYFUNCTION("""COMPUTED_VALUE"""),975.0)</f>
        <v>975</v>
      </c>
      <c r="C282" s="6">
        <f>IFERROR(__xludf.DUMMYFUNCTION("""COMPUTED_VALUE"""),975.75)</f>
        <v>975.75</v>
      </c>
      <c r="D282" s="6">
        <f>IFERROR(__xludf.DUMMYFUNCTION("""COMPUTED_VALUE"""),905.1)</f>
        <v>905.1</v>
      </c>
      <c r="E282" s="6">
        <f>IFERROR(__xludf.DUMMYFUNCTION("""COMPUTED_VALUE"""),919.35)</f>
        <v>919.35</v>
      </c>
      <c r="F282" s="7">
        <f>IFERROR(__xludf.DUMMYFUNCTION("""COMPUTED_VALUE"""),1689777.0)</f>
        <v>1689777</v>
      </c>
      <c r="G282" s="7" t="str">
        <f>IFERROR(__xludf.DUMMYFUNCTION("""COMPUTED_VALUE"""),"ADANIENSOL.NS")</f>
        <v>ADANIENSOL.NS</v>
      </c>
      <c r="H282" s="8">
        <f t="shared" si="1"/>
        <v>-0.05707692308</v>
      </c>
      <c r="I282" s="8">
        <f t="shared" si="2"/>
        <v>0.05707692308</v>
      </c>
      <c r="J282" s="7" t="str">
        <f t="shared" si="3"/>
        <v>Oct-2024</v>
      </c>
      <c r="K282" s="9">
        <f t="shared" si="4"/>
        <v>45566</v>
      </c>
      <c r="L282" s="7" t="str">
        <f t="shared" si="5"/>
        <v>PRICE_MOVE_5PCT+</v>
      </c>
      <c r="M282" s="7" t="str">
        <f>IFERROR(__xludf.DUMMYFUNCTION("IFERROR(
  IF(
    F282 &gt;
    3*AVERAGE(
       FILTER($F$2:$F10491,
         $G$2:$G10491=G282,
         $A$2:$A10491&gt;=A282-20,
         $A$2:$A10491&lt;=A282
       )
    ),
    ""VOL_SPIKE_3X"",""""
  ),
"""")
"),"")</f>
        <v/>
      </c>
      <c r="N282" s="7" t="str">
        <f t="shared" si="6"/>
        <v>PRICE_MOVE_5PCT+</v>
      </c>
      <c r="O282" s="7" t="str">
        <f t="shared" si="7"/>
        <v/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>
        <f>IFERROR(__xludf.DUMMYFUNCTION("""COMPUTED_VALUE"""),45590.0)</f>
        <v>45590</v>
      </c>
      <c r="B283" s="6">
        <f>IFERROR(__xludf.DUMMYFUNCTION("""COMPUTED_VALUE"""),1700.0)</f>
        <v>1700</v>
      </c>
      <c r="C283" s="6">
        <f>IFERROR(__xludf.DUMMYFUNCTION("""COMPUTED_VALUE"""),1718.9)</f>
        <v>1718.9</v>
      </c>
      <c r="D283" s="6">
        <f>IFERROR(__xludf.DUMMYFUNCTION("""COMPUTED_VALUE"""),1625.0)</f>
        <v>1625</v>
      </c>
      <c r="E283" s="6">
        <f>IFERROR(__xludf.DUMMYFUNCTION("""COMPUTED_VALUE"""),1644.0)</f>
        <v>1644</v>
      </c>
      <c r="F283" s="7">
        <f>IFERROR(__xludf.DUMMYFUNCTION("""COMPUTED_VALUE"""),707626.0)</f>
        <v>707626</v>
      </c>
      <c r="G283" s="7" t="str">
        <f>IFERROR(__xludf.DUMMYFUNCTION("""COMPUTED_VALUE"""),"ADANIGREEN.NS")</f>
        <v>ADANIGREEN.NS</v>
      </c>
      <c r="H283" s="8">
        <f t="shared" si="1"/>
        <v>-0.03294117647</v>
      </c>
      <c r="I283" s="8">
        <f t="shared" si="2"/>
        <v>0.03294117647</v>
      </c>
      <c r="J283" s="7" t="str">
        <f t="shared" si="3"/>
        <v>Oct-2024</v>
      </c>
      <c r="K283" s="9">
        <f t="shared" si="4"/>
        <v>45566</v>
      </c>
      <c r="L283" s="7" t="str">
        <f t="shared" si="5"/>
        <v/>
      </c>
      <c r="M283" s="7" t="str">
        <f>IFERROR(__xludf.DUMMYFUNCTION("IFERROR(
  IF(
    F283 &gt;
    3*AVERAGE(
       FILTER($F$2:$F10491,
         $G$2:$G10491=G283,
         $A$2:$A10491&gt;=A283-20,
         $A$2:$A10491&lt;=A283
       )
    ),
    ""VOL_SPIKE_3X"",""""
  ),
"""")
"),"")</f>
        <v/>
      </c>
      <c r="N283" s="7" t="str">
        <f t="shared" si="6"/>
        <v/>
      </c>
      <c r="O283" s="7" t="str">
        <f t="shared" si="7"/>
        <v/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>
        <f>IFERROR(__xludf.DUMMYFUNCTION("""COMPUTED_VALUE"""),45590.0)</f>
        <v>45590</v>
      </c>
      <c r="B284" s="6">
        <f>IFERROR(__xludf.DUMMYFUNCTION("""COMPUTED_VALUE"""),323.45)</f>
        <v>323.45</v>
      </c>
      <c r="C284" s="6">
        <f>IFERROR(__xludf.DUMMYFUNCTION("""COMPUTED_VALUE"""),323.6)</f>
        <v>323.6</v>
      </c>
      <c r="D284" s="6">
        <f>IFERROR(__xludf.DUMMYFUNCTION("""COMPUTED_VALUE"""),303.1)</f>
        <v>303.1</v>
      </c>
      <c r="E284" s="6">
        <f>IFERROR(__xludf.DUMMYFUNCTION("""COMPUTED_VALUE"""),306.3)</f>
        <v>306.3</v>
      </c>
      <c r="F284" s="7">
        <f>IFERROR(__xludf.DUMMYFUNCTION("""COMPUTED_VALUE"""),1.1583887E7)</f>
        <v>11583887</v>
      </c>
      <c r="G284" s="7" t="str">
        <f>IFERROR(__xludf.DUMMYFUNCTION("""COMPUTED_VALUE"""),"BPCL.NS")</f>
        <v>BPCL.NS</v>
      </c>
      <c r="H284" s="8">
        <f t="shared" si="1"/>
        <v>-0.05302210543</v>
      </c>
      <c r="I284" s="8">
        <f t="shared" si="2"/>
        <v>0.05302210543</v>
      </c>
      <c r="J284" s="7" t="str">
        <f t="shared" si="3"/>
        <v>Oct-2024</v>
      </c>
      <c r="K284" s="9">
        <f t="shared" si="4"/>
        <v>45566</v>
      </c>
      <c r="L284" s="7" t="str">
        <f t="shared" si="5"/>
        <v>PRICE_MOVE_5PCT+</v>
      </c>
      <c r="M284" s="7" t="str">
        <f>IFERROR(__xludf.DUMMYFUNCTION("IFERROR(
  IF(
    F284 &gt;
    3*AVERAGE(
       FILTER($F$2:$F10491,
         $G$2:$G10491=G284,
         $A$2:$A10491&gt;=A284-20,
         $A$2:$A10491&lt;=A284
       )
    ),
    ""VOL_SPIKE_3X"",""""
  ),
"""")
"),"")</f>
        <v/>
      </c>
      <c r="N284" s="7" t="str">
        <f t="shared" si="6"/>
        <v>PRICE_MOVE_5PCT+</v>
      </c>
      <c r="O284" s="7" t="str">
        <f t="shared" si="7"/>
        <v/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>
        <f>IFERROR(__xludf.DUMMYFUNCTION("""COMPUTED_VALUE"""),45590.0)</f>
        <v>45590</v>
      </c>
      <c r="B285" s="6">
        <f>IFERROR(__xludf.DUMMYFUNCTION("""COMPUTED_VALUE"""),478.1)</f>
        <v>478.1</v>
      </c>
      <c r="C285" s="6">
        <f>IFERROR(__xludf.DUMMYFUNCTION("""COMPUTED_VALUE"""),479.05)</f>
        <v>479.05</v>
      </c>
      <c r="D285" s="6">
        <f>IFERROR(__xludf.DUMMYFUNCTION("""COMPUTED_VALUE"""),459.0)</f>
        <v>459</v>
      </c>
      <c r="E285" s="6">
        <f>IFERROR(__xludf.DUMMYFUNCTION("""COMPUTED_VALUE"""),461.1)</f>
        <v>461.1</v>
      </c>
      <c r="F285" s="7">
        <f>IFERROR(__xludf.DUMMYFUNCTION("""COMPUTED_VALUE"""),1.0330954E7)</f>
        <v>10330954</v>
      </c>
      <c r="G285" s="7" t="str">
        <f>IFERROR(__xludf.DUMMYFUNCTION("""COMPUTED_VALUE"""),"COALINDIA.NS")</f>
        <v>COALINDIA.NS</v>
      </c>
      <c r="H285" s="8">
        <f t="shared" si="1"/>
        <v>-0.03555741477</v>
      </c>
      <c r="I285" s="8">
        <f t="shared" si="2"/>
        <v>0.03555741477</v>
      </c>
      <c r="J285" s="7" t="str">
        <f t="shared" si="3"/>
        <v>Oct-2024</v>
      </c>
      <c r="K285" s="9">
        <f t="shared" si="4"/>
        <v>45566</v>
      </c>
      <c r="L285" s="7" t="str">
        <f t="shared" si="5"/>
        <v/>
      </c>
      <c r="M285" s="7" t="str">
        <f>IFERROR(__xludf.DUMMYFUNCTION("IFERROR(
  IF(
    F285 &gt;
    3*AVERAGE(
       FILTER($F$2:$F10491,
         $G$2:$G10491=G285,
         $A$2:$A10491&gt;=A285-20,
         $A$2:$A10491&lt;=A285
       )
    ),
    ""VOL_SPIKE_3X"",""""
  ),
"""")
"),"")</f>
        <v/>
      </c>
      <c r="N285" s="7" t="str">
        <f t="shared" si="6"/>
        <v/>
      </c>
      <c r="O285" s="7" t="str">
        <f t="shared" si="7"/>
        <v/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>
        <f>IFERROR(__xludf.DUMMYFUNCTION("""COMPUTED_VALUE"""),45590.0)</f>
        <v>45590</v>
      </c>
      <c r="B286" s="6">
        <f>IFERROR(__xludf.DUMMYFUNCTION("""COMPUTED_VALUE"""),406.0)</f>
        <v>406</v>
      </c>
      <c r="C286" s="6">
        <f>IFERROR(__xludf.DUMMYFUNCTION("""COMPUTED_VALUE"""),406.0)</f>
        <v>406</v>
      </c>
      <c r="D286" s="6">
        <f>IFERROR(__xludf.DUMMYFUNCTION("""COMPUTED_VALUE"""),370.65)</f>
        <v>370.65</v>
      </c>
      <c r="E286" s="6">
        <f>IFERROR(__xludf.DUMMYFUNCTION("""COMPUTED_VALUE"""),372.4)</f>
        <v>372.4</v>
      </c>
      <c r="F286" s="7">
        <f>IFERROR(__xludf.DUMMYFUNCTION("""COMPUTED_VALUE"""),8522829.0)</f>
        <v>8522829</v>
      </c>
      <c r="G286" s="7" t="str">
        <f>IFERROR(__xludf.DUMMYFUNCTION("""COMPUTED_VALUE"""),"HINDPETRO.NS")</f>
        <v>HINDPETRO.NS</v>
      </c>
      <c r="H286" s="8">
        <f t="shared" si="1"/>
        <v>-0.08275862069</v>
      </c>
      <c r="I286" s="8">
        <f t="shared" si="2"/>
        <v>0.08275862069</v>
      </c>
      <c r="J286" s="7" t="str">
        <f t="shared" si="3"/>
        <v>Oct-2024</v>
      </c>
      <c r="K286" s="9">
        <f t="shared" si="4"/>
        <v>45566</v>
      </c>
      <c r="L286" s="7" t="str">
        <f t="shared" si="5"/>
        <v>PRICE_MOVE_5PCT+</v>
      </c>
      <c r="M286" s="7" t="str">
        <f>IFERROR(__xludf.DUMMYFUNCTION("IFERROR(
  IF(
    F286 &gt;
    3*AVERAGE(
       FILTER($F$2:$F10491,
         $G$2:$G10491=G286,
         $A$2:$A10491&gt;=A286-20,
         $A$2:$A10491&lt;=A286
       )
    ),
    ""VOL_SPIKE_3X"",""""
  ),
"""")
"),"")</f>
        <v/>
      </c>
      <c r="N286" s="7" t="str">
        <f t="shared" si="6"/>
        <v>PRICE_MOVE_5PCT+</v>
      </c>
      <c r="O286" s="7" t="str">
        <f t="shared" si="7"/>
        <v/>
      </c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>
        <f>IFERROR(__xludf.DUMMYFUNCTION("""COMPUTED_VALUE"""),45590.0)</f>
        <v>45590</v>
      </c>
      <c r="B287" s="6">
        <f>IFERROR(__xludf.DUMMYFUNCTION("""COMPUTED_VALUE"""),153.5)</f>
        <v>153.5</v>
      </c>
      <c r="C287" s="6">
        <f>IFERROR(__xludf.DUMMYFUNCTION("""COMPUTED_VALUE"""),153.95)</f>
        <v>153.95</v>
      </c>
      <c r="D287" s="6">
        <f>IFERROR(__xludf.DUMMYFUNCTION("""COMPUTED_VALUE"""),145.45)</f>
        <v>145.45</v>
      </c>
      <c r="E287" s="6">
        <f>IFERROR(__xludf.DUMMYFUNCTION("""COMPUTED_VALUE"""),146.31)</f>
        <v>146.31</v>
      </c>
      <c r="F287" s="7">
        <f>IFERROR(__xludf.DUMMYFUNCTION("""COMPUTED_VALUE"""),2.0505003E7)</f>
        <v>20505003</v>
      </c>
      <c r="G287" s="7" t="str">
        <f>IFERROR(__xludf.DUMMYFUNCTION("""COMPUTED_VALUE"""),"IOC.NS")</f>
        <v>IOC.NS</v>
      </c>
      <c r="H287" s="8">
        <f t="shared" si="1"/>
        <v>-0.04684039088</v>
      </c>
      <c r="I287" s="8">
        <f t="shared" si="2"/>
        <v>0.04684039088</v>
      </c>
      <c r="J287" s="7" t="str">
        <f t="shared" si="3"/>
        <v>Oct-2024</v>
      </c>
      <c r="K287" s="9">
        <f t="shared" si="4"/>
        <v>45566</v>
      </c>
      <c r="L287" s="7" t="str">
        <f t="shared" si="5"/>
        <v/>
      </c>
      <c r="M287" s="7" t="str">
        <f>IFERROR(__xludf.DUMMYFUNCTION("IFERROR(
  IF(
    F287 &gt;
    3*AVERAGE(
       FILTER($F$2:$F10491,
         $G$2:$G10491=G287,
         $A$2:$A10491&gt;=A287-20,
         $A$2:$A10491&lt;=A287
       )
    ),
    ""VOL_SPIKE_3X"",""""
  ),
"""")
"),"")</f>
        <v/>
      </c>
      <c r="N287" s="7" t="str">
        <f t="shared" si="6"/>
        <v/>
      </c>
      <c r="O287" s="7" t="str">
        <f t="shared" si="7"/>
        <v/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>
        <f>IFERROR(__xludf.DUMMYFUNCTION("""COMPUTED_VALUE"""),45590.0)</f>
        <v>45590</v>
      </c>
      <c r="B288" s="6">
        <f>IFERROR(__xludf.DUMMYFUNCTION("""COMPUTED_VALUE"""),402.5)</f>
        <v>402.5</v>
      </c>
      <c r="C288" s="6">
        <f>IFERROR(__xludf.DUMMYFUNCTION("""COMPUTED_VALUE"""),407.5)</f>
        <v>407.5</v>
      </c>
      <c r="D288" s="6">
        <f>IFERROR(__xludf.DUMMYFUNCTION("""COMPUTED_VALUE"""),391.6)</f>
        <v>391.6</v>
      </c>
      <c r="E288" s="6">
        <f>IFERROR(__xludf.DUMMYFUNCTION("""COMPUTED_VALUE"""),398.9)</f>
        <v>398.9</v>
      </c>
      <c r="F288" s="7">
        <f>IFERROR(__xludf.DUMMYFUNCTION("""COMPUTED_VALUE"""),1.9642277E7)</f>
        <v>19642277</v>
      </c>
      <c r="G288" s="7" t="str">
        <f>IFERROR(__xludf.DUMMYFUNCTION("""COMPUTED_VALUE"""),"NTPC.NS")</f>
        <v>NTPC.NS</v>
      </c>
      <c r="H288" s="8">
        <f t="shared" si="1"/>
        <v>-0.008944099379</v>
      </c>
      <c r="I288" s="8">
        <f t="shared" si="2"/>
        <v>0.008944099379</v>
      </c>
      <c r="J288" s="7" t="str">
        <f t="shared" si="3"/>
        <v>Oct-2024</v>
      </c>
      <c r="K288" s="9">
        <f t="shared" si="4"/>
        <v>45566</v>
      </c>
      <c r="L288" s="7" t="str">
        <f t="shared" si="5"/>
        <v/>
      </c>
      <c r="M288" s="7" t="str">
        <f>IFERROR(__xludf.DUMMYFUNCTION("IFERROR(
  IF(
    F288 &gt;
    3*AVERAGE(
       FILTER($F$2:$F10491,
         $G$2:$G10491=G288,
         $A$2:$A10491&gt;=A288-20,
         $A$2:$A10491&lt;=A288
       )
    ),
    ""VOL_SPIKE_3X"",""""
  ),
"""")
"),"")</f>
        <v/>
      </c>
      <c r="N288" s="7" t="str">
        <f t="shared" si="6"/>
        <v/>
      </c>
      <c r="O288" s="7" t="str">
        <f t="shared" si="7"/>
        <v/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>
        <f>IFERROR(__xludf.DUMMYFUNCTION("""COMPUTED_VALUE"""),45590.0)</f>
        <v>45590</v>
      </c>
      <c r="B289" s="6">
        <f>IFERROR(__xludf.DUMMYFUNCTION("""COMPUTED_VALUE"""),270.0)</f>
        <v>270</v>
      </c>
      <c r="C289" s="6">
        <f>IFERROR(__xludf.DUMMYFUNCTION("""COMPUTED_VALUE"""),270.3)</f>
        <v>270.3</v>
      </c>
      <c r="D289" s="6">
        <f>IFERROR(__xludf.DUMMYFUNCTION("""COMPUTED_VALUE"""),261.6)</f>
        <v>261.6</v>
      </c>
      <c r="E289" s="6">
        <f>IFERROR(__xludf.DUMMYFUNCTION("""COMPUTED_VALUE"""),264.05)</f>
        <v>264.05</v>
      </c>
      <c r="F289" s="7">
        <f>IFERROR(__xludf.DUMMYFUNCTION("""COMPUTED_VALUE"""),1.2961181E7)</f>
        <v>12961181</v>
      </c>
      <c r="G289" s="7" t="str">
        <f>IFERROR(__xludf.DUMMYFUNCTION("""COMPUTED_VALUE"""),"ONGC.NS")</f>
        <v>ONGC.NS</v>
      </c>
      <c r="H289" s="8">
        <f t="shared" si="1"/>
        <v>-0.02203703704</v>
      </c>
      <c r="I289" s="8">
        <f t="shared" si="2"/>
        <v>0.02203703704</v>
      </c>
      <c r="J289" s="7" t="str">
        <f t="shared" si="3"/>
        <v>Oct-2024</v>
      </c>
      <c r="K289" s="9">
        <f t="shared" si="4"/>
        <v>45566</v>
      </c>
      <c r="L289" s="7" t="str">
        <f t="shared" si="5"/>
        <v/>
      </c>
      <c r="M289" s="7" t="str">
        <f>IFERROR(__xludf.DUMMYFUNCTION("IFERROR(
  IF(
    F289 &gt;
    3*AVERAGE(
       FILTER($F$2:$F10491,
         $G$2:$G10491=G289,
         $A$2:$A10491&gt;=A289-20,
         $A$2:$A10491&lt;=A289
       )
    ),
    ""VOL_SPIKE_3X"",""""
  ),
"""")
"),"")</f>
        <v/>
      </c>
      <c r="N289" s="7" t="str">
        <f t="shared" si="6"/>
        <v/>
      </c>
      <c r="O289" s="7" t="str">
        <f t="shared" si="7"/>
        <v/>
      </c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>
        <f>IFERROR(__xludf.DUMMYFUNCTION("""COMPUTED_VALUE"""),45590.0)</f>
        <v>45590</v>
      </c>
      <c r="B290" s="6">
        <f>IFERROR(__xludf.DUMMYFUNCTION("""COMPUTED_VALUE"""),321.5)</f>
        <v>321.5</v>
      </c>
      <c r="C290" s="6">
        <f>IFERROR(__xludf.DUMMYFUNCTION("""COMPUTED_VALUE"""),321.5)</f>
        <v>321.5</v>
      </c>
      <c r="D290" s="6">
        <f>IFERROR(__xludf.DUMMYFUNCTION("""COMPUTED_VALUE"""),313.25)</f>
        <v>313.25</v>
      </c>
      <c r="E290" s="6">
        <f>IFERROR(__xludf.DUMMYFUNCTION("""COMPUTED_VALUE"""),315.8)</f>
        <v>315.8</v>
      </c>
      <c r="F290" s="7">
        <f>IFERROR(__xludf.DUMMYFUNCTION("""COMPUTED_VALUE"""),1.297941E7)</f>
        <v>12979410</v>
      </c>
      <c r="G290" s="7" t="str">
        <f>IFERROR(__xludf.DUMMYFUNCTION("""COMPUTED_VALUE"""),"POWERGRID.NS")</f>
        <v>POWERGRID.NS</v>
      </c>
      <c r="H290" s="8">
        <f t="shared" si="1"/>
        <v>-0.01772939347</v>
      </c>
      <c r="I290" s="8">
        <f t="shared" si="2"/>
        <v>0.01772939347</v>
      </c>
      <c r="J290" s="7" t="str">
        <f t="shared" si="3"/>
        <v>Oct-2024</v>
      </c>
      <c r="K290" s="9">
        <f t="shared" si="4"/>
        <v>45566</v>
      </c>
      <c r="L290" s="7" t="str">
        <f t="shared" si="5"/>
        <v/>
      </c>
      <c r="M290" s="7" t="str">
        <f>IFERROR(__xludf.DUMMYFUNCTION("IFERROR(
  IF(
    F290 &gt;
    3*AVERAGE(
       FILTER($F$2:$F10491,
         $G$2:$G10491=G290,
         $A$2:$A10491&gt;=A290-20,
         $A$2:$A10491&lt;=A290
       )
    ),
    ""VOL_SPIKE_3X"",""""
  ),
"""")
"),"")</f>
        <v/>
      </c>
      <c r="N290" s="7" t="str">
        <f t="shared" si="6"/>
        <v/>
      </c>
      <c r="O290" s="7" t="str">
        <f t="shared" si="7"/>
        <v/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>
        <f>IFERROR(__xludf.DUMMYFUNCTION("""COMPUTED_VALUE"""),45590.0)</f>
        <v>45590</v>
      </c>
      <c r="B291" s="6">
        <f>IFERROR(__xludf.DUMMYFUNCTION("""COMPUTED_VALUE"""),1343.5)</f>
        <v>1343.5</v>
      </c>
      <c r="C291" s="6">
        <f>IFERROR(__xludf.DUMMYFUNCTION("""COMPUTED_VALUE"""),1344.35)</f>
        <v>1344.35</v>
      </c>
      <c r="D291" s="6">
        <f>IFERROR(__xludf.DUMMYFUNCTION("""COMPUTED_VALUE"""),1322.0)</f>
        <v>1322</v>
      </c>
      <c r="E291" s="6">
        <f>IFERROR(__xludf.DUMMYFUNCTION("""COMPUTED_VALUE"""),1327.85)</f>
        <v>1327.85</v>
      </c>
      <c r="F291" s="7">
        <f>IFERROR(__xludf.DUMMYFUNCTION("""COMPUTED_VALUE"""),9298748.0)</f>
        <v>9298748</v>
      </c>
      <c r="G291" s="7" t="str">
        <f>IFERROR(__xludf.DUMMYFUNCTION("""COMPUTED_VALUE"""),"RELIANCE.NS")</f>
        <v>RELIANCE.NS</v>
      </c>
      <c r="H291" s="8">
        <f t="shared" si="1"/>
        <v>-0.01164867882</v>
      </c>
      <c r="I291" s="8">
        <f t="shared" si="2"/>
        <v>0.01164867882</v>
      </c>
      <c r="J291" s="7" t="str">
        <f t="shared" si="3"/>
        <v>Oct-2024</v>
      </c>
      <c r="K291" s="9">
        <f t="shared" si="4"/>
        <v>45566</v>
      </c>
      <c r="L291" s="7" t="str">
        <f t="shared" si="5"/>
        <v/>
      </c>
      <c r="M291" s="7" t="str">
        <f>IFERROR(__xludf.DUMMYFUNCTION("IFERROR(
  IF(
    F291 &gt;
    3*AVERAGE(
       FILTER($F$2:$F10491,
         $G$2:$G10491=G291,
         $A$2:$A10491&gt;=A291-20,
         $A$2:$A10491&lt;=A291
       )
    ),
    ""VOL_SPIKE_3X"",""""
  ),
"""")
"),"")</f>
        <v/>
      </c>
      <c r="N291" s="7" t="str">
        <f t="shared" si="6"/>
        <v/>
      </c>
      <c r="O291" s="7" t="str">
        <f t="shared" si="7"/>
        <v/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>
        <f>IFERROR(__xludf.DUMMYFUNCTION("""COMPUTED_VALUE"""),45593.0)</f>
        <v>45593</v>
      </c>
      <c r="B292" s="6">
        <f>IFERROR(__xludf.DUMMYFUNCTION("""COMPUTED_VALUE"""),924.95)</f>
        <v>924.95</v>
      </c>
      <c r="C292" s="6">
        <f>IFERROR(__xludf.DUMMYFUNCTION("""COMPUTED_VALUE"""),961.85)</f>
        <v>961.85</v>
      </c>
      <c r="D292" s="6">
        <f>IFERROR(__xludf.DUMMYFUNCTION("""COMPUTED_VALUE"""),891.05)</f>
        <v>891.05</v>
      </c>
      <c r="E292" s="6">
        <f>IFERROR(__xludf.DUMMYFUNCTION("""COMPUTED_VALUE"""),940.0)</f>
        <v>940</v>
      </c>
      <c r="F292" s="7">
        <f>IFERROR(__xludf.DUMMYFUNCTION("""COMPUTED_VALUE"""),2004705.0)</f>
        <v>2004705</v>
      </c>
      <c r="G292" s="7" t="str">
        <f>IFERROR(__xludf.DUMMYFUNCTION("""COMPUTED_VALUE"""),"ADANIENSOL.NS")</f>
        <v>ADANIENSOL.NS</v>
      </c>
      <c r="H292" s="8">
        <f t="shared" si="1"/>
        <v>0.01627114979</v>
      </c>
      <c r="I292" s="8">
        <f t="shared" si="2"/>
        <v>0.01627114979</v>
      </c>
      <c r="J292" s="7" t="str">
        <f t="shared" si="3"/>
        <v>Oct-2024</v>
      </c>
      <c r="K292" s="9">
        <f t="shared" si="4"/>
        <v>45566</v>
      </c>
      <c r="L292" s="7" t="str">
        <f t="shared" si="5"/>
        <v/>
      </c>
      <c r="M292" s="7" t="str">
        <f>IFERROR(__xludf.DUMMYFUNCTION("IFERROR(
  IF(
    F292 &gt;
    3*AVERAGE(
       FILTER($F$2:$F10491,
         $G$2:$G10491=G292,
         $A$2:$A10491&gt;=A292-20,
         $A$2:$A10491&lt;=A292
       )
    ),
    ""VOL_SPIKE_3X"",""""
  ),
"""")
"),"")</f>
        <v/>
      </c>
      <c r="N292" s="7" t="str">
        <f t="shared" si="6"/>
        <v/>
      </c>
      <c r="O292" s="7" t="str">
        <f t="shared" si="7"/>
        <v/>
      </c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>
        <f>IFERROR(__xludf.DUMMYFUNCTION("""COMPUTED_VALUE"""),45593.0)</f>
        <v>45593</v>
      </c>
      <c r="B293" s="6">
        <f>IFERROR(__xludf.DUMMYFUNCTION("""COMPUTED_VALUE"""),1644.0)</f>
        <v>1644</v>
      </c>
      <c r="C293" s="6">
        <f>IFERROR(__xludf.DUMMYFUNCTION("""COMPUTED_VALUE"""),1661.7)</f>
        <v>1661.7</v>
      </c>
      <c r="D293" s="6">
        <f>IFERROR(__xludf.DUMMYFUNCTION("""COMPUTED_VALUE"""),1588.55)</f>
        <v>1588.55</v>
      </c>
      <c r="E293" s="6">
        <f>IFERROR(__xludf.DUMMYFUNCTION("""COMPUTED_VALUE"""),1613.15)</f>
        <v>1613.15</v>
      </c>
      <c r="F293" s="7">
        <f>IFERROR(__xludf.DUMMYFUNCTION("""COMPUTED_VALUE"""),850381.0)</f>
        <v>850381</v>
      </c>
      <c r="G293" s="7" t="str">
        <f>IFERROR(__xludf.DUMMYFUNCTION("""COMPUTED_VALUE"""),"ADANIGREEN.NS")</f>
        <v>ADANIGREEN.NS</v>
      </c>
      <c r="H293" s="8">
        <f t="shared" si="1"/>
        <v>-0.01876520681</v>
      </c>
      <c r="I293" s="8">
        <f t="shared" si="2"/>
        <v>0.01876520681</v>
      </c>
      <c r="J293" s="7" t="str">
        <f t="shared" si="3"/>
        <v>Oct-2024</v>
      </c>
      <c r="K293" s="9">
        <f t="shared" si="4"/>
        <v>45566</v>
      </c>
      <c r="L293" s="7" t="str">
        <f t="shared" si="5"/>
        <v/>
      </c>
      <c r="M293" s="7" t="str">
        <f>IFERROR(__xludf.DUMMYFUNCTION("IFERROR(
  IF(
    F293 &gt;
    3*AVERAGE(
       FILTER($F$2:$F10491,
         $G$2:$G10491=G293,
         $A$2:$A10491&gt;=A293-20,
         $A$2:$A10491&lt;=A293
       )
    ),
    ""VOL_SPIKE_3X"",""""
  ),
"""")
"),"")</f>
        <v/>
      </c>
      <c r="N293" s="7" t="str">
        <f t="shared" si="6"/>
        <v/>
      </c>
      <c r="O293" s="7" t="str">
        <f t="shared" si="7"/>
        <v/>
      </c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>
        <f>IFERROR(__xludf.DUMMYFUNCTION("""COMPUTED_VALUE"""),45593.0)</f>
        <v>45593</v>
      </c>
      <c r="B294" s="6">
        <f>IFERROR(__xludf.DUMMYFUNCTION("""COMPUTED_VALUE"""),307.3)</f>
        <v>307.3</v>
      </c>
      <c r="C294" s="6">
        <f>IFERROR(__xludf.DUMMYFUNCTION("""COMPUTED_VALUE"""),315.5)</f>
        <v>315.5</v>
      </c>
      <c r="D294" s="6">
        <f>IFERROR(__xludf.DUMMYFUNCTION("""COMPUTED_VALUE"""),305.3)</f>
        <v>305.3</v>
      </c>
      <c r="E294" s="6">
        <f>IFERROR(__xludf.DUMMYFUNCTION("""COMPUTED_VALUE"""),310.4)</f>
        <v>310.4</v>
      </c>
      <c r="F294" s="7">
        <f>IFERROR(__xludf.DUMMYFUNCTION("""COMPUTED_VALUE"""),1.3299872E7)</f>
        <v>13299872</v>
      </c>
      <c r="G294" s="7" t="str">
        <f>IFERROR(__xludf.DUMMYFUNCTION("""COMPUTED_VALUE"""),"BPCL.NS")</f>
        <v>BPCL.NS</v>
      </c>
      <c r="H294" s="8">
        <f t="shared" si="1"/>
        <v>0.01008786202</v>
      </c>
      <c r="I294" s="8">
        <f t="shared" si="2"/>
        <v>0.01008786202</v>
      </c>
      <c r="J294" s="7" t="str">
        <f t="shared" si="3"/>
        <v>Oct-2024</v>
      </c>
      <c r="K294" s="9">
        <f t="shared" si="4"/>
        <v>45566</v>
      </c>
      <c r="L294" s="7" t="str">
        <f t="shared" si="5"/>
        <v/>
      </c>
      <c r="M294" s="7" t="str">
        <f>IFERROR(__xludf.DUMMYFUNCTION("IFERROR(
  IF(
    F294 &gt;
    3*AVERAGE(
       FILTER($F$2:$F10491,
         $G$2:$G10491=G294,
         $A$2:$A10491&gt;=A294-20,
         $A$2:$A10491&lt;=A294
       )
    ),
    ""VOL_SPIKE_3X"",""""
  ),
"""")
"),"")</f>
        <v/>
      </c>
      <c r="N294" s="7" t="str">
        <f t="shared" si="6"/>
        <v/>
      </c>
      <c r="O294" s="7" t="str">
        <f t="shared" si="7"/>
        <v/>
      </c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>
        <f>IFERROR(__xludf.DUMMYFUNCTION("""COMPUTED_VALUE"""),45593.0)</f>
        <v>45593</v>
      </c>
      <c r="B295" s="6">
        <f>IFERROR(__xludf.DUMMYFUNCTION("""COMPUTED_VALUE"""),452.0)</f>
        <v>452</v>
      </c>
      <c r="C295" s="6">
        <f>IFERROR(__xludf.DUMMYFUNCTION("""COMPUTED_VALUE"""),458.0)</f>
        <v>458</v>
      </c>
      <c r="D295" s="6">
        <f>IFERROR(__xludf.DUMMYFUNCTION("""COMPUTED_VALUE"""),435.25)</f>
        <v>435.25</v>
      </c>
      <c r="E295" s="6">
        <f>IFERROR(__xludf.DUMMYFUNCTION("""COMPUTED_VALUE"""),441.65)</f>
        <v>441.65</v>
      </c>
      <c r="F295" s="7">
        <f>IFERROR(__xludf.DUMMYFUNCTION("""COMPUTED_VALUE"""),2.1378247E7)</f>
        <v>21378247</v>
      </c>
      <c r="G295" s="7" t="str">
        <f>IFERROR(__xludf.DUMMYFUNCTION("""COMPUTED_VALUE"""),"COALINDIA.NS")</f>
        <v>COALINDIA.NS</v>
      </c>
      <c r="H295" s="8">
        <f t="shared" si="1"/>
        <v>-0.02289823009</v>
      </c>
      <c r="I295" s="8">
        <f t="shared" si="2"/>
        <v>0.02289823009</v>
      </c>
      <c r="J295" s="7" t="str">
        <f t="shared" si="3"/>
        <v>Oct-2024</v>
      </c>
      <c r="K295" s="9">
        <f t="shared" si="4"/>
        <v>45566</v>
      </c>
      <c r="L295" s="7" t="str">
        <f t="shared" si="5"/>
        <v/>
      </c>
      <c r="M295" s="7" t="str">
        <f>IFERROR(__xludf.DUMMYFUNCTION("IFERROR(
  IF(
    F295 &gt;
    3*AVERAGE(
       FILTER($F$2:$F10491,
         $G$2:$G10491=G295,
         $A$2:$A10491&gt;=A295-20,
         $A$2:$A10491&lt;=A295
       )
    ),
    ""VOL_SPIKE_3X"",""""
  ),
"""")
"),"")</f>
        <v/>
      </c>
      <c r="N295" s="7" t="str">
        <f t="shared" si="6"/>
        <v/>
      </c>
      <c r="O295" s="7" t="str">
        <f t="shared" si="7"/>
        <v/>
      </c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>
        <f>IFERROR(__xludf.DUMMYFUNCTION("""COMPUTED_VALUE"""),45593.0)</f>
        <v>45593</v>
      </c>
      <c r="B296" s="6">
        <f>IFERROR(__xludf.DUMMYFUNCTION("""COMPUTED_VALUE"""),380.0)</f>
        <v>380</v>
      </c>
      <c r="C296" s="6">
        <f>IFERROR(__xludf.DUMMYFUNCTION("""COMPUTED_VALUE"""),393.8)</f>
        <v>393.8</v>
      </c>
      <c r="D296" s="6">
        <f>IFERROR(__xludf.DUMMYFUNCTION("""COMPUTED_VALUE"""),379.0)</f>
        <v>379</v>
      </c>
      <c r="E296" s="6">
        <f>IFERROR(__xludf.DUMMYFUNCTION("""COMPUTED_VALUE"""),383.3)</f>
        <v>383.3</v>
      </c>
      <c r="F296" s="7">
        <f>IFERROR(__xludf.DUMMYFUNCTION("""COMPUTED_VALUE"""),1.2990859E7)</f>
        <v>12990859</v>
      </c>
      <c r="G296" s="7" t="str">
        <f>IFERROR(__xludf.DUMMYFUNCTION("""COMPUTED_VALUE"""),"HINDPETRO.NS")</f>
        <v>HINDPETRO.NS</v>
      </c>
      <c r="H296" s="8">
        <f t="shared" si="1"/>
        <v>0.008684210526</v>
      </c>
      <c r="I296" s="8">
        <f t="shared" si="2"/>
        <v>0.008684210526</v>
      </c>
      <c r="J296" s="7" t="str">
        <f t="shared" si="3"/>
        <v>Oct-2024</v>
      </c>
      <c r="K296" s="9">
        <f t="shared" si="4"/>
        <v>45566</v>
      </c>
      <c r="L296" s="7" t="str">
        <f t="shared" si="5"/>
        <v/>
      </c>
      <c r="M296" s="7" t="str">
        <f>IFERROR(__xludf.DUMMYFUNCTION("IFERROR(
  IF(
    F296 &gt;
    3*AVERAGE(
       FILTER($F$2:$F10491,
         $G$2:$G10491=G296,
         $A$2:$A10491&gt;=A296-20,
         $A$2:$A10491&lt;=A296
       )
    ),
    ""VOL_SPIKE_3X"",""""
  ),
"""")
"),"")</f>
        <v/>
      </c>
      <c r="N296" s="7" t="str">
        <f t="shared" si="6"/>
        <v/>
      </c>
      <c r="O296" s="7" t="str">
        <f t="shared" si="7"/>
        <v/>
      </c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>
        <f>IFERROR(__xludf.DUMMYFUNCTION("""COMPUTED_VALUE"""),45593.0)</f>
        <v>45593</v>
      </c>
      <c r="B297" s="6">
        <f>IFERROR(__xludf.DUMMYFUNCTION("""COMPUTED_VALUE"""),148.6)</f>
        <v>148.6</v>
      </c>
      <c r="C297" s="6">
        <f>IFERROR(__xludf.DUMMYFUNCTION("""COMPUTED_VALUE"""),149.73)</f>
        <v>149.73</v>
      </c>
      <c r="D297" s="6">
        <f>IFERROR(__xludf.DUMMYFUNCTION("""COMPUTED_VALUE"""),145.0)</f>
        <v>145</v>
      </c>
      <c r="E297" s="6">
        <f>IFERROR(__xludf.DUMMYFUNCTION("""COMPUTED_VALUE"""),147.02)</f>
        <v>147.02</v>
      </c>
      <c r="F297" s="7">
        <f>IFERROR(__xludf.DUMMYFUNCTION("""COMPUTED_VALUE"""),2.1349891E7)</f>
        <v>21349891</v>
      </c>
      <c r="G297" s="7" t="str">
        <f>IFERROR(__xludf.DUMMYFUNCTION("""COMPUTED_VALUE"""),"IOC.NS")</f>
        <v>IOC.NS</v>
      </c>
      <c r="H297" s="8">
        <f t="shared" si="1"/>
        <v>-0.01063257066</v>
      </c>
      <c r="I297" s="8">
        <f t="shared" si="2"/>
        <v>0.01063257066</v>
      </c>
      <c r="J297" s="7" t="str">
        <f t="shared" si="3"/>
        <v>Oct-2024</v>
      </c>
      <c r="K297" s="9">
        <f t="shared" si="4"/>
        <v>45566</v>
      </c>
      <c r="L297" s="7" t="str">
        <f t="shared" si="5"/>
        <v/>
      </c>
      <c r="M297" s="7" t="str">
        <f>IFERROR(__xludf.DUMMYFUNCTION("IFERROR(
  IF(
    F297 &gt;
    3*AVERAGE(
       FILTER($F$2:$F10491,
         $G$2:$G10491=G297,
         $A$2:$A10491&gt;=A297-20,
         $A$2:$A10491&lt;=A297
       )
    ),
    ""VOL_SPIKE_3X"",""""
  ),
"""")
"),"")</f>
        <v/>
      </c>
      <c r="N297" s="7" t="str">
        <f t="shared" si="6"/>
        <v/>
      </c>
      <c r="O297" s="7" t="str">
        <f t="shared" si="7"/>
        <v/>
      </c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>
        <f>IFERROR(__xludf.DUMMYFUNCTION("""COMPUTED_VALUE"""),45593.0)</f>
        <v>45593</v>
      </c>
      <c r="B298" s="6">
        <f>IFERROR(__xludf.DUMMYFUNCTION("""COMPUTED_VALUE"""),398.9)</f>
        <v>398.9</v>
      </c>
      <c r="C298" s="6">
        <f>IFERROR(__xludf.DUMMYFUNCTION("""COMPUTED_VALUE"""),406.5)</f>
        <v>406.5</v>
      </c>
      <c r="D298" s="6">
        <f>IFERROR(__xludf.DUMMYFUNCTION("""COMPUTED_VALUE"""),397.8)</f>
        <v>397.8</v>
      </c>
      <c r="E298" s="6">
        <f>IFERROR(__xludf.DUMMYFUNCTION("""COMPUTED_VALUE"""),403.9)</f>
        <v>403.9</v>
      </c>
      <c r="F298" s="7">
        <f>IFERROR(__xludf.DUMMYFUNCTION("""COMPUTED_VALUE"""),1.1716022E7)</f>
        <v>11716022</v>
      </c>
      <c r="G298" s="7" t="str">
        <f>IFERROR(__xludf.DUMMYFUNCTION("""COMPUTED_VALUE"""),"NTPC.NS")</f>
        <v>NTPC.NS</v>
      </c>
      <c r="H298" s="8">
        <f t="shared" si="1"/>
        <v>0.01253446979</v>
      </c>
      <c r="I298" s="8">
        <f t="shared" si="2"/>
        <v>0.01253446979</v>
      </c>
      <c r="J298" s="7" t="str">
        <f t="shared" si="3"/>
        <v>Oct-2024</v>
      </c>
      <c r="K298" s="9">
        <f t="shared" si="4"/>
        <v>45566</v>
      </c>
      <c r="L298" s="7" t="str">
        <f t="shared" si="5"/>
        <v/>
      </c>
      <c r="M298" s="7" t="str">
        <f>IFERROR(__xludf.DUMMYFUNCTION("IFERROR(
  IF(
    F298 &gt;
    3*AVERAGE(
       FILTER($F$2:$F10491,
         $G$2:$G10491=G298,
         $A$2:$A10491&gt;=A298-20,
         $A$2:$A10491&lt;=A298
       )
    ),
    ""VOL_SPIKE_3X"",""""
  ),
"""")
"),"")</f>
        <v/>
      </c>
      <c r="N298" s="7" t="str">
        <f t="shared" si="6"/>
        <v/>
      </c>
      <c r="O298" s="7" t="str">
        <f t="shared" si="7"/>
        <v/>
      </c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>
        <f>IFERROR(__xludf.DUMMYFUNCTION("""COMPUTED_VALUE"""),45593.0)</f>
        <v>45593</v>
      </c>
      <c r="B299" s="6">
        <f>IFERROR(__xludf.DUMMYFUNCTION("""COMPUTED_VALUE"""),260.65)</f>
        <v>260.65</v>
      </c>
      <c r="C299" s="6">
        <f>IFERROR(__xludf.DUMMYFUNCTION("""COMPUTED_VALUE"""),265.05)</f>
        <v>265.05</v>
      </c>
      <c r="D299" s="6">
        <f>IFERROR(__xludf.DUMMYFUNCTION("""COMPUTED_VALUE"""),255.3)</f>
        <v>255.3</v>
      </c>
      <c r="E299" s="6">
        <f>IFERROR(__xludf.DUMMYFUNCTION("""COMPUTED_VALUE"""),263.35)</f>
        <v>263.35</v>
      </c>
      <c r="F299" s="7">
        <f>IFERROR(__xludf.DUMMYFUNCTION("""COMPUTED_VALUE"""),1.3835091E7)</f>
        <v>13835091</v>
      </c>
      <c r="G299" s="7" t="str">
        <f>IFERROR(__xludf.DUMMYFUNCTION("""COMPUTED_VALUE"""),"ONGC.NS")</f>
        <v>ONGC.NS</v>
      </c>
      <c r="H299" s="8">
        <f t="shared" si="1"/>
        <v>0.01035871859</v>
      </c>
      <c r="I299" s="8">
        <f t="shared" si="2"/>
        <v>0.01035871859</v>
      </c>
      <c r="J299" s="7" t="str">
        <f t="shared" si="3"/>
        <v>Oct-2024</v>
      </c>
      <c r="K299" s="9">
        <f t="shared" si="4"/>
        <v>45566</v>
      </c>
      <c r="L299" s="7" t="str">
        <f t="shared" si="5"/>
        <v/>
      </c>
      <c r="M299" s="7" t="str">
        <f>IFERROR(__xludf.DUMMYFUNCTION("IFERROR(
  IF(
    F299 &gt;
    3*AVERAGE(
       FILTER($F$2:$F10491,
         $G$2:$G10491=G299,
         $A$2:$A10491&gt;=A299-20,
         $A$2:$A10491&lt;=A299
       )
    ),
    ""VOL_SPIKE_3X"",""""
  ),
"""")
"),"")</f>
        <v/>
      </c>
      <c r="N299" s="7" t="str">
        <f t="shared" si="6"/>
        <v/>
      </c>
      <c r="O299" s="7" t="str">
        <f t="shared" si="7"/>
        <v/>
      </c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>
        <f>IFERROR(__xludf.DUMMYFUNCTION("""COMPUTED_VALUE"""),45593.0)</f>
        <v>45593</v>
      </c>
      <c r="B300" s="6">
        <f>IFERROR(__xludf.DUMMYFUNCTION("""COMPUTED_VALUE"""),314.5)</f>
        <v>314.5</v>
      </c>
      <c r="C300" s="6">
        <f>IFERROR(__xludf.DUMMYFUNCTION("""COMPUTED_VALUE"""),320.45)</f>
        <v>320.45</v>
      </c>
      <c r="D300" s="6">
        <f>IFERROR(__xludf.DUMMYFUNCTION("""COMPUTED_VALUE"""),310.75)</f>
        <v>310.75</v>
      </c>
      <c r="E300" s="6">
        <f>IFERROR(__xludf.DUMMYFUNCTION("""COMPUTED_VALUE"""),318.3)</f>
        <v>318.3</v>
      </c>
      <c r="F300" s="7">
        <f>IFERROR(__xludf.DUMMYFUNCTION("""COMPUTED_VALUE"""),9610615.0)</f>
        <v>9610615</v>
      </c>
      <c r="G300" s="7" t="str">
        <f>IFERROR(__xludf.DUMMYFUNCTION("""COMPUTED_VALUE"""),"POWERGRID.NS")</f>
        <v>POWERGRID.NS</v>
      </c>
      <c r="H300" s="8">
        <f t="shared" si="1"/>
        <v>0.01208267091</v>
      </c>
      <c r="I300" s="8">
        <f t="shared" si="2"/>
        <v>0.01208267091</v>
      </c>
      <c r="J300" s="7" t="str">
        <f t="shared" si="3"/>
        <v>Oct-2024</v>
      </c>
      <c r="K300" s="9">
        <f t="shared" si="4"/>
        <v>45566</v>
      </c>
      <c r="L300" s="7" t="str">
        <f t="shared" si="5"/>
        <v/>
      </c>
      <c r="M300" s="7" t="str">
        <f>IFERROR(__xludf.DUMMYFUNCTION("IFERROR(
  IF(
    F300 &gt;
    3*AVERAGE(
       FILTER($F$2:$F10491,
         $G$2:$G10491=G300,
         $A$2:$A10491&gt;=A300-20,
         $A$2:$A10491&lt;=A300
       )
    ),
    ""VOL_SPIKE_3X"",""""
  ),
"""")
"),"")</f>
        <v/>
      </c>
      <c r="N300" s="7" t="str">
        <f t="shared" si="6"/>
        <v/>
      </c>
      <c r="O300" s="7" t="str">
        <f t="shared" si="7"/>
        <v/>
      </c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>
        <f>IFERROR(__xludf.DUMMYFUNCTION("""COMPUTED_VALUE"""),45593.0)</f>
        <v>45593</v>
      </c>
      <c r="B301" s="6">
        <f>IFERROR(__xludf.DUMMYFUNCTION("""COMPUTED_VALUE"""),1337.0)</f>
        <v>1337</v>
      </c>
      <c r="C301" s="6">
        <f>IFERROR(__xludf.DUMMYFUNCTION("""COMPUTED_VALUE"""),1353.0)</f>
        <v>1353</v>
      </c>
      <c r="D301" s="6">
        <f>IFERROR(__xludf.DUMMYFUNCTION("""COMPUTED_VALUE"""),1322.1)</f>
        <v>1322.1</v>
      </c>
      <c r="E301" s="6">
        <f>IFERROR(__xludf.DUMMYFUNCTION("""COMPUTED_VALUE"""),1334.35)</f>
        <v>1334.35</v>
      </c>
      <c r="F301" s="7">
        <f>IFERROR(__xludf.DUMMYFUNCTION("""COMPUTED_VALUE"""),1.082435E7)</f>
        <v>10824350</v>
      </c>
      <c r="G301" s="7" t="str">
        <f>IFERROR(__xludf.DUMMYFUNCTION("""COMPUTED_VALUE"""),"RELIANCE.NS")</f>
        <v>RELIANCE.NS</v>
      </c>
      <c r="H301" s="8">
        <f t="shared" si="1"/>
        <v>-0.001982049364</v>
      </c>
      <c r="I301" s="8">
        <f t="shared" si="2"/>
        <v>0.001982049364</v>
      </c>
      <c r="J301" s="7" t="str">
        <f t="shared" si="3"/>
        <v>Oct-2024</v>
      </c>
      <c r="K301" s="9">
        <f t="shared" si="4"/>
        <v>45566</v>
      </c>
      <c r="L301" s="7" t="str">
        <f t="shared" si="5"/>
        <v/>
      </c>
      <c r="M301" s="7" t="str">
        <f>IFERROR(__xludf.DUMMYFUNCTION("IFERROR(
  IF(
    F301 &gt;
    3*AVERAGE(
       FILTER($F$2:$F10491,
         $G$2:$G10491=G301,
         $A$2:$A10491&gt;=A301-20,
         $A$2:$A10491&lt;=A301
       )
    ),
    ""VOL_SPIKE_3X"",""""
  ),
"""")
"),"")</f>
        <v/>
      </c>
      <c r="N301" s="7" t="str">
        <f t="shared" si="6"/>
        <v/>
      </c>
      <c r="O301" s="7" t="str">
        <f t="shared" si="7"/>
        <v/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>
        <f>IFERROR(__xludf.DUMMYFUNCTION("""COMPUTED_VALUE"""),45594.0)</f>
        <v>45594</v>
      </c>
      <c r="B302" s="6">
        <f>IFERROR(__xludf.DUMMYFUNCTION("""COMPUTED_VALUE"""),950.0)</f>
        <v>950</v>
      </c>
      <c r="C302" s="6">
        <f>IFERROR(__xludf.DUMMYFUNCTION("""COMPUTED_VALUE"""),950.05)</f>
        <v>950.05</v>
      </c>
      <c r="D302" s="6">
        <f>IFERROR(__xludf.DUMMYFUNCTION("""COMPUTED_VALUE"""),917.05)</f>
        <v>917.05</v>
      </c>
      <c r="E302" s="6">
        <f>IFERROR(__xludf.DUMMYFUNCTION("""COMPUTED_VALUE"""),930.6)</f>
        <v>930.6</v>
      </c>
      <c r="F302" s="7">
        <f>IFERROR(__xludf.DUMMYFUNCTION("""COMPUTED_VALUE"""),2125174.0)</f>
        <v>2125174</v>
      </c>
      <c r="G302" s="7" t="str">
        <f>IFERROR(__xludf.DUMMYFUNCTION("""COMPUTED_VALUE"""),"ADANIENSOL.NS")</f>
        <v>ADANIENSOL.NS</v>
      </c>
      <c r="H302" s="8">
        <f t="shared" si="1"/>
        <v>-0.02042105263</v>
      </c>
      <c r="I302" s="8">
        <f t="shared" si="2"/>
        <v>0.02042105263</v>
      </c>
      <c r="J302" s="7" t="str">
        <f t="shared" si="3"/>
        <v>Oct-2024</v>
      </c>
      <c r="K302" s="9">
        <f t="shared" si="4"/>
        <v>45566</v>
      </c>
      <c r="L302" s="7" t="str">
        <f t="shared" si="5"/>
        <v/>
      </c>
      <c r="M302" s="7" t="str">
        <f>IFERROR(__xludf.DUMMYFUNCTION("IFERROR(
  IF(
    F302 &gt;
    3*AVERAGE(
       FILTER($F$2:$F10491,
         $G$2:$G10491=G302,
         $A$2:$A10491&gt;=A302-20,
         $A$2:$A10491&lt;=A302
       )
    ),
    ""VOL_SPIKE_3X"",""""
  ),
"""")
"),"")</f>
        <v/>
      </c>
      <c r="N302" s="7" t="str">
        <f t="shared" si="6"/>
        <v/>
      </c>
      <c r="O302" s="7" t="str">
        <f t="shared" si="7"/>
        <v/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>
        <f>IFERROR(__xludf.DUMMYFUNCTION("""COMPUTED_VALUE"""),45594.0)</f>
        <v>45594</v>
      </c>
      <c r="B303" s="6">
        <f>IFERROR(__xludf.DUMMYFUNCTION("""COMPUTED_VALUE"""),1615.0)</f>
        <v>1615</v>
      </c>
      <c r="C303" s="6">
        <f>IFERROR(__xludf.DUMMYFUNCTION("""COMPUTED_VALUE"""),1653.75)</f>
        <v>1653.75</v>
      </c>
      <c r="D303" s="6">
        <f>IFERROR(__xludf.DUMMYFUNCTION("""COMPUTED_VALUE"""),1596.65)</f>
        <v>1596.65</v>
      </c>
      <c r="E303" s="6">
        <f>IFERROR(__xludf.DUMMYFUNCTION("""COMPUTED_VALUE"""),1639.0)</f>
        <v>1639</v>
      </c>
      <c r="F303" s="7">
        <f>IFERROR(__xludf.DUMMYFUNCTION("""COMPUTED_VALUE"""),471118.0)</f>
        <v>471118</v>
      </c>
      <c r="G303" s="7" t="str">
        <f>IFERROR(__xludf.DUMMYFUNCTION("""COMPUTED_VALUE"""),"ADANIGREEN.NS")</f>
        <v>ADANIGREEN.NS</v>
      </c>
      <c r="H303" s="8">
        <f t="shared" si="1"/>
        <v>0.01486068111</v>
      </c>
      <c r="I303" s="8">
        <f t="shared" si="2"/>
        <v>0.01486068111</v>
      </c>
      <c r="J303" s="7" t="str">
        <f t="shared" si="3"/>
        <v>Oct-2024</v>
      </c>
      <c r="K303" s="9">
        <f t="shared" si="4"/>
        <v>45566</v>
      </c>
      <c r="L303" s="7" t="str">
        <f t="shared" si="5"/>
        <v/>
      </c>
      <c r="M303" s="7" t="str">
        <f>IFERROR(__xludf.DUMMYFUNCTION("IFERROR(
  IF(
    F303 &gt;
    3*AVERAGE(
       FILTER($F$2:$F10491,
         $G$2:$G10491=G303,
         $A$2:$A10491&gt;=A303-20,
         $A$2:$A10491&lt;=A303
       )
    ),
    ""VOL_SPIKE_3X"",""""
  ),
"""")
"),"")</f>
        <v/>
      </c>
      <c r="N303" s="7" t="str">
        <f t="shared" si="6"/>
        <v/>
      </c>
      <c r="O303" s="7" t="str">
        <f t="shared" si="7"/>
        <v/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>
        <f>IFERROR(__xludf.DUMMYFUNCTION("""COMPUTED_VALUE"""),45594.0)</f>
        <v>45594</v>
      </c>
      <c r="B304" s="6">
        <f>IFERROR(__xludf.DUMMYFUNCTION("""COMPUTED_VALUE"""),312.0)</f>
        <v>312</v>
      </c>
      <c r="C304" s="6">
        <f>IFERROR(__xludf.DUMMYFUNCTION("""COMPUTED_VALUE"""),312.95)</f>
        <v>312.95</v>
      </c>
      <c r="D304" s="6">
        <f>IFERROR(__xludf.DUMMYFUNCTION("""COMPUTED_VALUE"""),302.25)</f>
        <v>302.25</v>
      </c>
      <c r="E304" s="6">
        <f>IFERROR(__xludf.DUMMYFUNCTION("""COMPUTED_VALUE"""),311.45)</f>
        <v>311.45</v>
      </c>
      <c r="F304" s="7">
        <f>IFERROR(__xludf.DUMMYFUNCTION("""COMPUTED_VALUE"""),8437903.0)</f>
        <v>8437903</v>
      </c>
      <c r="G304" s="7" t="str">
        <f>IFERROR(__xludf.DUMMYFUNCTION("""COMPUTED_VALUE"""),"BPCL.NS")</f>
        <v>BPCL.NS</v>
      </c>
      <c r="H304" s="8">
        <f t="shared" si="1"/>
        <v>-0.001762820513</v>
      </c>
      <c r="I304" s="8">
        <f t="shared" si="2"/>
        <v>0.001762820513</v>
      </c>
      <c r="J304" s="7" t="str">
        <f t="shared" si="3"/>
        <v>Oct-2024</v>
      </c>
      <c r="K304" s="9">
        <f t="shared" si="4"/>
        <v>45566</v>
      </c>
      <c r="L304" s="7" t="str">
        <f t="shared" si="5"/>
        <v/>
      </c>
      <c r="M304" s="7" t="str">
        <f>IFERROR(__xludf.DUMMYFUNCTION("IFERROR(
  IF(
    F304 &gt;
    3*AVERAGE(
       FILTER($F$2:$F10491,
         $G$2:$G10491=G304,
         $A$2:$A10491&gt;=A304-20,
         $A$2:$A10491&lt;=A304
       )
    ),
    ""VOL_SPIKE_3X"",""""
  ),
"""")
"),"")</f>
        <v/>
      </c>
      <c r="N304" s="7" t="str">
        <f t="shared" si="6"/>
        <v/>
      </c>
      <c r="O304" s="7" t="str">
        <f t="shared" si="7"/>
        <v/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>
        <f>IFERROR(__xludf.DUMMYFUNCTION("""COMPUTED_VALUE"""),45594.0)</f>
        <v>45594</v>
      </c>
      <c r="B305" s="6">
        <f>IFERROR(__xludf.DUMMYFUNCTION("""COMPUTED_VALUE"""),444.2)</f>
        <v>444.2</v>
      </c>
      <c r="C305" s="6">
        <f>IFERROR(__xludf.DUMMYFUNCTION("""COMPUTED_VALUE"""),446.6)</f>
        <v>446.6</v>
      </c>
      <c r="D305" s="6">
        <f>IFERROR(__xludf.DUMMYFUNCTION("""COMPUTED_VALUE"""),438.8)</f>
        <v>438.8</v>
      </c>
      <c r="E305" s="6">
        <f>IFERROR(__xludf.DUMMYFUNCTION("""COMPUTED_VALUE"""),445.55)</f>
        <v>445.55</v>
      </c>
      <c r="F305" s="7">
        <f>IFERROR(__xludf.DUMMYFUNCTION("""COMPUTED_VALUE"""),7680865.0)</f>
        <v>7680865</v>
      </c>
      <c r="G305" s="7" t="str">
        <f>IFERROR(__xludf.DUMMYFUNCTION("""COMPUTED_VALUE"""),"COALINDIA.NS")</f>
        <v>COALINDIA.NS</v>
      </c>
      <c r="H305" s="8">
        <f t="shared" si="1"/>
        <v>0.003039171544</v>
      </c>
      <c r="I305" s="8">
        <f t="shared" si="2"/>
        <v>0.003039171544</v>
      </c>
      <c r="J305" s="7" t="str">
        <f t="shared" si="3"/>
        <v>Oct-2024</v>
      </c>
      <c r="K305" s="9">
        <f t="shared" si="4"/>
        <v>45566</v>
      </c>
      <c r="L305" s="7" t="str">
        <f t="shared" si="5"/>
        <v/>
      </c>
      <c r="M305" s="7" t="str">
        <f>IFERROR(__xludf.DUMMYFUNCTION("IFERROR(
  IF(
    F305 &gt;
    3*AVERAGE(
       FILTER($F$2:$F10491,
         $G$2:$G10491=G305,
         $A$2:$A10491&gt;=A305-20,
         $A$2:$A10491&lt;=A305
       )
    ),
    ""VOL_SPIKE_3X"",""""
  ),
"""")
"),"")</f>
        <v/>
      </c>
      <c r="N305" s="7" t="str">
        <f t="shared" si="6"/>
        <v/>
      </c>
      <c r="O305" s="7" t="str">
        <f t="shared" si="7"/>
        <v/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>
        <f>IFERROR(__xludf.DUMMYFUNCTION("""COMPUTED_VALUE"""),45594.0)</f>
        <v>45594</v>
      </c>
      <c r="B306" s="6">
        <f>IFERROR(__xludf.DUMMYFUNCTION("""COMPUTED_VALUE"""),384.95)</f>
        <v>384.95</v>
      </c>
      <c r="C306" s="6">
        <f>IFERROR(__xludf.DUMMYFUNCTION("""COMPUTED_VALUE"""),389.85)</f>
        <v>389.85</v>
      </c>
      <c r="D306" s="6">
        <f>IFERROR(__xludf.DUMMYFUNCTION("""COMPUTED_VALUE"""),375.5)</f>
        <v>375.5</v>
      </c>
      <c r="E306" s="6">
        <f>IFERROR(__xludf.DUMMYFUNCTION("""COMPUTED_VALUE"""),388.5)</f>
        <v>388.5</v>
      </c>
      <c r="F306" s="7">
        <f>IFERROR(__xludf.DUMMYFUNCTION("""COMPUTED_VALUE"""),5115112.0)</f>
        <v>5115112</v>
      </c>
      <c r="G306" s="7" t="str">
        <f>IFERROR(__xludf.DUMMYFUNCTION("""COMPUTED_VALUE"""),"HINDPETRO.NS")</f>
        <v>HINDPETRO.NS</v>
      </c>
      <c r="H306" s="8">
        <f t="shared" si="1"/>
        <v>0.00922197688</v>
      </c>
      <c r="I306" s="8">
        <f t="shared" si="2"/>
        <v>0.00922197688</v>
      </c>
      <c r="J306" s="7" t="str">
        <f t="shared" si="3"/>
        <v>Oct-2024</v>
      </c>
      <c r="K306" s="9">
        <f t="shared" si="4"/>
        <v>45566</v>
      </c>
      <c r="L306" s="7" t="str">
        <f t="shared" si="5"/>
        <v/>
      </c>
      <c r="M306" s="7" t="str">
        <f>IFERROR(__xludf.DUMMYFUNCTION("IFERROR(
  IF(
    F306 &gt;
    3*AVERAGE(
       FILTER($F$2:$F10491,
         $G$2:$G10491=G306,
         $A$2:$A10491&gt;=A306-20,
         $A$2:$A10491&lt;=A306
       )
    ),
    ""VOL_SPIKE_3X"",""""
  ),
"""")
"),"")</f>
        <v/>
      </c>
      <c r="N306" s="7" t="str">
        <f t="shared" si="6"/>
        <v/>
      </c>
      <c r="O306" s="7" t="str">
        <f t="shared" si="7"/>
        <v/>
      </c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>
        <f>IFERROR(__xludf.DUMMYFUNCTION("""COMPUTED_VALUE"""),45594.0)</f>
        <v>45594</v>
      </c>
      <c r="B307" s="6">
        <f>IFERROR(__xludf.DUMMYFUNCTION("""COMPUTED_VALUE"""),141.01)</f>
        <v>141.01</v>
      </c>
      <c r="C307" s="6">
        <f>IFERROR(__xludf.DUMMYFUNCTION("""COMPUTED_VALUE"""),145.1)</f>
        <v>145.1</v>
      </c>
      <c r="D307" s="6">
        <f>IFERROR(__xludf.DUMMYFUNCTION("""COMPUTED_VALUE"""),140.56)</f>
        <v>140.56</v>
      </c>
      <c r="E307" s="6">
        <f>IFERROR(__xludf.DUMMYFUNCTION("""COMPUTED_VALUE"""),144.12)</f>
        <v>144.12</v>
      </c>
      <c r="F307" s="7">
        <f>IFERROR(__xludf.DUMMYFUNCTION("""COMPUTED_VALUE"""),3.5275184E7)</f>
        <v>35275184</v>
      </c>
      <c r="G307" s="7" t="str">
        <f>IFERROR(__xludf.DUMMYFUNCTION("""COMPUTED_VALUE"""),"IOC.NS")</f>
        <v>IOC.NS</v>
      </c>
      <c r="H307" s="8">
        <f t="shared" si="1"/>
        <v>0.02205517339</v>
      </c>
      <c r="I307" s="8">
        <f t="shared" si="2"/>
        <v>0.02205517339</v>
      </c>
      <c r="J307" s="7" t="str">
        <f t="shared" si="3"/>
        <v>Oct-2024</v>
      </c>
      <c r="K307" s="9">
        <f t="shared" si="4"/>
        <v>45566</v>
      </c>
      <c r="L307" s="7" t="str">
        <f t="shared" si="5"/>
        <v/>
      </c>
      <c r="M307" s="7" t="str">
        <f>IFERROR(__xludf.DUMMYFUNCTION("IFERROR(
  IF(
    F307 &gt;
    3*AVERAGE(
       FILTER($F$2:$F10491,
         $G$2:$G10491=G307,
         $A$2:$A10491&gt;=A307-20,
         $A$2:$A10491&lt;=A307
       )
    ),
    ""VOL_SPIKE_3X"",""""
  ),
"""")
"),"")</f>
        <v/>
      </c>
      <c r="N307" s="7" t="str">
        <f t="shared" si="6"/>
        <v/>
      </c>
      <c r="O307" s="7" t="str">
        <f t="shared" si="7"/>
        <v/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>
        <f>IFERROR(__xludf.DUMMYFUNCTION("""COMPUTED_VALUE"""),45594.0)</f>
        <v>45594</v>
      </c>
      <c r="B308" s="6">
        <f>IFERROR(__xludf.DUMMYFUNCTION("""COMPUTED_VALUE"""),409.0)</f>
        <v>409</v>
      </c>
      <c r="C308" s="6">
        <f>IFERROR(__xludf.DUMMYFUNCTION("""COMPUTED_VALUE"""),414.3)</f>
        <v>414.3</v>
      </c>
      <c r="D308" s="6">
        <f>IFERROR(__xludf.DUMMYFUNCTION("""COMPUTED_VALUE"""),404.45)</f>
        <v>404.45</v>
      </c>
      <c r="E308" s="6">
        <f>IFERROR(__xludf.DUMMYFUNCTION("""COMPUTED_VALUE"""),412.15)</f>
        <v>412.15</v>
      </c>
      <c r="F308" s="7">
        <f>IFERROR(__xludf.DUMMYFUNCTION("""COMPUTED_VALUE"""),2.0284308E7)</f>
        <v>20284308</v>
      </c>
      <c r="G308" s="7" t="str">
        <f>IFERROR(__xludf.DUMMYFUNCTION("""COMPUTED_VALUE"""),"NTPC.NS")</f>
        <v>NTPC.NS</v>
      </c>
      <c r="H308" s="8">
        <f t="shared" si="1"/>
        <v>0.007701711491</v>
      </c>
      <c r="I308" s="8">
        <f t="shared" si="2"/>
        <v>0.007701711491</v>
      </c>
      <c r="J308" s="7" t="str">
        <f t="shared" si="3"/>
        <v>Oct-2024</v>
      </c>
      <c r="K308" s="9">
        <f t="shared" si="4"/>
        <v>45566</v>
      </c>
      <c r="L308" s="7" t="str">
        <f t="shared" si="5"/>
        <v/>
      </c>
      <c r="M308" s="7" t="str">
        <f>IFERROR(__xludf.DUMMYFUNCTION("IFERROR(
  IF(
    F308 &gt;
    3*AVERAGE(
       FILTER($F$2:$F10491,
         $G$2:$G10491=G308,
         $A$2:$A10491&gt;=A308-20,
         $A$2:$A10491&lt;=A308
       )
    ),
    ""VOL_SPIKE_3X"",""""
  ),
"""")
"),"")</f>
        <v/>
      </c>
      <c r="N308" s="7" t="str">
        <f t="shared" si="6"/>
        <v/>
      </c>
      <c r="O308" s="7" t="str">
        <f t="shared" si="7"/>
        <v/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>
        <f>IFERROR(__xludf.DUMMYFUNCTION("""COMPUTED_VALUE"""),45594.0)</f>
        <v>45594</v>
      </c>
      <c r="B309" s="6">
        <f>IFERROR(__xludf.DUMMYFUNCTION("""COMPUTED_VALUE"""),263.35)</f>
        <v>263.35</v>
      </c>
      <c r="C309" s="6">
        <f>IFERROR(__xludf.DUMMYFUNCTION("""COMPUTED_VALUE"""),265.55)</f>
        <v>265.55</v>
      </c>
      <c r="D309" s="6">
        <f>IFERROR(__xludf.DUMMYFUNCTION("""COMPUTED_VALUE"""),259.4)</f>
        <v>259.4</v>
      </c>
      <c r="E309" s="6">
        <f>IFERROR(__xludf.DUMMYFUNCTION("""COMPUTED_VALUE"""),265.0)</f>
        <v>265</v>
      </c>
      <c r="F309" s="7">
        <f>IFERROR(__xludf.DUMMYFUNCTION("""COMPUTED_VALUE"""),9122757.0)</f>
        <v>9122757</v>
      </c>
      <c r="G309" s="7" t="str">
        <f>IFERROR(__xludf.DUMMYFUNCTION("""COMPUTED_VALUE"""),"ONGC.NS")</f>
        <v>ONGC.NS</v>
      </c>
      <c r="H309" s="8">
        <f t="shared" si="1"/>
        <v>0.006265426239</v>
      </c>
      <c r="I309" s="8">
        <f t="shared" si="2"/>
        <v>0.006265426239</v>
      </c>
      <c r="J309" s="7" t="str">
        <f t="shared" si="3"/>
        <v>Oct-2024</v>
      </c>
      <c r="K309" s="9">
        <f t="shared" si="4"/>
        <v>45566</v>
      </c>
      <c r="L309" s="7" t="str">
        <f t="shared" si="5"/>
        <v/>
      </c>
      <c r="M309" s="7" t="str">
        <f>IFERROR(__xludf.DUMMYFUNCTION("IFERROR(
  IF(
    F309 &gt;
    3*AVERAGE(
       FILTER($F$2:$F10491,
         $G$2:$G10491=G309,
         $A$2:$A10491&gt;=A309-20,
         $A$2:$A10491&lt;=A309
       )
    ),
    ""VOL_SPIKE_3X"",""""
  ),
"""")
"),"")</f>
        <v/>
      </c>
      <c r="N309" s="7" t="str">
        <f t="shared" si="6"/>
        <v/>
      </c>
      <c r="O309" s="7" t="str">
        <f t="shared" si="7"/>
        <v/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>
        <f>IFERROR(__xludf.DUMMYFUNCTION("""COMPUTED_VALUE"""),45594.0)</f>
        <v>45594</v>
      </c>
      <c r="B310" s="6">
        <f>IFERROR(__xludf.DUMMYFUNCTION("""COMPUTED_VALUE"""),316.1)</f>
        <v>316.1</v>
      </c>
      <c r="C310" s="6">
        <f>IFERROR(__xludf.DUMMYFUNCTION("""COMPUTED_VALUE"""),321.2)</f>
        <v>321.2</v>
      </c>
      <c r="D310" s="6">
        <f>IFERROR(__xludf.DUMMYFUNCTION("""COMPUTED_VALUE"""),314.15)</f>
        <v>314.15</v>
      </c>
      <c r="E310" s="6">
        <f>IFERROR(__xludf.DUMMYFUNCTION("""COMPUTED_VALUE"""),320.55)</f>
        <v>320.55</v>
      </c>
      <c r="F310" s="7">
        <f>IFERROR(__xludf.DUMMYFUNCTION("""COMPUTED_VALUE"""),1.5856332E7)</f>
        <v>15856332</v>
      </c>
      <c r="G310" s="7" t="str">
        <f>IFERROR(__xludf.DUMMYFUNCTION("""COMPUTED_VALUE"""),"POWERGRID.NS")</f>
        <v>POWERGRID.NS</v>
      </c>
      <c r="H310" s="8">
        <f t="shared" si="1"/>
        <v>0.01407782347</v>
      </c>
      <c r="I310" s="8">
        <f t="shared" si="2"/>
        <v>0.01407782347</v>
      </c>
      <c r="J310" s="7" t="str">
        <f t="shared" si="3"/>
        <v>Oct-2024</v>
      </c>
      <c r="K310" s="9">
        <f t="shared" si="4"/>
        <v>45566</v>
      </c>
      <c r="L310" s="7" t="str">
        <f t="shared" si="5"/>
        <v/>
      </c>
      <c r="M310" s="7" t="str">
        <f>IFERROR(__xludf.DUMMYFUNCTION("IFERROR(
  IF(
    F310 &gt;
    3*AVERAGE(
       FILTER($F$2:$F10491,
         $G$2:$G10491=G310,
         $A$2:$A10491&gt;=A310-20,
         $A$2:$A10491&lt;=A310
       )
    ),
    ""VOL_SPIKE_3X"",""""
  ),
"""")
"),"")</f>
        <v/>
      </c>
      <c r="N310" s="7" t="str">
        <f t="shared" si="6"/>
        <v/>
      </c>
      <c r="O310" s="7" t="str">
        <f t="shared" si="7"/>
        <v/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>
        <f>IFERROR(__xludf.DUMMYFUNCTION("""COMPUTED_VALUE"""),45594.0)</f>
        <v>45594</v>
      </c>
      <c r="B311" s="6">
        <f>IFERROR(__xludf.DUMMYFUNCTION("""COMPUTED_VALUE"""),1328.1)</f>
        <v>1328.1</v>
      </c>
      <c r="C311" s="6">
        <f>IFERROR(__xludf.DUMMYFUNCTION("""COMPUTED_VALUE"""),1343.2)</f>
        <v>1343.2</v>
      </c>
      <c r="D311" s="6">
        <f>IFERROR(__xludf.DUMMYFUNCTION("""COMPUTED_VALUE"""),1320.3)</f>
        <v>1320.3</v>
      </c>
      <c r="E311" s="6">
        <f>IFERROR(__xludf.DUMMYFUNCTION("""COMPUTED_VALUE"""),1340.0)</f>
        <v>1340</v>
      </c>
      <c r="F311" s="7">
        <f>IFERROR(__xludf.DUMMYFUNCTION("""COMPUTED_VALUE"""),1.2008361E7)</f>
        <v>12008361</v>
      </c>
      <c r="G311" s="7" t="str">
        <f>IFERROR(__xludf.DUMMYFUNCTION("""COMPUTED_VALUE"""),"RELIANCE.NS")</f>
        <v>RELIANCE.NS</v>
      </c>
      <c r="H311" s="8">
        <f t="shared" si="1"/>
        <v>0.008960168662</v>
      </c>
      <c r="I311" s="8">
        <f t="shared" si="2"/>
        <v>0.008960168662</v>
      </c>
      <c r="J311" s="7" t="str">
        <f t="shared" si="3"/>
        <v>Oct-2024</v>
      </c>
      <c r="K311" s="9">
        <f t="shared" si="4"/>
        <v>45566</v>
      </c>
      <c r="L311" s="7" t="str">
        <f t="shared" si="5"/>
        <v/>
      </c>
      <c r="M311" s="7" t="str">
        <f>IFERROR(__xludf.DUMMYFUNCTION("IFERROR(
  IF(
    F311 &gt;
    3*AVERAGE(
       FILTER($F$2:$F10491,
         $G$2:$G10491=G311,
         $A$2:$A10491&gt;=A311-20,
         $A$2:$A10491&lt;=A311
       )
    ),
    ""VOL_SPIKE_3X"",""""
  ),
"""")
"),"")</f>
        <v/>
      </c>
      <c r="N311" s="7" t="str">
        <f t="shared" si="6"/>
        <v/>
      </c>
      <c r="O311" s="7" t="str">
        <f t="shared" si="7"/>
        <v/>
      </c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>
        <f>IFERROR(__xludf.DUMMYFUNCTION("""COMPUTED_VALUE"""),45595.0)</f>
        <v>45595</v>
      </c>
      <c r="B312" s="6">
        <f>IFERROR(__xludf.DUMMYFUNCTION("""COMPUTED_VALUE"""),930.0)</f>
        <v>930</v>
      </c>
      <c r="C312" s="6">
        <f>IFERROR(__xludf.DUMMYFUNCTION("""COMPUTED_VALUE"""),963.5)</f>
        <v>963.5</v>
      </c>
      <c r="D312" s="6">
        <f>IFERROR(__xludf.DUMMYFUNCTION("""COMPUTED_VALUE"""),917.55)</f>
        <v>917.55</v>
      </c>
      <c r="E312" s="6">
        <f>IFERROR(__xludf.DUMMYFUNCTION("""COMPUTED_VALUE"""),945.9)</f>
        <v>945.9</v>
      </c>
      <c r="F312" s="7">
        <f>IFERROR(__xludf.DUMMYFUNCTION("""COMPUTED_VALUE"""),1785038.0)</f>
        <v>1785038</v>
      </c>
      <c r="G312" s="7" t="str">
        <f>IFERROR(__xludf.DUMMYFUNCTION("""COMPUTED_VALUE"""),"ADANIENSOL.NS")</f>
        <v>ADANIENSOL.NS</v>
      </c>
      <c r="H312" s="8">
        <f t="shared" si="1"/>
        <v>0.01709677419</v>
      </c>
      <c r="I312" s="8">
        <f t="shared" si="2"/>
        <v>0.01709677419</v>
      </c>
      <c r="J312" s="7" t="str">
        <f t="shared" si="3"/>
        <v>Oct-2024</v>
      </c>
      <c r="K312" s="9">
        <f t="shared" si="4"/>
        <v>45566</v>
      </c>
      <c r="L312" s="7" t="str">
        <f t="shared" si="5"/>
        <v/>
      </c>
      <c r="M312" s="7" t="str">
        <f>IFERROR(__xludf.DUMMYFUNCTION("IFERROR(
  IF(
    F312 &gt;
    3*AVERAGE(
       FILTER($F$2:$F10491,
         $G$2:$G10491=G312,
         $A$2:$A10491&gt;=A312-20,
         $A$2:$A10491&lt;=A312
       )
    ),
    ""VOL_SPIKE_3X"",""""
  ),
"""")
"),"")</f>
        <v/>
      </c>
      <c r="N312" s="7" t="str">
        <f t="shared" si="6"/>
        <v/>
      </c>
      <c r="O312" s="7" t="str">
        <f t="shared" si="7"/>
        <v/>
      </c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>
        <f>IFERROR(__xludf.DUMMYFUNCTION("""COMPUTED_VALUE"""),45595.0)</f>
        <v>45595</v>
      </c>
      <c r="B313" s="6">
        <f>IFERROR(__xludf.DUMMYFUNCTION("""COMPUTED_VALUE"""),1615.0)</f>
        <v>1615</v>
      </c>
      <c r="C313" s="6">
        <f>IFERROR(__xludf.DUMMYFUNCTION("""COMPUTED_VALUE"""),1653.75)</f>
        <v>1653.75</v>
      </c>
      <c r="D313" s="6">
        <f>IFERROR(__xludf.DUMMYFUNCTION("""COMPUTED_VALUE"""),1596.65)</f>
        <v>1596.65</v>
      </c>
      <c r="E313" s="6">
        <f>IFERROR(__xludf.DUMMYFUNCTION("""COMPUTED_VALUE"""),1634.2)</f>
        <v>1634.2</v>
      </c>
      <c r="F313" s="7">
        <f>IFERROR(__xludf.DUMMYFUNCTION("""COMPUTED_VALUE"""),713381.0)</f>
        <v>713381</v>
      </c>
      <c r="G313" s="7" t="str">
        <f>IFERROR(__xludf.DUMMYFUNCTION("""COMPUTED_VALUE"""),"ADANIGREEN.NS")</f>
        <v>ADANIGREEN.NS</v>
      </c>
      <c r="H313" s="8">
        <f t="shared" si="1"/>
        <v>0.01188854489</v>
      </c>
      <c r="I313" s="8">
        <f t="shared" si="2"/>
        <v>0.01188854489</v>
      </c>
      <c r="J313" s="7" t="str">
        <f t="shared" si="3"/>
        <v>Oct-2024</v>
      </c>
      <c r="K313" s="9">
        <f t="shared" si="4"/>
        <v>45566</v>
      </c>
      <c r="L313" s="7" t="str">
        <f t="shared" si="5"/>
        <v/>
      </c>
      <c r="M313" s="7" t="str">
        <f>IFERROR(__xludf.DUMMYFUNCTION("IFERROR(
  IF(
    F313 &gt;
    3*AVERAGE(
       FILTER($F$2:$F10491,
         $G$2:$G10491=G313,
         $A$2:$A10491&gt;=A313-20,
         $A$2:$A10491&lt;=A313
       )
    ),
    ""VOL_SPIKE_3X"",""""
  ),
"""")
"),"")</f>
        <v/>
      </c>
      <c r="N313" s="7" t="str">
        <f t="shared" si="6"/>
        <v/>
      </c>
      <c r="O313" s="7" t="str">
        <f t="shared" si="7"/>
        <v/>
      </c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>
        <f>IFERROR(__xludf.DUMMYFUNCTION("""COMPUTED_VALUE"""),45595.0)</f>
        <v>45595</v>
      </c>
      <c r="B314" s="6">
        <f>IFERROR(__xludf.DUMMYFUNCTION("""COMPUTED_VALUE"""),309.0)</f>
        <v>309</v>
      </c>
      <c r="C314" s="6">
        <f>IFERROR(__xludf.DUMMYFUNCTION("""COMPUTED_VALUE"""),314.9)</f>
        <v>314.9</v>
      </c>
      <c r="D314" s="6">
        <f>IFERROR(__xludf.DUMMYFUNCTION("""COMPUTED_VALUE"""),307.35)</f>
        <v>307.35</v>
      </c>
      <c r="E314" s="6">
        <f>IFERROR(__xludf.DUMMYFUNCTION("""COMPUTED_VALUE"""),311.3)</f>
        <v>311.3</v>
      </c>
      <c r="F314" s="7">
        <f>IFERROR(__xludf.DUMMYFUNCTION("""COMPUTED_VALUE"""),6248318.0)</f>
        <v>6248318</v>
      </c>
      <c r="G314" s="7" t="str">
        <f>IFERROR(__xludf.DUMMYFUNCTION("""COMPUTED_VALUE"""),"BPCL.NS")</f>
        <v>BPCL.NS</v>
      </c>
      <c r="H314" s="8">
        <f t="shared" si="1"/>
        <v>0.007443365696</v>
      </c>
      <c r="I314" s="8">
        <f t="shared" si="2"/>
        <v>0.007443365696</v>
      </c>
      <c r="J314" s="7" t="str">
        <f t="shared" si="3"/>
        <v>Oct-2024</v>
      </c>
      <c r="K314" s="9">
        <f t="shared" si="4"/>
        <v>45566</v>
      </c>
      <c r="L314" s="7" t="str">
        <f t="shared" si="5"/>
        <v/>
      </c>
      <c r="M314" s="7" t="str">
        <f>IFERROR(__xludf.DUMMYFUNCTION("IFERROR(
  IF(
    F314 &gt;
    3*AVERAGE(
       FILTER($F$2:$F10491,
         $G$2:$G10491=G314,
         $A$2:$A10491&gt;=A314-20,
         $A$2:$A10491&lt;=A314
       )
    ),
    ""VOL_SPIKE_3X"",""""
  ),
"""")
"),"")</f>
        <v/>
      </c>
      <c r="N314" s="7" t="str">
        <f t="shared" si="6"/>
        <v/>
      </c>
      <c r="O314" s="7" t="str">
        <f t="shared" si="7"/>
        <v/>
      </c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>
        <f>IFERROR(__xludf.DUMMYFUNCTION("""COMPUTED_VALUE"""),45595.0)</f>
        <v>45595</v>
      </c>
      <c r="B315" s="6">
        <f>IFERROR(__xludf.DUMMYFUNCTION("""COMPUTED_VALUE"""),448.0)</f>
        <v>448</v>
      </c>
      <c r="C315" s="6">
        <f>IFERROR(__xludf.DUMMYFUNCTION("""COMPUTED_VALUE"""),455.8)</f>
        <v>455.8</v>
      </c>
      <c r="D315" s="6">
        <f>IFERROR(__xludf.DUMMYFUNCTION("""COMPUTED_VALUE"""),445.0)</f>
        <v>445</v>
      </c>
      <c r="E315" s="6">
        <f>IFERROR(__xludf.DUMMYFUNCTION("""COMPUTED_VALUE"""),449.15)</f>
        <v>449.15</v>
      </c>
      <c r="F315" s="7">
        <f>IFERROR(__xludf.DUMMYFUNCTION("""COMPUTED_VALUE"""),7818123.0)</f>
        <v>7818123</v>
      </c>
      <c r="G315" s="7" t="str">
        <f>IFERROR(__xludf.DUMMYFUNCTION("""COMPUTED_VALUE"""),"COALINDIA.NS")</f>
        <v>COALINDIA.NS</v>
      </c>
      <c r="H315" s="8">
        <f t="shared" si="1"/>
        <v>0.002566964286</v>
      </c>
      <c r="I315" s="8">
        <f t="shared" si="2"/>
        <v>0.002566964286</v>
      </c>
      <c r="J315" s="7" t="str">
        <f t="shared" si="3"/>
        <v>Oct-2024</v>
      </c>
      <c r="K315" s="9">
        <f t="shared" si="4"/>
        <v>45566</v>
      </c>
      <c r="L315" s="7" t="str">
        <f t="shared" si="5"/>
        <v/>
      </c>
      <c r="M315" s="7" t="str">
        <f>IFERROR(__xludf.DUMMYFUNCTION("IFERROR(
  IF(
    F315 &gt;
    3*AVERAGE(
       FILTER($F$2:$F10491,
         $G$2:$G10491=G315,
         $A$2:$A10491&gt;=A315-20,
         $A$2:$A10491&lt;=A315
       )
    ),
    ""VOL_SPIKE_3X"",""""
  ),
"""")
"),"")</f>
        <v/>
      </c>
      <c r="N315" s="7" t="str">
        <f t="shared" si="6"/>
        <v/>
      </c>
      <c r="O315" s="7" t="str">
        <f t="shared" si="7"/>
        <v/>
      </c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>
        <f>IFERROR(__xludf.DUMMYFUNCTION("""COMPUTED_VALUE"""),45595.0)</f>
        <v>45595</v>
      </c>
      <c r="B316" s="6">
        <f>IFERROR(__xludf.DUMMYFUNCTION("""COMPUTED_VALUE"""),388.5)</f>
        <v>388.5</v>
      </c>
      <c r="C316" s="6">
        <f>IFERROR(__xludf.DUMMYFUNCTION("""COMPUTED_VALUE"""),389.45)</f>
        <v>389.45</v>
      </c>
      <c r="D316" s="6">
        <f>IFERROR(__xludf.DUMMYFUNCTION("""COMPUTED_VALUE"""),376.7)</f>
        <v>376.7</v>
      </c>
      <c r="E316" s="6">
        <f>IFERROR(__xludf.DUMMYFUNCTION("""COMPUTED_VALUE"""),377.65)</f>
        <v>377.65</v>
      </c>
      <c r="F316" s="7">
        <f>IFERROR(__xludf.DUMMYFUNCTION("""COMPUTED_VALUE"""),5110158.0)</f>
        <v>5110158</v>
      </c>
      <c r="G316" s="7" t="str">
        <f>IFERROR(__xludf.DUMMYFUNCTION("""COMPUTED_VALUE"""),"HINDPETRO.NS")</f>
        <v>HINDPETRO.NS</v>
      </c>
      <c r="H316" s="8">
        <f t="shared" si="1"/>
        <v>-0.02792792793</v>
      </c>
      <c r="I316" s="8">
        <f t="shared" si="2"/>
        <v>0.02792792793</v>
      </c>
      <c r="J316" s="7" t="str">
        <f t="shared" si="3"/>
        <v>Oct-2024</v>
      </c>
      <c r="K316" s="9">
        <f t="shared" si="4"/>
        <v>45566</v>
      </c>
      <c r="L316" s="7" t="str">
        <f t="shared" si="5"/>
        <v/>
      </c>
      <c r="M316" s="7" t="str">
        <f>IFERROR(__xludf.DUMMYFUNCTION("IFERROR(
  IF(
    F316 &gt;
    3*AVERAGE(
       FILTER($F$2:$F10491,
         $G$2:$G10491=G316,
         $A$2:$A10491&gt;=A316-20,
         $A$2:$A10491&lt;=A316
       )
    ),
    ""VOL_SPIKE_3X"",""""
  ),
"""")
"),"")</f>
        <v/>
      </c>
      <c r="N316" s="7" t="str">
        <f t="shared" si="6"/>
        <v/>
      </c>
      <c r="O316" s="7" t="str">
        <f t="shared" si="7"/>
        <v/>
      </c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>
        <f>IFERROR(__xludf.DUMMYFUNCTION("""COMPUTED_VALUE"""),45595.0)</f>
        <v>45595</v>
      </c>
      <c r="B317" s="6">
        <f>IFERROR(__xludf.DUMMYFUNCTION("""COMPUTED_VALUE"""),143.6)</f>
        <v>143.6</v>
      </c>
      <c r="C317" s="6">
        <f>IFERROR(__xludf.DUMMYFUNCTION("""COMPUTED_VALUE"""),145.44)</f>
        <v>145.44</v>
      </c>
      <c r="D317" s="6">
        <f>IFERROR(__xludf.DUMMYFUNCTION("""COMPUTED_VALUE"""),142.25)</f>
        <v>142.25</v>
      </c>
      <c r="E317" s="6">
        <f>IFERROR(__xludf.DUMMYFUNCTION("""COMPUTED_VALUE"""),143.4)</f>
        <v>143.4</v>
      </c>
      <c r="F317" s="7">
        <f>IFERROR(__xludf.DUMMYFUNCTION("""COMPUTED_VALUE"""),1.7388536E7)</f>
        <v>17388536</v>
      </c>
      <c r="G317" s="7" t="str">
        <f>IFERROR(__xludf.DUMMYFUNCTION("""COMPUTED_VALUE"""),"IOC.NS")</f>
        <v>IOC.NS</v>
      </c>
      <c r="H317" s="8">
        <f t="shared" si="1"/>
        <v>-0.00139275766</v>
      </c>
      <c r="I317" s="8">
        <f t="shared" si="2"/>
        <v>0.00139275766</v>
      </c>
      <c r="J317" s="7" t="str">
        <f t="shared" si="3"/>
        <v>Oct-2024</v>
      </c>
      <c r="K317" s="9">
        <f t="shared" si="4"/>
        <v>45566</v>
      </c>
      <c r="L317" s="7" t="str">
        <f t="shared" si="5"/>
        <v/>
      </c>
      <c r="M317" s="7" t="str">
        <f>IFERROR(__xludf.DUMMYFUNCTION("IFERROR(
  IF(
    F317 &gt;
    3*AVERAGE(
       FILTER($F$2:$F10491,
         $G$2:$G10491=G317,
         $A$2:$A10491&gt;=A317-20,
         $A$2:$A10491&lt;=A317
       )
    ),
    ""VOL_SPIKE_3X"",""""
  ),
"""")
"),"")</f>
        <v/>
      </c>
      <c r="N317" s="7" t="str">
        <f t="shared" si="6"/>
        <v/>
      </c>
      <c r="O317" s="7" t="str">
        <f t="shared" si="7"/>
        <v/>
      </c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>
        <f>IFERROR(__xludf.DUMMYFUNCTION("""COMPUTED_VALUE"""),45595.0)</f>
        <v>45595</v>
      </c>
      <c r="B318" s="6">
        <f>IFERROR(__xludf.DUMMYFUNCTION("""COMPUTED_VALUE"""),414.15)</f>
        <v>414.15</v>
      </c>
      <c r="C318" s="6">
        <f>IFERROR(__xludf.DUMMYFUNCTION("""COMPUTED_VALUE"""),414.8)</f>
        <v>414.8</v>
      </c>
      <c r="D318" s="6">
        <f>IFERROR(__xludf.DUMMYFUNCTION("""COMPUTED_VALUE"""),405.8)</f>
        <v>405.8</v>
      </c>
      <c r="E318" s="6">
        <f>IFERROR(__xludf.DUMMYFUNCTION("""COMPUTED_VALUE"""),408.5)</f>
        <v>408.5</v>
      </c>
      <c r="F318" s="7">
        <f>IFERROR(__xludf.DUMMYFUNCTION("""COMPUTED_VALUE"""),1.2264297E7)</f>
        <v>12264297</v>
      </c>
      <c r="G318" s="7" t="str">
        <f>IFERROR(__xludf.DUMMYFUNCTION("""COMPUTED_VALUE"""),"NTPC.NS")</f>
        <v>NTPC.NS</v>
      </c>
      <c r="H318" s="8">
        <f t="shared" si="1"/>
        <v>-0.0136424001</v>
      </c>
      <c r="I318" s="8">
        <f t="shared" si="2"/>
        <v>0.0136424001</v>
      </c>
      <c r="J318" s="7" t="str">
        <f t="shared" si="3"/>
        <v>Oct-2024</v>
      </c>
      <c r="K318" s="9">
        <f t="shared" si="4"/>
        <v>45566</v>
      </c>
      <c r="L318" s="7" t="str">
        <f t="shared" si="5"/>
        <v/>
      </c>
      <c r="M318" s="7" t="str">
        <f>IFERROR(__xludf.DUMMYFUNCTION("IFERROR(
  IF(
    F318 &gt;
    3*AVERAGE(
       FILTER($F$2:$F10491,
         $G$2:$G10491=G318,
         $A$2:$A10491&gt;=A318-20,
         $A$2:$A10491&lt;=A318
       )
    ),
    ""VOL_SPIKE_3X"",""""
  ),
"""")
"),"")</f>
        <v/>
      </c>
      <c r="N318" s="7" t="str">
        <f t="shared" si="6"/>
        <v/>
      </c>
      <c r="O318" s="7" t="str">
        <f t="shared" si="7"/>
        <v/>
      </c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>
        <f>IFERROR(__xludf.DUMMYFUNCTION("""COMPUTED_VALUE"""),45595.0)</f>
        <v>45595</v>
      </c>
      <c r="B319" s="6">
        <f>IFERROR(__xludf.DUMMYFUNCTION("""COMPUTED_VALUE"""),265.0)</f>
        <v>265</v>
      </c>
      <c r="C319" s="6">
        <f>IFERROR(__xludf.DUMMYFUNCTION("""COMPUTED_VALUE"""),266.2)</f>
        <v>266.2</v>
      </c>
      <c r="D319" s="6">
        <f>IFERROR(__xludf.DUMMYFUNCTION("""COMPUTED_VALUE"""),261.05)</f>
        <v>261.05</v>
      </c>
      <c r="E319" s="6">
        <f>IFERROR(__xludf.DUMMYFUNCTION("""COMPUTED_VALUE"""),261.65)</f>
        <v>261.65</v>
      </c>
      <c r="F319" s="7">
        <f>IFERROR(__xludf.DUMMYFUNCTION("""COMPUTED_VALUE"""),1.1166643E7)</f>
        <v>11166643</v>
      </c>
      <c r="G319" s="7" t="str">
        <f>IFERROR(__xludf.DUMMYFUNCTION("""COMPUTED_VALUE"""),"ONGC.NS")</f>
        <v>ONGC.NS</v>
      </c>
      <c r="H319" s="8">
        <f t="shared" si="1"/>
        <v>-0.01264150943</v>
      </c>
      <c r="I319" s="8">
        <f t="shared" si="2"/>
        <v>0.01264150943</v>
      </c>
      <c r="J319" s="7" t="str">
        <f t="shared" si="3"/>
        <v>Oct-2024</v>
      </c>
      <c r="K319" s="9">
        <f t="shared" si="4"/>
        <v>45566</v>
      </c>
      <c r="L319" s="7" t="str">
        <f t="shared" si="5"/>
        <v/>
      </c>
      <c r="M319" s="7" t="str">
        <f>IFERROR(__xludf.DUMMYFUNCTION("IFERROR(
  IF(
    F319 &gt;
    3*AVERAGE(
       FILTER($F$2:$F10491,
         $G$2:$G10491=G319,
         $A$2:$A10491&gt;=A319-20,
         $A$2:$A10491&lt;=A319
       )
    ),
    ""VOL_SPIKE_3X"",""""
  ),
"""")
"),"")</f>
        <v/>
      </c>
      <c r="N319" s="7" t="str">
        <f t="shared" si="6"/>
        <v/>
      </c>
      <c r="O319" s="7" t="str">
        <f t="shared" si="7"/>
        <v/>
      </c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>
        <f>IFERROR(__xludf.DUMMYFUNCTION("""COMPUTED_VALUE"""),45595.0)</f>
        <v>45595</v>
      </c>
      <c r="B320" s="6">
        <f>IFERROR(__xludf.DUMMYFUNCTION("""COMPUTED_VALUE"""),318.55)</f>
        <v>318.55</v>
      </c>
      <c r="C320" s="6">
        <f>IFERROR(__xludf.DUMMYFUNCTION("""COMPUTED_VALUE"""),325.4)</f>
        <v>325.4</v>
      </c>
      <c r="D320" s="6">
        <f>IFERROR(__xludf.DUMMYFUNCTION("""COMPUTED_VALUE"""),316.75)</f>
        <v>316.75</v>
      </c>
      <c r="E320" s="6">
        <f>IFERROR(__xludf.DUMMYFUNCTION("""COMPUTED_VALUE"""),318.45)</f>
        <v>318.45</v>
      </c>
      <c r="F320" s="7">
        <f>IFERROR(__xludf.DUMMYFUNCTION("""COMPUTED_VALUE"""),1.449811E7)</f>
        <v>14498110</v>
      </c>
      <c r="G320" s="7" t="str">
        <f>IFERROR(__xludf.DUMMYFUNCTION("""COMPUTED_VALUE"""),"POWERGRID.NS")</f>
        <v>POWERGRID.NS</v>
      </c>
      <c r="H320" s="8">
        <f t="shared" si="1"/>
        <v>-0.0003139224612</v>
      </c>
      <c r="I320" s="8">
        <f t="shared" si="2"/>
        <v>0.0003139224612</v>
      </c>
      <c r="J320" s="7" t="str">
        <f t="shared" si="3"/>
        <v>Oct-2024</v>
      </c>
      <c r="K320" s="9">
        <f t="shared" si="4"/>
        <v>45566</v>
      </c>
      <c r="L320" s="7" t="str">
        <f t="shared" si="5"/>
        <v/>
      </c>
      <c r="M320" s="7" t="str">
        <f>IFERROR(__xludf.DUMMYFUNCTION("IFERROR(
  IF(
    F320 &gt;
    3*AVERAGE(
       FILTER($F$2:$F10491,
         $G$2:$G10491=G320,
         $A$2:$A10491&gt;=A320-20,
         $A$2:$A10491&lt;=A320
       )
    ),
    ""VOL_SPIKE_3X"",""""
  ),
"""")
"),"")</f>
        <v/>
      </c>
      <c r="N320" s="7" t="str">
        <f t="shared" si="6"/>
        <v/>
      </c>
      <c r="O320" s="7" t="str">
        <f t="shared" si="7"/>
        <v/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>
        <f>IFERROR(__xludf.DUMMYFUNCTION("""COMPUTED_VALUE"""),45595.0)</f>
        <v>45595</v>
      </c>
      <c r="B321" s="6">
        <f>IFERROR(__xludf.DUMMYFUNCTION("""COMPUTED_VALUE"""),1335.0)</f>
        <v>1335</v>
      </c>
      <c r="C321" s="6">
        <f>IFERROR(__xludf.DUMMYFUNCTION("""COMPUTED_VALUE"""),1350.0)</f>
        <v>1350</v>
      </c>
      <c r="D321" s="6">
        <f>IFERROR(__xludf.DUMMYFUNCTION("""COMPUTED_VALUE"""),1325.35)</f>
        <v>1325.35</v>
      </c>
      <c r="E321" s="6">
        <f>IFERROR(__xludf.DUMMYFUNCTION("""COMPUTED_VALUE"""),1343.9)</f>
        <v>1343.9</v>
      </c>
      <c r="F321" s="7">
        <f>IFERROR(__xludf.DUMMYFUNCTION("""COMPUTED_VALUE"""),1.1984423E7)</f>
        <v>11984423</v>
      </c>
      <c r="G321" s="7" t="str">
        <f>IFERROR(__xludf.DUMMYFUNCTION("""COMPUTED_VALUE"""),"RELIANCE.NS")</f>
        <v>RELIANCE.NS</v>
      </c>
      <c r="H321" s="8">
        <f t="shared" si="1"/>
        <v>0.006666666667</v>
      </c>
      <c r="I321" s="8">
        <f t="shared" si="2"/>
        <v>0.006666666667</v>
      </c>
      <c r="J321" s="7" t="str">
        <f t="shared" si="3"/>
        <v>Oct-2024</v>
      </c>
      <c r="K321" s="9">
        <f t="shared" si="4"/>
        <v>45566</v>
      </c>
      <c r="L321" s="7" t="str">
        <f t="shared" si="5"/>
        <v/>
      </c>
      <c r="M321" s="7" t="str">
        <f>IFERROR(__xludf.DUMMYFUNCTION("IFERROR(
  IF(
    F321 &gt;
    3*AVERAGE(
       FILTER($F$2:$F10491,
         $G$2:$G10491=G321,
         $A$2:$A10491&gt;=A321-20,
         $A$2:$A10491&lt;=A321
       )
    ),
    ""VOL_SPIKE_3X"",""""
  ),
"""")
"),"")</f>
        <v/>
      </c>
      <c r="N321" s="7" t="str">
        <f t="shared" si="6"/>
        <v/>
      </c>
      <c r="O321" s="7" t="str">
        <f t="shared" si="7"/>
        <v/>
      </c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>
        <f>IFERROR(__xludf.DUMMYFUNCTION("""COMPUTED_VALUE"""),45596.0)</f>
        <v>45596</v>
      </c>
      <c r="B322" s="6">
        <f>IFERROR(__xludf.DUMMYFUNCTION("""COMPUTED_VALUE"""),943.0)</f>
        <v>943</v>
      </c>
      <c r="C322" s="6">
        <f>IFERROR(__xludf.DUMMYFUNCTION("""COMPUTED_VALUE"""),980.0)</f>
        <v>980</v>
      </c>
      <c r="D322" s="6">
        <f>IFERROR(__xludf.DUMMYFUNCTION("""COMPUTED_VALUE"""),942.0)</f>
        <v>942</v>
      </c>
      <c r="E322" s="6">
        <f>IFERROR(__xludf.DUMMYFUNCTION("""COMPUTED_VALUE"""),976.2)</f>
        <v>976.2</v>
      </c>
      <c r="F322" s="7">
        <f>IFERROR(__xludf.DUMMYFUNCTION("""COMPUTED_VALUE"""),1546658.0)</f>
        <v>1546658</v>
      </c>
      <c r="G322" s="7" t="str">
        <f>IFERROR(__xludf.DUMMYFUNCTION("""COMPUTED_VALUE"""),"ADANIENSOL.NS")</f>
        <v>ADANIENSOL.NS</v>
      </c>
      <c r="H322" s="8">
        <f t="shared" si="1"/>
        <v>0.03520678685</v>
      </c>
      <c r="I322" s="8">
        <f t="shared" si="2"/>
        <v>0.03520678685</v>
      </c>
      <c r="J322" s="7" t="str">
        <f t="shared" si="3"/>
        <v>Oct-2024</v>
      </c>
      <c r="K322" s="9">
        <f t="shared" si="4"/>
        <v>45566</v>
      </c>
      <c r="L322" s="7" t="str">
        <f t="shared" si="5"/>
        <v/>
      </c>
      <c r="M322" s="7" t="str">
        <f>IFERROR(__xludf.DUMMYFUNCTION("IFERROR(
  IF(
    F322 &gt;
    3*AVERAGE(
       FILTER($F$2:$F10491,
         $G$2:$G10491=G322,
         $A$2:$A10491&gt;=A322-20,
         $A$2:$A10491&lt;=A322
       )
    ),
    ""VOL_SPIKE_3X"",""""
  ),
"""")
"),"")</f>
        <v/>
      </c>
      <c r="N322" s="7" t="str">
        <f t="shared" si="6"/>
        <v/>
      </c>
      <c r="O322" s="7" t="str">
        <f t="shared" si="7"/>
        <v/>
      </c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>
        <f>IFERROR(__xludf.DUMMYFUNCTION("""COMPUTED_VALUE"""),45596.0)</f>
        <v>45596</v>
      </c>
      <c r="B323" s="6">
        <f>IFERROR(__xludf.DUMMYFUNCTION("""COMPUTED_VALUE"""),1642.1)</f>
        <v>1642.1</v>
      </c>
      <c r="C323" s="6">
        <f>IFERROR(__xludf.DUMMYFUNCTION("""COMPUTED_VALUE"""),1664.0)</f>
        <v>1664</v>
      </c>
      <c r="D323" s="6">
        <f>IFERROR(__xludf.DUMMYFUNCTION("""COMPUTED_VALUE"""),1591.95)</f>
        <v>1591.95</v>
      </c>
      <c r="E323" s="6">
        <f>IFERROR(__xludf.DUMMYFUNCTION("""COMPUTED_VALUE"""),1598.3)</f>
        <v>1598.3</v>
      </c>
      <c r="F323" s="7">
        <f>IFERROR(__xludf.DUMMYFUNCTION("""COMPUTED_VALUE"""),716981.0)</f>
        <v>716981</v>
      </c>
      <c r="G323" s="7" t="str">
        <f>IFERROR(__xludf.DUMMYFUNCTION("""COMPUTED_VALUE"""),"ADANIGREEN.NS")</f>
        <v>ADANIGREEN.NS</v>
      </c>
      <c r="H323" s="8">
        <f t="shared" si="1"/>
        <v>-0.02667316241</v>
      </c>
      <c r="I323" s="8">
        <f t="shared" si="2"/>
        <v>0.02667316241</v>
      </c>
      <c r="J323" s="7" t="str">
        <f t="shared" si="3"/>
        <v>Oct-2024</v>
      </c>
      <c r="K323" s="9">
        <f t="shared" si="4"/>
        <v>45566</v>
      </c>
      <c r="L323" s="7" t="str">
        <f t="shared" si="5"/>
        <v/>
      </c>
      <c r="M323" s="7" t="str">
        <f>IFERROR(__xludf.DUMMYFUNCTION("IFERROR(
  IF(
    F323 &gt;
    3*AVERAGE(
       FILTER($F$2:$F10491,
         $G$2:$G10491=G323,
         $A$2:$A10491&gt;=A323-20,
         $A$2:$A10491&lt;=A323
       )
    ),
    ""VOL_SPIKE_3X"",""""
  ),
"""")
"),"")</f>
        <v/>
      </c>
      <c r="N323" s="7" t="str">
        <f t="shared" si="6"/>
        <v/>
      </c>
      <c r="O323" s="7" t="str">
        <f t="shared" si="7"/>
        <v/>
      </c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>
        <f>IFERROR(__xludf.DUMMYFUNCTION("""COMPUTED_VALUE"""),45596.0)</f>
        <v>45596</v>
      </c>
      <c r="B324" s="6">
        <f>IFERROR(__xludf.DUMMYFUNCTION("""COMPUTED_VALUE"""),310.5)</f>
        <v>310.5</v>
      </c>
      <c r="C324" s="6">
        <f>IFERROR(__xludf.DUMMYFUNCTION("""COMPUTED_VALUE"""),316.2)</f>
        <v>316.2</v>
      </c>
      <c r="D324" s="6">
        <f>IFERROR(__xludf.DUMMYFUNCTION("""COMPUTED_VALUE"""),307.8)</f>
        <v>307.8</v>
      </c>
      <c r="E324" s="6">
        <f>IFERROR(__xludf.DUMMYFUNCTION("""COMPUTED_VALUE"""),310.75)</f>
        <v>310.75</v>
      </c>
      <c r="F324" s="7">
        <f>IFERROR(__xludf.DUMMYFUNCTION("""COMPUTED_VALUE"""),1.1375689E7)</f>
        <v>11375689</v>
      </c>
      <c r="G324" s="7" t="str">
        <f>IFERROR(__xludf.DUMMYFUNCTION("""COMPUTED_VALUE"""),"BPCL.NS")</f>
        <v>BPCL.NS</v>
      </c>
      <c r="H324" s="8">
        <f t="shared" si="1"/>
        <v>0.0008051529791</v>
      </c>
      <c r="I324" s="8">
        <f t="shared" si="2"/>
        <v>0.0008051529791</v>
      </c>
      <c r="J324" s="7" t="str">
        <f t="shared" si="3"/>
        <v>Oct-2024</v>
      </c>
      <c r="K324" s="9">
        <f t="shared" si="4"/>
        <v>45566</v>
      </c>
      <c r="L324" s="7" t="str">
        <f t="shared" si="5"/>
        <v/>
      </c>
      <c r="M324" s="7" t="str">
        <f>IFERROR(__xludf.DUMMYFUNCTION("IFERROR(
  IF(
    F324 &gt;
    3*AVERAGE(
       FILTER($F$2:$F10491,
         $G$2:$G10491=G324,
         $A$2:$A10491&gt;=A324-20,
         $A$2:$A10491&lt;=A324
       )
    ),
    ""VOL_SPIKE_3X"",""""
  ),
"""")
"),"")</f>
        <v/>
      </c>
      <c r="N324" s="7" t="str">
        <f t="shared" si="6"/>
        <v/>
      </c>
      <c r="O324" s="7" t="str">
        <f t="shared" si="7"/>
        <v/>
      </c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>
        <f>IFERROR(__xludf.DUMMYFUNCTION("""COMPUTED_VALUE"""),45596.0)</f>
        <v>45596</v>
      </c>
      <c r="B325" s="6">
        <f>IFERROR(__xludf.DUMMYFUNCTION("""COMPUTED_VALUE"""),452.0)</f>
        <v>452</v>
      </c>
      <c r="C325" s="6">
        <f>IFERROR(__xludf.DUMMYFUNCTION("""COMPUTED_VALUE"""),454.5)</f>
        <v>454.5</v>
      </c>
      <c r="D325" s="6">
        <f>IFERROR(__xludf.DUMMYFUNCTION("""COMPUTED_VALUE"""),443.2)</f>
        <v>443.2</v>
      </c>
      <c r="E325" s="6">
        <f>IFERROR(__xludf.DUMMYFUNCTION("""COMPUTED_VALUE"""),452.05)</f>
        <v>452.05</v>
      </c>
      <c r="F325" s="7">
        <f>IFERROR(__xludf.DUMMYFUNCTION("""COMPUTED_VALUE"""),8475238.0)</f>
        <v>8475238</v>
      </c>
      <c r="G325" s="7" t="str">
        <f>IFERROR(__xludf.DUMMYFUNCTION("""COMPUTED_VALUE"""),"COALINDIA.NS")</f>
        <v>COALINDIA.NS</v>
      </c>
      <c r="H325" s="8">
        <f t="shared" si="1"/>
        <v>0.000110619469</v>
      </c>
      <c r="I325" s="8">
        <f t="shared" si="2"/>
        <v>0.000110619469</v>
      </c>
      <c r="J325" s="7" t="str">
        <f t="shared" si="3"/>
        <v>Oct-2024</v>
      </c>
      <c r="K325" s="9">
        <f t="shared" si="4"/>
        <v>45566</v>
      </c>
      <c r="L325" s="7" t="str">
        <f t="shared" si="5"/>
        <v/>
      </c>
      <c r="M325" s="7" t="str">
        <f>IFERROR(__xludf.DUMMYFUNCTION("IFERROR(
  IF(
    F325 &gt;
    3*AVERAGE(
       FILTER($F$2:$F10491,
         $G$2:$G10491=G325,
         $A$2:$A10491&gt;=A325-20,
         $A$2:$A10491&lt;=A325
       )
    ),
    ""VOL_SPIKE_3X"",""""
  ),
"""")
"),"")</f>
        <v/>
      </c>
      <c r="N325" s="7" t="str">
        <f t="shared" si="6"/>
        <v/>
      </c>
      <c r="O325" s="7" t="str">
        <f t="shared" si="7"/>
        <v/>
      </c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>
        <f>IFERROR(__xludf.DUMMYFUNCTION("""COMPUTED_VALUE"""),45596.0)</f>
        <v>45596</v>
      </c>
      <c r="B326" s="6">
        <f>IFERROR(__xludf.DUMMYFUNCTION("""COMPUTED_VALUE"""),377.0)</f>
        <v>377</v>
      </c>
      <c r="C326" s="6">
        <f>IFERROR(__xludf.DUMMYFUNCTION("""COMPUTED_VALUE"""),382.45)</f>
        <v>382.45</v>
      </c>
      <c r="D326" s="6">
        <f>IFERROR(__xludf.DUMMYFUNCTION("""COMPUTED_VALUE"""),374.0)</f>
        <v>374</v>
      </c>
      <c r="E326" s="6">
        <f>IFERROR(__xludf.DUMMYFUNCTION("""COMPUTED_VALUE"""),380.9)</f>
        <v>380.9</v>
      </c>
      <c r="F326" s="7">
        <f>IFERROR(__xludf.DUMMYFUNCTION("""COMPUTED_VALUE"""),6864561.0)</f>
        <v>6864561</v>
      </c>
      <c r="G326" s="7" t="str">
        <f>IFERROR(__xludf.DUMMYFUNCTION("""COMPUTED_VALUE"""),"HINDPETRO.NS")</f>
        <v>HINDPETRO.NS</v>
      </c>
      <c r="H326" s="8">
        <f t="shared" si="1"/>
        <v>0.01034482759</v>
      </c>
      <c r="I326" s="8">
        <f t="shared" si="2"/>
        <v>0.01034482759</v>
      </c>
      <c r="J326" s="7" t="str">
        <f t="shared" si="3"/>
        <v>Oct-2024</v>
      </c>
      <c r="K326" s="9">
        <f t="shared" si="4"/>
        <v>45566</v>
      </c>
      <c r="L326" s="7" t="str">
        <f t="shared" si="5"/>
        <v/>
      </c>
      <c r="M326" s="7" t="str">
        <f>IFERROR(__xludf.DUMMYFUNCTION("IFERROR(
  IF(
    F326 &gt;
    3*AVERAGE(
       FILTER($F$2:$F10491,
         $G$2:$G10491=G326,
         $A$2:$A10491&gt;=A326-20,
         $A$2:$A10491&lt;=A326
       )
    ),
    ""VOL_SPIKE_3X"",""""
  ),
"""")
"),"")</f>
        <v/>
      </c>
      <c r="N326" s="7" t="str">
        <f t="shared" si="6"/>
        <v/>
      </c>
      <c r="O326" s="7" t="str">
        <f t="shared" si="7"/>
        <v/>
      </c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>
        <f>IFERROR(__xludf.DUMMYFUNCTION("""COMPUTED_VALUE"""),45596.0)</f>
        <v>45596</v>
      </c>
      <c r="B327" s="6">
        <f>IFERROR(__xludf.DUMMYFUNCTION("""COMPUTED_VALUE"""),143.4)</f>
        <v>143.4</v>
      </c>
      <c r="C327" s="6">
        <f>IFERROR(__xludf.DUMMYFUNCTION("""COMPUTED_VALUE"""),144.4)</f>
        <v>144.4</v>
      </c>
      <c r="D327" s="6">
        <f>IFERROR(__xludf.DUMMYFUNCTION("""COMPUTED_VALUE"""),141.6)</f>
        <v>141.6</v>
      </c>
      <c r="E327" s="6">
        <f>IFERROR(__xludf.DUMMYFUNCTION("""COMPUTED_VALUE"""),142.62)</f>
        <v>142.62</v>
      </c>
      <c r="F327" s="7">
        <f>IFERROR(__xludf.DUMMYFUNCTION("""COMPUTED_VALUE"""),1.865793E7)</f>
        <v>18657930</v>
      </c>
      <c r="G327" s="7" t="str">
        <f>IFERROR(__xludf.DUMMYFUNCTION("""COMPUTED_VALUE"""),"IOC.NS")</f>
        <v>IOC.NS</v>
      </c>
      <c r="H327" s="8">
        <f t="shared" si="1"/>
        <v>-0.005439330544</v>
      </c>
      <c r="I327" s="8">
        <f t="shared" si="2"/>
        <v>0.005439330544</v>
      </c>
      <c r="J327" s="7" t="str">
        <f t="shared" si="3"/>
        <v>Oct-2024</v>
      </c>
      <c r="K327" s="9">
        <f t="shared" si="4"/>
        <v>45566</v>
      </c>
      <c r="L327" s="7" t="str">
        <f t="shared" si="5"/>
        <v/>
      </c>
      <c r="M327" s="7" t="str">
        <f>IFERROR(__xludf.DUMMYFUNCTION("IFERROR(
  IF(
    F327 &gt;
    3*AVERAGE(
       FILTER($F$2:$F10491,
         $G$2:$G10491=G327,
         $A$2:$A10491&gt;=A327-20,
         $A$2:$A10491&lt;=A327
       )
    ),
    ""VOL_SPIKE_3X"",""""
  ),
"""")
"),"")</f>
        <v/>
      </c>
      <c r="N327" s="7" t="str">
        <f t="shared" si="6"/>
        <v/>
      </c>
      <c r="O327" s="7" t="str">
        <f t="shared" si="7"/>
        <v/>
      </c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>
        <f>IFERROR(__xludf.DUMMYFUNCTION("""COMPUTED_VALUE"""),45596.0)</f>
        <v>45596</v>
      </c>
      <c r="B328" s="6">
        <f>IFERROR(__xludf.DUMMYFUNCTION("""COMPUTED_VALUE"""),409.0)</f>
        <v>409</v>
      </c>
      <c r="C328" s="6">
        <f>IFERROR(__xludf.DUMMYFUNCTION("""COMPUTED_VALUE"""),410.65)</f>
        <v>410.65</v>
      </c>
      <c r="D328" s="6">
        <f>IFERROR(__xludf.DUMMYFUNCTION("""COMPUTED_VALUE"""),403.5)</f>
        <v>403.5</v>
      </c>
      <c r="E328" s="6">
        <f>IFERROR(__xludf.DUMMYFUNCTION("""COMPUTED_VALUE"""),408.15)</f>
        <v>408.15</v>
      </c>
      <c r="F328" s="7">
        <f>IFERROR(__xludf.DUMMYFUNCTION("""COMPUTED_VALUE"""),1.2204072E7)</f>
        <v>12204072</v>
      </c>
      <c r="G328" s="7" t="str">
        <f>IFERROR(__xludf.DUMMYFUNCTION("""COMPUTED_VALUE"""),"NTPC.NS")</f>
        <v>NTPC.NS</v>
      </c>
      <c r="H328" s="8">
        <f t="shared" si="1"/>
        <v>-0.002078239609</v>
      </c>
      <c r="I328" s="8">
        <f t="shared" si="2"/>
        <v>0.002078239609</v>
      </c>
      <c r="J328" s="7" t="str">
        <f t="shared" si="3"/>
        <v>Oct-2024</v>
      </c>
      <c r="K328" s="9">
        <f t="shared" si="4"/>
        <v>45566</v>
      </c>
      <c r="L328" s="7" t="str">
        <f t="shared" si="5"/>
        <v/>
      </c>
      <c r="M328" s="7" t="str">
        <f>IFERROR(__xludf.DUMMYFUNCTION("IFERROR(
  IF(
    F328 &gt;
    3*AVERAGE(
       FILTER($F$2:$F10491,
         $G$2:$G10491=G328,
         $A$2:$A10491&gt;=A328-20,
         $A$2:$A10491&lt;=A328
       )
    ),
    ""VOL_SPIKE_3X"",""""
  ),
"""")
"),"")</f>
        <v/>
      </c>
      <c r="N328" s="7" t="str">
        <f t="shared" si="6"/>
        <v/>
      </c>
      <c r="O328" s="7" t="str">
        <f t="shared" si="7"/>
        <v/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>
        <f>IFERROR(__xludf.DUMMYFUNCTION("""COMPUTED_VALUE"""),45596.0)</f>
        <v>45596</v>
      </c>
      <c r="B329" s="6">
        <f>IFERROR(__xludf.DUMMYFUNCTION("""COMPUTED_VALUE"""),263.4)</f>
        <v>263.4</v>
      </c>
      <c r="C329" s="6">
        <f>IFERROR(__xludf.DUMMYFUNCTION("""COMPUTED_VALUE"""),268.3)</f>
        <v>268.3</v>
      </c>
      <c r="D329" s="6">
        <f>IFERROR(__xludf.DUMMYFUNCTION("""COMPUTED_VALUE"""),261.15)</f>
        <v>261.15</v>
      </c>
      <c r="E329" s="6">
        <f>IFERROR(__xludf.DUMMYFUNCTION("""COMPUTED_VALUE"""),266.15)</f>
        <v>266.15</v>
      </c>
      <c r="F329" s="7">
        <f>IFERROR(__xludf.DUMMYFUNCTION("""COMPUTED_VALUE"""),1.6173656E7)</f>
        <v>16173656</v>
      </c>
      <c r="G329" s="7" t="str">
        <f>IFERROR(__xludf.DUMMYFUNCTION("""COMPUTED_VALUE"""),"ONGC.NS")</f>
        <v>ONGC.NS</v>
      </c>
      <c r="H329" s="8">
        <f t="shared" si="1"/>
        <v>0.01044039484</v>
      </c>
      <c r="I329" s="8">
        <f t="shared" si="2"/>
        <v>0.01044039484</v>
      </c>
      <c r="J329" s="7" t="str">
        <f t="shared" si="3"/>
        <v>Oct-2024</v>
      </c>
      <c r="K329" s="9">
        <f t="shared" si="4"/>
        <v>45566</v>
      </c>
      <c r="L329" s="7" t="str">
        <f t="shared" si="5"/>
        <v/>
      </c>
      <c r="M329" s="7" t="str">
        <f>IFERROR(__xludf.DUMMYFUNCTION("IFERROR(
  IF(
    F329 &gt;
    3*AVERAGE(
       FILTER($F$2:$F10491,
         $G$2:$G10491=G329,
         $A$2:$A10491&gt;=A329-20,
         $A$2:$A10491&lt;=A329
       )
    ),
    ""VOL_SPIKE_3X"",""""
  ),
"""")
"),"")</f>
        <v/>
      </c>
      <c r="N329" s="7" t="str">
        <f t="shared" si="6"/>
        <v/>
      </c>
      <c r="O329" s="7" t="str">
        <f t="shared" si="7"/>
        <v/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>
        <f>IFERROR(__xludf.DUMMYFUNCTION("""COMPUTED_VALUE"""),45596.0)</f>
        <v>45596</v>
      </c>
      <c r="B330" s="6">
        <f>IFERROR(__xludf.DUMMYFUNCTION("""COMPUTED_VALUE"""),320.4)</f>
        <v>320.4</v>
      </c>
      <c r="C330" s="6">
        <f>IFERROR(__xludf.DUMMYFUNCTION("""COMPUTED_VALUE"""),322.7)</f>
        <v>322.7</v>
      </c>
      <c r="D330" s="6">
        <f>IFERROR(__xludf.DUMMYFUNCTION("""COMPUTED_VALUE"""),317.85)</f>
        <v>317.85</v>
      </c>
      <c r="E330" s="6">
        <f>IFERROR(__xludf.DUMMYFUNCTION("""COMPUTED_VALUE"""),320.8)</f>
        <v>320.8</v>
      </c>
      <c r="F330" s="7">
        <f>IFERROR(__xludf.DUMMYFUNCTION("""COMPUTED_VALUE"""),9900390.0)</f>
        <v>9900390</v>
      </c>
      <c r="G330" s="7" t="str">
        <f>IFERROR(__xludf.DUMMYFUNCTION("""COMPUTED_VALUE"""),"POWERGRID.NS")</f>
        <v>POWERGRID.NS</v>
      </c>
      <c r="H330" s="8">
        <f t="shared" si="1"/>
        <v>0.001248439451</v>
      </c>
      <c r="I330" s="8">
        <f t="shared" si="2"/>
        <v>0.001248439451</v>
      </c>
      <c r="J330" s="7" t="str">
        <f t="shared" si="3"/>
        <v>Oct-2024</v>
      </c>
      <c r="K330" s="9">
        <f t="shared" si="4"/>
        <v>45566</v>
      </c>
      <c r="L330" s="7" t="str">
        <f t="shared" si="5"/>
        <v/>
      </c>
      <c r="M330" s="7" t="str">
        <f>IFERROR(__xludf.DUMMYFUNCTION("IFERROR(
  IF(
    F330 &gt;
    3*AVERAGE(
       FILTER($F$2:$F10491,
         $G$2:$G10491=G330,
         $A$2:$A10491&gt;=A330-20,
         $A$2:$A10491&lt;=A330
       )
    ),
    ""VOL_SPIKE_3X"",""""
  ),
"""")
"),"")</f>
        <v/>
      </c>
      <c r="N330" s="7" t="str">
        <f t="shared" si="6"/>
        <v/>
      </c>
      <c r="O330" s="7" t="str">
        <f t="shared" si="7"/>
        <v/>
      </c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>
        <f>IFERROR(__xludf.DUMMYFUNCTION("""COMPUTED_VALUE"""),45596.0)</f>
        <v>45596</v>
      </c>
      <c r="B331" s="6">
        <f>IFERROR(__xludf.DUMMYFUNCTION("""COMPUTED_VALUE"""),1340.0)</f>
        <v>1340</v>
      </c>
      <c r="C331" s="6">
        <f>IFERROR(__xludf.DUMMYFUNCTION("""COMPUTED_VALUE"""),1343.0)</f>
        <v>1343</v>
      </c>
      <c r="D331" s="6">
        <f>IFERROR(__xludf.DUMMYFUNCTION("""COMPUTED_VALUE"""),1326.15)</f>
        <v>1326.15</v>
      </c>
      <c r="E331" s="6">
        <f>IFERROR(__xludf.DUMMYFUNCTION("""COMPUTED_VALUE"""),1332.05)</f>
        <v>1332.05</v>
      </c>
      <c r="F331" s="7">
        <f>IFERROR(__xludf.DUMMYFUNCTION("""COMPUTED_VALUE"""),9331650.0)</f>
        <v>9331650</v>
      </c>
      <c r="G331" s="7" t="str">
        <f>IFERROR(__xludf.DUMMYFUNCTION("""COMPUTED_VALUE"""),"RELIANCE.NS")</f>
        <v>RELIANCE.NS</v>
      </c>
      <c r="H331" s="8">
        <f t="shared" si="1"/>
        <v>-0.005932835821</v>
      </c>
      <c r="I331" s="8">
        <f t="shared" si="2"/>
        <v>0.005932835821</v>
      </c>
      <c r="J331" s="7" t="str">
        <f t="shared" si="3"/>
        <v>Oct-2024</v>
      </c>
      <c r="K331" s="9">
        <f t="shared" si="4"/>
        <v>45566</v>
      </c>
      <c r="L331" s="7" t="str">
        <f t="shared" si="5"/>
        <v/>
      </c>
      <c r="M331" s="7" t="str">
        <f>IFERROR(__xludf.DUMMYFUNCTION("IFERROR(
  IF(
    F331 &gt;
    3*AVERAGE(
       FILTER($F$2:$F10491,
         $G$2:$G10491=G331,
         $A$2:$A10491&gt;=A331-20,
         $A$2:$A10491&lt;=A331
       )
    ),
    ""VOL_SPIKE_3X"",""""
  ),
"""")
"),"")</f>
        <v/>
      </c>
      <c r="N331" s="7" t="str">
        <f t="shared" si="6"/>
        <v/>
      </c>
      <c r="O331" s="7" t="str">
        <f t="shared" si="7"/>
        <v/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>
        <f>IFERROR(__xludf.DUMMYFUNCTION("""COMPUTED_VALUE"""),45600.0)</f>
        <v>45600</v>
      </c>
      <c r="B332" s="6">
        <f>IFERROR(__xludf.DUMMYFUNCTION("""COMPUTED_VALUE"""),978.95)</f>
        <v>978.95</v>
      </c>
      <c r="C332" s="6">
        <f>IFERROR(__xludf.DUMMYFUNCTION("""COMPUTED_VALUE"""),979.9)</f>
        <v>979.9</v>
      </c>
      <c r="D332" s="6">
        <f>IFERROR(__xludf.DUMMYFUNCTION("""COMPUTED_VALUE"""),961.2)</f>
        <v>961.2</v>
      </c>
      <c r="E332" s="6">
        <f>IFERROR(__xludf.DUMMYFUNCTION("""COMPUTED_VALUE"""),964.8)</f>
        <v>964.8</v>
      </c>
      <c r="F332" s="7">
        <f>IFERROR(__xludf.DUMMYFUNCTION("""COMPUTED_VALUE"""),773086.0)</f>
        <v>773086</v>
      </c>
      <c r="G332" s="7" t="str">
        <f>IFERROR(__xludf.DUMMYFUNCTION("""COMPUTED_VALUE"""),"ADANIENSOL.NS")</f>
        <v>ADANIENSOL.NS</v>
      </c>
      <c r="H332" s="8">
        <f t="shared" si="1"/>
        <v>-0.01445426222</v>
      </c>
      <c r="I332" s="8">
        <f t="shared" si="2"/>
        <v>0.01445426222</v>
      </c>
      <c r="J332" s="7" t="str">
        <f t="shared" si="3"/>
        <v>Nov-2024</v>
      </c>
      <c r="K332" s="9">
        <f t="shared" si="4"/>
        <v>45597</v>
      </c>
      <c r="L332" s="7" t="str">
        <f t="shared" si="5"/>
        <v/>
      </c>
      <c r="M332" s="7" t="str">
        <f>IFERROR(__xludf.DUMMYFUNCTION("IFERROR(
  IF(
    F332 &gt;
    3*AVERAGE(
       FILTER($F$2:$F10491,
         $G$2:$G10491=G332,
         $A$2:$A10491&gt;=A332-20,
         $A$2:$A10491&lt;=A332
       )
    ),
    ""VOL_SPIKE_3X"",""""
  ),
"""")
"),"")</f>
        <v/>
      </c>
      <c r="N332" s="7" t="str">
        <f t="shared" si="6"/>
        <v/>
      </c>
      <c r="O332" s="7" t="str">
        <f t="shared" si="7"/>
        <v/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>
        <f>IFERROR(__xludf.DUMMYFUNCTION("""COMPUTED_VALUE"""),45600.0)</f>
        <v>45600</v>
      </c>
      <c r="B333" s="6">
        <f>IFERROR(__xludf.DUMMYFUNCTION("""COMPUTED_VALUE"""),1625.0)</f>
        <v>1625</v>
      </c>
      <c r="C333" s="6">
        <f>IFERROR(__xludf.DUMMYFUNCTION("""COMPUTED_VALUE"""),1630.0)</f>
        <v>1630</v>
      </c>
      <c r="D333" s="6">
        <f>IFERROR(__xludf.DUMMYFUNCTION("""COMPUTED_VALUE"""),1606.3)</f>
        <v>1606.3</v>
      </c>
      <c r="E333" s="6">
        <f>IFERROR(__xludf.DUMMYFUNCTION("""COMPUTED_VALUE"""),1611.95)</f>
        <v>1611.95</v>
      </c>
      <c r="F333" s="7">
        <f>IFERROR(__xludf.DUMMYFUNCTION("""COMPUTED_VALUE"""),388291.0)</f>
        <v>388291</v>
      </c>
      <c r="G333" s="7" t="str">
        <f>IFERROR(__xludf.DUMMYFUNCTION("""COMPUTED_VALUE"""),"ADANIGREEN.NS")</f>
        <v>ADANIGREEN.NS</v>
      </c>
      <c r="H333" s="8">
        <f t="shared" si="1"/>
        <v>-0.008030769231</v>
      </c>
      <c r="I333" s="8">
        <f t="shared" si="2"/>
        <v>0.008030769231</v>
      </c>
      <c r="J333" s="7" t="str">
        <f t="shared" si="3"/>
        <v>Nov-2024</v>
      </c>
      <c r="K333" s="9">
        <f t="shared" si="4"/>
        <v>45597</v>
      </c>
      <c r="L333" s="7" t="str">
        <f t="shared" si="5"/>
        <v/>
      </c>
      <c r="M333" s="7" t="str">
        <f>IFERROR(__xludf.DUMMYFUNCTION("IFERROR(
  IF(
    F333 &gt;
    3*AVERAGE(
       FILTER($F$2:$F10491,
         $G$2:$G10491=G333,
         $A$2:$A10491&gt;=A333-20,
         $A$2:$A10491&lt;=A333
       )
    ),
    ""VOL_SPIKE_3X"",""""
  ),
"""")
"),"")</f>
        <v/>
      </c>
      <c r="N333" s="7" t="str">
        <f t="shared" si="6"/>
        <v/>
      </c>
      <c r="O333" s="7" t="str">
        <f t="shared" si="7"/>
        <v/>
      </c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>
        <f>IFERROR(__xludf.DUMMYFUNCTION("""COMPUTED_VALUE"""),45600.0)</f>
        <v>45600</v>
      </c>
      <c r="B334" s="6">
        <f>IFERROR(__xludf.DUMMYFUNCTION("""COMPUTED_VALUE"""),313.0)</f>
        <v>313</v>
      </c>
      <c r="C334" s="6">
        <f>IFERROR(__xludf.DUMMYFUNCTION("""COMPUTED_VALUE"""),313.5)</f>
        <v>313.5</v>
      </c>
      <c r="D334" s="6">
        <f>IFERROR(__xludf.DUMMYFUNCTION("""COMPUTED_VALUE"""),298.1)</f>
        <v>298.1</v>
      </c>
      <c r="E334" s="6">
        <f>IFERROR(__xludf.DUMMYFUNCTION("""COMPUTED_VALUE"""),303.45)</f>
        <v>303.45</v>
      </c>
      <c r="F334" s="7">
        <f>IFERROR(__xludf.DUMMYFUNCTION("""COMPUTED_VALUE"""),1.4063318E7)</f>
        <v>14063318</v>
      </c>
      <c r="G334" s="7" t="str">
        <f>IFERROR(__xludf.DUMMYFUNCTION("""COMPUTED_VALUE"""),"BPCL.NS")</f>
        <v>BPCL.NS</v>
      </c>
      <c r="H334" s="8">
        <f t="shared" si="1"/>
        <v>-0.03051118211</v>
      </c>
      <c r="I334" s="8">
        <f t="shared" si="2"/>
        <v>0.03051118211</v>
      </c>
      <c r="J334" s="7" t="str">
        <f t="shared" si="3"/>
        <v>Nov-2024</v>
      </c>
      <c r="K334" s="9">
        <f t="shared" si="4"/>
        <v>45597</v>
      </c>
      <c r="L334" s="7" t="str">
        <f t="shared" si="5"/>
        <v/>
      </c>
      <c r="M334" s="7" t="str">
        <f>IFERROR(__xludf.DUMMYFUNCTION("IFERROR(
  IF(
    F334 &gt;
    3*AVERAGE(
       FILTER($F$2:$F10491,
         $G$2:$G10491=G334,
         $A$2:$A10491&gt;=A334-20,
         $A$2:$A10491&lt;=A334
       )
    ),
    ""VOL_SPIKE_3X"",""""
  ),
"""")
"),"")</f>
        <v/>
      </c>
      <c r="N334" s="7" t="str">
        <f t="shared" si="6"/>
        <v/>
      </c>
      <c r="O334" s="7" t="str">
        <f t="shared" si="7"/>
        <v/>
      </c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>
        <f>IFERROR(__xludf.DUMMYFUNCTION("""COMPUTED_VALUE"""),45600.0)</f>
        <v>45600</v>
      </c>
      <c r="B335" s="6">
        <f>IFERROR(__xludf.DUMMYFUNCTION("""COMPUTED_VALUE"""),458.0)</f>
        <v>458</v>
      </c>
      <c r="C335" s="6">
        <f>IFERROR(__xludf.DUMMYFUNCTION("""COMPUTED_VALUE"""),458.15)</f>
        <v>458.15</v>
      </c>
      <c r="D335" s="6">
        <f>IFERROR(__xludf.DUMMYFUNCTION("""COMPUTED_VALUE"""),435.5)</f>
        <v>435.5</v>
      </c>
      <c r="E335" s="6">
        <f>IFERROR(__xludf.DUMMYFUNCTION("""COMPUTED_VALUE"""),443.3)</f>
        <v>443.3</v>
      </c>
      <c r="F335" s="7">
        <f>IFERROR(__xludf.DUMMYFUNCTION("""COMPUTED_VALUE"""),1.572099E7)</f>
        <v>15720990</v>
      </c>
      <c r="G335" s="7" t="str">
        <f>IFERROR(__xludf.DUMMYFUNCTION("""COMPUTED_VALUE"""),"COALINDIA.NS")</f>
        <v>COALINDIA.NS</v>
      </c>
      <c r="H335" s="8">
        <f t="shared" si="1"/>
        <v>-0.03209606987</v>
      </c>
      <c r="I335" s="8">
        <f t="shared" si="2"/>
        <v>0.03209606987</v>
      </c>
      <c r="J335" s="7" t="str">
        <f t="shared" si="3"/>
        <v>Nov-2024</v>
      </c>
      <c r="K335" s="9">
        <f t="shared" si="4"/>
        <v>45597</v>
      </c>
      <c r="L335" s="7" t="str">
        <f t="shared" si="5"/>
        <v/>
      </c>
      <c r="M335" s="7" t="str">
        <f>IFERROR(__xludf.DUMMYFUNCTION("IFERROR(
  IF(
    F335 &gt;
    3*AVERAGE(
       FILTER($F$2:$F10491,
         $G$2:$G10491=G335,
         $A$2:$A10491&gt;=A335-20,
         $A$2:$A10491&lt;=A335
       )
    ),
    ""VOL_SPIKE_3X"",""""
  ),
"""")
"),"")</f>
        <v/>
      </c>
      <c r="N335" s="7" t="str">
        <f t="shared" si="6"/>
        <v/>
      </c>
      <c r="O335" s="7" t="str">
        <f t="shared" si="7"/>
        <v/>
      </c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>
        <f>IFERROR(__xludf.DUMMYFUNCTION("""COMPUTED_VALUE"""),45600.0)</f>
        <v>45600</v>
      </c>
      <c r="B336" s="6">
        <f>IFERROR(__xludf.DUMMYFUNCTION("""COMPUTED_VALUE"""),382.0)</f>
        <v>382</v>
      </c>
      <c r="C336" s="6">
        <f>IFERROR(__xludf.DUMMYFUNCTION("""COMPUTED_VALUE"""),382.0)</f>
        <v>382</v>
      </c>
      <c r="D336" s="6">
        <f>IFERROR(__xludf.DUMMYFUNCTION("""COMPUTED_VALUE"""),363.65)</f>
        <v>363.65</v>
      </c>
      <c r="E336" s="6">
        <f>IFERROR(__xludf.DUMMYFUNCTION("""COMPUTED_VALUE"""),368.5)</f>
        <v>368.5</v>
      </c>
      <c r="F336" s="7">
        <f>IFERROR(__xludf.DUMMYFUNCTION("""COMPUTED_VALUE"""),8846874.0)</f>
        <v>8846874</v>
      </c>
      <c r="G336" s="7" t="str">
        <f>IFERROR(__xludf.DUMMYFUNCTION("""COMPUTED_VALUE"""),"HINDPETRO.NS")</f>
        <v>HINDPETRO.NS</v>
      </c>
      <c r="H336" s="8">
        <f t="shared" si="1"/>
        <v>-0.03534031414</v>
      </c>
      <c r="I336" s="8">
        <f t="shared" si="2"/>
        <v>0.03534031414</v>
      </c>
      <c r="J336" s="7" t="str">
        <f t="shared" si="3"/>
        <v>Nov-2024</v>
      </c>
      <c r="K336" s="9">
        <f t="shared" si="4"/>
        <v>45597</v>
      </c>
      <c r="L336" s="7" t="str">
        <f t="shared" si="5"/>
        <v/>
      </c>
      <c r="M336" s="7" t="str">
        <f>IFERROR(__xludf.DUMMYFUNCTION("IFERROR(
  IF(
    F336 &gt;
    3*AVERAGE(
       FILTER($F$2:$F10491,
         $G$2:$G10491=G336,
         $A$2:$A10491&gt;=A336-20,
         $A$2:$A10491&lt;=A336
       )
    ),
    ""VOL_SPIKE_3X"",""""
  ),
"""")
"),"")</f>
        <v/>
      </c>
      <c r="N336" s="7" t="str">
        <f t="shared" si="6"/>
        <v/>
      </c>
      <c r="O336" s="7" t="str">
        <f t="shared" si="7"/>
        <v/>
      </c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>
        <f>IFERROR(__xludf.DUMMYFUNCTION("""COMPUTED_VALUE"""),45600.0)</f>
        <v>45600</v>
      </c>
      <c r="B337" s="6">
        <f>IFERROR(__xludf.DUMMYFUNCTION("""COMPUTED_VALUE"""),144.58)</f>
        <v>144.58</v>
      </c>
      <c r="C337" s="6">
        <f>IFERROR(__xludf.DUMMYFUNCTION("""COMPUTED_VALUE"""),144.58)</f>
        <v>144.58</v>
      </c>
      <c r="D337" s="6">
        <f>IFERROR(__xludf.DUMMYFUNCTION("""COMPUTED_VALUE"""),136.36)</f>
        <v>136.36</v>
      </c>
      <c r="E337" s="6">
        <f>IFERROR(__xludf.DUMMYFUNCTION("""COMPUTED_VALUE"""),138.93)</f>
        <v>138.93</v>
      </c>
      <c r="F337" s="7">
        <f>IFERROR(__xludf.DUMMYFUNCTION("""COMPUTED_VALUE"""),4.6651179E7)</f>
        <v>46651179</v>
      </c>
      <c r="G337" s="7" t="str">
        <f>IFERROR(__xludf.DUMMYFUNCTION("""COMPUTED_VALUE"""),"IOC.NS")</f>
        <v>IOC.NS</v>
      </c>
      <c r="H337" s="8">
        <f t="shared" si="1"/>
        <v>-0.03907871075</v>
      </c>
      <c r="I337" s="8">
        <f t="shared" si="2"/>
        <v>0.03907871075</v>
      </c>
      <c r="J337" s="7" t="str">
        <f t="shared" si="3"/>
        <v>Nov-2024</v>
      </c>
      <c r="K337" s="9">
        <f t="shared" si="4"/>
        <v>45597</v>
      </c>
      <c r="L337" s="7" t="str">
        <f t="shared" si="5"/>
        <v/>
      </c>
      <c r="M337" s="7" t="str">
        <f>IFERROR(__xludf.DUMMYFUNCTION("IFERROR(
  IF(
    F337 &gt;
    3*AVERAGE(
       FILTER($F$2:$F10491,
         $G$2:$G10491=G337,
         $A$2:$A10491&gt;=A337-20,
         $A$2:$A10491&lt;=A337
       )
    ),
    ""VOL_SPIKE_3X"",""""
  ),
"""")
"),"")</f>
        <v/>
      </c>
      <c r="N337" s="7" t="str">
        <f t="shared" si="6"/>
        <v/>
      </c>
      <c r="O337" s="7" t="str">
        <f t="shared" si="7"/>
        <v/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>
        <f>IFERROR(__xludf.DUMMYFUNCTION("""COMPUTED_VALUE"""),45600.0)</f>
        <v>45600</v>
      </c>
      <c r="B338" s="6">
        <f>IFERROR(__xludf.DUMMYFUNCTION("""COMPUTED_VALUE"""),413.85)</f>
        <v>413.85</v>
      </c>
      <c r="C338" s="6">
        <f>IFERROR(__xludf.DUMMYFUNCTION("""COMPUTED_VALUE"""),414.3)</f>
        <v>414.3</v>
      </c>
      <c r="D338" s="6">
        <f>IFERROR(__xludf.DUMMYFUNCTION("""COMPUTED_VALUE"""),393.7)</f>
        <v>393.7</v>
      </c>
      <c r="E338" s="6">
        <f>IFERROR(__xludf.DUMMYFUNCTION("""COMPUTED_VALUE"""),400.95)</f>
        <v>400.95</v>
      </c>
      <c r="F338" s="7">
        <f>IFERROR(__xludf.DUMMYFUNCTION("""COMPUTED_VALUE"""),1.3866505E7)</f>
        <v>13866505</v>
      </c>
      <c r="G338" s="7" t="str">
        <f>IFERROR(__xludf.DUMMYFUNCTION("""COMPUTED_VALUE"""),"NTPC.NS")</f>
        <v>NTPC.NS</v>
      </c>
      <c r="H338" s="8">
        <f t="shared" si="1"/>
        <v>-0.03117071403</v>
      </c>
      <c r="I338" s="8">
        <f t="shared" si="2"/>
        <v>0.03117071403</v>
      </c>
      <c r="J338" s="7" t="str">
        <f t="shared" si="3"/>
        <v>Nov-2024</v>
      </c>
      <c r="K338" s="9">
        <f t="shared" si="4"/>
        <v>45597</v>
      </c>
      <c r="L338" s="7" t="str">
        <f t="shared" si="5"/>
        <v/>
      </c>
      <c r="M338" s="7" t="str">
        <f>IFERROR(__xludf.DUMMYFUNCTION("IFERROR(
  IF(
    F338 &gt;
    3*AVERAGE(
       FILTER($F$2:$F10491,
         $G$2:$G10491=G338,
         $A$2:$A10491&gt;=A338-20,
         $A$2:$A10491&lt;=A338
       )
    ),
    ""VOL_SPIKE_3X"",""""
  ),
"""")
"),"")</f>
        <v/>
      </c>
      <c r="N338" s="7" t="str">
        <f t="shared" si="6"/>
        <v/>
      </c>
      <c r="O338" s="7" t="str">
        <f t="shared" si="7"/>
        <v/>
      </c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>
        <f>IFERROR(__xludf.DUMMYFUNCTION("""COMPUTED_VALUE"""),45600.0)</f>
        <v>45600</v>
      </c>
      <c r="B339" s="6">
        <f>IFERROR(__xludf.DUMMYFUNCTION("""COMPUTED_VALUE"""),274.0)</f>
        <v>274</v>
      </c>
      <c r="C339" s="6">
        <f>IFERROR(__xludf.DUMMYFUNCTION("""COMPUTED_VALUE"""),274.35)</f>
        <v>274.35</v>
      </c>
      <c r="D339" s="6">
        <f>IFERROR(__xludf.DUMMYFUNCTION("""COMPUTED_VALUE"""),260.15)</f>
        <v>260.15</v>
      </c>
      <c r="E339" s="6">
        <f>IFERROR(__xludf.DUMMYFUNCTION("""COMPUTED_VALUE"""),265.3)</f>
        <v>265.3</v>
      </c>
      <c r="F339" s="7">
        <f>IFERROR(__xludf.DUMMYFUNCTION("""COMPUTED_VALUE"""),1.4355959E7)</f>
        <v>14355959</v>
      </c>
      <c r="G339" s="7" t="str">
        <f>IFERROR(__xludf.DUMMYFUNCTION("""COMPUTED_VALUE"""),"ONGC.NS")</f>
        <v>ONGC.NS</v>
      </c>
      <c r="H339" s="8">
        <f t="shared" si="1"/>
        <v>-0.03175182482</v>
      </c>
      <c r="I339" s="8">
        <f t="shared" si="2"/>
        <v>0.03175182482</v>
      </c>
      <c r="J339" s="7" t="str">
        <f t="shared" si="3"/>
        <v>Nov-2024</v>
      </c>
      <c r="K339" s="9">
        <f t="shared" si="4"/>
        <v>45597</v>
      </c>
      <c r="L339" s="7" t="str">
        <f t="shared" si="5"/>
        <v/>
      </c>
      <c r="M339" s="7" t="str">
        <f>IFERROR(__xludf.DUMMYFUNCTION("IFERROR(
  IF(
    F339 &gt;
    3*AVERAGE(
       FILTER($F$2:$F10491,
         $G$2:$G10491=G339,
         $A$2:$A10491&gt;=A339-20,
         $A$2:$A10491&lt;=A339
       )
    ),
    ""VOL_SPIKE_3X"",""""
  ),
"""")
"),"")</f>
        <v/>
      </c>
      <c r="N339" s="7" t="str">
        <f t="shared" si="6"/>
        <v/>
      </c>
      <c r="O339" s="7" t="str">
        <f t="shared" si="7"/>
        <v/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>
        <f>IFERROR(__xludf.DUMMYFUNCTION("""COMPUTED_VALUE"""),45600.0)</f>
        <v>45600</v>
      </c>
      <c r="B340" s="6">
        <f>IFERROR(__xludf.DUMMYFUNCTION("""COMPUTED_VALUE"""),324.55)</f>
        <v>324.55</v>
      </c>
      <c r="C340" s="6">
        <f>IFERROR(__xludf.DUMMYFUNCTION("""COMPUTED_VALUE"""),324.7)</f>
        <v>324.7</v>
      </c>
      <c r="D340" s="6">
        <f>IFERROR(__xludf.DUMMYFUNCTION("""COMPUTED_VALUE"""),311.6)</f>
        <v>311.6</v>
      </c>
      <c r="E340" s="6">
        <f>IFERROR(__xludf.DUMMYFUNCTION("""COMPUTED_VALUE"""),315.45)</f>
        <v>315.45</v>
      </c>
      <c r="F340" s="7">
        <f>IFERROR(__xludf.DUMMYFUNCTION("""COMPUTED_VALUE"""),9249409.0)</f>
        <v>9249409</v>
      </c>
      <c r="G340" s="7" t="str">
        <f>IFERROR(__xludf.DUMMYFUNCTION("""COMPUTED_VALUE"""),"POWERGRID.NS")</f>
        <v>POWERGRID.NS</v>
      </c>
      <c r="H340" s="8">
        <f t="shared" si="1"/>
        <v>-0.02803882299</v>
      </c>
      <c r="I340" s="8">
        <f t="shared" si="2"/>
        <v>0.02803882299</v>
      </c>
      <c r="J340" s="7" t="str">
        <f t="shared" si="3"/>
        <v>Nov-2024</v>
      </c>
      <c r="K340" s="9">
        <f t="shared" si="4"/>
        <v>45597</v>
      </c>
      <c r="L340" s="7" t="str">
        <f t="shared" si="5"/>
        <v/>
      </c>
      <c r="M340" s="7" t="str">
        <f>IFERROR(__xludf.DUMMYFUNCTION("IFERROR(
  IF(
    F340 &gt;
    3*AVERAGE(
       FILTER($F$2:$F10491,
         $G$2:$G10491=G340,
         $A$2:$A10491&gt;=A340-20,
         $A$2:$A10491&lt;=A340
       )
    ),
    ""VOL_SPIKE_3X"",""""
  ),
"""")
"),"")</f>
        <v/>
      </c>
      <c r="N340" s="7" t="str">
        <f t="shared" si="6"/>
        <v/>
      </c>
      <c r="O340" s="7" t="str">
        <f t="shared" si="7"/>
        <v/>
      </c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>
        <f>IFERROR(__xludf.DUMMYFUNCTION("""COMPUTED_VALUE"""),45600.0)</f>
        <v>45600</v>
      </c>
      <c r="B341" s="6">
        <f>IFERROR(__xludf.DUMMYFUNCTION("""COMPUTED_VALUE"""),1337.85)</f>
        <v>1337.85</v>
      </c>
      <c r="C341" s="6">
        <f>IFERROR(__xludf.DUMMYFUNCTION("""COMPUTED_VALUE"""),1340.0)</f>
        <v>1340</v>
      </c>
      <c r="D341" s="6">
        <f>IFERROR(__xludf.DUMMYFUNCTION("""COMPUTED_VALUE"""),1285.1)</f>
        <v>1285.1</v>
      </c>
      <c r="E341" s="6">
        <f>IFERROR(__xludf.DUMMYFUNCTION("""COMPUTED_VALUE"""),1302.15)</f>
        <v>1302.15</v>
      </c>
      <c r="F341" s="7">
        <f>IFERROR(__xludf.DUMMYFUNCTION("""COMPUTED_VALUE"""),1.979689E7)</f>
        <v>19796890</v>
      </c>
      <c r="G341" s="7" t="str">
        <f>IFERROR(__xludf.DUMMYFUNCTION("""COMPUTED_VALUE"""),"RELIANCE.NS")</f>
        <v>RELIANCE.NS</v>
      </c>
      <c r="H341" s="8">
        <f t="shared" si="1"/>
        <v>-0.0266846059</v>
      </c>
      <c r="I341" s="8">
        <f t="shared" si="2"/>
        <v>0.0266846059</v>
      </c>
      <c r="J341" s="7" t="str">
        <f t="shared" si="3"/>
        <v>Nov-2024</v>
      </c>
      <c r="K341" s="9">
        <f t="shared" si="4"/>
        <v>45597</v>
      </c>
      <c r="L341" s="7" t="str">
        <f t="shared" si="5"/>
        <v/>
      </c>
      <c r="M341" s="7" t="str">
        <f>IFERROR(__xludf.DUMMYFUNCTION("IFERROR(
  IF(
    F341 &gt;
    3*AVERAGE(
       FILTER($F$2:$F10491,
         $G$2:$G10491=G341,
         $A$2:$A10491&gt;=A341-20,
         $A$2:$A10491&lt;=A341
       )
    ),
    ""VOL_SPIKE_3X"",""""
  ),
"""")
"),"")</f>
        <v/>
      </c>
      <c r="N341" s="7" t="str">
        <f t="shared" si="6"/>
        <v/>
      </c>
      <c r="O341" s="7" t="str">
        <f t="shared" si="7"/>
        <v/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>
        <f>IFERROR(__xludf.DUMMYFUNCTION("""COMPUTED_VALUE"""),45601.0)</f>
        <v>45601</v>
      </c>
      <c r="B342" s="6">
        <f>IFERROR(__xludf.DUMMYFUNCTION("""COMPUTED_VALUE"""),968.9)</f>
        <v>968.9</v>
      </c>
      <c r="C342" s="6">
        <f>IFERROR(__xludf.DUMMYFUNCTION("""COMPUTED_VALUE"""),1024.9)</f>
        <v>1024.9</v>
      </c>
      <c r="D342" s="6">
        <f>IFERROR(__xludf.DUMMYFUNCTION("""COMPUTED_VALUE"""),956.35)</f>
        <v>956.35</v>
      </c>
      <c r="E342" s="6">
        <f>IFERROR(__xludf.DUMMYFUNCTION("""COMPUTED_VALUE"""),1015.0)</f>
        <v>1015</v>
      </c>
      <c r="F342" s="7">
        <f>IFERROR(__xludf.DUMMYFUNCTION("""COMPUTED_VALUE"""),2100961.0)</f>
        <v>2100961</v>
      </c>
      <c r="G342" s="7" t="str">
        <f>IFERROR(__xludf.DUMMYFUNCTION("""COMPUTED_VALUE"""),"ADANIENSOL.NS")</f>
        <v>ADANIENSOL.NS</v>
      </c>
      <c r="H342" s="8">
        <f t="shared" si="1"/>
        <v>0.04757972959</v>
      </c>
      <c r="I342" s="8">
        <f t="shared" si="2"/>
        <v>0.04757972959</v>
      </c>
      <c r="J342" s="7" t="str">
        <f t="shared" si="3"/>
        <v>Nov-2024</v>
      </c>
      <c r="K342" s="9">
        <f t="shared" si="4"/>
        <v>45597</v>
      </c>
      <c r="L342" s="7" t="str">
        <f t="shared" si="5"/>
        <v/>
      </c>
      <c r="M342" s="7" t="str">
        <f>IFERROR(__xludf.DUMMYFUNCTION("IFERROR(
  IF(
    F342 &gt;
    3*AVERAGE(
       FILTER($F$2:$F10491,
         $G$2:$G10491=G342,
         $A$2:$A10491&gt;=A342-20,
         $A$2:$A10491&lt;=A342
       )
    ),
    ""VOL_SPIKE_3X"",""""
  ),
"""")
"),"")</f>
        <v/>
      </c>
      <c r="N342" s="7" t="str">
        <f t="shared" si="6"/>
        <v/>
      </c>
      <c r="O342" s="7" t="str">
        <f t="shared" si="7"/>
        <v/>
      </c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>
        <f>IFERROR(__xludf.DUMMYFUNCTION("""COMPUTED_VALUE"""),45601.0)</f>
        <v>45601</v>
      </c>
      <c r="B343" s="6">
        <f>IFERROR(__xludf.DUMMYFUNCTION("""COMPUTED_VALUE"""),1600.0)</f>
        <v>1600</v>
      </c>
      <c r="C343" s="6">
        <f>IFERROR(__xludf.DUMMYFUNCTION("""COMPUTED_VALUE"""),1655.0)</f>
        <v>1655</v>
      </c>
      <c r="D343" s="6">
        <f>IFERROR(__xludf.DUMMYFUNCTION("""COMPUTED_VALUE"""),1594.0)</f>
        <v>1594</v>
      </c>
      <c r="E343" s="6">
        <f>IFERROR(__xludf.DUMMYFUNCTION("""COMPUTED_VALUE"""),1644.25)</f>
        <v>1644.25</v>
      </c>
      <c r="F343" s="7">
        <f>IFERROR(__xludf.DUMMYFUNCTION("""COMPUTED_VALUE"""),379955.0)</f>
        <v>379955</v>
      </c>
      <c r="G343" s="7" t="str">
        <f>IFERROR(__xludf.DUMMYFUNCTION("""COMPUTED_VALUE"""),"ADANIGREEN.NS")</f>
        <v>ADANIGREEN.NS</v>
      </c>
      <c r="H343" s="8">
        <f t="shared" si="1"/>
        <v>0.02765625</v>
      </c>
      <c r="I343" s="8">
        <f t="shared" si="2"/>
        <v>0.02765625</v>
      </c>
      <c r="J343" s="7" t="str">
        <f t="shared" si="3"/>
        <v>Nov-2024</v>
      </c>
      <c r="K343" s="9">
        <f t="shared" si="4"/>
        <v>45597</v>
      </c>
      <c r="L343" s="7" t="str">
        <f t="shared" si="5"/>
        <v/>
      </c>
      <c r="M343" s="7" t="str">
        <f>IFERROR(__xludf.DUMMYFUNCTION("IFERROR(
  IF(
    F343 &gt;
    3*AVERAGE(
       FILTER($F$2:$F10491,
         $G$2:$G10491=G343,
         $A$2:$A10491&gt;=A343-20,
         $A$2:$A10491&lt;=A343
       )
    ),
    ""VOL_SPIKE_3X"",""""
  ),
"""")
"),"")</f>
        <v/>
      </c>
      <c r="N343" s="7" t="str">
        <f t="shared" si="6"/>
        <v/>
      </c>
      <c r="O343" s="7" t="str">
        <f t="shared" si="7"/>
        <v/>
      </c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>
        <f>IFERROR(__xludf.DUMMYFUNCTION("""COMPUTED_VALUE"""),45601.0)</f>
        <v>45601</v>
      </c>
      <c r="B344" s="6">
        <f>IFERROR(__xludf.DUMMYFUNCTION("""COMPUTED_VALUE"""),301.0)</f>
        <v>301</v>
      </c>
      <c r="C344" s="6">
        <f>IFERROR(__xludf.DUMMYFUNCTION("""COMPUTED_VALUE"""),309.05)</f>
        <v>309.05</v>
      </c>
      <c r="D344" s="6">
        <f>IFERROR(__xludf.DUMMYFUNCTION("""COMPUTED_VALUE"""),300.2)</f>
        <v>300.2</v>
      </c>
      <c r="E344" s="6">
        <f>IFERROR(__xludf.DUMMYFUNCTION("""COMPUTED_VALUE"""),307.95)</f>
        <v>307.95</v>
      </c>
      <c r="F344" s="7">
        <f>IFERROR(__xludf.DUMMYFUNCTION("""COMPUTED_VALUE"""),9542018.0)</f>
        <v>9542018</v>
      </c>
      <c r="G344" s="7" t="str">
        <f>IFERROR(__xludf.DUMMYFUNCTION("""COMPUTED_VALUE"""),"BPCL.NS")</f>
        <v>BPCL.NS</v>
      </c>
      <c r="H344" s="8">
        <f t="shared" si="1"/>
        <v>0.023089701</v>
      </c>
      <c r="I344" s="8">
        <f t="shared" si="2"/>
        <v>0.023089701</v>
      </c>
      <c r="J344" s="7" t="str">
        <f t="shared" si="3"/>
        <v>Nov-2024</v>
      </c>
      <c r="K344" s="9">
        <f t="shared" si="4"/>
        <v>45597</v>
      </c>
      <c r="L344" s="7" t="str">
        <f t="shared" si="5"/>
        <v/>
      </c>
      <c r="M344" s="7" t="str">
        <f>IFERROR(__xludf.DUMMYFUNCTION("IFERROR(
  IF(
    F344 &gt;
    3*AVERAGE(
       FILTER($F$2:$F10491,
         $G$2:$G10491=G344,
         $A$2:$A10491&gt;=A344-20,
         $A$2:$A10491&lt;=A344
       )
    ),
    ""VOL_SPIKE_3X"",""""
  ),
"""")
"),"")</f>
        <v/>
      </c>
      <c r="N344" s="7" t="str">
        <f t="shared" si="6"/>
        <v/>
      </c>
      <c r="O344" s="7" t="str">
        <f t="shared" si="7"/>
        <v/>
      </c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>
        <f>IFERROR(__xludf.DUMMYFUNCTION("""COMPUTED_VALUE"""),45601.0)</f>
        <v>45601</v>
      </c>
      <c r="B345" s="6">
        <f>IFERROR(__xludf.DUMMYFUNCTION("""COMPUTED_VALUE"""),429.1)</f>
        <v>429.1</v>
      </c>
      <c r="C345" s="6">
        <f>IFERROR(__xludf.DUMMYFUNCTION("""COMPUTED_VALUE"""),436.25)</f>
        <v>436.25</v>
      </c>
      <c r="D345" s="6">
        <f>IFERROR(__xludf.DUMMYFUNCTION("""COMPUTED_VALUE"""),427.0)</f>
        <v>427</v>
      </c>
      <c r="E345" s="6">
        <f>IFERROR(__xludf.DUMMYFUNCTION("""COMPUTED_VALUE"""),434.9)</f>
        <v>434.9</v>
      </c>
      <c r="F345" s="7">
        <f>IFERROR(__xludf.DUMMYFUNCTION("""COMPUTED_VALUE"""),1.0186343E7)</f>
        <v>10186343</v>
      </c>
      <c r="G345" s="7" t="str">
        <f>IFERROR(__xludf.DUMMYFUNCTION("""COMPUTED_VALUE"""),"COALINDIA.NS")</f>
        <v>COALINDIA.NS</v>
      </c>
      <c r="H345" s="8">
        <f t="shared" si="1"/>
        <v>0.01351666278</v>
      </c>
      <c r="I345" s="8">
        <f t="shared" si="2"/>
        <v>0.01351666278</v>
      </c>
      <c r="J345" s="7" t="str">
        <f t="shared" si="3"/>
        <v>Nov-2024</v>
      </c>
      <c r="K345" s="9">
        <f t="shared" si="4"/>
        <v>45597</v>
      </c>
      <c r="L345" s="7" t="str">
        <f t="shared" si="5"/>
        <v/>
      </c>
      <c r="M345" s="7" t="str">
        <f>IFERROR(__xludf.DUMMYFUNCTION("IFERROR(
  IF(
    F345 &gt;
    3*AVERAGE(
       FILTER($F$2:$F10491,
         $G$2:$G10491=G345,
         $A$2:$A10491&gt;=A345-20,
         $A$2:$A10491&lt;=A345
       )
    ),
    ""VOL_SPIKE_3X"",""""
  ),
"""")
"),"")</f>
        <v/>
      </c>
      <c r="N345" s="7" t="str">
        <f t="shared" si="6"/>
        <v/>
      </c>
      <c r="O345" s="7" t="str">
        <f t="shared" si="7"/>
        <v/>
      </c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>
        <f>IFERROR(__xludf.DUMMYFUNCTION("""COMPUTED_VALUE"""),45601.0)</f>
        <v>45601</v>
      </c>
      <c r="B346" s="6">
        <f>IFERROR(__xludf.DUMMYFUNCTION("""COMPUTED_VALUE"""),365.0)</f>
        <v>365</v>
      </c>
      <c r="C346" s="6">
        <f>IFERROR(__xludf.DUMMYFUNCTION("""COMPUTED_VALUE"""),376.5)</f>
        <v>376.5</v>
      </c>
      <c r="D346" s="6">
        <f>IFERROR(__xludf.DUMMYFUNCTION("""COMPUTED_VALUE"""),362.25)</f>
        <v>362.25</v>
      </c>
      <c r="E346" s="6">
        <f>IFERROR(__xludf.DUMMYFUNCTION("""COMPUTED_VALUE"""),374.85)</f>
        <v>374.85</v>
      </c>
      <c r="F346" s="7">
        <f>IFERROR(__xludf.DUMMYFUNCTION("""COMPUTED_VALUE"""),8163853.0)</f>
        <v>8163853</v>
      </c>
      <c r="G346" s="7" t="str">
        <f>IFERROR(__xludf.DUMMYFUNCTION("""COMPUTED_VALUE"""),"HINDPETRO.NS")</f>
        <v>HINDPETRO.NS</v>
      </c>
      <c r="H346" s="8">
        <f t="shared" si="1"/>
        <v>0.02698630137</v>
      </c>
      <c r="I346" s="8">
        <f t="shared" si="2"/>
        <v>0.02698630137</v>
      </c>
      <c r="J346" s="7" t="str">
        <f t="shared" si="3"/>
        <v>Nov-2024</v>
      </c>
      <c r="K346" s="9">
        <f t="shared" si="4"/>
        <v>45597</v>
      </c>
      <c r="L346" s="7" t="str">
        <f t="shared" si="5"/>
        <v/>
      </c>
      <c r="M346" s="7" t="str">
        <f>IFERROR(__xludf.DUMMYFUNCTION("IFERROR(
  IF(
    F346 &gt;
    3*AVERAGE(
       FILTER($F$2:$F10491,
         $G$2:$G10491=G346,
         $A$2:$A10491&gt;=A346-20,
         $A$2:$A10491&lt;=A346
       )
    ),
    ""VOL_SPIKE_3X"",""""
  ),
"""")
"),"")</f>
        <v/>
      </c>
      <c r="N346" s="7" t="str">
        <f t="shared" si="6"/>
        <v/>
      </c>
      <c r="O346" s="7" t="str">
        <f t="shared" si="7"/>
        <v/>
      </c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>
        <f>IFERROR(__xludf.DUMMYFUNCTION("""COMPUTED_VALUE"""),45601.0)</f>
        <v>45601</v>
      </c>
      <c r="B347" s="6">
        <f>IFERROR(__xludf.DUMMYFUNCTION("""COMPUTED_VALUE"""),137.99)</f>
        <v>137.99</v>
      </c>
      <c r="C347" s="6">
        <f>IFERROR(__xludf.DUMMYFUNCTION("""COMPUTED_VALUE"""),141.1)</f>
        <v>141.1</v>
      </c>
      <c r="D347" s="6">
        <f>IFERROR(__xludf.DUMMYFUNCTION("""COMPUTED_VALUE"""),137.67)</f>
        <v>137.67</v>
      </c>
      <c r="E347" s="6">
        <f>IFERROR(__xludf.DUMMYFUNCTION("""COMPUTED_VALUE"""),140.8)</f>
        <v>140.8</v>
      </c>
      <c r="F347" s="7">
        <f>IFERROR(__xludf.DUMMYFUNCTION("""COMPUTED_VALUE"""),1.8594095E7)</f>
        <v>18594095</v>
      </c>
      <c r="G347" s="7" t="str">
        <f>IFERROR(__xludf.DUMMYFUNCTION("""COMPUTED_VALUE"""),"IOC.NS")</f>
        <v>IOC.NS</v>
      </c>
      <c r="H347" s="8">
        <f t="shared" si="1"/>
        <v>0.02036379448</v>
      </c>
      <c r="I347" s="8">
        <f t="shared" si="2"/>
        <v>0.02036379448</v>
      </c>
      <c r="J347" s="7" t="str">
        <f t="shared" si="3"/>
        <v>Nov-2024</v>
      </c>
      <c r="K347" s="9">
        <f t="shared" si="4"/>
        <v>45597</v>
      </c>
      <c r="L347" s="7" t="str">
        <f t="shared" si="5"/>
        <v/>
      </c>
      <c r="M347" s="7" t="str">
        <f>IFERROR(__xludf.DUMMYFUNCTION("IFERROR(
  IF(
    F347 &gt;
    3*AVERAGE(
       FILTER($F$2:$F10491,
         $G$2:$G10491=G347,
         $A$2:$A10491&gt;=A347-20,
         $A$2:$A10491&lt;=A347
       )
    ),
    ""VOL_SPIKE_3X"",""""
  ),
"""")
"),"")</f>
        <v/>
      </c>
      <c r="N347" s="7" t="str">
        <f t="shared" si="6"/>
        <v/>
      </c>
      <c r="O347" s="7" t="str">
        <f t="shared" si="7"/>
        <v/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>
        <f>IFERROR(__xludf.DUMMYFUNCTION("""COMPUTED_VALUE"""),45601.0)</f>
        <v>45601</v>
      </c>
      <c r="B348" s="6">
        <f>IFERROR(__xludf.DUMMYFUNCTION("""COMPUTED_VALUE"""),400.0)</f>
        <v>400</v>
      </c>
      <c r="C348" s="6">
        <f>IFERROR(__xludf.DUMMYFUNCTION("""COMPUTED_VALUE"""),404.1)</f>
        <v>404.1</v>
      </c>
      <c r="D348" s="6">
        <f>IFERROR(__xludf.DUMMYFUNCTION("""COMPUTED_VALUE"""),397.15)</f>
        <v>397.15</v>
      </c>
      <c r="E348" s="6">
        <f>IFERROR(__xludf.DUMMYFUNCTION("""COMPUTED_VALUE"""),403.1)</f>
        <v>403.1</v>
      </c>
      <c r="F348" s="7">
        <f>IFERROR(__xludf.DUMMYFUNCTION("""COMPUTED_VALUE"""),6665326.0)</f>
        <v>6665326</v>
      </c>
      <c r="G348" s="7" t="str">
        <f>IFERROR(__xludf.DUMMYFUNCTION("""COMPUTED_VALUE"""),"NTPC.NS")</f>
        <v>NTPC.NS</v>
      </c>
      <c r="H348" s="8">
        <f t="shared" si="1"/>
        <v>0.00775</v>
      </c>
      <c r="I348" s="8">
        <f t="shared" si="2"/>
        <v>0.00775</v>
      </c>
      <c r="J348" s="7" t="str">
        <f t="shared" si="3"/>
        <v>Nov-2024</v>
      </c>
      <c r="K348" s="9">
        <f t="shared" si="4"/>
        <v>45597</v>
      </c>
      <c r="L348" s="7" t="str">
        <f t="shared" si="5"/>
        <v/>
      </c>
      <c r="M348" s="7" t="str">
        <f>IFERROR(__xludf.DUMMYFUNCTION("IFERROR(
  IF(
    F348 &gt;
    3*AVERAGE(
       FILTER($F$2:$F10491,
         $G$2:$G10491=G348,
         $A$2:$A10491&gt;=A348-20,
         $A$2:$A10491&lt;=A348
       )
    ),
    ""VOL_SPIKE_3X"",""""
  ),
"""")
"),"")</f>
        <v/>
      </c>
      <c r="N348" s="7" t="str">
        <f t="shared" si="6"/>
        <v/>
      </c>
      <c r="O348" s="7" t="str">
        <f t="shared" si="7"/>
        <v/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>
        <f>IFERROR(__xludf.DUMMYFUNCTION("""COMPUTED_VALUE"""),45601.0)</f>
        <v>45601</v>
      </c>
      <c r="B349" s="6">
        <f>IFERROR(__xludf.DUMMYFUNCTION("""COMPUTED_VALUE"""),265.2)</f>
        <v>265.2</v>
      </c>
      <c r="C349" s="6">
        <f>IFERROR(__xludf.DUMMYFUNCTION("""COMPUTED_VALUE"""),268.6)</f>
        <v>268.6</v>
      </c>
      <c r="D349" s="6">
        <f>IFERROR(__xludf.DUMMYFUNCTION("""COMPUTED_VALUE"""),263.6)</f>
        <v>263.6</v>
      </c>
      <c r="E349" s="6">
        <f>IFERROR(__xludf.DUMMYFUNCTION("""COMPUTED_VALUE"""),267.4)</f>
        <v>267.4</v>
      </c>
      <c r="F349" s="7">
        <f>IFERROR(__xludf.DUMMYFUNCTION("""COMPUTED_VALUE"""),1.1676017E7)</f>
        <v>11676017</v>
      </c>
      <c r="G349" s="7" t="str">
        <f>IFERROR(__xludf.DUMMYFUNCTION("""COMPUTED_VALUE"""),"ONGC.NS")</f>
        <v>ONGC.NS</v>
      </c>
      <c r="H349" s="8">
        <f t="shared" si="1"/>
        <v>0.008295625943</v>
      </c>
      <c r="I349" s="8">
        <f t="shared" si="2"/>
        <v>0.008295625943</v>
      </c>
      <c r="J349" s="7" t="str">
        <f t="shared" si="3"/>
        <v>Nov-2024</v>
      </c>
      <c r="K349" s="9">
        <f t="shared" si="4"/>
        <v>45597</v>
      </c>
      <c r="L349" s="7" t="str">
        <f t="shared" si="5"/>
        <v/>
      </c>
      <c r="M349" s="7" t="str">
        <f>IFERROR(__xludf.DUMMYFUNCTION("IFERROR(
  IF(
    F349 &gt;
    3*AVERAGE(
       FILTER($F$2:$F10491,
         $G$2:$G10491=G349,
         $A$2:$A10491&gt;=A349-20,
         $A$2:$A10491&lt;=A349
       )
    ),
    ""VOL_SPIKE_3X"",""""
  ),
"""")
"),"")</f>
        <v/>
      </c>
      <c r="N349" s="7" t="str">
        <f t="shared" si="6"/>
        <v/>
      </c>
      <c r="O349" s="7" t="str">
        <f t="shared" si="7"/>
        <v/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>
        <f>IFERROR(__xludf.DUMMYFUNCTION("""COMPUTED_VALUE"""),45601.0)</f>
        <v>45601</v>
      </c>
      <c r="B350" s="6">
        <f>IFERROR(__xludf.DUMMYFUNCTION("""COMPUTED_VALUE"""),312.35)</f>
        <v>312.35</v>
      </c>
      <c r="C350" s="6">
        <f>IFERROR(__xludf.DUMMYFUNCTION("""COMPUTED_VALUE"""),317.7)</f>
        <v>317.7</v>
      </c>
      <c r="D350" s="6">
        <f>IFERROR(__xludf.DUMMYFUNCTION("""COMPUTED_VALUE"""),312.0)</f>
        <v>312</v>
      </c>
      <c r="E350" s="6">
        <f>IFERROR(__xludf.DUMMYFUNCTION("""COMPUTED_VALUE"""),316.6)</f>
        <v>316.6</v>
      </c>
      <c r="F350" s="7">
        <f>IFERROR(__xludf.DUMMYFUNCTION("""COMPUTED_VALUE"""),7518195.0)</f>
        <v>7518195</v>
      </c>
      <c r="G350" s="7" t="str">
        <f>IFERROR(__xludf.DUMMYFUNCTION("""COMPUTED_VALUE"""),"POWERGRID.NS")</f>
        <v>POWERGRID.NS</v>
      </c>
      <c r="H350" s="8">
        <f t="shared" si="1"/>
        <v>0.01360653113</v>
      </c>
      <c r="I350" s="8">
        <f t="shared" si="2"/>
        <v>0.01360653113</v>
      </c>
      <c r="J350" s="7" t="str">
        <f t="shared" si="3"/>
        <v>Nov-2024</v>
      </c>
      <c r="K350" s="9">
        <f t="shared" si="4"/>
        <v>45597</v>
      </c>
      <c r="L350" s="7" t="str">
        <f t="shared" si="5"/>
        <v/>
      </c>
      <c r="M350" s="7" t="str">
        <f>IFERROR(__xludf.DUMMYFUNCTION("IFERROR(
  IF(
    F350 &gt;
    3*AVERAGE(
       FILTER($F$2:$F10491,
         $G$2:$G10491=G350,
         $A$2:$A10491&gt;=A350-20,
         $A$2:$A10491&lt;=A350
       )
    ),
    ""VOL_SPIKE_3X"",""""
  ),
"""")
"),"")</f>
        <v/>
      </c>
      <c r="N350" s="7" t="str">
        <f t="shared" si="6"/>
        <v/>
      </c>
      <c r="O350" s="7" t="str">
        <f t="shared" si="7"/>
        <v/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>
        <f>IFERROR(__xludf.DUMMYFUNCTION("""COMPUTED_VALUE"""),45601.0)</f>
        <v>45601</v>
      </c>
      <c r="B351" s="6">
        <f>IFERROR(__xludf.DUMMYFUNCTION("""COMPUTED_VALUE"""),1293.0)</f>
        <v>1293</v>
      </c>
      <c r="C351" s="6">
        <f>IFERROR(__xludf.DUMMYFUNCTION("""COMPUTED_VALUE"""),1309.55)</f>
        <v>1309.55</v>
      </c>
      <c r="D351" s="6">
        <f>IFERROR(__xludf.DUMMYFUNCTION("""COMPUTED_VALUE"""),1286.15)</f>
        <v>1286.15</v>
      </c>
      <c r="E351" s="6">
        <f>IFERROR(__xludf.DUMMYFUNCTION("""COMPUTED_VALUE"""),1305.3)</f>
        <v>1305.3</v>
      </c>
      <c r="F351" s="7">
        <f>IFERROR(__xludf.DUMMYFUNCTION("""COMPUTED_VALUE"""),1.6267479E7)</f>
        <v>16267479</v>
      </c>
      <c r="G351" s="7" t="str">
        <f>IFERROR(__xludf.DUMMYFUNCTION("""COMPUTED_VALUE"""),"RELIANCE.NS")</f>
        <v>RELIANCE.NS</v>
      </c>
      <c r="H351" s="8">
        <f t="shared" si="1"/>
        <v>0.009512761021</v>
      </c>
      <c r="I351" s="8">
        <f t="shared" si="2"/>
        <v>0.009512761021</v>
      </c>
      <c r="J351" s="7" t="str">
        <f t="shared" si="3"/>
        <v>Nov-2024</v>
      </c>
      <c r="K351" s="9">
        <f t="shared" si="4"/>
        <v>45597</v>
      </c>
      <c r="L351" s="7" t="str">
        <f t="shared" si="5"/>
        <v/>
      </c>
      <c r="M351" s="7" t="str">
        <f>IFERROR(__xludf.DUMMYFUNCTION("IFERROR(
  IF(
    F351 &gt;
    3*AVERAGE(
       FILTER($F$2:$F10491,
         $G$2:$G10491=G351,
         $A$2:$A10491&gt;=A351-20,
         $A$2:$A10491&lt;=A351
       )
    ),
    ""VOL_SPIKE_3X"",""""
  ),
"""")
"),"")</f>
        <v/>
      </c>
      <c r="N351" s="7" t="str">
        <f t="shared" si="6"/>
        <v/>
      </c>
      <c r="O351" s="7" t="str">
        <f t="shared" si="7"/>
        <v/>
      </c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>
        <f>IFERROR(__xludf.DUMMYFUNCTION("""COMPUTED_VALUE"""),45602.0)</f>
        <v>45602</v>
      </c>
      <c r="B352" s="6">
        <f>IFERROR(__xludf.DUMMYFUNCTION("""COMPUTED_VALUE"""),1015.0)</f>
        <v>1015</v>
      </c>
      <c r="C352" s="6">
        <f>IFERROR(__xludf.DUMMYFUNCTION("""COMPUTED_VALUE"""),1090.95)</f>
        <v>1090.95</v>
      </c>
      <c r="D352" s="6">
        <f>IFERROR(__xludf.DUMMYFUNCTION("""COMPUTED_VALUE"""),1009.0)</f>
        <v>1009</v>
      </c>
      <c r="E352" s="6">
        <f>IFERROR(__xludf.DUMMYFUNCTION("""COMPUTED_VALUE"""),1076.3)</f>
        <v>1076.3</v>
      </c>
      <c r="F352" s="7">
        <f>IFERROR(__xludf.DUMMYFUNCTION("""COMPUTED_VALUE"""),5200238.0)</f>
        <v>5200238</v>
      </c>
      <c r="G352" s="7" t="str">
        <f>IFERROR(__xludf.DUMMYFUNCTION("""COMPUTED_VALUE"""),"ADANIENSOL.NS")</f>
        <v>ADANIENSOL.NS</v>
      </c>
      <c r="H352" s="8">
        <f t="shared" si="1"/>
        <v>0.06039408867</v>
      </c>
      <c r="I352" s="8">
        <f t="shared" si="2"/>
        <v>0.06039408867</v>
      </c>
      <c r="J352" s="7" t="str">
        <f t="shared" si="3"/>
        <v>Nov-2024</v>
      </c>
      <c r="K352" s="9">
        <f t="shared" si="4"/>
        <v>45597</v>
      </c>
      <c r="L352" s="7" t="str">
        <f t="shared" si="5"/>
        <v>PRICE_MOVE_5PCT+</v>
      </c>
      <c r="M352" s="7" t="str">
        <f>IFERROR(__xludf.DUMMYFUNCTION("IFERROR(
  IF(
    F352 &gt;
    3*AVERAGE(
       FILTER($F$2:$F10491,
         $G$2:$G10491=G352,
         $A$2:$A10491&gt;=A352-20,
         $A$2:$A10491&lt;=A352
       )
    ),
    ""VOL_SPIKE_3X"",""""
  ),
"""")
"),"")</f>
        <v/>
      </c>
      <c r="N352" s="7" t="str">
        <f t="shared" si="6"/>
        <v>PRICE_MOVE_5PCT+</v>
      </c>
      <c r="O352" s="7" t="str">
        <f t="shared" si="7"/>
        <v/>
      </c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>
        <f>IFERROR(__xludf.DUMMYFUNCTION("""COMPUTED_VALUE"""),45602.0)</f>
        <v>45602</v>
      </c>
      <c r="B353" s="6">
        <f>IFERROR(__xludf.DUMMYFUNCTION("""COMPUTED_VALUE"""),1652.0)</f>
        <v>1652</v>
      </c>
      <c r="C353" s="6">
        <f>IFERROR(__xludf.DUMMYFUNCTION("""COMPUTED_VALUE"""),1733.95)</f>
        <v>1733.95</v>
      </c>
      <c r="D353" s="6">
        <f>IFERROR(__xludf.DUMMYFUNCTION("""COMPUTED_VALUE"""),1636.7)</f>
        <v>1636.7</v>
      </c>
      <c r="E353" s="6">
        <f>IFERROR(__xludf.DUMMYFUNCTION("""COMPUTED_VALUE"""),1721.15)</f>
        <v>1721.15</v>
      </c>
      <c r="F353" s="7">
        <f>IFERROR(__xludf.DUMMYFUNCTION("""COMPUTED_VALUE"""),966147.0)</f>
        <v>966147</v>
      </c>
      <c r="G353" s="7" t="str">
        <f>IFERROR(__xludf.DUMMYFUNCTION("""COMPUTED_VALUE"""),"ADANIGREEN.NS")</f>
        <v>ADANIGREEN.NS</v>
      </c>
      <c r="H353" s="8">
        <f t="shared" si="1"/>
        <v>0.04185835351</v>
      </c>
      <c r="I353" s="8">
        <f t="shared" si="2"/>
        <v>0.04185835351</v>
      </c>
      <c r="J353" s="7" t="str">
        <f t="shared" si="3"/>
        <v>Nov-2024</v>
      </c>
      <c r="K353" s="9">
        <f t="shared" si="4"/>
        <v>45597</v>
      </c>
      <c r="L353" s="7" t="str">
        <f t="shared" si="5"/>
        <v/>
      </c>
      <c r="M353" s="7" t="str">
        <f>IFERROR(__xludf.DUMMYFUNCTION("IFERROR(
  IF(
    F353 &gt;
    3*AVERAGE(
       FILTER($F$2:$F10491,
         $G$2:$G10491=G353,
         $A$2:$A10491&gt;=A353-20,
         $A$2:$A10491&lt;=A353
       )
    ),
    ""VOL_SPIKE_3X"",""""
  ),
"""")
"),"")</f>
        <v/>
      </c>
      <c r="N353" s="7" t="str">
        <f t="shared" si="6"/>
        <v/>
      </c>
      <c r="O353" s="7" t="str">
        <f t="shared" si="7"/>
        <v/>
      </c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>
        <f>IFERROR(__xludf.DUMMYFUNCTION("""COMPUTED_VALUE"""),45602.0)</f>
        <v>45602</v>
      </c>
      <c r="B354" s="6">
        <f>IFERROR(__xludf.DUMMYFUNCTION("""COMPUTED_VALUE"""),311.8)</f>
        <v>311.8</v>
      </c>
      <c r="C354" s="6">
        <f>IFERROR(__xludf.DUMMYFUNCTION("""COMPUTED_VALUE"""),319.0)</f>
        <v>319</v>
      </c>
      <c r="D354" s="6">
        <f>IFERROR(__xludf.DUMMYFUNCTION("""COMPUTED_VALUE"""),307.25)</f>
        <v>307.25</v>
      </c>
      <c r="E354" s="6">
        <f>IFERROR(__xludf.DUMMYFUNCTION("""COMPUTED_VALUE"""),317.0)</f>
        <v>317</v>
      </c>
      <c r="F354" s="7">
        <f>IFERROR(__xludf.DUMMYFUNCTION("""COMPUTED_VALUE"""),1.0787602E7)</f>
        <v>10787602</v>
      </c>
      <c r="G354" s="7" t="str">
        <f>IFERROR(__xludf.DUMMYFUNCTION("""COMPUTED_VALUE"""),"BPCL.NS")</f>
        <v>BPCL.NS</v>
      </c>
      <c r="H354" s="8">
        <f t="shared" si="1"/>
        <v>0.01667735728</v>
      </c>
      <c r="I354" s="8">
        <f t="shared" si="2"/>
        <v>0.01667735728</v>
      </c>
      <c r="J354" s="7" t="str">
        <f t="shared" si="3"/>
        <v>Nov-2024</v>
      </c>
      <c r="K354" s="9">
        <f t="shared" si="4"/>
        <v>45597</v>
      </c>
      <c r="L354" s="7" t="str">
        <f t="shared" si="5"/>
        <v/>
      </c>
      <c r="M354" s="7" t="str">
        <f>IFERROR(__xludf.DUMMYFUNCTION("IFERROR(
  IF(
    F354 &gt;
    3*AVERAGE(
       FILTER($F$2:$F10491,
         $G$2:$G10491=G354,
         $A$2:$A10491&gt;=A354-20,
         $A$2:$A10491&lt;=A354
       )
    ),
    ""VOL_SPIKE_3X"",""""
  ),
"""")
"),"")</f>
        <v/>
      </c>
      <c r="N354" s="7" t="str">
        <f t="shared" si="6"/>
        <v/>
      </c>
      <c r="O354" s="7" t="str">
        <f t="shared" si="7"/>
        <v/>
      </c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>
        <f>IFERROR(__xludf.DUMMYFUNCTION("""COMPUTED_VALUE"""),45602.0)</f>
        <v>45602</v>
      </c>
      <c r="B355" s="6">
        <f>IFERROR(__xludf.DUMMYFUNCTION("""COMPUTED_VALUE"""),437.8)</f>
        <v>437.8</v>
      </c>
      <c r="C355" s="6">
        <f>IFERROR(__xludf.DUMMYFUNCTION("""COMPUTED_VALUE"""),438.9)</f>
        <v>438.9</v>
      </c>
      <c r="D355" s="6">
        <f>IFERROR(__xludf.DUMMYFUNCTION("""COMPUTED_VALUE"""),431.2)</f>
        <v>431.2</v>
      </c>
      <c r="E355" s="6">
        <f>IFERROR(__xludf.DUMMYFUNCTION("""COMPUTED_VALUE"""),435.8)</f>
        <v>435.8</v>
      </c>
      <c r="F355" s="7">
        <f>IFERROR(__xludf.DUMMYFUNCTION("""COMPUTED_VALUE"""),9130749.0)</f>
        <v>9130749</v>
      </c>
      <c r="G355" s="7" t="str">
        <f>IFERROR(__xludf.DUMMYFUNCTION("""COMPUTED_VALUE"""),"COALINDIA.NS")</f>
        <v>COALINDIA.NS</v>
      </c>
      <c r="H355" s="8">
        <f t="shared" si="1"/>
        <v>-0.004568296026</v>
      </c>
      <c r="I355" s="8">
        <f t="shared" si="2"/>
        <v>0.004568296026</v>
      </c>
      <c r="J355" s="7" t="str">
        <f t="shared" si="3"/>
        <v>Nov-2024</v>
      </c>
      <c r="K355" s="9">
        <f t="shared" si="4"/>
        <v>45597</v>
      </c>
      <c r="L355" s="7" t="str">
        <f t="shared" si="5"/>
        <v/>
      </c>
      <c r="M355" s="7" t="str">
        <f>IFERROR(__xludf.DUMMYFUNCTION("IFERROR(
  IF(
    F355 &gt;
    3*AVERAGE(
       FILTER($F$2:$F10491,
         $G$2:$G10491=G355,
         $A$2:$A10491&gt;=A355-20,
         $A$2:$A10491&lt;=A355
       )
    ),
    ""VOL_SPIKE_3X"",""""
  ),
"""")
"),"")</f>
        <v/>
      </c>
      <c r="N355" s="7" t="str">
        <f t="shared" si="6"/>
        <v/>
      </c>
      <c r="O355" s="7" t="str">
        <f t="shared" si="7"/>
        <v/>
      </c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>
        <f>IFERROR(__xludf.DUMMYFUNCTION("""COMPUTED_VALUE"""),45602.0)</f>
        <v>45602</v>
      </c>
      <c r="B356" s="6">
        <f>IFERROR(__xludf.DUMMYFUNCTION("""COMPUTED_VALUE"""),379.85)</f>
        <v>379.85</v>
      </c>
      <c r="C356" s="6">
        <f>IFERROR(__xludf.DUMMYFUNCTION("""COMPUTED_VALUE"""),393.95)</f>
        <v>393.95</v>
      </c>
      <c r="D356" s="6">
        <f>IFERROR(__xludf.DUMMYFUNCTION("""COMPUTED_VALUE"""),377.15)</f>
        <v>377.15</v>
      </c>
      <c r="E356" s="6">
        <f>IFERROR(__xludf.DUMMYFUNCTION("""COMPUTED_VALUE"""),391.6)</f>
        <v>391.6</v>
      </c>
      <c r="F356" s="7">
        <f>IFERROR(__xludf.DUMMYFUNCTION("""COMPUTED_VALUE"""),8284664.0)</f>
        <v>8284664</v>
      </c>
      <c r="G356" s="7" t="str">
        <f>IFERROR(__xludf.DUMMYFUNCTION("""COMPUTED_VALUE"""),"HINDPETRO.NS")</f>
        <v>HINDPETRO.NS</v>
      </c>
      <c r="H356" s="8">
        <f t="shared" si="1"/>
        <v>0.03093326313</v>
      </c>
      <c r="I356" s="8">
        <f t="shared" si="2"/>
        <v>0.03093326313</v>
      </c>
      <c r="J356" s="7" t="str">
        <f t="shared" si="3"/>
        <v>Nov-2024</v>
      </c>
      <c r="K356" s="9">
        <f t="shared" si="4"/>
        <v>45597</v>
      </c>
      <c r="L356" s="7" t="str">
        <f t="shared" si="5"/>
        <v/>
      </c>
      <c r="M356" s="7" t="str">
        <f>IFERROR(__xludf.DUMMYFUNCTION("IFERROR(
  IF(
    F356 &gt;
    3*AVERAGE(
       FILTER($F$2:$F10491,
         $G$2:$G10491=G356,
         $A$2:$A10491&gt;=A356-20,
         $A$2:$A10491&lt;=A356
       )
    ),
    ""VOL_SPIKE_3X"",""""
  ),
"""")
"),"")</f>
        <v/>
      </c>
      <c r="N356" s="7" t="str">
        <f t="shared" si="6"/>
        <v/>
      </c>
      <c r="O356" s="7" t="str">
        <f t="shared" si="7"/>
        <v/>
      </c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>
        <f>IFERROR(__xludf.DUMMYFUNCTION("""COMPUTED_VALUE"""),45602.0)</f>
        <v>45602</v>
      </c>
      <c r="B357" s="6">
        <f>IFERROR(__xludf.DUMMYFUNCTION("""COMPUTED_VALUE"""),141.61)</f>
        <v>141.61</v>
      </c>
      <c r="C357" s="6">
        <f>IFERROR(__xludf.DUMMYFUNCTION("""COMPUTED_VALUE"""),145.14)</f>
        <v>145.14</v>
      </c>
      <c r="D357" s="6">
        <f>IFERROR(__xludf.DUMMYFUNCTION("""COMPUTED_VALUE"""),141.37)</f>
        <v>141.37</v>
      </c>
      <c r="E357" s="6">
        <f>IFERROR(__xludf.DUMMYFUNCTION("""COMPUTED_VALUE"""),144.61)</f>
        <v>144.61</v>
      </c>
      <c r="F357" s="7">
        <f>IFERROR(__xludf.DUMMYFUNCTION("""COMPUTED_VALUE"""),1.8107864E7)</f>
        <v>18107864</v>
      </c>
      <c r="G357" s="7" t="str">
        <f>IFERROR(__xludf.DUMMYFUNCTION("""COMPUTED_VALUE"""),"IOC.NS")</f>
        <v>IOC.NS</v>
      </c>
      <c r="H357" s="8">
        <f t="shared" si="1"/>
        <v>0.02118494457</v>
      </c>
      <c r="I357" s="8">
        <f t="shared" si="2"/>
        <v>0.02118494457</v>
      </c>
      <c r="J357" s="7" t="str">
        <f t="shared" si="3"/>
        <v>Nov-2024</v>
      </c>
      <c r="K357" s="9">
        <f t="shared" si="4"/>
        <v>45597</v>
      </c>
      <c r="L357" s="7" t="str">
        <f t="shared" si="5"/>
        <v/>
      </c>
      <c r="M357" s="7" t="str">
        <f>IFERROR(__xludf.DUMMYFUNCTION("IFERROR(
  IF(
    F357 &gt;
    3*AVERAGE(
       FILTER($F$2:$F10491,
         $G$2:$G10491=G357,
         $A$2:$A10491&gt;=A357-20,
         $A$2:$A10491&lt;=A357
       )
    ),
    ""VOL_SPIKE_3X"",""""
  ),
"""")
"),"")</f>
        <v/>
      </c>
      <c r="N357" s="7" t="str">
        <f t="shared" si="6"/>
        <v/>
      </c>
      <c r="O357" s="7" t="str">
        <f t="shared" si="7"/>
        <v/>
      </c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>
        <f>IFERROR(__xludf.DUMMYFUNCTION("""COMPUTED_VALUE"""),45602.0)</f>
        <v>45602</v>
      </c>
      <c r="B358" s="6">
        <f>IFERROR(__xludf.DUMMYFUNCTION("""COMPUTED_VALUE"""),406.7)</f>
        <v>406.7</v>
      </c>
      <c r="C358" s="6">
        <f>IFERROR(__xludf.DUMMYFUNCTION("""COMPUTED_VALUE"""),410.8)</f>
        <v>410.8</v>
      </c>
      <c r="D358" s="6">
        <f>IFERROR(__xludf.DUMMYFUNCTION("""COMPUTED_VALUE"""),403.15)</f>
        <v>403.15</v>
      </c>
      <c r="E358" s="6">
        <f>IFERROR(__xludf.DUMMYFUNCTION("""COMPUTED_VALUE"""),408.9)</f>
        <v>408.9</v>
      </c>
      <c r="F358" s="7">
        <f>IFERROR(__xludf.DUMMYFUNCTION("""COMPUTED_VALUE"""),9700643.0)</f>
        <v>9700643</v>
      </c>
      <c r="G358" s="7" t="str">
        <f>IFERROR(__xludf.DUMMYFUNCTION("""COMPUTED_VALUE"""),"NTPC.NS")</f>
        <v>NTPC.NS</v>
      </c>
      <c r="H358" s="8">
        <f t="shared" si="1"/>
        <v>0.005409392673</v>
      </c>
      <c r="I358" s="8">
        <f t="shared" si="2"/>
        <v>0.005409392673</v>
      </c>
      <c r="J358" s="7" t="str">
        <f t="shared" si="3"/>
        <v>Nov-2024</v>
      </c>
      <c r="K358" s="9">
        <f t="shared" si="4"/>
        <v>45597</v>
      </c>
      <c r="L358" s="7" t="str">
        <f t="shared" si="5"/>
        <v/>
      </c>
      <c r="M358" s="7" t="str">
        <f>IFERROR(__xludf.DUMMYFUNCTION("IFERROR(
  IF(
    F358 &gt;
    3*AVERAGE(
       FILTER($F$2:$F10491,
         $G$2:$G10491=G358,
         $A$2:$A10491&gt;=A358-20,
         $A$2:$A10491&lt;=A358
       )
    ),
    ""VOL_SPIKE_3X"",""""
  ),
"""")
"),"")</f>
        <v/>
      </c>
      <c r="N358" s="7" t="str">
        <f t="shared" si="6"/>
        <v/>
      </c>
      <c r="O358" s="7" t="str">
        <f t="shared" si="7"/>
        <v/>
      </c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>
        <f>IFERROR(__xludf.DUMMYFUNCTION("""COMPUTED_VALUE"""),45602.0)</f>
        <v>45602</v>
      </c>
      <c r="B359" s="6">
        <f>IFERROR(__xludf.DUMMYFUNCTION("""COMPUTED_VALUE"""),267.7)</f>
        <v>267.7</v>
      </c>
      <c r="C359" s="6">
        <f>IFERROR(__xludf.DUMMYFUNCTION("""COMPUTED_VALUE"""),270.6)</f>
        <v>270.6</v>
      </c>
      <c r="D359" s="6">
        <f>IFERROR(__xludf.DUMMYFUNCTION("""COMPUTED_VALUE"""),264.4)</f>
        <v>264.4</v>
      </c>
      <c r="E359" s="6">
        <f>IFERROR(__xludf.DUMMYFUNCTION("""COMPUTED_VALUE"""),269.05)</f>
        <v>269.05</v>
      </c>
      <c r="F359" s="7">
        <f>IFERROR(__xludf.DUMMYFUNCTION("""COMPUTED_VALUE"""),1.9244545E7)</f>
        <v>19244545</v>
      </c>
      <c r="G359" s="7" t="str">
        <f>IFERROR(__xludf.DUMMYFUNCTION("""COMPUTED_VALUE"""),"ONGC.NS")</f>
        <v>ONGC.NS</v>
      </c>
      <c r="H359" s="8">
        <f t="shared" si="1"/>
        <v>0.005042958536</v>
      </c>
      <c r="I359" s="8">
        <f t="shared" si="2"/>
        <v>0.005042958536</v>
      </c>
      <c r="J359" s="7" t="str">
        <f t="shared" si="3"/>
        <v>Nov-2024</v>
      </c>
      <c r="K359" s="9">
        <f t="shared" si="4"/>
        <v>45597</v>
      </c>
      <c r="L359" s="7" t="str">
        <f t="shared" si="5"/>
        <v/>
      </c>
      <c r="M359" s="7" t="str">
        <f>IFERROR(__xludf.DUMMYFUNCTION("IFERROR(
  IF(
    F359 &gt;
    3*AVERAGE(
       FILTER($F$2:$F10491,
         $G$2:$G10491=G359,
         $A$2:$A10491&gt;=A359-20,
         $A$2:$A10491&lt;=A359
       )
    ),
    ""VOL_SPIKE_3X"",""""
  ),
"""")
"),"")</f>
        <v/>
      </c>
      <c r="N359" s="7" t="str">
        <f t="shared" si="6"/>
        <v/>
      </c>
      <c r="O359" s="7" t="str">
        <f t="shared" si="7"/>
        <v/>
      </c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>
        <f>IFERROR(__xludf.DUMMYFUNCTION("""COMPUTED_VALUE"""),45602.0)</f>
        <v>45602</v>
      </c>
      <c r="B360" s="6">
        <f>IFERROR(__xludf.DUMMYFUNCTION("""COMPUTED_VALUE"""),317.4)</f>
        <v>317.4</v>
      </c>
      <c r="C360" s="6">
        <f>IFERROR(__xludf.DUMMYFUNCTION("""COMPUTED_VALUE"""),320.35)</f>
        <v>320.35</v>
      </c>
      <c r="D360" s="6">
        <f>IFERROR(__xludf.DUMMYFUNCTION("""COMPUTED_VALUE"""),313.9)</f>
        <v>313.9</v>
      </c>
      <c r="E360" s="6">
        <f>IFERROR(__xludf.DUMMYFUNCTION("""COMPUTED_VALUE"""),318.5)</f>
        <v>318.5</v>
      </c>
      <c r="F360" s="7">
        <f>IFERROR(__xludf.DUMMYFUNCTION("""COMPUTED_VALUE"""),1.101925E7)</f>
        <v>11019250</v>
      </c>
      <c r="G360" s="7" t="str">
        <f>IFERROR(__xludf.DUMMYFUNCTION("""COMPUTED_VALUE"""),"POWERGRID.NS")</f>
        <v>POWERGRID.NS</v>
      </c>
      <c r="H360" s="8">
        <f t="shared" si="1"/>
        <v>0.003465658475</v>
      </c>
      <c r="I360" s="8">
        <f t="shared" si="2"/>
        <v>0.003465658475</v>
      </c>
      <c r="J360" s="7" t="str">
        <f t="shared" si="3"/>
        <v>Nov-2024</v>
      </c>
      <c r="K360" s="9">
        <f t="shared" si="4"/>
        <v>45597</v>
      </c>
      <c r="L360" s="7" t="str">
        <f t="shared" si="5"/>
        <v/>
      </c>
      <c r="M360" s="7" t="str">
        <f>IFERROR(__xludf.DUMMYFUNCTION("IFERROR(
  IF(
    F360 &gt;
    3*AVERAGE(
       FILTER($F$2:$F10491,
         $G$2:$G10491=G360,
         $A$2:$A10491&gt;=A360-20,
         $A$2:$A10491&lt;=A360
       )
    ),
    ""VOL_SPIKE_3X"",""""
  ),
"""")
"),"")</f>
        <v/>
      </c>
      <c r="N360" s="7" t="str">
        <f t="shared" si="6"/>
        <v/>
      </c>
      <c r="O360" s="7" t="str">
        <f t="shared" si="7"/>
        <v/>
      </c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>
        <f>IFERROR(__xludf.DUMMYFUNCTION("""COMPUTED_VALUE"""),45602.0)</f>
        <v>45602</v>
      </c>
      <c r="B361" s="6">
        <f>IFERROR(__xludf.DUMMYFUNCTION("""COMPUTED_VALUE"""),1310.0)</f>
        <v>1310</v>
      </c>
      <c r="C361" s="6">
        <f>IFERROR(__xludf.DUMMYFUNCTION("""COMPUTED_VALUE"""),1328.3)</f>
        <v>1328.3</v>
      </c>
      <c r="D361" s="6">
        <f>IFERROR(__xludf.DUMMYFUNCTION("""COMPUTED_VALUE"""),1300.2)</f>
        <v>1300.2</v>
      </c>
      <c r="E361" s="6">
        <f>IFERROR(__xludf.DUMMYFUNCTION("""COMPUTED_VALUE"""),1325.35)</f>
        <v>1325.35</v>
      </c>
      <c r="F361" s="7">
        <f>IFERROR(__xludf.DUMMYFUNCTION("""COMPUTED_VALUE"""),2.1625209E7)</f>
        <v>21625209</v>
      </c>
      <c r="G361" s="7" t="str">
        <f>IFERROR(__xludf.DUMMYFUNCTION("""COMPUTED_VALUE"""),"RELIANCE.NS")</f>
        <v>RELIANCE.NS</v>
      </c>
      <c r="H361" s="8">
        <f t="shared" si="1"/>
        <v>0.01171755725</v>
      </c>
      <c r="I361" s="8">
        <f t="shared" si="2"/>
        <v>0.01171755725</v>
      </c>
      <c r="J361" s="7" t="str">
        <f t="shared" si="3"/>
        <v>Nov-2024</v>
      </c>
      <c r="K361" s="9">
        <f t="shared" si="4"/>
        <v>45597</v>
      </c>
      <c r="L361" s="7" t="str">
        <f t="shared" si="5"/>
        <v/>
      </c>
      <c r="M361" s="7" t="str">
        <f>IFERROR(__xludf.DUMMYFUNCTION("IFERROR(
  IF(
    F361 &gt;
    3*AVERAGE(
       FILTER($F$2:$F10491,
         $G$2:$G10491=G361,
         $A$2:$A10491&gt;=A361-20,
         $A$2:$A10491&lt;=A361
       )
    ),
    ""VOL_SPIKE_3X"",""""
  ),
"""")
"),"")</f>
        <v/>
      </c>
      <c r="N361" s="7" t="str">
        <f t="shared" si="6"/>
        <v/>
      </c>
      <c r="O361" s="7" t="str">
        <f t="shared" si="7"/>
        <v/>
      </c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>
        <f>IFERROR(__xludf.DUMMYFUNCTION("""COMPUTED_VALUE"""),45603.0)</f>
        <v>45603</v>
      </c>
      <c r="B362" s="6">
        <f>IFERROR(__xludf.DUMMYFUNCTION("""COMPUTED_VALUE"""),1006.2)</f>
        <v>1006.2</v>
      </c>
      <c r="C362" s="6">
        <f>IFERROR(__xludf.DUMMYFUNCTION("""COMPUTED_VALUE"""),1015.0)</f>
        <v>1015</v>
      </c>
      <c r="D362" s="6">
        <f>IFERROR(__xludf.DUMMYFUNCTION("""COMPUTED_VALUE"""),956.3)</f>
        <v>956.3</v>
      </c>
      <c r="E362" s="6">
        <f>IFERROR(__xludf.DUMMYFUNCTION("""COMPUTED_VALUE"""),964.05)</f>
        <v>964.05</v>
      </c>
      <c r="F362" s="7">
        <f>IFERROR(__xludf.DUMMYFUNCTION("""COMPUTED_VALUE"""),1.023073E7)</f>
        <v>10230730</v>
      </c>
      <c r="G362" s="7" t="str">
        <f>IFERROR(__xludf.DUMMYFUNCTION("""COMPUTED_VALUE"""),"ADANIENSOL.NS")</f>
        <v>ADANIENSOL.NS</v>
      </c>
      <c r="H362" s="8">
        <f t="shared" si="1"/>
        <v>-0.04189028026</v>
      </c>
      <c r="I362" s="8">
        <f t="shared" si="2"/>
        <v>0.04189028026</v>
      </c>
      <c r="J362" s="7" t="str">
        <f t="shared" si="3"/>
        <v>Nov-2024</v>
      </c>
      <c r="K362" s="9">
        <f t="shared" si="4"/>
        <v>45597</v>
      </c>
      <c r="L362" s="7" t="str">
        <f t="shared" si="5"/>
        <v/>
      </c>
      <c r="M362" s="7" t="str">
        <f>IFERROR(__xludf.DUMMYFUNCTION("IFERROR(
  IF(
    F362 &gt;
    3*AVERAGE(
       FILTER($F$2:$F10491,
         $G$2:$G10491=G362,
         $A$2:$A10491&gt;=A362-20,
         $A$2:$A10491&lt;=A362
       )
    ),
    ""VOL_SPIKE_3X"",""""
  ),
"""")
"),"VOL_SPIKE_3X")</f>
        <v>VOL_SPIKE_3X</v>
      </c>
      <c r="N362" s="7" t="str">
        <f t="shared" si="6"/>
        <v>VOL_SPIKE_3X</v>
      </c>
      <c r="O362" s="7" t="str">
        <f t="shared" si="7"/>
        <v/>
      </c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>
        <f>IFERROR(__xludf.DUMMYFUNCTION("""COMPUTED_VALUE"""),45603.0)</f>
        <v>45603</v>
      </c>
      <c r="B363" s="6">
        <f>IFERROR(__xludf.DUMMYFUNCTION("""COMPUTED_VALUE"""),1725.85)</f>
        <v>1725.85</v>
      </c>
      <c r="C363" s="6">
        <f>IFERROR(__xludf.DUMMYFUNCTION("""COMPUTED_VALUE"""),1725.85)</f>
        <v>1725.85</v>
      </c>
      <c r="D363" s="6">
        <f>IFERROR(__xludf.DUMMYFUNCTION("""COMPUTED_VALUE"""),1635.0)</f>
        <v>1635</v>
      </c>
      <c r="E363" s="6">
        <f>IFERROR(__xludf.DUMMYFUNCTION("""COMPUTED_VALUE"""),1642.7)</f>
        <v>1642.7</v>
      </c>
      <c r="F363" s="7">
        <f>IFERROR(__xludf.DUMMYFUNCTION("""COMPUTED_VALUE"""),848208.0)</f>
        <v>848208</v>
      </c>
      <c r="G363" s="7" t="str">
        <f>IFERROR(__xludf.DUMMYFUNCTION("""COMPUTED_VALUE"""),"ADANIGREEN.NS")</f>
        <v>ADANIGREEN.NS</v>
      </c>
      <c r="H363" s="8">
        <f t="shared" si="1"/>
        <v>-0.0481791581</v>
      </c>
      <c r="I363" s="8">
        <f t="shared" si="2"/>
        <v>0.0481791581</v>
      </c>
      <c r="J363" s="7" t="str">
        <f t="shared" si="3"/>
        <v>Nov-2024</v>
      </c>
      <c r="K363" s="9">
        <f t="shared" si="4"/>
        <v>45597</v>
      </c>
      <c r="L363" s="7" t="str">
        <f t="shared" si="5"/>
        <v/>
      </c>
      <c r="M363" s="7" t="str">
        <f>IFERROR(__xludf.DUMMYFUNCTION("IFERROR(
  IF(
    F363 &gt;
    3*AVERAGE(
       FILTER($F$2:$F10491,
         $G$2:$G10491=G363,
         $A$2:$A10491&gt;=A363-20,
         $A$2:$A10491&lt;=A363
       )
    ),
    ""VOL_SPIKE_3X"",""""
  ),
"""")
"),"")</f>
        <v/>
      </c>
      <c r="N363" s="7" t="str">
        <f t="shared" si="6"/>
        <v/>
      </c>
      <c r="O363" s="7" t="str">
        <f t="shared" si="7"/>
        <v/>
      </c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>
        <f>IFERROR(__xludf.DUMMYFUNCTION("""COMPUTED_VALUE"""),45603.0)</f>
        <v>45603</v>
      </c>
      <c r="B364" s="6">
        <f>IFERROR(__xludf.DUMMYFUNCTION("""COMPUTED_VALUE"""),316.35)</f>
        <v>316.35</v>
      </c>
      <c r="C364" s="6">
        <f>IFERROR(__xludf.DUMMYFUNCTION("""COMPUTED_VALUE"""),317.7)</f>
        <v>317.7</v>
      </c>
      <c r="D364" s="6">
        <f>IFERROR(__xludf.DUMMYFUNCTION("""COMPUTED_VALUE"""),311.1)</f>
        <v>311.1</v>
      </c>
      <c r="E364" s="6">
        <f>IFERROR(__xludf.DUMMYFUNCTION("""COMPUTED_VALUE"""),315.0)</f>
        <v>315</v>
      </c>
      <c r="F364" s="7">
        <f>IFERROR(__xludf.DUMMYFUNCTION("""COMPUTED_VALUE"""),7387875.0)</f>
        <v>7387875</v>
      </c>
      <c r="G364" s="7" t="str">
        <f>IFERROR(__xludf.DUMMYFUNCTION("""COMPUTED_VALUE"""),"BPCL.NS")</f>
        <v>BPCL.NS</v>
      </c>
      <c r="H364" s="8">
        <f t="shared" si="1"/>
        <v>-0.00426742532</v>
      </c>
      <c r="I364" s="8">
        <f t="shared" si="2"/>
        <v>0.00426742532</v>
      </c>
      <c r="J364" s="7" t="str">
        <f t="shared" si="3"/>
        <v>Nov-2024</v>
      </c>
      <c r="K364" s="9">
        <f t="shared" si="4"/>
        <v>45597</v>
      </c>
      <c r="L364" s="7" t="str">
        <f t="shared" si="5"/>
        <v/>
      </c>
      <c r="M364" s="7" t="str">
        <f>IFERROR(__xludf.DUMMYFUNCTION("IFERROR(
  IF(
    F364 &gt;
    3*AVERAGE(
       FILTER($F$2:$F10491,
         $G$2:$G10491=G364,
         $A$2:$A10491&gt;=A364-20,
         $A$2:$A10491&lt;=A364
       )
    ),
    ""VOL_SPIKE_3X"",""""
  ),
"""")
"),"")</f>
        <v/>
      </c>
      <c r="N364" s="7" t="str">
        <f t="shared" si="6"/>
        <v/>
      </c>
      <c r="O364" s="7" t="str">
        <f t="shared" si="7"/>
        <v/>
      </c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>
        <f>IFERROR(__xludf.DUMMYFUNCTION("""COMPUTED_VALUE"""),45603.0)</f>
        <v>45603</v>
      </c>
      <c r="B365" s="6">
        <f>IFERROR(__xludf.DUMMYFUNCTION("""COMPUTED_VALUE"""),437.8)</f>
        <v>437.8</v>
      </c>
      <c r="C365" s="6">
        <f>IFERROR(__xludf.DUMMYFUNCTION("""COMPUTED_VALUE"""),440.35)</f>
        <v>440.35</v>
      </c>
      <c r="D365" s="6">
        <f>IFERROR(__xludf.DUMMYFUNCTION("""COMPUTED_VALUE"""),434.65)</f>
        <v>434.65</v>
      </c>
      <c r="E365" s="6">
        <f>IFERROR(__xludf.DUMMYFUNCTION("""COMPUTED_VALUE"""),435.35)</f>
        <v>435.35</v>
      </c>
      <c r="F365" s="7">
        <f>IFERROR(__xludf.DUMMYFUNCTION("""COMPUTED_VALUE"""),5861077.0)</f>
        <v>5861077</v>
      </c>
      <c r="G365" s="7" t="str">
        <f>IFERROR(__xludf.DUMMYFUNCTION("""COMPUTED_VALUE"""),"COALINDIA.NS")</f>
        <v>COALINDIA.NS</v>
      </c>
      <c r="H365" s="8">
        <f t="shared" si="1"/>
        <v>-0.005596162631</v>
      </c>
      <c r="I365" s="8">
        <f t="shared" si="2"/>
        <v>0.005596162631</v>
      </c>
      <c r="J365" s="7" t="str">
        <f t="shared" si="3"/>
        <v>Nov-2024</v>
      </c>
      <c r="K365" s="9">
        <f t="shared" si="4"/>
        <v>45597</v>
      </c>
      <c r="L365" s="7" t="str">
        <f t="shared" si="5"/>
        <v/>
      </c>
      <c r="M365" s="7" t="str">
        <f>IFERROR(__xludf.DUMMYFUNCTION("IFERROR(
  IF(
    F365 &gt;
    3*AVERAGE(
       FILTER($F$2:$F10491,
         $G$2:$G10491=G365,
         $A$2:$A10491&gt;=A365-20,
         $A$2:$A10491&lt;=A365
       )
    ),
    ""VOL_SPIKE_3X"",""""
  ),
"""")
"),"")</f>
        <v/>
      </c>
      <c r="N365" s="7" t="str">
        <f t="shared" si="6"/>
        <v/>
      </c>
      <c r="O365" s="7" t="str">
        <f t="shared" si="7"/>
        <v/>
      </c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>
        <f>IFERROR(__xludf.DUMMYFUNCTION("""COMPUTED_VALUE"""),45603.0)</f>
        <v>45603</v>
      </c>
      <c r="B366" s="6">
        <f>IFERROR(__xludf.DUMMYFUNCTION("""COMPUTED_VALUE"""),390.85)</f>
        <v>390.85</v>
      </c>
      <c r="C366" s="6">
        <f>IFERROR(__xludf.DUMMYFUNCTION("""COMPUTED_VALUE"""),400.0)</f>
        <v>400</v>
      </c>
      <c r="D366" s="6">
        <f>IFERROR(__xludf.DUMMYFUNCTION("""COMPUTED_VALUE"""),385.35)</f>
        <v>385.35</v>
      </c>
      <c r="E366" s="6">
        <f>IFERROR(__xludf.DUMMYFUNCTION("""COMPUTED_VALUE"""),396.5)</f>
        <v>396.5</v>
      </c>
      <c r="F366" s="7">
        <f>IFERROR(__xludf.DUMMYFUNCTION("""COMPUTED_VALUE"""),5850910.0)</f>
        <v>5850910</v>
      </c>
      <c r="G366" s="7" t="str">
        <f>IFERROR(__xludf.DUMMYFUNCTION("""COMPUTED_VALUE"""),"HINDPETRO.NS")</f>
        <v>HINDPETRO.NS</v>
      </c>
      <c r="H366" s="8">
        <f t="shared" si="1"/>
        <v>0.01445567353</v>
      </c>
      <c r="I366" s="8">
        <f t="shared" si="2"/>
        <v>0.01445567353</v>
      </c>
      <c r="J366" s="7" t="str">
        <f t="shared" si="3"/>
        <v>Nov-2024</v>
      </c>
      <c r="K366" s="9">
        <f t="shared" si="4"/>
        <v>45597</v>
      </c>
      <c r="L366" s="7" t="str">
        <f t="shared" si="5"/>
        <v/>
      </c>
      <c r="M366" s="7" t="str">
        <f>IFERROR(__xludf.DUMMYFUNCTION("IFERROR(
  IF(
    F366 &gt;
    3*AVERAGE(
       FILTER($F$2:$F10491,
         $G$2:$G10491=G366,
         $A$2:$A10491&gt;=A366-20,
         $A$2:$A10491&lt;=A366
       )
    ),
    ""VOL_SPIKE_3X"",""""
  ),
"""")
"),"")</f>
        <v/>
      </c>
      <c r="N366" s="7" t="str">
        <f t="shared" si="6"/>
        <v/>
      </c>
      <c r="O366" s="7" t="str">
        <f t="shared" si="7"/>
        <v/>
      </c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>
        <f>IFERROR(__xludf.DUMMYFUNCTION("""COMPUTED_VALUE"""),45603.0)</f>
        <v>45603</v>
      </c>
      <c r="B367" s="6">
        <f>IFERROR(__xludf.DUMMYFUNCTION("""COMPUTED_VALUE"""),144.66)</f>
        <v>144.66</v>
      </c>
      <c r="C367" s="6">
        <f>IFERROR(__xludf.DUMMYFUNCTION("""COMPUTED_VALUE"""),145.74)</f>
        <v>145.74</v>
      </c>
      <c r="D367" s="6">
        <f>IFERROR(__xludf.DUMMYFUNCTION("""COMPUTED_VALUE"""),143.12)</f>
        <v>143.12</v>
      </c>
      <c r="E367" s="6">
        <f>IFERROR(__xludf.DUMMYFUNCTION("""COMPUTED_VALUE"""),144.15)</f>
        <v>144.15</v>
      </c>
      <c r="F367" s="7">
        <f>IFERROR(__xludf.DUMMYFUNCTION("""COMPUTED_VALUE"""),1.4637973E7)</f>
        <v>14637973</v>
      </c>
      <c r="G367" s="7" t="str">
        <f>IFERROR(__xludf.DUMMYFUNCTION("""COMPUTED_VALUE"""),"IOC.NS")</f>
        <v>IOC.NS</v>
      </c>
      <c r="H367" s="8">
        <f t="shared" si="1"/>
        <v>-0.003525508088</v>
      </c>
      <c r="I367" s="8">
        <f t="shared" si="2"/>
        <v>0.003525508088</v>
      </c>
      <c r="J367" s="7" t="str">
        <f t="shared" si="3"/>
        <v>Nov-2024</v>
      </c>
      <c r="K367" s="9">
        <f t="shared" si="4"/>
        <v>45597</v>
      </c>
      <c r="L367" s="7" t="str">
        <f t="shared" si="5"/>
        <v/>
      </c>
      <c r="M367" s="7" t="str">
        <f>IFERROR(__xludf.DUMMYFUNCTION("IFERROR(
  IF(
    F367 &gt;
    3*AVERAGE(
       FILTER($F$2:$F10491,
         $G$2:$G10491=G367,
         $A$2:$A10491&gt;=A367-20,
         $A$2:$A10491&lt;=A367
       )
    ),
    ""VOL_SPIKE_3X"",""""
  ),
"""")
"),"")</f>
        <v/>
      </c>
      <c r="N367" s="7" t="str">
        <f t="shared" si="6"/>
        <v/>
      </c>
      <c r="O367" s="7" t="str">
        <f t="shared" si="7"/>
        <v/>
      </c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>
        <f>IFERROR(__xludf.DUMMYFUNCTION("""COMPUTED_VALUE"""),45603.0)</f>
        <v>45603</v>
      </c>
      <c r="B368" s="6">
        <f>IFERROR(__xludf.DUMMYFUNCTION("""COMPUTED_VALUE"""),410.9)</f>
        <v>410.9</v>
      </c>
      <c r="C368" s="6">
        <f>IFERROR(__xludf.DUMMYFUNCTION("""COMPUTED_VALUE"""),410.9)</f>
        <v>410.9</v>
      </c>
      <c r="D368" s="6">
        <f>IFERROR(__xludf.DUMMYFUNCTION("""COMPUTED_VALUE"""),402.0)</f>
        <v>402</v>
      </c>
      <c r="E368" s="6">
        <f>IFERROR(__xludf.DUMMYFUNCTION("""COMPUTED_VALUE"""),403.8)</f>
        <v>403.8</v>
      </c>
      <c r="F368" s="7">
        <f>IFERROR(__xludf.DUMMYFUNCTION("""COMPUTED_VALUE"""),7589295.0)</f>
        <v>7589295</v>
      </c>
      <c r="G368" s="7" t="str">
        <f>IFERROR(__xludf.DUMMYFUNCTION("""COMPUTED_VALUE"""),"NTPC.NS")</f>
        <v>NTPC.NS</v>
      </c>
      <c r="H368" s="8">
        <f t="shared" si="1"/>
        <v>-0.01727914334</v>
      </c>
      <c r="I368" s="8">
        <f t="shared" si="2"/>
        <v>0.01727914334</v>
      </c>
      <c r="J368" s="7" t="str">
        <f t="shared" si="3"/>
        <v>Nov-2024</v>
      </c>
      <c r="K368" s="9">
        <f t="shared" si="4"/>
        <v>45597</v>
      </c>
      <c r="L368" s="7" t="str">
        <f t="shared" si="5"/>
        <v/>
      </c>
      <c r="M368" s="7" t="str">
        <f>IFERROR(__xludf.DUMMYFUNCTION("IFERROR(
  IF(
    F368 &gt;
    3*AVERAGE(
       FILTER($F$2:$F10491,
         $G$2:$G10491=G368,
         $A$2:$A10491&gt;=A368-20,
         $A$2:$A10491&lt;=A368
       )
    ),
    ""VOL_SPIKE_3X"",""""
  ),
"""")
"),"")</f>
        <v/>
      </c>
      <c r="N368" s="7" t="str">
        <f t="shared" si="6"/>
        <v/>
      </c>
      <c r="O368" s="7" t="str">
        <f t="shared" si="7"/>
        <v/>
      </c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>
        <f>IFERROR(__xludf.DUMMYFUNCTION("""COMPUTED_VALUE"""),45603.0)</f>
        <v>45603</v>
      </c>
      <c r="B369" s="6">
        <f>IFERROR(__xludf.DUMMYFUNCTION("""COMPUTED_VALUE"""),270.5)</f>
        <v>270.5</v>
      </c>
      <c r="C369" s="6">
        <f>IFERROR(__xludf.DUMMYFUNCTION("""COMPUTED_VALUE"""),270.5)</f>
        <v>270.5</v>
      </c>
      <c r="D369" s="6">
        <f>IFERROR(__xludf.DUMMYFUNCTION("""COMPUTED_VALUE"""),264.8)</f>
        <v>264.8</v>
      </c>
      <c r="E369" s="6">
        <f>IFERROR(__xludf.DUMMYFUNCTION("""COMPUTED_VALUE"""),265.2)</f>
        <v>265.2</v>
      </c>
      <c r="F369" s="7">
        <f>IFERROR(__xludf.DUMMYFUNCTION("""COMPUTED_VALUE"""),6766663.0)</f>
        <v>6766663</v>
      </c>
      <c r="G369" s="7" t="str">
        <f>IFERROR(__xludf.DUMMYFUNCTION("""COMPUTED_VALUE"""),"ONGC.NS")</f>
        <v>ONGC.NS</v>
      </c>
      <c r="H369" s="8">
        <f t="shared" si="1"/>
        <v>-0.01959334566</v>
      </c>
      <c r="I369" s="8">
        <f t="shared" si="2"/>
        <v>0.01959334566</v>
      </c>
      <c r="J369" s="7" t="str">
        <f t="shared" si="3"/>
        <v>Nov-2024</v>
      </c>
      <c r="K369" s="9">
        <f t="shared" si="4"/>
        <v>45597</v>
      </c>
      <c r="L369" s="7" t="str">
        <f t="shared" si="5"/>
        <v/>
      </c>
      <c r="M369" s="7" t="str">
        <f>IFERROR(__xludf.DUMMYFUNCTION("IFERROR(
  IF(
    F369 &gt;
    3*AVERAGE(
       FILTER($F$2:$F10491,
         $G$2:$G10491=G369,
         $A$2:$A10491&gt;=A369-20,
         $A$2:$A10491&lt;=A369
       )
    ),
    ""VOL_SPIKE_3X"",""""
  ),
"""")
"),"")</f>
        <v/>
      </c>
      <c r="N369" s="7" t="str">
        <f t="shared" si="6"/>
        <v/>
      </c>
      <c r="O369" s="7" t="str">
        <f t="shared" si="7"/>
        <v/>
      </c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>
        <f>IFERROR(__xludf.DUMMYFUNCTION("""COMPUTED_VALUE"""),45603.0)</f>
        <v>45603</v>
      </c>
      <c r="B370" s="6">
        <f>IFERROR(__xludf.DUMMYFUNCTION("""COMPUTED_VALUE"""),319.0)</f>
        <v>319</v>
      </c>
      <c r="C370" s="6">
        <f>IFERROR(__xludf.DUMMYFUNCTION("""COMPUTED_VALUE"""),319.0)</f>
        <v>319</v>
      </c>
      <c r="D370" s="6">
        <f>IFERROR(__xludf.DUMMYFUNCTION("""COMPUTED_VALUE"""),311.7)</f>
        <v>311.7</v>
      </c>
      <c r="E370" s="6">
        <f>IFERROR(__xludf.DUMMYFUNCTION("""COMPUTED_VALUE"""),312.95)</f>
        <v>312.95</v>
      </c>
      <c r="F370" s="7">
        <f>IFERROR(__xludf.DUMMYFUNCTION("""COMPUTED_VALUE"""),1.4504208E7)</f>
        <v>14504208</v>
      </c>
      <c r="G370" s="7" t="str">
        <f>IFERROR(__xludf.DUMMYFUNCTION("""COMPUTED_VALUE"""),"POWERGRID.NS")</f>
        <v>POWERGRID.NS</v>
      </c>
      <c r="H370" s="8">
        <f t="shared" si="1"/>
        <v>-0.01896551724</v>
      </c>
      <c r="I370" s="8">
        <f t="shared" si="2"/>
        <v>0.01896551724</v>
      </c>
      <c r="J370" s="7" t="str">
        <f t="shared" si="3"/>
        <v>Nov-2024</v>
      </c>
      <c r="K370" s="9">
        <f t="shared" si="4"/>
        <v>45597</v>
      </c>
      <c r="L370" s="7" t="str">
        <f t="shared" si="5"/>
        <v/>
      </c>
      <c r="M370" s="7" t="str">
        <f>IFERROR(__xludf.DUMMYFUNCTION("IFERROR(
  IF(
    F370 &gt;
    3*AVERAGE(
       FILTER($F$2:$F10491,
         $G$2:$G10491=G370,
         $A$2:$A10491&gt;=A370-20,
         $A$2:$A10491&lt;=A370
       )
    ),
    ""VOL_SPIKE_3X"",""""
  ),
"""")
"),"")</f>
        <v/>
      </c>
      <c r="N370" s="7" t="str">
        <f t="shared" si="6"/>
        <v/>
      </c>
      <c r="O370" s="7" t="str">
        <f t="shared" si="7"/>
        <v/>
      </c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>
        <f>IFERROR(__xludf.DUMMYFUNCTION("""COMPUTED_VALUE"""),45603.0)</f>
        <v>45603</v>
      </c>
      <c r="B371" s="6">
        <f>IFERROR(__xludf.DUMMYFUNCTION("""COMPUTED_VALUE"""),1324.0)</f>
        <v>1324</v>
      </c>
      <c r="C371" s="6">
        <f>IFERROR(__xludf.DUMMYFUNCTION("""COMPUTED_VALUE"""),1324.0)</f>
        <v>1324</v>
      </c>
      <c r="D371" s="6">
        <f>IFERROR(__xludf.DUMMYFUNCTION("""COMPUTED_VALUE"""),1302.6)</f>
        <v>1302.6</v>
      </c>
      <c r="E371" s="6">
        <f>IFERROR(__xludf.DUMMYFUNCTION("""COMPUTED_VALUE"""),1305.65)</f>
        <v>1305.65</v>
      </c>
      <c r="F371" s="7">
        <f>IFERROR(__xludf.DUMMYFUNCTION("""COMPUTED_VALUE"""),9611974.0)</f>
        <v>9611974</v>
      </c>
      <c r="G371" s="7" t="str">
        <f>IFERROR(__xludf.DUMMYFUNCTION("""COMPUTED_VALUE"""),"RELIANCE.NS")</f>
        <v>RELIANCE.NS</v>
      </c>
      <c r="H371" s="8">
        <f t="shared" si="1"/>
        <v>-0.01385951662</v>
      </c>
      <c r="I371" s="8">
        <f t="shared" si="2"/>
        <v>0.01385951662</v>
      </c>
      <c r="J371" s="7" t="str">
        <f t="shared" si="3"/>
        <v>Nov-2024</v>
      </c>
      <c r="K371" s="9">
        <f t="shared" si="4"/>
        <v>45597</v>
      </c>
      <c r="L371" s="7" t="str">
        <f t="shared" si="5"/>
        <v/>
      </c>
      <c r="M371" s="7" t="str">
        <f>IFERROR(__xludf.DUMMYFUNCTION("IFERROR(
  IF(
    F371 &gt;
    3*AVERAGE(
       FILTER($F$2:$F10491,
         $G$2:$G10491=G371,
         $A$2:$A10491&gt;=A371-20,
         $A$2:$A10491&lt;=A371
       )
    ),
    ""VOL_SPIKE_3X"",""""
  ),
"""")
"),"")</f>
        <v/>
      </c>
      <c r="N371" s="7" t="str">
        <f t="shared" si="6"/>
        <v/>
      </c>
      <c r="O371" s="7" t="str">
        <f t="shared" si="7"/>
        <v/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>
        <f>IFERROR(__xludf.DUMMYFUNCTION("""COMPUTED_VALUE"""),45604.0)</f>
        <v>45604</v>
      </c>
      <c r="B372" s="6">
        <f>IFERROR(__xludf.DUMMYFUNCTION("""COMPUTED_VALUE"""),965.0)</f>
        <v>965</v>
      </c>
      <c r="C372" s="6">
        <f>IFERROR(__xludf.DUMMYFUNCTION("""COMPUTED_VALUE"""),973.85)</f>
        <v>973.85</v>
      </c>
      <c r="D372" s="6">
        <f>IFERROR(__xludf.DUMMYFUNCTION("""COMPUTED_VALUE"""),934.0)</f>
        <v>934</v>
      </c>
      <c r="E372" s="6">
        <f>IFERROR(__xludf.DUMMYFUNCTION("""COMPUTED_VALUE"""),936.25)</f>
        <v>936.25</v>
      </c>
      <c r="F372" s="7">
        <f>IFERROR(__xludf.DUMMYFUNCTION("""COMPUTED_VALUE"""),2473648.0)</f>
        <v>2473648</v>
      </c>
      <c r="G372" s="7" t="str">
        <f>IFERROR(__xludf.DUMMYFUNCTION("""COMPUTED_VALUE"""),"ADANIENSOL.NS")</f>
        <v>ADANIENSOL.NS</v>
      </c>
      <c r="H372" s="8">
        <f t="shared" si="1"/>
        <v>-0.02979274611</v>
      </c>
      <c r="I372" s="8">
        <f t="shared" si="2"/>
        <v>0.02979274611</v>
      </c>
      <c r="J372" s="7" t="str">
        <f t="shared" si="3"/>
        <v>Nov-2024</v>
      </c>
      <c r="K372" s="9">
        <f t="shared" si="4"/>
        <v>45597</v>
      </c>
      <c r="L372" s="7" t="str">
        <f t="shared" si="5"/>
        <v/>
      </c>
      <c r="M372" s="7" t="str">
        <f>IFERROR(__xludf.DUMMYFUNCTION("IFERROR(
  IF(
    F372 &gt;
    3*AVERAGE(
       FILTER($F$2:$F10491,
         $G$2:$G10491=G372,
         $A$2:$A10491&gt;=A372-20,
         $A$2:$A10491&lt;=A372
       )
    ),
    ""VOL_SPIKE_3X"",""""
  ),
"""")
"),"")</f>
        <v/>
      </c>
      <c r="N372" s="7" t="str">
        <f t="shared" si="6"/>
        <v/>
      </c>
      <c r="O372" s="7" t="str">
        <f t="shared" si="7"/>
        <v/>
      </c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>
        <f>IFERROR(__xludf.DUMMYFUNCTION("""COMPUTED_VALUE"""),45604.0)</f>
        <v>45604</v>
      </c>
      <c r="B373" s="6">
        <f>IFERROR(__xludf.DUMMYFUNCTION("""COMPUTED_VALUE"""),1640.05)</f>
        <v>1640.05</v>
      </c>
      <c r="C373" s="6">
        <f>IFERROR(__xludf.DUMMYFUNCTION("""COMPUTED_VALUE"""),1645.0)</f>
        <v>1645</v>
      </c>
      <c r="D373" s="6">
        <f>IFERROR(__xludf.DUMMYFUNCTION("""COMPUTED_VALUE"""),1581.4)</f>
        <v>1581.4</v>
      </c>
      <c r="E373" s="6">
        <f>IFERROR(__xludf.DUMMYFUNCTION("""COMPUTED_VALUE"""),1598.55)</f>
        <v>1598.55</v>
      </c>
      <c r="F373" s="7">
        <f>IFERROR(__xludf.DUMMYFUNCTION("""COMPUTED_VALUE"""),546531.0)</f>
        <v>546531</v>
      </c>
      <c r="G373" s="7" t="str">
        <f>IFERROR(__xludf.DUMMYFUNCTION("""COMPUTED_VALUE"""),"ADANIGREEN.NS")</f>
        <v>ADANIGREEN.NS</v>
      </c>
      <c r="H373" s="8">
        <f t="shared" si="1"/>
        <v>-0.02530410658</v>
      </c>
      <c r="I373" s="8">
        <f t="shared" si="2"/>
        <v>0.02530410658</v>
      </c>
      <c r="J373" s="7" t="str">
        <f t="shared" si="3"/>
        <v>Nov-2024</v>
      </c>
      <c r="K373" s="9">
        <f t="shared" si="4"/>
        <v>45597</v>
      </c>
      <c r="L373" s="7" t="str">
        <f t="shared" si="5"/>
        <v/>
      </c>
      <c r="M373" s="7" t="str">
        <f>IFERROR(__xludf.DUMMYFUNCTION("IFERROR(
  IF(
    F373 &gt;
    3*AVERAGE(
       FILTER($F$2:$F10491,
         $G$2:$G10491=G373,
         $A$2:$A10491&gt;=A373-20,
         $A$2:$A10491&lt;=A373
       )
    ),
    ""VOL_SPIKE_3X"",""""
  ),
"""")
"),"")</f>
        <v/>
      </c>
      <c r="N373" s="7" t="str">
        <f t="shared" si="6"/>
        <v/>
      </c>
      <c r="O373" s="7" t="str">
        <f t="shared" si="7"/>
        <v/>
      </c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>
        <f>IFERROR(__xludf.DUMMYFUNCTION("""COMPUTED_VALUE"""),45604.0)</f>
        <v>45604</v>
      </c>
      <c r="B374" s="6">
        <f>IFERROR(__xludf.DUMMYFUNCTION("""COMPUTED_VALUE"""),315.0)</f>
        <v>315</v>
      </c>
      <c r="C374" s="6">
        <f>IFERROR(__xludf.DUMMYFUNCTION("""COMPUTED_VALUE"""),315.1)</f>
        <v>315.1</v>
      </c>
      <c r="D374" s="6">
        <f>IFERROR(__xludf.DUMMYFUNCTION("""COMPUTED_VALUE"""),306.8)</f>
        <v>306.8</v>
      </c>
      <c r="E374" s="6">
        <f>IFERROR(__xludf.DUMMYFUNCTION("""COMPUTED_VALUE"""),310.45)</f>
        <v>310.45</v>
      </c>
      <c r="F374" s="7">
        <f>IFERROR(__xludf.DUMMYFUNCTION("""COMPUTED_VALUE"""),9304376.0)</f>
        <v>9304376</v>
      </c>
      <c r="G374" s="7" t="str">
        <f>IFERROR(__xludf.DUMMYFUNCTION("""COMPUTED_VALUE"""),"BPCL.NS")</f>
        <v>BPCL.NS</v>
      </c>
      <c r="H374" s="8">
        <f t="shared" si="1"/>
        <v>-0.01444444444</v>
      </c>
      <c r="I374" s="8">
        <f t="shared" si="2"/>
        <v>0.01444444444</v>
      </c>
      <c r="J374" s="7" t="str">
        <f t="shared" si="3"/>
        <v>Nov-2024</v>
      </c>
      <c r="K374" s="9">
        <f t="shared" si="4"/>
        <v>45597</v>
      </c>
      <c r="L374" s="7" t="str">
        <f t="shared" si="5"/>
        <v/>
      </c>
      <c r="M374" s="7" t="str">
        <f>IFERROR(__xludf.DUMMYFUNCTION("IFERROR(
  IF(
    F374 &gt;
    3*AVERAGE(
       FILTER($F$2:$F10491,
         $G$2:$G10491=G374,
         $A$2:$A10491&gt;=A374-20,
         $A$2:$A10491&lt;=A374
       )
    ),
    ""VOL_SPIKE_3X"",""""
  ),
"""")
"),"")</f>
        <v/>
      </c>
      <c r="N374" s="7" t="str">
        <f t="shared" si="6"/>
        <v/>
      </c>
      <c r="O374" s="7" t="str">
        <f t="shared" si="7"/>
        <v/>
      </c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>
        <f>IFERROR(__xludf.DUMMYFUNCTION("""COMPUTED_VALUE"""),45604.0)</f>
        <v>45604</v>
      </c>
      <c r="B375" s="6">
        <f>IFERROR(__xludf.DUMMYFUNCTION("""COMPUTED_VALUE"""),435.35)</f>
        <v>435.35</v>
      </c>
      <c r="C375" s="6">
        <f>IFERROR(__xludf.DUMMYFUNCTION("""COMPUTED_VALUE"""),436.0)</f>
        <v>436</v>
      </c>
      <c r="D375" s="6">
        <f>IFERROR(__xludf.DUMMYFUNCTION("""COMPUTED_VALUE"""),421.25)</f>
        <v>421.25</v>
      </c>
      <c r="E375" s="6">
        <f>IFERROR(__xludf.DUMMYFUNCTION("""COMPUTED_VALUE"""),424.05)</f>
        <v>424.05</v>
      </c>
      <c r="F375" s="7">
        <f>IFERROR(__xludf.DUMMYFUNCTION("""COMPUTED_VALUE"""),9934413.0)</f>
        <v>9934413</v>
      </c>
      <c r="G375" s="7" t="str">
        <f>IFERROR(__xludf.DUMMYFUNCTION("""COMPUTED_VALUE"""),"COALINDIA.NS")</f>
        <v>COALINDIA.NS</v>
      </c>
      <c r="H375" s="8">
        <f t="shared" si="1"/>
        <v>-0.02595612725</v>
      </c>
      <c r="I375" s="8">
        <f t="shared" si="2"/>
        <v>0.02595612725</v>
      </c>
      <c r="J375" s="7" t="str">
        <f t="shared" si="3"/>
        <v>Nov-2024</v>
      </c>
      <c r="K375" s="9">
        <f t="shared" si="4"/>
        <v>45597</v>
      </c>
      <c r="L375" s="7" t="str">
        <f t="shared" si="5"/>
        <v/>
      </c>
      <c r="M375" s="7" t="str">
        <f>IFERROR(__xludf.DUMMYFUNCTION("IFERROR(
  IF(
    F375 &gt;
    3*AVERAGE(
       FILTER($F$2:$F10491,
         $G$2:$G10491=G375,
         $A$2:$A10491&gt;=A375-20,
         $A$2:$A10491&lt;=A375
       )
    ),
    ""VOL_SPIKE_3X"",""""
  ),
"""")
"),"")</f>
        <v/>
      </c>
      <c r="N375" s="7" t="str">
        <f t="shared" si="6"/>
        <v/>
      </c>
      <c r="O375" s="7" t="str">
        <f t="shared" si="7"/>
        <v/>
      </c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>
        <f>IFERROR(__xludf.DUMMYFUNCTION("""COMPUTED_VALUE"""),45604.0)</f>
        <v>45604</v>
      </c>
      <c r="B376" s="6">
        <f>IFERROR(__xludf.DUMMYFUNCTION("""COMPUTED_VALUE"""),395.85)</f>
        <v>395.85</v>
      </c>
      <c r="C376" s="6">
        <f>IFERROR(__xludf.DUMMYFUNCTION("""COMPUTED_VALUE"""),395.85)</f>
        <v>395.85</v>
      </c>
      <c r="D376" s="6">
        <f>IFERROR(__xludf.DUMMYFUNCTION("""COMPUTED_VALUE"""),380.3)</f>
        <v>380.3</v>
      </c>
      <c r="E376" s="6">
        <f>IFERROR(__xludf.DUMMYFUNCTION("""COMPUTED_VALUE"""),383.05)</f>
        <v>383.05</v>
      </c>
      <c r="F376" s="7">
        <f>IFERROR(__xludf.DUMMYFUNCTION("""COMPUTED_VALUE"""),5067482.0)</f>
        <v>5067482</v>
      </c>
      <c r="G376" s="7" t="str">
        <f>IFERROR(__xludf.DUMMYFUNCTION("""COMPUTED_VALUE"""),"HINDPETRO.NS")</f>
        <v>HINDPETRO.NS</v>
      </c>
      <c r="H376" s="8">
        <f t="shared" si="1"/>
        <v>-0.03233548061</v>
      </c>
      <c r="I376" s="8">
        <f t="shared" si="2"/>
        <v>0.03233548061</v>
      </c>
      <c r="J376" s="7" t="str">
        <f t="shared" si="3"/>
        <v>Nov-2024</v>
      </c>
      <c r="K376" s="9">
        <f t="shared" si="4"/>
        <v>45597</v>
      </c>
      <c r="L376" s="7" t="str">
        <f t="shared" si="5"/>
        <v/>
      </c>
      <c r="M376" s="7" t="str">
        <f>IFERROR(__xludf.DUMMYFUNCTION("IFERROR(
  IF(
    F376 &gt;
    3*AVERAGE(
       FILTER($F$2:$F10491,
         $G$2:$G10491=G376,
         $A$2:$A10491&gt;=A376-20,
         $A$2:$A10491&lt;=A376
       )
    ),
    ""VOL_SPIKE_3X"",""""
  ),
"""")
"),"")</f>
        <v/>
      </c>
      <c r="N376" s="7" t="str">
        <f t="shared" si="6"/>
        <v/>
      </c>
      <c r="O376" s="7" t="str">
        <f t="shared" si="7"/>
        <v/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>
        <f>IFERROR(__xludf.DUMMYFUNCTION("""COMPUTED_VALUE"""),45604.0)</f>
        <v>45604</v>
      </c>
      <c r="B377" s="6">
        <f>IFERROR(__xludf.DUMMYFUNCTION("""COMPUTED_VALUE"""),143.81)</f>
        <v>143.81</v>
      </c>
      <c r="C377" s="6">
        <f>IFERROR(__xludf.DUMMYFUNCTION("""COMPUTED_VALUE"""),144.39)</f>
        <v>144.39</v>
      </c>
      <c r="D377" s="6">
        <f>IFERROR(__xludf.DUMMYFUNCTION("""COMPUTED_VALUE"""),140.0)</f>
        <v>140</v>
      </c>
      <c r="E377" s="6">
        <f>IFERROR(__xludf.DUMMYFUNCTION("""COMPUTED_VALUE"""),140.34)</f>
        <v>140.34</v>
      </c>
      <c r="F377" s="7">
        <f>IFERROR(__xludf.DUMMYFUNCTION("""COMPUTED_VALUE"""),1.5316464E7)</f>
        <v>15316464</v>
      </c>
      <c r="G377" s="7" t="str">
        <f>IFERROR(__xludf.DUMMYFUNCTION("""COMPUTED_VALUE"""),"IOC.NS")</f>
        <v>IOC.NS</v>
      </c>
      <c r="H377" s="8">
        <f t="shared" si="1"/>
        <v>-0.02412905918</v>
      </c>
      <c r="I377" s="8">
        <f t="shared" si="2"/>
        <v>0.02412905918</v>
      </c>
      <c r="J377" s="7" t="str">
        <f t="shared" si="3"/>
        <v>Nov-2024</v>
      </c>
      <c r="K377" s="9">
        <f t="shared" si="4"/>
        <v>45597</v>
      </c>
      <c r="L377" s="7" t="str">
        <f t="shared" si="5"/>
        <v/>
      </c>
      <c r="M377" s="7" t="str">
        <f>IFERROR(__xludf.DUMMYFUNCTION("IFERROR(
  IF(
    F377 &gt;
    3*AVERAGE(
       FILTER($F$2:$F10491,
         $G$2:$G10491=G377,
         $A$2:$A10491&gt;=A377-20,
         $A$2:$A10491&lt;=A377
       )
    ),
    ""VOL_SPIKE_3X"",""""
  ),
"""")
"),"")</f>
        <v/>
      </c>
      <c r="N377" s="7" t="str">
        <f t="shared" si="6"/>
        <v/>
      </c>
      <c r="O377" s="7" t="str">
        <f t="shared" si="7"/>
        <v/>
      </c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>
        <f>IFERROR(__xludf.DUMMYFUNCTION("""COMPUTED_VALUE"""),45604.0)</f>
        <v>45604</v>
      </c>
      <c r="B378" s="6">
        <f>IFERROR(__xludf.DUMMYFUNCTION("""COMPUTED_VALUE"""),403.15)</f>
        <v>403.15</v>
      </c>
      <c r="C378" s="6">
        <f>IFERROR(__xludf.DUMMYFUNCTION("""COMPUTED_VALUE"""),404.2)</f>
        <v>404.2</v>
      </c>
      <c r="D378" s="6">
        <f>IFERROR(__xludf.DUMMYFUNCTION("""COMPUTED_VALUE"""),395.55)</f>
        <v>395.55</v>
      </c>
      <c r="E378" s="6">
        <f>IFERROR(__xludf.DUMMYFUNCTION("""COMPUTED_VALUE"""),397.65)</f>
        <v>397.65</v>
      </c>
      <c r="F378" s="7">
        <f>IFERROR(__xludf.DUMMYFUNCTION("""COMPUTED_VALUE"""),7536509.0)</f>
        <v>7536509</v>
      </c>
      <c r="G378" s="7" t="str">
        <f>IFERROR(__xludf.DUMMYFUNCTION("""COMPUTED_VALUE"""),"NTPC.NS")</f>
        <v>NTPC.NS</v>
      </c>
      <c r="H378" s="8">
        <f t="shared" si="1"/>
        <v>-0.0136425648</v>
      </c>
      <c r="I378" s="8">
        <f t="shared" si="2"/>
        <v>0.0136425648</v>
      </c>
      <c r="J378" s="7" t="str">
        <f t="shared" si="3"/>
        <v>Nov-2024</v>
      </c>
      <c r="K378" s="9">
        <f t="shared" si="4"/>
        <v>45597</v>
      </c>
      <c r="L378" s="7" t="str">
        <f t="shared" si="5"/>
        <v/>
      </c>
      <c r="M378" s="7" t="str">
        <f>IFERROR(__xludf.DUMMYFUNCTION("IFERROR(
  IF(
    F378 &gt;
    3*AVERAGE(
       FILTER($F$2:$F10491,
         $G$2:$G10491=G378,
         $A$2:$A10491&gt;=A378-20,
         $A$2:$A10491&lt;=A378
       )
    ),
    ""VOL_SPIKE_3X"",""""
  ),
"""")
"),"")</f>
        <v/>
      </c>
      <c r="N378" s="7" t="str">
        <f t="shared" si="6"/>
        <v/>
      </c>
      <c r="O378" s="7" t="str">
        <f t="shared" si="7"/>
        <v/>
      </c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>
        <f>IFERROR(__xludf.DUMMYFUNCTION("""COMPUTED_VALUE"""),45604.0)</f>
        <v>45604</v>
      </c>
      <c r="B379" s="6">
        <f>IFERROR(__xludf.DUMMYFUNCTION("""COMPUTED_VALUE"""),265.95)</f>
        <v>265.95</v>
      </c>
      <c r="C379" s="6">
        <f>IFERROR(__xludf.DUMMYFUNCTION("""COMPUTED_VALUE"""),266.5)</f>
        <v>266.5</v>
      </c>
      <c r="D379" s="6">
        <f>IFERROR(__xludf.DUMMYFUNCTION("""COMPUTED_VALUE"""),259.65)</f>
        <v>259.65</v>
      </c>
      <c r="E379" s="6">
        <f>IFERROR(__xludf.DUMMYFUNCTION("""COMPUTED_VALUE"""),262.55)</f>
        <v>262.55</v>
      </c>
      <c r="F379" s="7">
        <f>IFERROR(__xludf.DUMMYFUNCTION("""COMPUTED_VALUE"""),7836093.0)</f>
        <v>7836093</v>
      </c>
      <c r="G379" s="7" t="str">
        <f>IFERROR(__xludf.DUMMYFUNCTION("""COMPUTED_VALUE"""),"ONGC.NS")</f>
        <v>ONGC.NS</v>
      </c>
      <c r="H379" s="8">
        <f t="shared" si="1"/>
        <v>-0.01278435796</v>
      </c>
      <c r="I379" s="8">
        <f t="shared" si="2"/>
        <v>0.01278435796</v>
      </c>
      <c r="J379" s="7" t="str">
        <f t="shared" si="3"/>
        <v>Nov-2024</v>
      </c>
      <c r="K379" s="9">
        <f t="shared" si="4"/>
        <v>45597</v>
      </c>
      <c r="L379" s="7" t="str">
        <f t="shared" si="5"/>
        <v/>
      </c>
      <c r="M379" s="7" t="str">
        <f>IFERROR(__xludf.DUMMYFUNCTION("IFERROR(
  IF(
    F379 &gt;
    3*AVERAGE(
       FILTER($F$2:$F10491,
         $G$2:$G10491=G379,
         $A$2:$A10491&gt;=A379-20,
         $A$2:$A10491&lt;=A379
       )
    ),
    ""VOL_SPIKE_3X"",""""
  ),
"""")
"),"")</f>
        <v/>
      </c>
      <c r="N379" s="7" t="str">
        <f t="shared" si="6"/>
        <v/>
      </c>
      <c r="O379" s="7" t="str">
        <f t="shared" si="7"/>
        <v/>
      </c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>
        <f>IFERROR(__xludf.DUMMYFUNCTION("""COMPUTED_VALUE"""),45604.0)</f>
        <v>45604</v>
      </c>
      <c r="B380" s="6">
        <f>IFERROR(__xludf.DUMMYFUNCTION("""COMPUTED_VALUE"""),311.85)</f>
        <v>311.85</v>
      </c>
      <c r="C380" s="6">
        <f>IFERROR(__xludf.DUMMYFUNCTION("""COMPUTED_VALUE"""),317.55)</f>
        <v>317.55</v>
      </c>
      <c r="D380" s="6">
        <f>IFERROR(__xludf.DUMMYFUNCTION("""COMPUTED_VALUE"""),308.7)</f>
        <v>308.7</v>
      </c>
      <c r="E380" s="6">
        <f>IFERROR(__xludf.DUMMYFUNCTION("""COMPUTED_VALUE"""),316.25)</f>
        <v>316.25</v>
      </c>
      <c r="F380" s="7">
        <f>IFERROR(__xludf.DUMMYFUNCTION("""COMPUTED_VALUE"""),1.5740539E7)</f>
        <v>15740539</v>
      </c>
      <c r="G380" s="7" t="str">
        <f>IFERROR(__xludf.DUMMYFUNCTION("""COMPUTED_VALUE"""),"POWERGRID.NS")</f>
        <v>POWERGRID.NS</v>
      </c>
      <c r="H380" s="8">
        <f t="shared" si="1"/>
        <v>0.01410934744</v>
      </c>
      <c r="I380" s="8">
        <f t="shared" si="2"/>
        <v>0.01410934744</v>
      </c>
      <c r="J380" s="7" t="str">
        <f t="shared" si="3"/>
        <v>Nov-2024</v>
      </c>
      <c r="K380" s="9">
        <f t="shared" si="4"/>
        <v>45597</v>
      </c>
      <c r="L380" s="7" t="str">
        <f t="shared" si="5"/>
        <v/>
      </c>
      <c r="M380" s="7" t="str">
        <f>IFERROR(__xludf.DUMMYFUNCTION("IFERROR(
  IF(
    F380 &gt;
    3*AVERAGE(
       FILTER($F$2:$F10491,
         $G$2:$G10491=G380,
         $A$2:$A10491&gt;=A380-20,
         $A$2:$A10491&lt;=A380
       )
    ),
    ""VOL_SPIKE_3X"",""""
  ),
"""")
"),"")</f>
        <v/>
      </c>
      <c r="N380" s="7" t="str">
        <f t="shared" si="6"/>
        <v/>
      </c>
      <c r="O380" s="7" t="str">
        <f t="shared" si="7"/>
        <v/>
      </c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>
        <f>IFERROR(__xludf.DUMMYFUNCTION("""COMPUTED_VALUE"""),45604.0)</f>
        <v>45604</v>
      </c>
      <c r="B381" s="6">
        <f>IFERROR(__xludf.DUMMYFUNCTION("""COMPUTED_VALUE"""),1297.65)</f>
        <v>1297.65</v>
      </c>
      <c r="C381" s="6">
        <f>IFERROR(__xludf.DUMMYFUNCTION("""COMPUTED_VALUE"""),1301.65)</f>
        <v>1301.65</v>
      </c>
      <c r="D381" s="6">
        <f>IFERROR(__xludf.DUMMYFUNCTION("""COMPUTED_VALUE"""),1275.0)</f>
        <v>1275</v>
      </c>
      <c r="E381" s="6">
        <f>IFERROR(__xludf.DUMMYFUNCTION("""COMPUTED_VALUE"""),1283.75)</f>
        <v>1283.75</v>
      </c>
      <c r="F381" s="7">
        <f>IFERROR(__xludf.DUMMYFUNCTION("""COMPUTED_VALUE"""),1.9814406E7)</f>
        <v>19814406</v>
      </c>
      <c r="G381" s="7" t="str">
        <f>IFERROR(__xludf.DUMMYFUNCTION("""COMPUTED_VALUE"""),"RELIANCE.NS")</f>
        <v>RELIANCE.NS</v>
      </c>
      <c r="H381" s="8">
        <f t="shared" si="1"/>
        <v>-0.0107116711</v>
      </c>
      <c r="I381" s="8">
        <f t="shared" si="2"/>
        <v>0.0107116711</v>
      </c>
      <c r="J381" s="7" t="str">
        <f t="shared" si="3"/>
        <v>Nov-2024</v>
      </c>
      <c r="K381" s="9">
        <f t="shared" si="4"/>
        <v>45597</v>
      </c>
      <c r="L381" s="7" t="str">
        <f t="shared" si="5"/>
        <v/>
      </c>
      <c r="M381" s="7" t="str">
        <f>IFERROR(__xludf.DUMMYFUNCTION("IFERROR(
  IF(
    F381 &gt;
    3*AVERAGE(
       FILTER($F$2:$F10491,
         $G$2:$G10491=G381,
         $A$2:$A10491&gt;=A381-20,
         $A$2:$A10491&lt;=A381
       )
    ),
    ""VOL_SPIKE_3X"",""""
  ),
"""")
"),"")</f>
        <v/>
      </c>
      <c r="N381" s="7" t="str">
        <f t="shared" si="6"/>
        <v/>
      </c>
      <c r="O381" s="7" t="str">
        <f t="shared" si="7"/>
        <v/>
      </c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>
        <f>IFERROR(__xludf.DUMMYFUNCTION("""COMPUTED_VALUE"""),45607.0)</f>
        <v>45607</v>
      </c>
      <c r="B382" s="6">
        <f>IFERROR(__xludf.DUMMYFUNCTION("""COMPUTED_VALUE"""),936.25)</f>
        <v>936.25</v>
      </c>
      <c r="C382" s="6">
        <f>IFERROR(__xludf.DUMMYFUNCTION("""COMPUTED_VALUE"""),937.05)</f>
        <v>937.05</v>
      </c>
      <c r="D382" s="6">
        <f>IFERROR(__xludf.DUMMYFUNCTION("""COMPUTED_VALUE"""),897.0)</f>
        <v>897</v>
      </c>
      <c r="E382" s="6">
        <f>IFERROR(__xludf.DUMMYFUNCTION("""COMPUTED_VALUE"""),901.95)</f>
        <v>901.95</v>
      </c>
      <c r="F382" s="7">
        <f>IFERROR(__xludf.DUMMYFUNCTION("""COMPUTED_VALUE"""),3421527.0)</f>
        <v>3421527</v>
      </c>
      <c r="G382" s="7" t="str">
        <f>IFERROR(__xludf.DUMMYFUNCTION("""COMPUTED_VALUE"""),"ADANIENSOL.NS")</f>
        <v>ADANIENSOL.NS</v>
      </c>
      <c r="H382" s="8">
        <f t="shared" si="1"/>
        <v>-0.03663551402</v>
      </c>
      <c r="I382" s="8">
        <f t="shared" si="2"/>
        <v>0.03663551402</v>
      </c>
      <c r="J382" s="7" t="str">
        <f t="shared" si="3"/>
        <v>Nov-2024</v>
      </c>
      <c r="K382" s="9">
        <f t="shared" si="4"/>
        <v>45597</v>
      </c>
      <c r="L382" s="7" t="str">
        <f t="shared" si="5"/>
        <v/>
      </c>
      <c r="M382" s="7" t="str">
        <f>IFERROR(__xludf.DUMMYFUNCTION("IFERROR(
  IF(
    F382 &gt;
    3*AVERAGE(
       FILTER($F$2:$F10491,
         $G$2:$G10491=G382,
         $A$2:$A10491&gt;=A382-20,
         $A$2:$A10491&lt;=A382
       )
    ),
    ""VOL_SPIKE_3X"",""""
  ),
"""")
"),"")</f>
        <v/>
      </c>
      <c r="N382" s="7" t="str">
        <f t="shared" si="6"/>
        <v/>
      </c>
      <c r="O382" s="7" t="str">
        <f t="shared" si="7"/>
        <v/>
      </c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>
        <f>IFERROR(__xludf.DUMMYFUNCTION("""COMPUTED_VALUE"""),45607.0)</f>
        <v>45607</v>
      </c>
      <c r="B383" s="6">
        <f>IFERROR(__xludf.DUMMYFUNCTION("""COMPUTED_VALUE"""),1590.1)</f>
        <v>1590.1</v>
      </c>
      <c r="C383" s="6">
        <f>IFERROR(__xludf.DUMMYFUNCTION("""COMPUTED_VALUE"""),1599.55)</f>
        <v>1599.55</v>
      </c>
      <c r="D383" s="6">
        <f>IFERROR(__xludf.DUMMYFUNCTION("""COMPUTED_VALUE"""),1550.3)</f>
        <v>1550.3</v>
      </c>
      <c r="E383" s="6">
        <f>IFERROR(__xludf.DUMMYFUNCTION("""COMPUTED_VALUE"""),1557.4)</f>
        <v>1557.4</v>
      </c>
      <c r="F383" s="7">
        <f>IFERROR(__xludf.DUMMYFUNCTION("""COMPUTED_VALUE"""),430658.0)</f>
        <v>430658</v>
      </c>
      <c r="G383" s="7" t="str">
        <f>IFERROR(__xludf.DUMMYFUNCTION("""COMPUTED_VALUE"""),"ADANIGREEN.NS")</f>
        <v>ADANIGREEN.NS</v>
      </c>
      <c r="H383" s="8">
        <f t="shared" si="1"/>
        <v>-0.02056474436</v>
      </c>
      <c r="I383" s="8">
        <f t="shared" si="2"/>
        <v>0.02056474436</v>
      </c>
      <c r="J383" s="7" t="str">
        <f t="shared" si="3"/>
        <v>Nov-2024</v>
      </c>
      <c r="K383" s="9">
        <f t="shared" si="4"/>
        <v>45597</v>
      </c>
      <c r="L383" s="7" t="str">
        <f t="shared" si="5"/>
        <v/>
      </c>
      <c r="M383" s="7" t="str">
        <f>IFERROR(__xludf.DUMMYFUNCTION("IFERROR(
  IF(
    F383 &gt;
    3*AVERAGE(
       FILTER($F$2:$F10491,
         $G$2:$G10491=G383,
         $A$2:$A10491&gt;=A383-20,
         $A$2:$A10491&lt;=A383
       )
    ),
    ""VOL_SPIKE_3X"",""""
  ),
"""")
"),"")</f>
        <v/>
      </c>
      <c r="N383" s="7" t="str">
        <f t="shared" si="6"/>
        <v/>
      </c>
      <c r="O383" s="7" t="str">
        <f t="shared" si="7"/>
        <v/>
      </c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>
        <f>IFERROR(__xludf.DUMMYFUNCTION("""COMPUTED_VALUE"""),45607.0)</f>
        <v>45607</v>
      </c>
      <c r="B384" s="6">
        <f>IFERROR(__xludf.DUMMYFUNCTION("""COMPUTED_VALUE"""),308.0)</f>
        <v>308</v>
      </c>
      <c r="C384" s="6">
        <f>IFERROR(__xludf.DUMMYFUNCTION("""COMPUTED_VALUE"""),314.0)</f>
        <v>314</v>
      </c>
      <c r="D384" s="6">
        <f>IFERROR(__xludf.DUMMYFUNCTION("""COMPUTED_VALUE"""),304.05)</f>
        <v>304.05</v>
      </c>
      <c r="E384" s="6">
        <f>IFERROR(__xludf.DUMMYFUNCTION("""COMPUTED_VALUE"""),312.55)</f>
        <v>312.55</v>
      </c>
      <c r="F384" s="7">
        <f>IFERROR(__xludf.DUMMYFUNCTION("""COMPUTED_VALUE"""),5277147.0)</f>
        <v>5277147</v>
      </c>
      <c r="G384" s="7" t="str">
        <f>IFERROR(__xludf.DUMMYFUNCTION("""COMPUTED_VALUE"""),"BPCL.NS")</f>
        <v>BPCL.NS</v>
      </c>
      <c r="H384" s="8">
        <f t="shared" si="1"/>
        <v>0.01477272727</v>
      </c>
      <c r="I384" s="8">
        <f t="shared" si="2"/>
        <v>0.01477272727</v>
      </c>
      <c r="J384" s="7" t="str">
        <f t="shared" si="3"/>
        <v>Nov-2024</v>
      </c>
      <c r="K384" s="9">
        <f t="shared" si="4"/>
        <v>45597</v>
      </c>
      <c r="L384" s="7" t="str">
        <f t="shared" si="5"/>
        <v/>
      </c>
      <c r="M384" s="7" t="str">
        <f>IFERROR(__xludf.DUMMYFUNCTION("IFERROR(
  IF(
    F384 &gt;
    3*AVERAGE(
       FILTER($F$2:$F10491,
         $G$2:$G10491=G384,
         $A$2:$A10491&gt;=A384-20,
         $A$2:$A10491&lt;=A384
       )
    ),
    ""VOL_SPIKE_3X"",""""
  ),
"""")
"),"")</f>
        <v/>
      </c>
      <c r="N384" s="7" t="str">
        <f t="shared" si="6"/>
        <v/>
      </c>
      <c r="O384" s="7" t="str">
        <f t="shared" si="7"/>
        <v/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>
        <f>IFERROR(__xludf.DUMMYFUNCTION("""COMPUTED_VALUE"""),45607.0)</f>
        <v>45607</v>
      </c>
      <c r="B385" s="6">
        <f>IFERROR(__xludf.DUMMYFUNCTION("""COMPUTED_VALUE"""),423.0)</f>
        <v>423</v>
      </c>
      <c r="C385" s="6">
        <f>IFERROR(__xludf.DUMMYFUNCTION("""COMPUTED_VALUE"""),425.75)</f>
        <v>425.75</v>
      </c>
      <c r="D385" s="6">
        <f>IFERROR(__xludf.DUMMYFUNCTION("""COMPUTED_VALUE"""),417.35)</f>
        <v>417.35</v>
      </c>
      <c r="E385" s="6">
        <f>IFERROR(__xludf.DUMMYFUNCTION("""COMPUTED_VALUE"""),421.55)</f>
        <v>421.55</v>
      </c>
      <c r="F385" s="7">
        <f>IFERROR(__xludf.DUMMYFUNCTION("""COMPUTED_VALUE"""),7201246.0)</f>
        <v>7201246</v>
      </c>
      <c r="G385" s="7" t="str">
        <f>IFERROR(__xludf.DUMMYFUNCTION("""COMPUTED_VALUE"""),"COALINDIA.NS")</f>
        <v>COALINDIA.NS</v>
      </c>
      <c r="H385" s="8">
        <f t="shared" si="1"/>
        <v>-0.003427895981</v>
      </c>
      <c r="I385" s="8">
        <f t="shared" si="2"/>
        <v>0.003427895981</v>
      </c>
      <c r="J385" s="7" t="str">
        <f t="shared" si="3"/>
        <v>Nov-2024</v>
      </c>
      <c r="K385" s="9">
        <f t="shared" si="4"/>
        <v>45597</v>
      </c>
      <c r="L385" s="7" t="str">
        <f t="shared" si="5"/>
        <v/>
      </c>
      <c r="M385" s="7" t="str">
        <f>IFERROR(__xludf.DUMMYFUNCTION("IFERROR(
  IF(
    F385 &gt;
    3*AVERAGE(
       FILTER($F$2:$F10491,
         $G$2:$G10491=G385,
         $A$2:$A10491&gt;=A385-20,
         $A$2:$A10491&lt;=A385
       )
    ),
    ""VOL_SPIKE_3X"",""""
  ),
"""")
"),"")</f>
        <v/>
      </c>
      <c r="N385" s="7" t="str">
        <f t="shared" si="6"/>
        <v/>
      </c>
      <c r="O385" s="7" t="str">
        <f t="shared" si="7"/>
        <v/>
      </c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>
        <f>IFERROR(__xludf.DUMMYFUNCTION("""COMPUTED_VALUE"""),45607.0)</f>
        <v>45607</v>
      </c>
      <c r="B386" s="6">
        <f>IFERROR(__xludf.DUMMYFUNCTION("""COMPUTED_VALUE"""),383.0)</f>
        <v>383</v>
      </c>
      <c r="C386" s="6">
        <f>IFERROR(__xludf.DUMMYFUNCTION("""COMPUTED_VALUE"""),387.8)</f>
        <v>387.8</v>
      </c>
      <c r="D386" s="6">
        <f>IFERROR(__xludf.DUMMYFUNCTION("""COMPUTED_VALUE"""),375.15)</f>
        <v>375.15</v>
      </c>
      <c r="E386" s="6">
        <f>IFERROR(__xludf.DUMMYFUNCTION("""COMPUTED_VALUE"""),380.95)</f>
        <v>380.95</v>
      </c>
      <c r="F386" s="7">
        <f>IFERROR(__xludf.DUMMYFUNCTION("""COMPUTED_VALUE"""),6123412.0)</f>
        <v>6123412</v>
      </c>
      <c r="G386" s="7" t="str">
        <f>IFERROR(__xludf.DUMMYFUNCTION("""COMPUTED_VALUE"""),"HINDPETRO.NS")</f>
        <v>HINDPETRO.NS</v>
      </c>
      <c r="H386" s="8">
        <f t="shared" si="1"/>
        <v>-0.005352480418</v>
      </c>
      <c r="I386" s="8">
        <f t="shared" si="2"/>
        <v>0.005352480418</v>
      </c>
      <c r="J386" s="7" t="str">
        <f t="shared" si="3"/>
        <v>Nov-2024</v>
      </c>
      <c r="K386" s="9">
        <f t="shared" si="4"/>
        <v>45597</v>
      </c>
      <c r="L386" s="7" t="str">
        <f t="shared" si="5"/>
        <v/>
      </c>
      <c r="M386" s="7" t="str">
        <f>IFERROR(__xludf.DUMMYFUNCTION("IFERROR(
  IF(
    F386 &gt;
    3*AVERAGE(
       FILTER($F$2:$F10491,
         $G$2:$G10491=G386,
         $A$2:$A10491&gt;=A386-20,
         $A$2:$A10491&lt;=A386
       )
    ),
    ""VOL_SPIKE_3X"",""""
  ),
"""")
"),"")</f>
        <v/>
      </c>
      <c r="N386" s="7" t="str">
        <f t="shared" si="6"/>
        <v/>
      </c>
      <c r="O386" s="7" t="str">
        <f t="shared" si="7"/>
        <v/>
      </c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>
        <f>IFERROR(__xludf.DUMMYFUNCTION("""COMPUTED_VALUE"""),45607.0)</f>
        <v>45607</v>
      </c>
      <c r="B387" s="6">
        <f>IFERROR(__xludf.DUMMYFUNCTION("""COMPUTED_VALUE"""),138.8)</f>
        <v>138.8</v>
      </c>
      <c r="C387" s="6">
        <f>IFERROR(__xludf.DUMMYFUNCTION("""COMPUTED_VALUE"""),140.7)</f>
        <v>140.7</v>
      </c>
      <c r="D387" s="6">
        <f>IFERROR(__xludf.DUMMYFUNCTION("""COMPUTED_VALUE"""),137.67)</f>
        <v>137.67</v>
      </c>
      <c r="E387" s="6">
        <f>IFERROR(__xludf.DUMMYFUNCTION("""COMPUTED_VALUE"""),139.43)</f>
        <v>139.43</v>
      </c>
      <c r="F387" s="7">
        <f>IFERROR(__xludf.DUMMYFUNCTION("""COMPUTED_VALUE"""),1.7669364E7)</f>
        <v>17669364</v>
      </c>
      <c r="G387" s="7" t="str">
        <f>IFERROR(__xludf.DUMMYFUNCTION("""COMPUTED_VALUE"""),"IOC.NS")</f>
        <v>IOC.NS</v>
      </c>
      <c r="H387" s="8">
        <f t="shared" si="1"/>
        <v>0.004538904899</v>
      </c>
      <c r="I387" s="8">
        <f t="shared" si="2"/>
        <v>0.004538904899</v>
      </c>
      <c r="J387" s="7" t="str">
        <f t="shared" si="3"/>
        <v>Nov-2024</v>
      </c>
      <c r="K387" s="9">
        <f t="shared" si="4"/>
        <v>45597</v>
      </c>
      <c r="L387" s="7" t="str">
        <f t="shared" si="5"/>
        <v/>
      </c>
      <c r="M387" s="7" t="str">
        <f>IFERROR(__xludf.DUMMYFUNCTION("IFERROR(
  IF(
    F387 &gt;
    3*AVERAGE(
       FILTER($F$2:$F10491,
         $G$2:$G10491=G387,
         $A$2:$A10491&gt;=A387-20,
         $A$2:$A10491&lt;=A387
       )
    ),
    ""VOL_SPIKE_3X"",""""
  ),
"""")
"),"")</f>
        <v/>
      </c>
      <c r="N387" s="7" t="str">
        <f t="shared" si="6"/>
        <v/>
      </c>
      <c r="O387" s="7" t="str">
        <f t="shared" si="7"/>
        <v/>
      </c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>
        <f>IFERROR(__xludf.DUMMYFUNCTION("""COMPUTED_VALUE"""),45607.0)</f>
        <v>45607</v>
      </c>
      <c r="B388" s="6">
        <f>IFERROR(__xludf.DUMMYFUNCTION("""COMPUTED_VALUE"""),398.15)</f>
        <v>398.15</v>
      </c>
      <c r="C388" s="6">
        <f>IFERROR(__xludf.DUMMYFUNCTION("""COMPUTED_VALUE"""),400.9)</f>
        <v>400.9</v>
      </c>
      <c r="D388" s="6">
        <f>IFERROR(__xludf.DUMMYFUNCTION("""COMPUTED_VALUE"""),391.8)</f>
        <v>391.8</v>
      </c>
      <c r="E388" s="6">
        <f>IFERROR(__xludf.DUMMYFUNCTION("""COMPUTED_VALUE"""),392.55)</f>
        <v>392.55</v>
      </c>
      <c r="F388" s="7">
        <f>IFERROR(__xludf.DUMMYFUNCTION("""COMPUTED_VALUE"""),1.2243693E7)</f>
        <v>12243693</v>
      </c>
      <c r="G388" s="7" t="str">
        <f>IFERROR(__xludf.DUMMYFUNCTION("""COMPUTED_VALUE"""),"NTPC.NS")</f>
        <v>NTPC.NS</v>
      </c>
      <c r="H388" s="8">
        <f t="shared" si="1"/>
        <v>-0.01406505086</v>
      </c>
      <c r="I388" s="8">
        <f t="shared" si="2"/>
        <v>0.01406505086</v>
      </c>
      <c r="J388" s="7" t="str">
        <f t="shared" si="3"/>
        <v>Nov-2024</v>
      </c>
      <c r="K388" s="9">
        <f t="shared" si="4"/>
        <v>45597</v>
      </c>
      <c r="L388" s="7" t="str">
        <f t="shared" si="5"/>
        <v/>
      </c>
      <c r="M388" s="7" t="str">
        <f>IFERROR(__xludf.DUMMYFUNCTION("IFERROR(
  IF(
    F388 &gt;
    3*AVERAGE(
       FILTER($F$2:$F10491,
         $G$2:$G10491=G388,
         $A$2:$A10491&gt;=A388-20,
         $A$2:$A10491&lt;=A388
       )
    ),
    ""VOL_SPIKE_3X"",""""
  ),
"""")
"),"")</f>
        <v/>
      </c>
      <c r="N388" s="7" t="str">
        <f t="shared" si="6"/>
        <v/>
      </c>
      <c r="O388" s="7" t="str">
        <f t="shared" si="7"/>
        <v/>
      </c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>
        <f>IFERROR(__xludf.DUMMYFUNCTION("""COMPUTED_VALUE"""),45607.0)</f>
        <v>45607</v>
      </c>
      <c r="B389" s="6">
        <f>IFERROR(__xludf.DUMMYFUNCTION("""COMPUTED_VALUE"""),262.35)</f>
        <v>262.35</v>
      </c>
      <c r="C389" s="6">
        <f>IFERROR(__xludf.DUMMYFUNCTION("""COMPUTED_VALUE"""),262.35)</f>
        <v>262.35</v>
      </c>
      <c r="D389" s="6">
        <f>IFERROR(__xludf.DUMMYFUNCTION("""COMPUTED_VALUE"""),256.0)</f>
        <v>256</v>
      </c>
      <c r="E389" s="6">
        <f>IFERROR(__xludf.DUMMYFUNCTION("""COMPUTED_VALUE"""),256.9)</f>
        <v>256.9</v>
      </c>
      <c r="F389" s="7">
        <f>IFERROR(__xludf.DUMMYFUNCTION("""COMPUTED_VALUE"""),8450657.0)</f>
        <v>8450657</v>
      </c>
      <c r="G389" s="7" t="str">
        <f>IFERROR(__xludf.DUMMYFUNCTION("""COMPUTED_VALUE"""),"ONGC.NS")</f>
        <v>ONGC.NS</v>
      </c>
      <c r="H389" s="8">
        <f t="shared" si="1"/>
        <v>-0.02077377549</v>
      </c>
      <c r="I389" s="8">
        <f t="shared" si="2"/>
        <v>0.02077377549</v>
      </c>
      <c r="J389" s="7" t="str">
        <f t="shared" si="3"/>
        <v>Nov-2024</v>
      </c>
      <c r="K389" s="9">
        <f t="shared" si="4"/>
        <v>45597</v>
      </c>
      <c r="L389" s="7" t="str">
        <f t="shared" si="5"/>
        <v/>
      </c>
      <c r="M389" s="7" t="str">
        <f>IFERROR(__xludf.DUMMYFUNCTION("IFERROR(
  IF(
    F389 &gt;
    3*AVERAGE(
       FILTER($F$2:$F10491,
         $G$2:$G10491=G389,
         $A$2:$A10491&gt;=A389-20,
         $A$2:$A10491&lt;=A389
       )
    ),
    ""VOL_SPIKE_3X"",""""
  ),
"""")
"),"")</f>
        <v/>
      </c>
      <c r="N389" s="7" t="str">
        <f t="shared" si="6"/>
        <v/>
      </c>
      <c r="O389" s="7" t="str">
        <f t="shared" si="7"/>
        <v/>
      </c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>
        <f>IFERROR(__xludf.DUMMYFUNCTION("""COMPUTED_VALUE"""),45607.0)</f>
        <v>45607</v>
      </c>
      <c r="B390" s="6">
        <f>IFERROR(__xludf.DUMMYFUNCTION("""COMPUTED_VALUE"""),313.55)</f>
        <v>313.55</v>
      </c>
      <c r="C390" s="6">
        <f>IFERROR(__xludf.DUMMYFUNCTION("""COMPUTED_VALUE"""),332.4)</f>
        <v>332.4</v>
      </c>
      <c r="D390" s="6">
        <f>IFERROR(__xludf.DUMMYFUNCTION("""COMPUTED_VALUE"""),312.8)</f>
        <v>312.8</v>
      </c>
      <c r="E390" s="6">
        <f>IFERROR(__xludf.DUMMYFUNCTION("""COMPUTED_VALUE"""),329.8)</f>
        <v>329.8</v>
      </c>
      <c r="F390" s="7">
        <f>IFERROR(__xludf.DUMMYFUNCTION("""COMPUTED_VALUE"""),2.2838987E7)</f>
        <v>22838987</v>
      </c>
      <c r="G390" s="7" t="str">
        <f>IFERROR(__xludf.DUMMYFUNCTION("""COMPUTED_VALUE"""),"POWERGRID.NS")</f>
        <v>POWERGRID.NS</v>
      </c>
      <c r="H390" s="8">
        <f t="shared" si="1"/>
        <v>0.05182586509</v>
      </c>
      <c r="I390" s="8">
        <f t="shared" si="2"/>
        <v>0.05182586509</v>
      </c>
      <c r="J390" s="7" t="str">
        <f t="shared" si="3"/>
        <v>Nov-2024</v>
      </c>
      <c r="K390" s="9">
        <f t="shared" si="4"/>
        <v>45597</v>
      </c>
      <c r="L390" s="7" t="str">
        <f t="shared" si="5"/>
        <v>PRICE_MOVE_5PCT+</v>
      </c>
      <c r="M390" s="7" t="str">
        <f>IFERROR(__xludf.DUMMYFUNCTION("IFERROR(
  IF(
    F390 &gt;
    3*AVERAGE(
       FILTER($F$2:$F10491,
         $G$2:$G10491=G390,
         $A$2:$A10491&gt;=A390-20,
         $A$2:$A10491&lt;=A390
       )
    ),
    ""VOL_SPIKE_3X"",""""
  ),
"""")
"),"")</f>
        <v/>
      </c>
      <c r="N390" s="7" t="str">
        <f t="shared" si="6"/>
        <v>PRICE_MOVE_5PCT+</v>
      </c>
      <c r="O390" s="7" t="str">
        <f t="shared" si="7"/>
        <v/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>
        <f>IFERROR(__xludf.DUMMYFUNCTION("""COMPUTED_VALUE"""),45607.0)</f>
        <v>45607</v>
      </c>
      <c r="B391" s="6">
        <f>IFERROR(__xludf.DUMMYFUNCTION("""COMPUTED_VALUE"""),1278.95)</f>
        <v>1278.95</v>
      </c>
      <c r="C391" s="6">
        <f>IFERROR(__xludf.DUMMYFUNCTION("""COMPUTED_VALUE"""),1286.0)</f>
        <v>1286</v>
      </c>
      <c r="D391" s="6">
        <f>IFERROR(__xludf.DUMMYFUNCTION("""COMPUTED_VALUE"""),1267.0)</f>
        <v>1267</v>
      </c>
      <c r="E391" s="6">
        <f>IFERROR(__xludf.DUMMYFUNCTION("""COMPUTED_VALUE"""),1272.7)</f>
        <v>1272.7</v>
      </c>
      <c r="F391" s="7">
        <f>IFERROR(__xludf.DUMMYFUNCTION("""COMPUTED_VALUE"""),9056552.0)</f>
        <v>9056552</v>
      </c>
      <c r="G391" s="7" t="str">
        <f>IFERROR(__xludf.DUMMYFUNCTION("""COMPUTED_VALUE"""),"RELIANCE.NS")</f>
        <v>RELIANCE.NS</v>
      </c>
      <c r="H391" s="8">
        <f t="shared" si="1"/>
        <v>-0.004886821221</v>
      </c>
      <c r="I391" s="8">
        <f t="shared" si="2"/>
        <v>0.004886821221</v>
      </c>
      <c r="J391" s="7" t="str">
        <f t="shared" si="3"/>
        <v>Nov-2024</v>
      </c>
      <c r="K391" s="9">
        <f t="shared" si="4"/>
        <v>45597</v>
      </c>
      <c r="L391" s="7" t="str">
        <f t="shared" si="5"/>
        <v/>
      </c>
      <c r="M391" s="7" t="str">
        <f>IFERROR(__xludf.DUMMYFUNCTION("IFERROR(
  IF(
    F391 &gt;
    3*AVERAGE(
       FILTER($F$2:$F10491,
         $G$2:$G10491=G391,
         $A$2:$A10491&gt;=A391-20,
         $A$2:$A10491&lt;=A391
       )
    ),
    ""VOL_SPIKE_3X"",""""
  ),
"""")
"),"")</f>
        <v/>
      </c>
      <c r="N391" s="7" t="str">
        <f t="shared" si="6"/>
        <v/>
      </c>
      <c r="O391" s="7" t="str">
        <f t="shared" si="7"/>
        <v/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>
        <f>IFERROR(__xludf.DUMMYFUNCTION("""COMPUTED_VALUE"""),45608.0)</f>
        <v>45608</v>
      </c>
      <c r="B392" s="6">
        <f>IFERROR(__xludf.DUMMYFUNCTION("""COMPUTED_VALUE"""),903.6)</f>
        <v>903.6</v>
      </c>
      <c r="C392" s="6">
        <f>IFERROR(__xludf.DUMMYFUNCTION("""COMPUTED_VALUE"""),937.95)</f>
        <v>937.95</v>
      </c>
      <c r="D392" s="6">
        <f>IFERROR(__xludf.DUMMYFUNCTION("""COMPUTED_VALUE"""),901.55)</f>
        <v>901.55</v>
      </c>
      <c r="E392" s="6">
        <f>IFERROR(__xludf.DUMMYFUNCTION("""COMPUTED_VALUE"""),924.05)</f>
        <v>924.05</v>
      </c>
      <c r="F392" s="7">
        <f>IFERROR(__xludf.DUMMYFUNCTION("""COMPUTED_VALUE"""),3720874.0)</f>
        <v>3720874</v>
      </c>
      <c r="G392" s="7" t="str">
        <f>IFERROR(__xludf.DUMMYFUNCTION("""COMPUTED_VALUE"""),"ADANIENSOL.NS")</f>
        <v>ADANIENSOL.NS</v>
      </c>
      <c r="H392" s="8">
        <f t="shared" si="1"/>
        <v>0.02263169544</v>
      </c>
      <c r="I392" s="8">
        <f t="shared" si="2"/>
        <v>0.02263169544</v>
      </c>
      <c r="J392" s="7" t="str">
        <f t="shared" si="3"/>
        <v>Nov-2024</v>
      </c>
      <c r="K392" s="9">
        <f t="shared" si="4"/>
        <v>45597</v>
      </c>
      <c r="L392" s="7" t="str">
        <f t="shared" si="5"/>
        <v/>
      </c>
      <c r="M392" s="7" t="str">
        <f>IFERROR(__xludf.DUMMYFUNCTION("IFERROR(
  IF(
    F392 &gt;
    3*AVERAGE(
       FILTER($F$2:$F10491,
         $G$2:$G10491=G392,
         $A$2:$A10491&gt;=A392-20,
         $A$2:$A10491&lt;=A392
       )
    ),
    ""VOL_SPIKE_3X"",""""
  ),
"""")
"),"")</f>
        <v/>
      </c>
      <c r="N392" s="7" t="str">
        <f t="shared" si="6"/>
        <v/>
      </c>
      <c r="O392" s="7" t="str">
        <f t="shared" si="7"/>
        <v/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>
        <f>IFERROR(__xludf.DUMMYFUNCTION("""COMPUTED_VALUE"""),45608.0)</f>
        <v>45608</v>
      </c>
      <c r="B393" s="6">
        <f>IFERROR(__xludf.DUMMYFUNCTION("""COMPUTED_VALUE"""),1550.0)</f>
        <v>1550</v>
      </c>
      <c r="C393" s="6">
        <f>IFERROR(__xludf.DUMMYFUNCTION("""COMPUTED_VALUE"""),1573.0)</f>
        <v>1573</v>
      </c>
      <c r="D393" s="6">
        <f>IFERROR(__xludf.DUMMYFUNCTION("""COMPUTED_VALUE"""),1511.0)</f>
        <v>1511</v>
      </c>
      <c r="E393" s="6">
        <f>IFERROR(__xludf.DUMMYFUNCTION("""COMPUTED_VALUE"""),1524.15)</f>
        <v>1524.15</v>
      </c>
      <c r="F393" s="7">
        <f>IFERROR(__xludf.DUMMYFUNCTION("""COMPUTED_VALUE"""),523181.0)</f>
        <v>523181</v>
      </c>
      <c r="G393" s="7" t="str">
        <f>IFERROR(__xludf.DUMMYFUNCTION("""COMPUTED_VALUE"""),"ADANIGREEN.NS")</f>
        <v>ADANIGREEN.NS</v>
      </c>
      <c r="H393" s="8">
        <f t="shared" si="1"/>
        <v>-0.01667741935</v>
      </c>
      <c r="I393" s="8">
        <f t="shared" si="2"/>
        <v>0.01667741935</v>
      </c>
      <c r="J393" s="7" t="str">
        <f t="shared" si="3"/>
        <v>Nov-2024</v>
      </c>
      <c r="K393" s="9">
        <f t="shared" si="4"/>
        <v>45597</v>
      </c>
      <c r="L393" s="7" t="str">
        <f t="shared" si="5"/>
        <v/>
      </c>
      <c r="M393" s="7" t="str">
        <f>IFERROR(__xludf.DUMMYFUNCTION("IFERROR(
  IF(
    F393 &gt;
    3*AVERAGE(
       FILTER($F$2:$F10491,
         $G$2:$G10491=G393,
         $A$2:$A10491&gt;=A393-20,
         $A$2:$A10491&lt;=A393
       )
    ),
    ""VOL_SPIKE_3X"",""""
  ),
"""")
"),"")</f>
        <v/>
      </c>
      <c r="N393" s="7" t="str">
        <f t="shared" si="6"/>
        <v/>
      </c>
      <c r="O393" s="7" t="str">
        <f t="shared" si="7"/>
        <v/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>
        <f>IFERROR(__xludf.DUMMYFUNCTION("""COMPUTED_VALUE"""),45608.0)</f>
        <v>45608</v>
      </c>
      <c r="B394" s="6">
        <f>IFERROR(__xludf.DUMMYFUNCTION("""COMPUTED_VALUE"""),314.1)</f>
        <v>314.1</v>
      </c>
      <c r="C394" s="6">
        <f>IFERROR(__xludf.DUMMYFUNCTION("""COMPUTED_VALUE"""),318.55)</f>
        <v>318.55</v>
      </c>
      <c r="D394" s="6">
        <f>IFERROR(__xludf.DUMMYFUNCTION("""COMPUTED_VALUE"""),309.05)</f>
        <v>309.05</v>
      </c>
      <c r="E394" s="6">
        <f>IFERROR(__xludf.DUMMYFUNCTION("""COMPUTED_VALUE"""),309.8)</f>
        <v>309.8</v>
      </c>
      <c r="F394" s="7">
        <f>IFERROR(__xludf.DUMMYFUNCTION("""COMPUTED_VALUE"""),7192998.0)</f>
        <v>7192998</v>
      </c>
      <c r="G394" s="7" t="str">
        <f>IFERROR(__xludf.DUMMYFUNCTION("""COMPUTED_VALUE"""),"BPCL.NS")</f>
        <v>BPCL.NS</v>
      </c>
      <c r="H394" s="8">
        <f t="shared" si="1"/>
        <v>-0.01368990767</v>
      </c>
      <c r="I394" s="8">
        <f t="shared" si="2"/>
        <v>0.01368990767</v>
      </c>
      <c r="J394" s="7" t="str">
        <f t="shared" si="3"/>
        <v>Nov-2024</v>
      </c>
      <c r="K394" s="9">
        <f t="shared" si="4"/>
        <v>45597</v>
      </c>
      <c r="L394" s="7" t="str">
        <f t="shared" si="5"/>
        <v/>
      </c>
      <c r="M394" s="7" t="str">
        <f>IFERROR(__xludf.DUMMYFUNCTION("IFERROR(
  IF(
    F394 &gt;
    3*AVERAGE(
       FILTER($F$2:$F10491,
         $G$2:$G10491=G394,
         $A$2:$A10491&gt;=A394-20,
         $A$2:$A10491&lt;=A394
       )
    ),
    ""VOL_SPIKE_3X"",""""
  ),
"""")
"),"")</f>
        <v/>
      </c>
      <c r="N394" s="7" t="str">
        <f t="shared" si="6"/>
        <v/>
      </c>
      <c r="O394" s="7" t="str">
        <f t="shared" si="7"/>
        <v/>
      </c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>
        <f>IFERROR(__xludf.DUMMYFUNCTION("""COMPUTED_VALUE"""),45608.0)</f>
        <v>45608</v>
      </c>
      <c r="B395" s="6">
        <f>IFERROR(__xludf.DUMMYFUNCTION("""COMPUTED_VALUE"""),422.5)</f>
        <v>422.5</v>
      </c>
      <c r="C395" s="6">
        <f>IFERROR(__xludf.DUMMYFUNCTION("""COMPUTED_VALUE"""),424.8)</f>
        <v>424.8</v>
      </c>
      <c r="D395" s="6">
        <f>IFERROR(__xludf.DUMMYFUNCTION("""COMPUTED_VALUE"""),412.8)</f>
        <v>412.8</v>
      </c>
      <c r="E395" s="6">
        <f>IFERROR(__xludf.DUMMYFUNCTION("""COMPUTED_VALUE"""),414.05)</f>
        <v>414.05</v>
      </c>
      <c r="F395" s="7">
        <f>IFERROR(__xludf.DUMMYFUNCTION("""COMPUTED_VALUE"""),6564348.0)</f>
        <v>6564348</v>
      </c>
      <c r="G395" s="7" t="str">
        <f>IFERROR(__xludf.DUMMYFUNCTION("""COMPUTED_VALUE"""),"COALINDIA.NS")</f>
        <v>COALINDIA.NS</v>
      </c>
      <c r="H395" s="8">
        <f t="shared" si="1"/>
        <v>-0.02</v>
      </c>
      <c r="I395" s="8">
        <f t="shared" si="2"/>
        <v>0.02</v>
      </c>
      <c r="J395" s="7" t="str">
        <f t="shared" si="3"/>
        <v>Nov-2024</v>
      </c>
      <c r="K395" s="9">
        <f t="shared" si="4"/>
        <v>45597</v>
      </c>
      <c r="L395" s="7" t="str">
        <f t="shared" si="5"/>
        <v/>
      </c>
      <c r="M395" s="7" t="str">
        <f>IFERROR(__xludf.DUMMYFUNCTION("IFERROR(
  IF(
    F395 &gt;
    3*AVERAGE(
       FILTER($F$2:$F10491,
         $G$2:$G10491=G395,
         $A$2:$A10491&gt;=A395-20,
         $A$2:$A10491&lt;=A395
       )
    ),
    ""VOL_SPIKE_3X"",""""
  ),
"""")
"),"")</f>
        <v/>
      </c>
      <c r="N395" s="7" t="str">
        <f t="shared" si="6"/>
        <v/>
      </c>
      <c r="O395" s="7" t="str">
        <f t="shared" si="7"/>
        <v/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>
        <f>IFERROR(__xludf.DUMMYFUNCTION("""COMPUTED_VALUE"""),45608.0)</f>
        <v>45608</v>
      </c>
      <c r="B396" s="6">
        <f>IFERROR(__xludf.DUMMYFUNCTION("""COMPUTED_VALUE"""),384.1)</f>
        <v>384.1</v>
      </c>
      <c r="C396" s="6">
        <f>IFERROR(__xludf.DUMMYFUNCTION("""COMPUTED_VALUE"""),390.0)</f>
        <v>390</v>
      </c>
      <c r="D396" s="6">
        <f>IFERROR(__xludf.DUMMYFUNCTION("""COMPUTED_VALUE"""),374.05)</f>
        <v>374.05</v>
      </c>
      <c r="E396" s="6">
        <f>IFERROR(__xludf.DUMMYFUNCTION("""COMPUTED_VALUE"""),375.55)</f>
        <v>375.55</v>
      </c>
      <c r="F396" s="7">
        <f>IFERROR(__xludf.DUMMYFUNCTION("""COMPUTED_VALUE"""),6589595.0)</f>
        <v>6589595</v>
      </c>
      <c r="G396" s="7" t="str">
        <f>IFERROR(__xludf.DUMMYFUNCTION("""COMPUTED_VALUE"""),"HINDPETRO.NS")</f>
        <v>HINDPETRO.NS</v>
      </c>
      <c r="H396" s="8">
        <f t="shared" si="1"/>
        <v>-0.02225982817</v>
      </c>
      <c r="I396" s="8">
        <f t="shared" si="2"/>
        <v>0.02225982817</v>
      </c>
      <c r="J396" s="7" t="str">
        <f t="shared" si="3"/>
        <v>Nov-2024</v>
      </c>
      <c r="K396" s="9">
        <f t="shared" si="4"/>
        <v>45597</v>
      </c>
      <c r="L396" s="7" t="str">
        <f t="shared" si="5"/>
        <v/>
      </c>
      <c r="M396" s="7" t="str">
        <f>IFERROR(__xludf.DUMMYFUNCTION("IFERROR(
  IF(
    F396 &gt;
    3*AVERAGE(
       FILTER($F$2:$F10491,
         $G$2:$G10491=G396,
         $A$2:$A10491&gt;=A396-20,
         $A$2:$A10491&lt;=A396
       )
    ),
    ""VOL_SPIKE_3X"",""""
  ),
"""")
"),"")</f>
        <v/>
      </c>
      <c r="N396" s="7" t="str">
        <f t="shared" si="6"/>
        <v/>
      </c>
      <c r="O396" s="7" t="str">
        <f t="shared" si="7"/>
        <v/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>
        <f>IFERROR(__xludf.DUMMYFUNCTION("""COMPUTED_VALUE"""),45608.0)</f>
        <v>45608</v>
      </c>
      <c r="B397" s="6">
        <f>IFERROR(__xludf.DUMMYFUNCTION("""COMPUTED_VALUE"""),139.6)</f>
        <v>139.6</v>
      </c>
      <c r="C397" s="6">
        <f>IFERROR(__xludf.DUMMYFUNCTION("""COMPUTED_VALUE"""),141.96)</f>
        <v>141.96</v>
      </c>
      <c r="D397" s="6">
        <f>IFERROR(__xludf.DUMMYFUNCTION("""COMPUTED_VALUE"""),138.5)</f>
        <v>138.5</v>
      </c>
      <c r="E397" s="6">
        <f>IFERROR(__xludf.DUMMYFUNCTION("""COMPUTED_VALUE"""),138.79)</f>
        <v>138.79</v>
      </c>
      <c r="F397" s="7">
        <f>IFERROR(__xludf.DUMMYFUNCTION("""COMPUTED_VALUE"""),1.0561738E7)</f>
        <v>10561738</v>
      </c>
      <c r="G397" s="7" t="str">
        <f>IFERROR(__xludf.DUMMYFUNCTION("""COMPUTED_VALUE"""),"IOC.NS")</f>
        <v>IOC.NS</v>
      </c>
      <c r="H397" s="8">
        <f t="shared" si="1"/>
        <v>-0.005802292264</v>
      </c>
      <c r="I397" s="8">
        <f t="shared" si="2"/>
        <v>0.005802292264</v>
      </c>
      <c r="J397" s="7" t="str">
        <f t="shared" si="3"/>
        <v>Nov-2024</v>
      </c>
      <c r="K397" s="9">
        <f t="shared" si="4"/>
        <v>45597</v>
      </c>
      <c r="L397" s="7" t="str">
        <f t="shared" si="5"/>
        <v/>
      </c>
      <c r="M397" s="7" t="str">
        <f>IFERROR(__xludf.DUMMYFUNCTION("IFERROR(
  IF(
    F397 &gt;
    3*AVERAGE(
       FILTER($F$2:$F10491,
         $G$2:$G10491=G397,
         $A$2:$A10491&gt;=A397-20,
         $A$2:$A10491&lt;=A397
       )
    ),
    ""VOL_SPIKE_3X"",""""
  ),
"""")
"),"")</f>
        <v/>
      </c>
      <c r="N397" s="7" t="str">
        <f t="shared" si="6"/>
        <v/>
      </c>
      <c r="O397" s="7" t="str">
        <f t="shared" si="7"/>
        <v/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>
        <f>IFERROR(__xludf.DUMMYFUNCTION("""COMPUTED_VALUE"""),45608.0)</f>
        <v>45608</v>
      </c>
      <c r="B398" s="6">
        <f>IFERROR(__xludf.DUMMYFUNCTION("""COMPUTED_VALUE"""),393.15)</f>
        <v>393.15</v>
      </c>
      <c r="C398" s="6">
        <f>IFERROR(__xludf.DUMMYFUNCTION("""COMPUTED_VALUE"""),394.8)</f>
        <v>394.8</v>
      </c>
      <c r="D398" s="6">
        <f>IFERROR(__xludf.DUMMYFUNCTION("""COMPUTED_VALUE"""),379.05)</f>
        <v>379.05</v>
      </c>
      <c r="E398" s="6">
        <f>IFERROR(__xludf.DUMMYFUNCTION("""COMPUTED_VALUE"""),380.3)</f>
        <v>380.3</v>
      </c>
      <c r="F398" s="7">
        <f>IFERROR(__xludf.DUMMYFUNCTION("""COMPUTED_VALUE"""),1.0549517E7)</f>
        <v>10549517</v>
      </c>
      <c r="G398" s="7" t="str">
        <f>IFERROR(__xludf.DUMMYFUNCTION("""COMPUTED_VALUE"""),"NTPC.NS")</f>
        <v>NTPC.NS</v>
      </c>
      <c r="H398" s="8">
        <f t="shared" si="1"/>
        <v>-0.03268472593</v>
      </c>
      <c r="I398" s="8">
        <f t="shared" si="2"/>
        <v>0.03268472593</v>
      </c>
      <c r="J398" s="7" t="str">
        <f t="shared" si="3"/>
        <v>Nov-2024</v>
      </c>
      <c r="K398" s="9">
        <f t="shared" si="4"/>
        <v>45597</v>
      </c>
      <c r="L398" s="7" t="str">
        <f t="shared" si="5"/>
        <v/>
      </c>
      <c r="M398" s="7" t="str">
        <f>IFERROR(__xludf.DUMMYFUNCTION("IFERROR(
  IF(
    F398 &gt;
    3*AVERAGE(
       FILTER($F$2:$F10491,
         $G$2:$G10491=G398,
         $A$2:$A10491&gt;=A398-20,
         $A$2:$A10491&lt;=A398
       )
    ),
    ""VOL_SPIKE_3X"",""""
  ),
"""")
"),"")</f>
        <v/>
      </c>
      <c r="N398" s="7" t="str">
        <f t="shared" si="6"/>
        <v/>
      </c>
      <c r="O398" s="7" t="str">
        <f t="shared" si="7"/>
        <v/>
      </c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>
        <f>IFERROR(__xludf.DUMMYFUNCTION("""COMPUTED_VALUE"""),45608.0)</f>
        <v>45608</v>
      </c>
      <c r="B399" s="6">
        <f>IFERROR(__xludf.DUMMYFUNCTION("""COMPUTED_VALUE"""),260.85)</f>
        <v>260.85</v>
      </c>
      <c r="C399" s="6">
        <f>IFERROR(__xludf.DUMMYFUNCTION("""COMPUTED_VALUE"""),263.2)</f>
        <v>263.2</v>
      </c>
      <c r="D399" s="6">
        <f>IFERROR(__xludf.DUMMYFUNCTION("""COMPUTED_VALUE"""),255.4)</f>
        <v>255.4</v>
      </c>
      <c r="E399" s="6">
        <f>IFERROR(__xludf.DUMMYFUNCTION("""COMPUTED_VALUE"""),256.15)</f>
        <v>256.15</v>
      </c>
      <c r="F399" s="7">
        <f>IFERROR(__xludf.DUMMYFUNCTION("""COMPUTED_VALUE"""),2.24454E7)</f>
        <v>22445400</v>
      </c>
      <c r="G399" s="7" t="str">
        <f>IFERROR(__xludf.DUMMYFUNCTION("""COMPUTED_VALUE"""),"ONGC.NS")</f>
        <v>ONGC.NS</v>
      </c>
      <c r="H399" s="8">
        <f t="shared" si="1"/>
        <v>-0.01801801802</v>
      </c>
      <c r="I399" s="8">
        <f t="shared" si="2"/>
        <v>0.01801801802</v>
      </c>
      <c r="J399" s="7" t="str">
        <f t="shared" si="3"/>
        <v>Nov-2024</v>
      </c>
      <c r="K399" s="9">
        <f t="shared" si="4"/>
        <v>45597</v>
      </c>
      <c r="L399" s="7" t="str">
        <f t="shared" si="5"/>
        <v/>
      </c>
      <c r="M399" s="7" t="str">
        <f>IFERROR(__xludf.DUMMYFUNCTION("IFERROR(
  IF(
    F399 &gt;
    3*AVERAGE(
       FILTER($F$2:$F10491,
         $G$2:$G10491=G399,
         $A$2:$A10491&gt;=A399-20,
         $A$2:$A10491&lt;=A399
       )
    ),
    ""VOL_SPIKE_3X"",""""
  ),
"""")
"),"")</f>
        <v/>
      </c>
      <c r="N399" s="7" t="str">
        <f t="shared" si="6"/>
        <v/>
      </c>
      <c r="O399" s="7" t="str">
        <f t="shared" si="7"/>
        <v/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>
        <f>IFERROR(__xludf.DUMMYFUNCTION("""COMPUTED_VALUE"""),45608.0)</f>
        <v>45608</v>
      </c>
      <c r="B400" s="6">
        <f>IFERROR(__xludf.DUMMYFUNCTION("""COMPUTED_VALUE"""),331.5)</f>
        <v>331.5</v>
      </c>
      <c r="C400" s="6">
        <f>IFERROR(__xludf.DUMMYFUNCTION("""COMPUTED_VALUE"""),332.5)</f>
        <v>332.5</v>
      </c>
      <c r="D400" s="6">
        <f>IFERROR(__xludf.DUMMYFUNCTION("""COMPUTED_VALUE"""),321.8)</f>
        <v>321.8</v>
      </c>
      <c r="E400" s="6">
        <f>IFERROR(__xludf.DUMMYFUNCTION("""COMPUTED_VALUE"""),322.7)</f>
        <v>322.7</v>
      </c>
      <c r="F400" s="7">
        <f>IFERROR(__xludf.DUMMYFUNCTION("""COMPUTED_VALUE"""),1.2069181E7)</f>
        <v>12069181</v>
      </c>
      <c r="G400" s="7" t="str">
        <f>IFERROR(__xludf.DUMMYFUNCTION("""COMPUTED_VALUE"""),"POWERGRID.NS")</f>
        <v>POWERGRID.NS</v>
      </c>
      <c r="H400" s="8">
        <f t="shared" si="1"/>
        <v>-0.02654600302</v>
      </c>
      <c r="I400" s="8">
        <f t="shared" si="2"/>
        <v>0.02654600302</v>
      </c>
      <c r="J400" s="7" t="str">
        <f t="shared" si="3"/>
        <v>Nov-2024</v>
      </c>
      <c r="K400" s="9">
        <f t="shared" si="4"/>
        <v>45597</v>
      </c>
      <c r="L400" s="7" t="str">
        <f t="shared" si="5"/>
        <v/>
      </c>
      <c r="M400" s="7" t="str">
        <f>IFERROR(__xludf.DUMMYFUNCTION("IFERROR(
  IF(
    F400 &gt;
    3*AVERAGE(
       FILTER($F$2:$F10491,
         $G$2:$G10491=G400,
         $A$2:$A10491&gt;=A400-20,
         $A$2:$A10491&lt;=A400
       )
    ),
    ""VOL_SPIKE_3X"",""""
  ),
"""")
"),"")</f>
        <v/>
      </c>
      <c r="N400" s="7" t="str">
        <f t="shared" si="6"/>
        <v/>
      </c>
      <c r="O400" s="7" t="str">
        <f t="shared" si="7"/>
        <v/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>
        <f>IFERROR(__xludf.DUMMYFUNCTION("""COMPUTED_VALUE"""),45608.0)</f>
        <v>45608</v>
      </c>
      <c r="B401" s="6">
        <f>IFERROR(__xludf.DUMMYFUNCTION("""COMPUTED_VALUE"""),1275.55)</f>
        <v>1275.55</v>
      </c>
      <c r="C401" s="6">
        <f>IFERROR(__xludf.DUMMYFUNCTION("""COMPUTED_VALUE"""),1289.3)</f>
        <v>1289.3</v>
      </c>
      <c r="D401" s="6">
        <f>IFERROR(__xludf.DUMMYFUNCTION("""COMPUTED_VALUE"""),1267.5)</f>
        <v>1267.5</v>
      </c>
      <c r="E401" s="6">
        <f>IFERROR(__xludf.DUMMYFUNCTION("""COMPUTED_VALUE"""),1274.25)</f>
        <v>1274.25</v>
      </c>
      <c r="F401" s="7">
        <f>IFERROR(__xludf.DUMMYFUNCTION("""COMPUTED_VALUE"""),1.0671091E7)</f>
        <v>10671091</v>
      </c>
      <c r="G401" s="7" t="str">
        <f>IFERROR(__xludf.DUMMYFUNCTION("""COMPUTED_VALUE"""),"RELIANCE.NS")</f>
        <v>RELIANCE.NS</v>
      </c>
      <c r="H401" s="8">
        <f t="shared" si="1"/>
        <v>-0.001019168202</v>
      </c>
      <c r="I401" s="8">
        <f t="shared" si="2"/>
        <v>0.001019168202</v>
      </c>
      <c r="J401" s="7" t="str">
        <f t="shared" si="3"/>
        <v>Nov-2024</v>
      </c>
      <c r="K401" s="9">
        <f t="shared" si="4"/>
        <v>45597</v>
      </c>
      <c r="L401" s="7" t="str">
        <f t="shared" si="5"/>
        <v/>
      </c>
      <c r="M401" s="7" t="str">
        <f>IFERROR(__xludf.DUMMYFUNCTION("IFERROR(
  IF(
    F401 &gt;
    3*AVERAGE(
       FILTER($F$2:$F10491,
         $G$2:$G10491=G401,
         $A$2:$A10491&gt;=A401-20,
         $A$2:$A10491&lt;=A401
       )
    ),
    ""VOL_SPIKE_3X"",""""
  ),
"""")
"),"")</f>
        <v/>
      </c>
      <c r="N401" s="7" t="str">
        <f t="shared" si="6"/>
        <v/>
      </c>
      <c r="O401" s="7" t="str">
        <f t="shared" si="7"/>
        <v/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>
        <f>IFERROR(__xludf.DUMMYFUNCTION("""COMPUTED_VALUE"""),45609.0)</f>
        <v>45609</v>
      </c>
      <c r="B402" s="6">
        <f>IFERROR(__xludf.DUMMYFUNCTION("""COMPUTED_VALUE"""),920.0)</f>
        <v>920</v>
      </c>
      <c r="C402" s="6">
        <f>IFERROR(__xludf.DUMMYFUNCTION("""COMPUTED_VALUE"""),936.7)</f>
        <v>936.7</v>
      </c>
      <c r="D402" s="6">
        <f>IFERROR(__xludf.DUMMYFUNCTION("""COMPUTED_VALUE"""),885.1)</f>
        <v>885.1</v>
      </c>
      <c r="E402" s="6">
        <f>IFERROR(__xludf.DUMMYFUNCTION("""COMPUTED_VALUE"""),889.85)</f>
        <v>889.85</v>
      </c>
      <c r="F402" s="7">
        <f>IFERROR(__xludf.DUMMYFUNCTION("""COMPUTED_VALUE"""),2753677.0)</f>
        <v>2753677</v>
      </c>
      <c r="G402" s="7" t="str">
        <f>IFERROR(__xludf.DUMMYFUNCTION("""COMPUTED_VALUE"""),"ADANIENSOL.NS")</f>
        <v>ADANIENSOL.NS</v>
      </c>
      <c r="H402" s="8">
        <f t="shared" si="1"/>
        <v>-0.03277173913</v>
      </c>
      <c r="I402" s="8">
        <f t="shared" si="2"/>
        <v>0.03277173913</v>
      </c>
      <c r="J402" s="7" t="str">
        <f t="shared" si="3"/>
        <v>Nov-2024</v>
      </c>
      <c r="K402" s="9">
        <f t="shared" si="4"/>
        <v>45597</v>
      </c>
      <c r="L402" s="7" t="str">
        <f t="shared" si="5"/>
        <v/>
      </c>
      <c r="M402" s="7" t="str">
        <f>IFERROR(__xludf.DUMMYFUNCTION("IFERROR(
  IF(
    F402 &gt;
    3*AVERAGE(
       FILTER($F$2:$F10491,
         $G$2:$G10491=G402,
         $A$2:$A10491&gt;=A402-20,
         $A$2:$A10491&lt;=A402
       )
    ),
    ""VOL_SPIKE_3X"",""""
  ),
"""")
"),"")</f>
        <v/>
      </c>
      <c r="N402" s="7" t="str">
        <f t="shared" si="6"/>
        <v/>
      </c>
      <c r="O402" s="7" t="str">
        <f t="shared" si="7"/>
        <v/>
      </c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>
        <f>IFERROR(__xludf.DUMMYFUNCTION("""COMPUTED_VALUE"""),45609.0)</f>
        <v>45609</v>
      </c>
      <c r="B403" s="6">
        <f>IFERROR(__xludf.DUMMYFUNCTION("""COMPUTED_VALUE"""),1503.0)</f>
        <v>1503</v>
      </c>
      <c r="C403" s="6">
        <f>IFERROR(__xludf.DUMMYFUNCTION("""COMPUTED_VALUE"""),1542.55)</f>
        <v>1542.55</v>
      </c>
      <c r="D403" s="6">
        <f>IFERROR(__xludf.DUMMYFUNCTION("""COMPUTED_VALUE"""),1459.55)</f>
        <v>1459.55</v>
      </c>
      <c r="E403" s="6">
        <f>IFERROR(__xludf.DUMMYFUNCTION("""COMPUTED_VALUE"""),1468.45)</f>
        <v>1468.45</v>
      </c>
      <c r="F403" s="7">
        <f>IFERROR(__xludf.DUMMYFUNCTION("""COMPUTED_VALUE"""),632049.0)</f>
        <v>632049</v>
      </c>
      <c r="G403" s="7" t="str">
        <f>IFERROR(__xludf.DUMMYFUNCTION("""COMPUTED_VALUE"""),"ADANIGREEN.NS")</f>
        <v>ADANIGREEN.NS</v>
      </c>
      <c r="H403" s="8">
        <f t="shared" si="1"/>
        <v>-0.02298735862</v>
      </c>
      <c r="I403" s="8">
        <f t="shared" si="2"/>
        <v>0.02298735862</v>
      </c>
      <c r="J403" s="7" t="str">
        <f t="shared" si="3"/>
        <v>Nov-2024</v>
      </c>
      <c r="K403" s="9">
        <f t="shared" si="4"/>
        <v>45597</v>
      </c>
      <c r="L403" s="7" t="str">
        <f t="shared" si="5"/>
        <v/>
      </c>
      <c r="M403" s="7" t="str">
        <f>IFERROR(__xludf.DUMMYFUNCTION("IFERROR(
  IF(
    F403 &gt;
    3*AVERAGE(
       FILTER($F$2:$F10491,
         $G$2:$G10491=G403,
         $A$2:$A10491&gt;=A403-20,
         $A$2:$A10491&lt;=A403
       )
    ),
    ""VOL_SPIKE_3X"",""""
  ),
"""")
"),"")</f>
        <v/>
      </c>
      <c r="N403" s="7" t="str">
        <f t="shared" si="6"/>
        <v/>
      </c>
      <c r="O403" s="7" t="str">
        <f t="shared" si="7"/>
        <v/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>
        <f>IFERROR(__xludf.DUMMYFUNCTION("""COMPUTED_VALUE"""),45609.0)</f>
        <v>45609</v>
      </c>
      <c r="B404" s="6">
        <f>IFERROR(__xludf.DUMMYFUNCTION("""COMPUTED_VALUE"""),307.95)</f>
        <v>307.95</v>
      </c>
      <c r="C404" s="6">
        <f>IFERROR(__xludf.DUMMYFUNCTION("""COMPUTED_VALUE"""),309.0)</f>
        <v>309</v>
      </c>
      <c r="D404" s="6">
        <f>IFERROR(__xludf.DUMMYFUNCTION("""COMPUTED_VALUE"""),302.0)</f>
        <v>302</v>
      </c>
      <c r="E404" s="6">
        <f>IFERROR(__xludf.DUMMYFUNCTION("""COMPUTED_VALUE"""),305.85)</f>
        <v>305.85</v>
      </c>
      <c r="F404" s="7">
        <f>IFERROR(__xludf.DUMMYFUNCTION("""COMPUTED_VALUE"""),7306795.0)</f>
        <v>7306795</v>
      </c>
      <c r="G404" s="7" t="str">
        <f>IFERROR(__xludf.DUMMYFUNCTION("""COMPUTED_VALUE"""),"BPCL.NS")</f>
        <v>BPCL.NS</v>
      </c>
      <c r="H404" s="8">
        <f t="shared" si="1"/>
        <v>-0.006819288846</v>
      </c>
      <c r="I404" s="8">
        <f t="shared" si="2"/>
        <v>0.006819288846</v>
      </c>
      <c r="J404" s="7" t="str">
        <f t="shared" si="3"/>
        <v>Nov-2024</v>
      </c>
      <c r="K404" s="9">
        <f t="shared" si="4"/>
        <v>45597</v>
      </c>
      <c r="L404" s="7" t="str">
        <f t="shared" si="5"/>
        <v/>
      </c>
      <c r="M404" s="7" t="str">
        <f>IFERROR(__xludf.DUMMYFUNCTION("IFERROR(
  IF(
    F404 &gt;
    3*AVERAGE(
       FILTER($F$2:$F10491,
         $G$2:$G10491=G404,
         $A$2:$A10491&gt;=A404-20,
         $A$2:$A10491&lt;=A404
       )
    ),
    ""VOL_SPIKE_3X"",""""
  ),
"""")
"),"")</f>
        <v/>
      </c>
      <c r="N404" s="7" t="str">
        <f t="shared" si="6"/>
        <v/>
      </c>
      <c r="O404" s="7" t="str">
        <f t="shared" si="7"/>
        <v/>
      </c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>
        <f>IFERROR(__xludf.DUMMYFUNCTION("""COMPUTED_VALUE"""),45609.0)</f>
        <v>45609</v>
      </c>
      <c r="B405" s="6">
        <f>IFERROR(__xludf.DUMMYFUNCTION("""COMPUTED_VALUE"""),414.0)</f>
        <v>414</v>
      </c>
      <c r="C405" s="6">
        <f>IFERROR(__xludf.DUMMYFUNCTION("""COMPUTED_VALUE"""),415.5)</f>
        <v>415.5</v>
      </c>
      <c r="D405" s="6">
        <f>IFERROR(__xludf.DUMMYFUNCTION("""COMPUTED_VALUE"""),405.7)</f>
        <v>405.7</v>
      </c>
      <c r="E405" s="6">
        <f>IFERROR(__xludf.DUMMYFUNCTION("""COMPUTED_VALUE"""),406.9)</f>
        <v>406.9</v>
      </c>
      <c r="F405" s="7">
        <f>IFERROR(__xludf.DUMMYFUNCTION("""COMPUTED_VALUE"""),7170870.0)</f>
        <v>7170870</v>
      </c>
      <c r="G405" s="7" t="str">
        <f>IFERROR(__xludf.DUMMYFUNCTION("""COMPUTED_VALUE"""),"COALINDIA.NS")</f>
        <v>COALINDIA.NS</v>
      </c>
      <c r="H405" s="8">
        <f t="shared" si="1"/>
        <v>-0.01714975845</v>
      </c>
      <c r="I405" s="8">
        <f t="shared" si="2"/>
        <v>0.01714975845</v>
      </c>
      <c r="J405" s="7" t="str">
        <f t="shared" si="3"/>
        <v>Nov-2024</v>
      </c>
      <c r="K405" s="9">
        <f t="shared" si="4"/>
        <v>45597</v>
      </c>
      <c r="L405" s="7" t="str">
        <f t="shared" si="5"/>
        <v/>
      </c>
      <c r="M405" s="7" t="str">
        <f>IFERROR(__xludf.DUMMYFUNCTION("IFERROR(
  IF(
    F405 &gt;
    3*AVERAGE(
       FILTER($F$2:$F10491,
         $G$2:$G10491=G405,
         $A$2:$A10491&gt;=A405-20,
         $A$2:$A10491&lt;=A405
       )
    ),
    ""VOL_SPIKE_3X"",""""
  ),
"""")
"),"")</f>
        <v/>
      </c>
      <c r="N405" s="7" t="str">
        <f t="shared" si="6"/>
        <v/>
      </c>
      <c r="O405" s="7" t="str">
        <f t="shared" si="7"/>
        <v/>
      </c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>
        <f>IFERROR(__xludf.DUMMYFUNCTION("""COMPUTED_VALUE"""),45609.0)</f>
        <v>45609</v>
      </c>
      <c r="B406" s="6">
        <f>IFERROR(__xludf.DUMMYFUNCTION("""COMPUTED_VALUE"""),375.0)</f>
        <v>375</v>
      </c>
      <c r="C406" s="6">
        <f>IFERROR(__xludf.DUMMYFUNCTION("""COMPUTED_VALUE"""),377.9)</f>
        <v>377.9</v>
      </c>
      <c r="D406" s="6">
        <f>IFERROR(__xludf.DUMMYFUNCTION("""COMPUTED_VALUE"""),367.75)</f>
        <v>367.75</v>
      </c>
      <c r="E406" s="6">
        <f>IFERROR(__xludf.DUMMYFUNCTION("""COMPUTED_VALUE"""),371.4)</f>
        <v>371.4</v>
      </c>
      <c r="F406" s="7">
        <f>IFERROR(__xludf.DUMMYFUNCTION("""COMPUTED_VALUE"""),4346895.0)</f>
        <v>4346895</v>
      </c>
      <c r="G406" s="7" t="str">
        <f>IFERROR(__xludf.DUMMYFUNCTION("""COMPUTED_VALUE"""),"HINDPETRO.NS")</f>
        <v>HINDPETRO.NS</v>
      </c>
      <c r="H406" s="8">
        <f t="shared" si="1"/>
        <v>-0.0096</v>
      </c>
      <c r="I406" s="8">
        <f t="shared" si="2"/>
        <v>0.0096</v>
      </c>
      <c r="J406" s="7" t="str">
        <f t="shared" si="3"/>
        <v>Nov-2024</v>
      </c>
      <c r="K406" s="9">
        <f t="shared" si="4"/>
        <v>45597</v>
      </c>
      <c r="L406" s="7" t="str">
        <f t="shared" si="5"/>
        <v/>
      </c>
      <c r="M406" s="7" t="str">
        <f>IFERROR(__xludf.DUMMYFUNCTION("IFERROR(
  IF(
    F406 &gt;
    3*AVERAGE(
       FILTER($F$2:$F10491,
         $G$2:$G10491=G406,
         $A$2:$A10491&gt;=A406-20,
         $A$2:$A10491&lt;=A406
       )
    ),
    ""VOL_SPIKE_3X"",""""
  ),
"""")
"),"")</f>
        <v/>
      </c>
      <c r="N406" s="7" t="str">
        <f t="shared" si="6"/>
        <v/>
      </c>
      <c r="O406" s="7" t="str">
        <f t="shared" si="7"/>
        <v/>
      </c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>
        <f>IFERROR(__xludf.DUMMYFUNCTION("""COMPUTED_VALUE"""),45609.0)</f>
        <v>45609</v>
      </c>
      <c r="B407" s="6">
        <f>IFERROR(__xludf.DUMMYFUNCTION("""COMPUTED_VALUE"""),138.24)</f>
        <v>138.24</v>
      </c>
      <c r="C407" s="6">
        <f>IFERROR(__xludf.DUMMYFUNCTION("""COMPUTED_VALUE"""),139.3)</f>
        <v>139.3</v>
      </c>
      <c r="D407" s="6">
        <f>IFERROR(__xludf.DUMMYFUNCTION("""COMPUTED_VALUE"""),135.5)</f>
        <v>135.5</v>
      </c>
      <c r="E407" s="6">
        <f>IFERROR(__xludf.DUMMYFUNCTION("""COMPUTED_VALUE"""),135.99)</f>
        <v>135.99</v>
      </c>
      <c r="F407" s="7">
        <f>IFERROR(__xludf.DUMMYFUNCTION("""COMPUTED_VALUE"""),1.2503679E7)</f>
        <v>12503679</v>
      </c>
      <c r="G407" s="7" t="str">
        <f>IFERROR(__xludf.DUMMYFUNCTION("""COMPUTED_VALUE"""),"IOC.NS")</f>
        <v>IOC.NS</v>
      </c>
      <c r="H407" s="8">
        <f t="shared" si="1"/>
        <v>-0.01627604167</v>
      </c>
      <c r="I407" s="8">
        <f t="shared" si="2"/>
        <v>0.01627604167</v>
      </c>
      <c r="J407" s="7" t="str">
        <f t="shared" si="3"/>
        <v>Nov-2024</v>
      </c>
      <c r="K407" s="9">
        <f t="shared" si="4"/>
        <v>45597</v>
      </c>
      <c r="L407" s="7" t="str">
        <f t="shared" si="5"/>
        <v/>
      </c>
      <c r="M407" s="7" t="str">
        <f>IFERROR(__xludf.DUMMYFUNCTION("IFERROR(
  IF(
    F407 &gt;
    3*AVERAGE(
       FILTER($F$2:$F10491,
         $G$2:$G10491=G407,
         $A$2:$A10491&gt;=A407-20,
         $A$2:$A10491&lt;=A407
       )
    ),
    ""VOL_SPIKE_3X"",""""
  ),
"""")
"),"")</f>
        <v/>
      </c>
      <c r="N407" s="7" t="str">
        <f t="shared" si="6"/>
        <v/>
      </c>
      <c r="O407" s="7" t="str">
        <f t="shared" si="7"/>
        <v/>
      </c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>
        <f>IFERROR(__xludf.DUMMYFUNCTION("""COMPUTED_VALUE"""),45609.0)</f>
        <v>45609</v>
      </c>
      <c r="B408" s="6">
        <f>IFERROR(__xludf.DUMMYFUNCTION("""COMPUTED_VALUE"""),384.0)</f>
        <v>384</v>
      </c>
      <c r="C408" s="6">
        <f>IFERROR(__xludf.DUMMYFUNCTION("""COMPUTED_VALUE"""),387.6)</f>
        <v>387.6</v>
      </c>
      <c r="D408" s="6">
        <f>IFERROR(__xludf.DUMMYFUNCTION("""COMPUTED_VALUE"""),379.35)</f>
        <v>379.35</v>
      </c>
      <c r="E408" s="6">
        <f>IFERROR(__xludf.DUMMYFUNCTION("""COMPUTED_VALUE"""),381.35)</f>
        <v>381.35</v>
      </c>
      <c r="F408" s="7">
        <f>IFERROR(__xludf.DUMMYFUNCTION("""COMPUTED_VALUE"""),2.0602407E7)</f>
        <v>20602407</v>
      </c>
      <c r="G408" s="7" t="str">
        <f>IFERROR(__xludf.DUMMYFUNCTION("""COMPUTED_VALUE"""),"NTPC.NS")</f>
        <v>NTPC.NS</v>
      </c>
      <c r="H408" s="8">
        <f t="shared" si="1"/>
        <v>-0.006901041667</v>
      </c>
      <c r="I408" s="8">
        <f t="shared" si="2"/>
        <v>0.006901041667</v>
      </c>
      <c r="J408" s="7" t="str">
        <f t="shared" si="3"/>
        <v>Nov-2024</v>
      </c>
      <c r="K408" s="9">
        <f t="shared" si="4"/>
        <v>45597</v>
      </c>
      <c r="L408" s="7" t="str">
        <f t="shared" si="5"/>
        <v/>
      </c>
      <c r="M408" s="7" t="str">
        <f>IFERROR(__xludf.DUMMYFUNCTION("IFERROR(
  IF(
    F408 &gt;
    3*AVERAGE(
       FILTER($F$2:$F10491,
         $G$2:$G10491=G408,
         $A$2:$A10491&gt;=A408-20,
         $A$2:$A10491&lt;=A408
       )
    ),
    ""VOL_SPIKE_3X"",""""
  ),
"""")
"),"")</f>
        <v/>
      </c>
      <c r="N408" s="7" t="str">
        <f t="shared" si="6"/>
        <v/>
      </c>
      <c r="O408" s="7" t="str">
        <f t="shared" si="7"/>
        <v/>
      </c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>
        <f>IFERROR(__xludf.DUMMYFUNCTION("""COMPUTED_VALUE"""),45609.0)</f>
        <v>45609</v>
      </c>
      <c r="B409" s="6">
        <f>IFERROR(__xludf.DUMMYFUNCTION("""COMPUTED_VALUE"""),256.15)</f>
        <v>256.15</v>
      </c>
      <c r="C409" s="6">
        <f>IFERROR(__xludf.DUMMYFUNCTION("""COMPUTED_VALUE"""),256.95)</f>
        <v>256.95</v>
      </c>
      <c r="D409" s="6">
        <f>IFERROR(__xludf.DUMMYFUNCTION("""COMPUTED_VALUE"""),249.0)</f>
        <v>249</v>
      </c>
      <c r="E409" s="6">
        <f>IFERROR(__xludf.DUMMYFUNCTION("""COMPUTED_VALUE"""),252.55)</f>
        <v>252.55</v>
      </c>
      <c r="F409" s="7">
        <f>IFERROR(__xludf.DUMMYFUNCTION("""COMPUTED_VALUE"""),1.7483332E7)</f>
        <v>17483332</v>
      </c>
      <c r="G409" s="7" t="str">
        <f>IFERROR(__xludf.DUMMYFUNCTION("""COMPUTED_VALUE"""),"ONGC.NS")</f>
        <v>ONGC.NS</v>
      </c>
      <c r="H409" s="8">
        <f t="shared" si="1"/>
        <v>-0.01405426508</v>
      </c>
      <c r="I409" s="8">
        <f t="shared" si="2"/>
        <v>0.01405426508</v>
      </c>
      <c r="J409" s="7" t="str">
        <f t="shared" si="3"/>
        <v>Nov-2024</v>
      </c>
      <c r="K409" s="9">
        <f t="shared" si="4"/>
        <v>45597</v>
      </c>
      <c r="L409" s="7" t="str">
        <f t="shared" si="5"/>
        <v/>
      </c>
      <c r="M409" s="7" t="str">
        <f>IFERROR(__xludf.DUMMYFUNCTION("IFERROR(
  IF(
    F409 &gt;
    3*AVERAGE(
       FILTER($F$2:$F10491,
         $G$2:$G10491=G409,
         $A$2:$A10491&gt;=A409-20,
         $A$2:$A10491&lt;=A409
       )
    ),
    ""VOL_SPIKE_3X"",""""
  ),
"""")
"),"")</f>
        <v/>
      </c>
      <c r="N409" s="7" t="str">
        <f t="shared" si="6"/>
        <v/>
      </c>
      <c r="O409" s="7" t="str">
        <f t="shared" si="7"/>
        <v/>
      </c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>
        <f>IFERROR(__xludf.DUMMYFUNCTION("""COMPUTED_VALUE"""),45609.0)</f>
        <v>45609</v>
      </c>
      <c r="B410" s="6">
        <f>IFERROR(__xludf.DUMMYFUNCTION("""COMPUTED_VALUE"""),322.65)</f>
        <v>322.65</v>
      </c>
      <c r="C410" s="6">
        <f>IFERROR(__xludf.DUMMYFUNCTION("""COMPUTED_VALUE"""),324.6)</f>
        <v>324.6</v>
      </c>
      <c r="D410" s="6">
        <f>IFERROR(__xludf.DUMMYFUNCTION("""COMPUTED_VALUE"""),317.15)</f>
        <v>317.15</v>
      </c>
      <c r="E410" s="6">
        <f>IFERROR(__xludf.DUMMYFUNCTION("""COMPUTED_VALUE"""),318.0)</f>
        <v>318</v>
      </c>
      <c r="F410" s="7">
        <f>IFERROR(__xludf.DUMMYFUNCTION("""COMPUTED_VALUE"""),1.2918639E7)</f>
        <v>12918639</v>
      </c>
      <c r="G410" s="7" t="str">
        <f>IFERROR(__xludf.DUMMYFUNCTION("""COMPUTED_VALUE"""),"POWERGRID.NS")</f>
        <v>POWERGRID.NS</v>
      </c>
      <c r="H410" s="8">
        <f t="shared" si="1"/>
        <v>-0.01441190144</v>
      </c>
      <c r="I410" s="8">
        <f t="shared" si="2"/>
        <v>0.01441190144</v>
      </c>
      <c r="J410" s="7" t="str">
        <f t="shared" si="3"/>
        <v>Nov-2024</v>
      </c>
      <c r="K410" s="9">
        <f t="shared" si="4"/>
        <v>45597</v>
      </c>
      <c r="L410" s="7" t="str">
        <f t="shared" si="5"/>
        <v/>
      </c>
      <c r="M410" s="7" t="str">
        <f>IFERROR(__xludf.DUMMYFUNCTION("IFERROR(
  IF(
    F410 &gt;
    3*AVERAGE(
       FILTER($F$2:$F10491,
         $G$2:$G10491=G410,
         $A$2:$A10491&gt;=A410-20,
         $A$2:$A10491&lt;=A410
       )
    ),
    ""VOL_SPIKE_3X"",""""
  ),
"""")
"),"")</f>
        <v/>
      </c>
      <c r="N410" s="7" t="str">
        <f t="shared" si="6"/>
        <v/>
      </c>
      <c r="O410" s="7" t="str">
        <f t="shared" si="7"/>
        <v/>
      </c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>
        <f>IFERROR(__xludf.DUMMYFUNCTION("""COMPUTED_VALUE"""),45609.0)</f>
        <v>45609</v>
      </c>
      <c r="B411" s="6">
        <f>IFERROR(__xludf.DUMMYFUNCTION("""COMPUTED_VALUE"""),1270.25)</f>
        <v>1270.25</v>
      </c>
      <c r="C411" s="6">
        <f>IFERROR(__xludf.DUMMYFUNCTION("""COMPUTED_VALUE"""),1275.45)</f>
        <v>1275.45</v>
      </c>
      <c r="D411" s="6">
        <f>IFERROR(__xludf.DUMMYFUNCTION("""COMPUTED_VALUE"""),1249.5)</f>
        <v>1249.5</v>
      </c>
      <c r="E411" s="6">
        <f>IFERROR(__xludf.DUMMYFUNCTION("""COMPUTED_VALUE"""),1252.05)</f>
        <v>1252.05</v>
      </c>
      <c r="F411" s="7">
        <f>IFERROR(__xludf.DUMMYFUNCTION("""COMPUTED_VALUE"""),1.4633633E7)</f>
        <v>14633633</v>
      </c>
      <c r="G411" s="7" t="str">
        <f>IFERROR(__xludf.DUMMYFUNCTION("""COMPUTED_VALUE"""),"RELIANCE.NS")</f>
        <v>RELIANCE.NS</v>
      </c>
      <c r="H411" s="8">
        <f t="shared" si="1"/>
        <v>-0.01432788821</v>
      </c>
      <c r="I411" s="8">
        <f t="shared" si="2"/>
        <v>0.01432788821</v>
      </c>
      <c r="J411" s="7" t="str">
        <f t="shared" si="3"/>
        <v>Nov-2024</v>
      </c>
      <c r="K411" s="9">
        <f t="shared" si="4"/>
        <v>45597</v>
      </c>
      <c r="L411" s="7" t="str">
        <f t="shared" si="5"/>
        <v/>
      </c>
      <c r="M411" s="7" t="str">
        <f>IFERROR(__xludf.DUMMYFUNCTION("IFERROR(
  IF(
    F411 &gt;
    3*AVERAGE(
       FILTER($F$2:$F10491,
         $G$2:$G10491=G411,
         $A$2:$A10491&gt;=A411-20,
         $A$2:$A10491&lt;=A411
       )
    ),
    ""VOL_SPIKE_3X"",""""
  ),
"""")
"),"")</f>
        <v/>
      </c>
      <c r="N411" s="7" t="str">
        <f t="shared" si="6"/>
        <v/>
      </c>
      <c r="O411" s="7" t="str">
        <f t="shared" si="7"/>
        <v/>
      </c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>
        <f>IFERROR(__xludf.DUMMYFUNCTION("""COMPUTED_VALUE"""),45610.0)</f>
        <v>45610</v>
      </c>
      <c r="B412" s="6">
        <f>IFERROR(__xludf.DUMMYFUNCTION("""COMPUTED_VALUE"""),900.0)</f>
        <v>900</v>
      </c>
      <c r="C412" s="6">
        <f>IFERROR(__xludf.DUMMYFUNCTION("""COMPUTED_VALUE"""),905.95)</f>
        <v>905.95</v>
      </c>
      <c r="D412" s="6">
        <f>IFERROR(__xludf.DUMMYFUNCTION("""COMPUTED_VALUE"""),875.85)</f>
        <v>875.85</v>
      </c>
      <c r="E412" s="6">
        <f>IFERROR(__xludf.DUMMYFUNCTION("""COMPUTED_VALUE"""),879.7)</f>
        <v>879.7</v>
      </c>
      <c r="F412" s="7">
        <f>IFERROR(__xludf.DUMMYFUNCTION("""COMPUTED_VALUE"""),1903461.0)</f>
        <v>1903461</v>
      </c>
      <c r="G412" s="7" t="str">
        <f>IFERROR(__xludf.DUMMYFUNCTION("""COMPUTED_VALUE"""),"ADANIENSOL.NS")</f>
        <v>ADANIENSOL.NS</v>
      </c>
      <c r="H412" s="8">
        <f t="shared" si="1"/>
        <v>-0.02255555556</v>
      </c>
      <c r="I412" s="8">
        <f t="shared" si="2"/>
        <v>0.02255555556</v>
      </c>
      <c r="J412" s="7" t="str">
        <f t="shared" si="3"/>
        <v>Nov-2024</v>
      </c>
      <c r="K412" s="9">
        <f t="shared" si="4"/>
        <v>45597</v>
      </c>
      <c r="L412" s="7" t="str">
        <f t="shared" si="5"/>
        <v/>
      </c>
      <c r="M412" s="7" t="str">
        <f>IFERROR(__xludf.DUMMYFUNCTION("IFERROR(
  IF(
    F412 &gt;
    3*AVERAGE(
       FILTER($F$2:$F10491,
         $G$2:$G10491=G412,
         $A$2:$A10491&gt;=A412-20,
         $A$2:$A10491&lt;=A412
       )
    ),
    ""VOL_SPIKE_3X"",""""
  ),
"""")
"),"")</f>
        <v/>
      </c>
      <c r="N412" s="7" t="str">
        <f t="shared" si="6"/>
        <v/>
      </c>
      <c r="O412" s="7" t="str">
        <f t="shared" si="7"/>
        <v/>
      </c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>
        <f>IFERROR(__xludf.DUMMYFUNCTION("""COMPUTED_VALUE"""),45610.0)</f>
        <v>45610</v>
      </c>
      <c r="B413" s="6">
        <f>IFERROR(__xludf.DUMMYFUNCTION("""COMPUTED_VALUE"""),1480.0)</f>
        <v>1480</v>
      </c>
      <c r="C413" s="6">
        <f>IFERROR(__xludf.DUMMYFUNCTION("""COMPUTED_VALUE"""),1519.95)</f>
        <v>1519.95</v>
      </c>
      <c r="D413" s="6">
        <f>IFERROR(__xludf.DUMMYFUNCTION("""COMPUTED_VALUE"""),1473.85)</f>
        <v>1473.85</v>
      </c>
      <c r="E413" s="6">
        <f>IFERROR(__xludf.DUMMYFUNCTION("""COMPUTED_VALUE"""),1490.3)</f>
        <v>1490.3</v>
      </c>
      <c r="F413" s="7">
        <f>IFERROR(__xludf.DUMMYFUNCTION("""COMPUTED_VALUE"""),571469.0)</f>
        <v>571469</v>
      </c>
      <c r="G413" s="7" t="str">
        <f>IFERROR(__xludf.DUMMYFUNCTION("""COMPUTED_VALUE"""),"ADANIGREEN.NS")</f>
        <v>ADANIGREEN.NS</v>
      </c>
      <c r="H413" s="8">
        <f t="shared" si="1"/>
        <v>0.006959459459</v>
      </c>
      <c r="I413" s="8">
        <f t="shared" si="2"/>
        <v>0.006959459459</v>
      </c>
      <c r="J413" s="7" t="str">
        <f t="shared" si="3"/>
        <v>Nov-2024</v>
      </c>
      <c r="K413" s="9">
        <f t="shared" si="4"/>
        <v>45597</v>
      </c>
      <c r="L413" s="7" t="str">
        <f t="shared" si="5"/>
        <v/>
      </c>
      <c r="M413" s="7" t="str">
        <f>IFERROR(__xludf.DUMMYFUNCTION("IFERROR(
  IF(
    F413 &gt;
    3*AVERAGE(
       FILTER($F$2:$F10491,
         $G$2:$G10491=G413,
         $A$2:$A10491&gt;=A413-20,
         $A$2:$A10491&lt;=A413
       )
    ),
    ""VOL_SPIKE_3X"",""""
  ),
"""")
"),"")</f>
        <v/>
      </c>
      <c r="N413" s="7" t="str">
        <f t="shared" si="6"/>
        <v/>
      </c>
      <c r="O413" s="7" t="str">
        <f t="shared" si="7"/>
        <v/>
      </c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>
        <f>IFERROR(__xludf.DUMMYFUNCTION("""COMPUTED_VALUE"""),45610.0)</f>
        <v>45610</v>
      </c>
      <c r="B414" s="6">
        <f>IFERROR(__xludf.DUMMYFUNCTION("""COMPUTED_VALUE"""),305.8)</f>
        <v>305.8</v>
      </c>
      <c r="C414" s="6">
        <f>IFERROR(__xludf.DUMMYFUNCTION("""COMPUTED_VALUE"""),306.0)</f>
        <v>306</v>
      </c>
      <c r="D414" s="6">
        <f>IFERROR(__xludf.DUMMYFUNCTION("""COMPUTED_VALUE"""),296.4)</f>
        <v>296.4</v>
      </c>
      <c r="E414" s="6">
        <f>IFERROR(__xludf.DUMMYFUNCTION("""COMPUTED_VALUE"""),298.2)</f>
        <v>298.2</v>
      </c>
      <c r="F414" s="7">
        <f>IFERROR(__xludf.DUMMYFUNCTION("""COMPUTED_VALUE"""),1.1061057E7)</f>
        <v>11061057</v>
      </c>
      <c r="G414" s="7" t="str">
        <f>IFERROR(__xludf.DUMMYFUNCTION("""COMPUTED_VALUE"""),"BPCL.NS")</f>
        <v>BPCL.NS</v>
      </c>
      <c r="H414" s="8">
        <f t="shared" si="1"/>
        <v>-0.024852845</v>
      </c>
      <c r="I414" s="8">
        <f t="shared" si="2"/>
        <v>0.024852845</v>
      </c>
      <c r="J414" s="7" t="str">
        <f t="shared" si="3"/>
        <v>Nov-2024</v>
      </c>
      <c r="K414" s="9">
        <f t="shared" si="4"/>
        <v>45597</v>
      </c>
      <c r="L414" s="7" t="str">
        <f t="shared" si="5"/>
        <v/>
      </c>
      <c r="M414" s="7" t="str">
        <f>IFERROR(__xludf.DUMMYFUNCTION("IFERROR(
  IF(
    F414 &gt;
    3*AVERAGE(
       FILTER($F$2:$F10491,
         $G$2:$G10491=G414,
         $A$2:$A10491&gt;=A414-20,
         $A$2:$A10491&lt;=A414
       )
    ),
    ""VOL_SPIKE_3X"",""""
  ),
"""")
"),"")</f>
        <v/>
      </c>
      <c r="N414" s="7" t="str">
        <f t="shared" si="6"/>
        <v/>
      </c>
      <c r="O414" s="7" t="str">
        <f t="shared" si="7"/>
        <v/>
      </c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>
        <f>IFERROR(__xludf.DUMMYFUNCTION("""COMPUTED_VALUE"""),45610.0)</f>
        <v>45610</v>
      </c>
      <c r="B415" s="6">
        <f>IFERROR(__xludf.DUMMYFUNCTION("""COMPUTED_VALUE"""),407.2)</f>
        <v>407.2</v>
      </c>
      <c r="C415" s="6">
        <f>IFERROR(__xludf.DUMMYFUNCTION("""COMPUTED_VALUE"""),413.35)</f>
        <v>413.35</v>
      </c>
      <c r="D415" s="6">
        <f>IFERROR(__xludf.DUMMYFUNCTION("""COMPUTED_VALUE"""),402.6)</f>
        <v>402.6</v>
      </c>
      <c r="E415" s="6">
        <f>IFERROR(__xludf.DUMMYFUNCTION("""COMPUTED_VALUE"""),409.75)</f>
        <v>409.75</v>
      </c>
      <c r="F415" s="7">
        <f>IFERROR(__xludf.DUMMYFUNCTION("""COMPUTED_VALUE"""),8776485.0)</f>
        <v>8776485</v>
      </c>
      <c r="G415" s="7" t="str">
        <f>IFERROR(__xludf.DUMMYFUNCTION("""COMPUTED_VALUE"""),"COALINDIA.NS")</f>
        <v>COALINDIA.NS</v>
      </c>
      <c r="H415" s="8">
        <f t="shared" si="1"/>
        <v>0.006262278978</v>
      </c>
      <c r="I415" s="8">
        <f t="shared" si="2"/>
        <v>0.006262278978</v>
      </c>
      <c r="J415" s="7" t="str">
        <f t="shared" si="3"/>
        <v>Nov-2024</v>
      </c>
      <c r="K415" s="9">
        <f t="shared" si="4"/>
        <v>45597</v>
      </c>
      <c r="L415" s="7" t="str">
        <f t="shared" si="5"/>
        <v/>
      </c>
      <c r="M415" s="7" t="str">
        <f>IFERROR(__xludf.DUMMYFUNCTION("IFERROR(
  IF(
    F415 &gt;
    3*AVERAGE(
       FILTER($F$2:$F10491,
         $G$2:$G10491=G415,
         $A$2:$A10491&gt;=A415-20,
         $A$2:$A10491&lt;=A415
       )
    ),
    ""VOL_SPIKE_3X"",""""
  ),
"""")
"),"")</f>
        <v/>
      </c>
      <c r="N415" s="7" t="str">
        <f t="shared" si="6"/>
        <v/>
      </c>
      <c r="O415" s="7" t="str">
        <f t="shared" si="7"/>
        <v/>
      </c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>
        <f>IFERROR(__xludf.DUMMYFUNCTION("""COMPUTED_VALUE"""),45610.0)</f>
        <v>45610</v>
      </c>
      <c r="B416" s="6">
        <f>IFERROR(__xludf.DUMMYFUNCTION("""COMPUTED_VALUE"""),372.5)</f>
        <v>372.5</v>
      </c>
      <c r="C416" s="6">
        <f>IFERROR(__xludf.DUMMYFUNCTION("""COMPUTED_VALUE"""),379.3)</f>
        <v>379.3</v>
      </c>
      <c r="D416" s="6">
        <f>IFERROR(__xludf.DUMMYFUNCTION("""COMPUTED_VALUE"""),365.45)</f>
        <v>365.45</v>
      </c>
      <c r="E416" s="6">
        <f>IFERROR(__xludf.DUMMYFUNCTION("""COMPUTED_VALUE"""),372.4)</f>
        <v>372.4</v>
      </c>
      <c r="F416" s="7">
        <f>IFERROR(__xludf.DUMMYFUNCTION("""COMPUTED_VALUE"""),5809877.0)</f>
        <v>5809877</v>
      </c>
      <c r="G416" s="7" t="str">
        <f>IFERROR(__xludf.DUMMYFUNCTION("""COMPUTED_VALUE"""),"HINDPETRO.NS")</f>
        <v>HINDPETRO.NS</v>
      </c>
      <c r="H416" s="8">
        <f t="shared" si="1"/>
        <v>-0.0002684563758</v>
      </c>
      <c r="I416" s="8">
        <f t="shared" si="2"/>
        <v>0.0002684563758</v>
      </c>
      <c r="J416" s="7" t="str">
        <f t="shared" si="3"/>
        <v>Nov-2024</v>
      </c>
      <c r="K416" s="9">
        <f t="shared" si="4"/>
        <v>45597</v>
      </c>
      <c r="L416" s="7" t="str">
        <f t="shared" si="5"/>
        <v/>
      </c>
      <c r="M416" s="7" t="str">
        <f>IFERROR(__xludf.DUMMYFUNCTION("IFERROR(
  IF(
    F416 &gt;
    3*AVERAGE(
       FILTER($F$2:$F10491,
         $G$2:$G10491=G416,
         $A$2:$A10491&gt;=A416-20,
         $A$2:$A10491&lt;=A416
       )
    ),
    ""VOL_SPIKE_3X"",""""
  ),
"""")
"),"")</f>
        <v/>
      </c>
      <c r="N416" s="7" t="str">
        <f t="shared" si="6"/>
        <v/>
      </c>
      <c r="O416" s="7" t="str">
        <f t="shared" si="7"/>
        <v/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>
        <f>IFERROR(__xludf.DUMMYFUNCTION("""COMPUTED_VALUE"""),45610.0)</f>
        <v>45610</v>
      </c>
      <c r="B417" s="6">
        <f>IFERROR(__xludf.DUMMYFUNCTION("""COMPUTED_VALUE"""),135.5)</f>
        <v>135.5</v>
      </c>
      <c r="C417" s="6">
        <f>IFERROR(__xludf.DUMMYFUNCTION("""COMPUTED_VALUE"""),136.84)</f>
        <v>136.84</v>
      </c>
      <c r="D417" s="6">
        <f>IFERROR(__xludf.DUMMYFUNCTION("""COMPUTED_VALUE"""),133.75)</f>
        <v>133.75</v>
      </c>
      <c r="E417" s="6">
        <f>IFERROR(__xludf.DUMMYFUNCTION("""COMPUTED_VALUE"""),134.76)</f>
        <v>134.76</v>
      </c>
      <c r="F417" s="7">
        <f>IFERROR(__xludf.DUMMYFUNCTION("""COMPUTED_VALUE"""),1.7425507E7)</f>
        <v>17425507</v>
      </c>
      <c r="G417" s="7" t="str">
        <f>IFERROR(__xludf.DUMMYFUNCTION("""COMPUTED_VALUE"""),"IOC.NS")</f>
        <v>IOC.NS</v>
      </c>
      <c r="H417" s="8">
        <f t="shared" si="1"/>
        <v>-0.005461254613</v>
      </c>
      <c r="I417" s="8">
        <f t="shared" si="2"/>
        <v>0.005461254613</v>
      </c>
      <c r="J417" s="7" t="str">
        <f t="shared" si="3"/>
        <v>Nov-2024</v>
      </c>
      <c r="K417" s="9">
        <f t="shared" si="4"/>
        <v>45597</v>
      </c>
      <c r="L417" s="7" t="str">
        <f t="shared" si="5"/>
        <v/>
      </c>
      <c r="M417" s="7" t="str">
        <f>IFERROR(__xludf.DUMMYFUNCTION("IFERROR(
  IF(
    F417 &gt;
    3*AVERAGE(
       FILTER($F$2:$F10491,
         $G$2:$G10491=G417,
         $A$2:$A10491&gt;=A417-20,
         $A$2:$A10491&lt;=A417
       )
    ),
    ""VOL_SPIKE_3X"",""""
  ),
"""")
"),"")</f>
        <v/>
      </c>
      <c r="N417" s="7" t="str">
        <f t="shared" si="6"/>
        <v/>
      </c>
      <c r="O417" s="7" t="str">
        <f t="shared" si="7"/>
        <v/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>
        <f>IFERROR(__xludf.DUMMYFUNCTION("""COMPUTED_VALUE"""),45610.0)</f>
        <v>45610</v>
      </c>
      <c r="B418" s="6">
        <f>IFERROR(__xludf.DUMMYFUNCTION("""COMPUTED_VALUE"""),380.05)</f>
        <v>380.05</v>
      </c>
      <c r="C418" s="6">
        <f>IFERROR(__xludf.DUMMYFUNCTION("""COMPUTED_VALUE"""),385.2)</f>
        <v>385.2</v>
      </c>
      <c r="D418" s="6">
        <f>IFERROR(__xludf.DUMMYFUNCTION("""COMPUTED_VALUE"""),371.35)</f>
        <v>371.35</v>
      </c>
      <c r="E418" s="6">
        <f>IFERROR(__xludf.DUMMYFUNCTION("""COMPUTED_VALUE"""),372.5)</f>
        <v>372.5</v>
      </c>
      <c r="F418" s="7">
        <f>IFERROR(__xludf.DUMMYFUNCTION("""COMPUTED_VALUE"""),1.5086601E7)</f>
        <v>15086601</v>
      </c>
      <c r="G418" s="7" t="str">
        <f>IFERROR(__xludf.DUMMYFUNCTION("""COMPUTED_VALUE"""),"NTPC.NS")</f>
        <v>NTPC.NS</v>
      </c>
      <c r="H418" s="8">
        <f t="shared" si="1"/>
        <v>-0.01986580713</v>
      </c>
      <c r="I418" s="8">
        <f t="shared" si="2"/>
        <v>0.01986580713</v>
      </c>
      <c r="J418" s="7" t="str">
        <f t="shared" si="3"/>
        <v>Nov-2024</v>
      </c>
      <c r="K418" s="9">
        <f t="shared" si="4"/>
        <v>45597</v>
      </c>
      <c r="L418" s="7" t="str">
        <f t="shared" si="5"/>
        <v/>
      </c>
      <c r="M418" s="7" t="str">
        <f>IFERROR(__xludf.DUMMYFUNCTION("IFERROR(
  IF(
    F418 &gt;
    3*AVERAGE(
       FILTER($F$2:$F10491,
         $G$2:$G10491=G418,
         $A$2:$A10491&gt;=A418-20,
         $A$2:$A10491&lt;=A418
       )
    ),
    ""VOL_SPIKE_3X"",""""
  ),
"""")
"),"")</f>
        <v/>
      </c>
      <c r="N418" s="7" t="str">
        <f t="shared" si="6"/>
        <v/>
      </c>
      <c r="O418" s="7" t="str">
        <f t="shared" si="7"/>
        <v/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>
        <f>IFERROR(__xludf.DUMMYFUNCTION("""COMPUTED_VALUE"""),45610.0)</f>
        <v>45610</v>
      </c>
      <c r="B419" s="6">
        <f>IFERROR(__xludf.DUMMYFUNCTION("""COMPUTED_VALUE"""),252.55)</f>
        <v>252.55</v>
      </c>
      <c r="C419" s="6">
        <f>IFERROR(__xludf.DUMMYFUNCTION("""COMPUTED_VALUE"""),254.3)</f>
        <v>254.3</v>
      </c>
      <c r="D419" s="6">
        <f>IFERROR(__xludf.DUMMYFUNCTION("""COMPUTED_VALUE"""),249.0)</f>
        <v>249</v>
      </c>
      <c r="E419" s="6">
        <f>IFERROR(__xludf.DUMMYFUNCTION("""COMPUTED_VALUE"""),250.8)</f>
        <v>250.8</v>
      </c>
      <c r="F419" s="7">
        <f>IFERROR(__xludf.DUMMYFUNCTION("""COMPUTED_VALUE"""),1.245454E7)</f>
        <v>12454540</v>
      </c>
      <c r="G419" s="7" t="str">
        <f>IFERROR(__xludf.DUMMYFUNCTION("""COMPUTED_VALUE"""),"ONGC.NS")</f>
        <v>ONGC.NS</v>
      </c>
      <c r="H419" s="8">
        <f t="shared" si="1"/>
        <v>-0.006929320927</v>
      </c>
      <c r="I419" s="8">
        <f t="shared" si="2"/>
        <v>0.006929320927</v>
      </c>
      <c r="J419" s="7" t="str">
        <f t="shared" si="3"/>
        <v>Nov-2024</v>
      </c>
      <c r="K419" s="9">
        <f t="shared" si="4"/>
        <v>45597</v>
      </c>
      <c r="L419" s="7" t="str">
        <f t="shared" si="5"/>
        <v/>
      </c>
      <c r="M419" s="7" t="str">
        <f>IFERROR(__xludf.DUMMYFUNCTION("IFERROR(
  IF(
    F419 &gt;
    3*AVERAGE(
       FILTER($F$2:$F10491,
         $G$2:$G10491=G419,
         $A$2:$A10491&gt;=A419-20,
         $A$2:$A10491&lt;=A419
       )
    ),
    ""VOL_SPIKE_3X"",""""
  ),
"""")
"),"")</f>
        <v/>
      </c>
      <c r="N419" s="7" t="str">
        <f t="shared" si="6"/>
        <v/>
      </c>
      <c r="O419" s="7" t="str">
        <f t="shared" si="7"/>
        <v/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>
        <f>IFERROR(__xludf.DUMMYFUNCTION("""COMPUTED_VALUE"""),45610.0)</f>
        <v>45610</v>
      </c>
      <c r="B420" s="6">
        <f>IFERROR(__xludf.DUMMYFUNCTION("""COMPUTED_VALUE"""),315.1)</f>
        <v>315.1</v>
      </c>
      <c r="C420" s="6">
        <f>IFERROR(__xludf.DUMMYFUNCTION("""COMPUTED_VALUE"""),318.8)</f>
        <v>318.8</v>
      </c>
      <c r="D420" s="6">
        <f>IFERROR(__xludf.DUMMYFUNCTION("""COMPUTED_VALUE"""),310.6)</f>
        <v>310.6</v>
      </c>
      <c r="E420" s="6">
        <f>IFERROR(__xludf.DUMMYFUNCTION("""COMPUTED_VALUE"""),312.1)</f>
        <v>312.1</v>
      </c>
      <c r="F420" s="7">
        <f>IFERROR(__xludf.DUMMYFUNCTION("""COMPUTED_VALUE"""),1.2500377E7)</f>
        <v>12500377</v>
      </c>
      <c r="G420" s="7" t="str">
        <f>IFERROR(__xludf.DUMMYFUNCTION("""COMPUTED_VALUE"""),"POWERGRID.NS")</f>
        <v>POWERGRID.NS</v>
      </c>
      <c r="H420" s="8">
        <f t="shared" si="1"/>
        <v>-0.009520787052</v>
      </c>
      <c r="I420" s="8">
        <f t="shared" si="2"/>
        <v>0.009520787052</v>
      </c>
      <c r="J420" s="7" t="str">
        <f t="shared" si="3"/>
        <v>Nov-2024</v>
      </c>
      <c r="K420" s="9">
        <f t="shared" si="4"/>
        <v>45597</v>
      </c>
      <c r="L420" s="7" t="str">
        <f t="shared" si="5"/>
        <v/>
      </c>
      <c r="M420" s="7" t="str">
        <f>IFERROR(__xludf.DUMMYFUNCTION("IFERROR(
  IF(
    F420 &gt;
    3*AVERAGE(
       FILTER($F$2:$F10491,
         $G$2:$G10491=G420,
         $A$2:$A10491&gt;=A420-20,
         $A$2:$A10491&lt;=A420
       )
    ),
    ""VOL_SPIKE_3X"",""""
  ),
"""")
"),"")</f>
        <v/>
      </c>
      <c r="N420" s="7" t="str">
        <f t="shared" si="6"/>
        <v/>
      </c>
      <c r="O420" s="7" t="str">
        <f t="shared" si="7"/>
        <v/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>
        <f>IFERROR(__xludf.DUMMYFUNCTION("""COMPUTED_VALUE"""),45610.0)</f>
        <v>45610</v>
      </c>
      <c r="B421" s="6">
        <f>IFERROR(__xludf.DUMMYFUNCTION("""COMPUTED_VALUE"""),1253.6)</f>
        <v>1253.6</v>
      </c>
      <c r="C421" s="6">
        <f>IFERROR(__xludf.DUMMYFUNCTION("""COMPUTED_VALUE"""),1272.6)</f>
        <v>1272.6</v>
      </c>
      <c r="D421" s="6">
        <f>IFERROR(__xludf.DUMMYFUNCTION("""COMPUTED_VALUE"""),1251.1)</f>
        <v>1251.1</v>
      </c>
      <c r="E421" s="6">
        <f>IFERROR(__xludf.DUMMYFUNCTION("""COMPUTED_VALUE"""),1267.6)</f>
        <v>1267.6</v>
      </c>
      <c r="F421" s="7">
        <f>IFERROR(__xludf.DUMMYFUNCTION("""COMPUTED_VALUE"""),1.2612633E7)</f>
        <v>12612633</v>
      </c>
      <c r="G421" s="7" t="str">
        <f>IFERROR(__xludf.DUMMYFUNCTION("""COMPUTED_VALUE"""),"RELIANCE.NS")</f>
        <v>RELIANCE.NS</v>
      </c>
      <c r="H421" s="8">
        <f t="shared" si="1"/>
        <v>0.01116783663</v>
      </c>
      <c r="I421" s="8">
        <f t="shared" si="2"/>
        <v>0.01116783663</v>
      </c>
      <c r="J421" s="7" t="str">
        <f t="shared" si="3"/>
        <v>Nov-2024</v>
      </c>
      <c r="K421" s="9">
        <f t="shared" si="4"/>
        <v>45597</v>
      </c>
      <c r="L421" s="7" t="str">
        <f t="shared" si="5"/>
        <v/>
      </c>
      <c r="M421" s="7" t="str">
        <f>IFERROR(__xludf.DUMMYFUNCTION("IFERROR(
  IF(
    F421 &gt;
    3*AVERAGE(
       FILTER($F$2:$F10491,
         $G$2:$G10491=G421,
         $A$2:$A10491&gt;=A421-20,
         $A$2:$A10491&lt;=A421
       )
    ),
    ""VOL_SPIKE_3X"",""""
  ),
"""")
"),"")</f>
        <v/>
      </c>
      <c r="N421" s="7" t="str">
        <f t="shared" si="6"/>
        <v/>
      </c>
      <c r="O421" s="7" t="str">
        <f t="shared" si="7"/>
        <v/>
      </c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>
        <f>IFERROR(__xludf.DUMMYFUNCTION("""COMPUTED_VALUE"""),45614.0)</f>
        <v>45614</v>
      </c>
      <c r="B422" s="6">
        <f>IFERROR(__xludf.DUMMYFUNCTION("""COMPUTED_VALUE"""),888.0)</f>
        <v>888</v>
      </c>
      <c r="C422" s="6">
        <f>IFERROR(__xludf.DUMMYFUNCTION("""COMPUTED_VALUE"""),889.0)</f>
        <v>889</v>
      </c>
      <c r="D422" s="6">
        <f>IFERROR(__xludf.DUMMYFUNCTION("""COMPUTED_VALUE"""),855.0)</f>
        <v>855</v>
      </c>
      <c r="E422" s="6">
        <f>IFERROR(__xludf.DUMMYFUNCTION("""COMPUTED_VALUE"""),866.55)</f>
        <v>866.55</v>
      </c>
      <c r="F422" s="7">
        <f>IFERROR(__xludf.DUMMYFUNCTION("""COMPUTED_VALUE"""),1743209.0)</f>
        <v>1743209</v>
      </c>
      <c r="G422" s="7" t="str">
        <f>IFERROR(__xludf.DUMMYFUNCTION("""COMPUTED_VALUE"""),"ADANIENSOL.NS")</f>
        <v>ADANIENSOL.NS</v>
      </c>
      <c r="H422" s="8">
        <f t="shared" si="1"/>
        <v>-0.02415540541</v>
      </c>
      <c r="I422" s="8">
        <f t="shared" si="2"/>
        <v>0.02415540541</v>
      </c>
      <c r="J422" s="7" t="str">
        <f t="shared" si="3"/>
        <v>Nov-2024</v>
      </c>
      <c r="K422" s="9">
        <f t="shared" si="4"/>
        <v>45597</v>
      </c>
      <c r="L422" s="7" t="str">
        <f t="shared" si="5"/>
        <v/>
      </c>
      <c r="M422" s="7" t="str">
        <f>IFERROR(__xludf.DUMMYFUNCTION("IFERROR(
  IF(
    F422 &gt;
    3*AVERAGE(
       FILTER($F$2:$F10491,
         $G$2:$G10491=G422,
         $A$2:$A10491&gt;=A422-20,
         $A$2:$A10491&lt;=A422
       )
    ),
    ""VOL_SPIKE_3X"",""""
  ),
"""")
"),"")</f>
        <v/>
      </c>
      <c r="N422" s="7" t="str">
        <f t="shared" si="6"/>
        <v/>
      </c>
      <c r="O422" s="7" t="str">
        <f t="shared" si="7"/>
        <v/>
      </c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>
        <f>IFERROR(__xludf.DUMMYFUNCTION("""COMPUTED_VALUE"""),45614.0)</f>
        <v>45614</v>
      </c>
      <c r="B423" s="6">
        <f>IFERROR(__xludf.DUMMYFUNCTION("""COMPUTED_VALUE"""),1512.45)</f>
        <v>1512.45</v>
      </c>
      <c r="C423" s="6">
        <f>IFERROR(__xludf.DUMMYFUNCTION("""COMPUTED_VALUE"""),1517.75)</f>
        <v>1517.75</v>
      </c>
      <c r="D423" s="6">
        <f>IFERROR(__xludf.DUMMYFUNCTION("""COMPUTED_VALUE"""),1450.0)</f>
        <v>1450</v>
      </c>
      <c r="E423" s="6">
        <f>IFERROR(__xludf.DUMMYFUNCTION("""COMPUTED_VALUE"""),1456.95)</f>
        <v>1456.95</v>
      </c>
      <c r="F423" s="7">
        <f>IFERROR(__xludf.DUMMYFUNCTION("""COMPUTED_VALUE"""),626638.0)</f>
        <v>626638</v>
      </c>
      <c r="G423" s="7" t="str">
        <f>IFERROR(__xludf.DUMMYFUNCTION("""COMPUTED_VALUE"""),"ADANIGREEN.NS")</f>
        <v>ADANIGREEN.NS</v>
      </c>
      <c r="H423" s="8">
        <f t="shared" si="1"/>
        <v>-0.03669542795</v>
      </c>
      <c r="I423" s="8">
        <f t="shared" si="2"/>
        <v>0.03669542795</v>
      </c>
      <c r="J423" s="7" t="str">
        <f t="shared" si="3"/>
        <v>Nov-2024</v>
      </c>
      <c r="K423" s="9">
        <f t="shared" si="4"/>
        <v>45597</v>
      </c>
      <c r="L423" s="7" t="str">
        <f t="shared" si="5"/>
        <v/>
      </c>
      <c r="M423" s="7" t="str">
        <f>IFERROR(__xludf.DUMMYFUNCTION("IFERROR(
  IF(
    F423 &gt;
    3*AVERAGE(
       FILTER($F$2:$F10491,
         $G$2:$G10491=G423,
         $A$2:$A10491&gt;=A423-20,
         $A$2:$A10491&lt;=A423
       )
    ),
    ""VOL_SPIKE_3X"",""""
  ),
"""")
"),"")</f>
        <v/>
      </c>
      <c r="N423" s="7" t="str">
        <f t="shared" si="6"/>
        <v/>
      </c>
      <c r="O423" s="7" t="str">
        <f t="shared" si="7"/>
        <v/>
      </c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>
        <f>IFERROR(__xludf.DUMMYFUNCTION("""COMPUTED_VALUE"""),45614.0)</f>
        <v>45614</v>
      </c>
      <c r="B424" s="6">
        <f>IFERROR(__xludf.DUMMYFUNCTION("""COMPUTED_VALUE"""),298.15)</f>
        <v>298.15</v>
      </c>
      <c r="C424" s="6">
        <f>IFERROR(__xludf.DUMMYFUNCTION("""COMPUTED_VALUE"""),299.65)</f>
        <v>299.65</v>
      </c>
      <c r="D424" s="6">
        <f>IFERROR(__xludf.DUMMYFUNCTION("""COMPUTED_VALUE"""),288.3)</f>
        <v>288.3</v>
      </c>
      <c r="E424" s="6">
        <f>IFERROR(__xludf.DUMMYFUNCTION("""COMPUTED_VALUE"""),289.2)</f>
        <v>289.2</v>
      </c>
      <c r="F424" s="7">
        <f>IFERROR(__xludf.DUMMYFUNCTION("""COMPUTED_VALUE"""),7940666.0)</f>
        <v>7940666</v>
      </c>
      <c r="G424" s="7" t="str">
        <f>IFERROR(__xludf.DUMMYFUNCTION("""COMPUTED_VALUE"""),"BPCL.NS")</f>
        <v>BPCL.NS</v>
      </c>
      <c r="H424" s="8">
        <f t="shared" si="1"/>
        <v>-0.03001844709</v>
      </c>
      <c r="I424" s="8">
        <f t="shared" si="2"/>
        <v>0.03001844709</v>
      </c>
      <c r="J424" s="7" t="str">
        <f t="shared" si="3"/>
        <v>Nov-2024</v>
      </c>
      <c r="K424" s="9">
        <f t="shared" si="4"/>
        <v>45597</v>
      </c>
      <c r="L424" s="7" t="str">
        <f t="shared" si="5"/>
        <v/>
      </c>
      <c r="M424" s="7" t="str">
        <f>IFERROR(__xludf.DUMMYFUNCTION("IFERROR(
  IF(
    F424 &gt;
    3*AVERAGE(
       FILTER($F$2:$F10491,
         $G$2:$G10491=G424,
         $A$2:$A10491&gt;=A424-20,
         $A$2:$A10491&lt;=A424
       )
    ),
    ""VOL_SPIKE_3X"",""""
  ),
"""")
"),"")</f>
        <v/>
      </c>
      <c r="N424" s="7" t="str">
        <f t="shared" si="6"/>
        <v/>
      </c>
      <c r="O424" s="7" t="str">
        <f t="shared" si="7"/>
        <v/>
      </c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>
        <f>IFERROR(__xludf.DUMMYFUNCTION("""COMPUTED_VALUE"""),45614.0)</f>
        <v>45614</v>
      </c>
      <c r="B425" s="6">
        <f>IFERROR(__xludf.DUMMYFUNCTION("""COMPUTED_VALUE"""),413.95)</f>
        <v>413.95</v>
      </c>
      <c r="C425" s="6">
        <f>IFERROR(__xludf.DUMMYFUNCTION("""COMPUTED_VALUE"""),418.5)</f>
        <v>418.5</v>
      </c>
      <c r="D425" s="6">
        <f>IFERROR(__xludf.DUMMYFUNCTION("""COMPUTED_VALUE"""),411.0)</f>
        <v>411</v>
      </c>
      <c r="E425" s="6">
        <f>IFERROR(__xludf.DUMMYFUNCTION("""COMPUTED_VALUE"""),413.35)</f>
        <v>413.35</v>
      </c>
      <c r="F425" s="7">
        <f>IFERROR(__xludf.DUMMYFUNCTION("""COMPUTED_VALUE"""),7352509.0)</f>
        <v>7352509</v>
      </c>
      <c r="G425" s="7" t="str">
        <f>IFERROR(__xludf.DUMMYFUNCTION("""COMPUTED_VALUE"""),"COALINDIA.NS")</f>
        <v>COALINDIA.NS</v>
      </c>
      <c r="H425" s="8">
        <f t="shared" si="1"/>
        <v>-0.001449450417</v>
      </c>
      <c r="I425" s="8">
        <f t="shared" si="2"/>
        <v>0.001449450417</v>
      </c>
      <c r="J425" s="7" t="str">
        <f t="shared" si="3"/>
        <v>Nov-2024</v>
      </c>
      <c r="K425" s="9">
        <f t="shared" si="4"/>
        <v>45597</v>
      </c>
      <c r="L425" s="7" t="str">
        <f t="shared" si="5"/>
        <v/>
      </c>
      <c r="M425" s="7" t="str">
        <f>IFERROR(__xludf.DUMMYFUNCTION("IFERROR(
  IF(
    F425 &gt;
    3*AVERAGE(
       FILTER($F$2:$F10491,
         $G$2:$G10491=G425,
         $A$2:$A10491&gt;=A425-20,
         $A$2:$A10491&lt;=A425
       )
    ),
    ""VOL_SPIKE_3X"",""""
  ),
"""")
"),"")</f>
        <v/>
      </c>
      <c r="N425" s="7" t="str">
        <f t="shared" si="6"/>
        <v/>
      </c>
      <c r="O425" s="7" t="str">
        <f t="shared" si="7"/>
        <v/>
      </c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>
        <f>IFERROR(__xludf.DUMMYFUNCTION("""COMPUTED_VALUE"""),45614.0)</f>
        <v>45614</v>
      </c>
      <c r="B426" s="6">
        <f>IFERROR(__xludf.DUMMYFUNCTION("""COMPUTED_VALUE"""),372.4)</f>
        <v>372.4</v>
      </c>
      <c r="C426" s="6">
        <f>IFERROR(__xludf.DUMMYFUNCTION("""COMPUTED_VALUE"""),375.75)</f>
        <v>375.75</v>
      </c>
      <c r="D426" s="6">
        <f>IFERROR(__xludf.DUMMYFUNCTION("""COMPUTED_VALUE"""),366.4)</f>
        <v>366.4</v>
      </c>
      <c r="E426" s="6">
        <f>IFERROR(__xludf.DUMMYFUNCTION("""COMPUTED_VALUE"""),367.3)</f>
        <v>367.3</v>
      </c>
      <c r="F426" s="7">
        <f>IFERROR(__xludf.DUMMYFUNCTION("""COMPUTED_VALUE"""),5010823.0)</f>
        <v>5010823</v>
      </c>
      <c r="G426" s="7" t="str">
        <f>IFERROR(__xludf.DUMMYFUNCTION("""COMPUTED_VALUE"""),"HINDPETRO.NS")</f>
        <v>HINDPETRO.NS</v>
      </c>
      <c r="H426" s="8">
        <f t="shared" si="1"/>
        <v>-0.01369495166</v>
      </c>
      <c r="I426" s="8">
        <f t="shared" si="2"/>
        <v>0.01369495166</v>
      </c>
      <c r="J426" s="7" t="str">
        <f t="shared" si="3"/>
        <v>Nov-2024</v>
      </c>
      <c r="K426" s="9">
        <f t="shared" si="4"/>
        <v>45597</v>
      </c>
      <c r="L426" s="7" t="str">
        <f t="shared" si="5"/>
        <v/>
      </c>
      <c r="M426" s="7" t="str">
        <f>IFERROR(__xludf.DUMMYFUNCTION("IFERROR(
  IF(
    F426 &gt;
    3*AVERAGE(
       FILTER($F$2:$F10491,
         $G$2:$G10491=G426,
         $A$2:$A10491&gt;=A426-20,
         $A$2:$A10491&lt;=A426
       )
    ),
    ""VOL_SPIKE_3X"",""""
  ),
"""")
"),"")</f>
        <v/>
      </c>
      <c r="N426" s="7" t="str">
        <f t="shared" si="6"/>
        <v/>
      </c>
      <c r="O426" s="7" t="str">
        <f t="shared" si="7"/>
        <v/>
      </c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>
        <f>IFERROR(__xludf.DUMMYFUNCTION("""COMPUTED_VALUE"""),45614.0)</f>
        <v>45614</v>
      </c>
      <c r="B427" s="6">
        <f>IFERROR(__xludf.DUMMYFUNCTION("""COMPUTED_VALUE"""),135.13)</f>
        <v>135.13</v>
      </c>
      <c r="C427" s="6">
        <f>IFERROR(__xludf.DUMMYFUNCTION("""COMPUTED_VALUE"""),135.82)</f>
        <v>135.82</v>
      </c>
      <c r="D427" s="6">
        <f>IFERROR(__xludf.DUMMYFUNCTION("""COMPUTED_VALUE"""),133.33)</f>
        <v>133.33</v>
      </c>
      <c r="E427" s="6">
        <f>IFERROR(__xludf.DUMMYFUNCTION("""COMPUTED_VALUE"""),134.14)</f>
        <v>134.14</v>
      </c>
      <c r="F427" s="7">
        <f>IFERROR(__xludf.DUMMYFUNCTION("""COMPUTED_VALUE"""),1.2693551E7)</f>
        <v>12693551</v>
      </c>
      <c r="G427" s="7" t="str">
        <f>IFERROR(__xludf.DUMMYFUNCTION("""COMPUTED_VALUE"""),"IOC.NS")</f>
        <v>IOC.NS</v>
      </c>
      <c r="H427" s="8">
        <f t="shared" si="1"/>
        <v>-0.007326278399</v>
      </c>
      <c r="I427" s="8">
        <f t="shared" si="2"/>
        <v>0.007326278399</v>
      </c>
      <c r="J427" s="7" t="str">
        <f t="shared" si="3"/>
        <v>Nov-2024</v>
      </c>
      <c r="K427" s="9">
        <f t="shared" si="4"/>
        <v>45597</v>
      </c>
      <c r="L427" s="7" t="str">
        <f t="shared" si="5"/>
        <v/>
      </c>
      <c r="M427" s="7" t="str">
        <f>IFERROR(__xludf.DUMMYFUNCTION("IFERROR(
  IF(
    F427 &gt;
    3*AVERAGE(
       FILTER($F$2:$F10491,
         $G$2:$G10491=G427,
         $A$2:$A10491&gt;=A427-20,
         $A$2:$A10491&lt;=A427
       )
    ),
    ""VOL_SPIKE_3X"",""""
  ),
"""")
"),"")</f>
        <v/>
      </c>
      <c r="N427" s="7" t="str">
        <f t="shared" si="6"/>
        <v/>
      </c>
      <c r="O427" s="7" t="str">
        <f t="shared" si="7"/>
        <v/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>
        <f>IFERROR(__xludf.DUMMYFUNCTION("""COMPUTED_VALUE"""),45614.0)</f>
        <v>45614</v>
      </c>
      <c r="B428" s="6">
        <f>IFERROR(__xludf.DUMMYFUNCTION("""COMPUTED_VALUE"""),380.0)</f>
        <v>380</v>
      </c>
      <c r="C428" s="6">
        <f>IFERROR(__xludf.DUMMYFUNCTION("""COMPUTED_VALUE"""),380.0)</f>
        <v>380</v>
      </c>
      <c r="D428" s="6">
        <f>IFERROR(__xludf.DUMMYFUNCTION("""COMPUTED_VALUE"""),362.65)</f>
        <v>362.65</v>
      </c>
      <c r="E428" s="6">
        <f>IFERROR(__xludf.DUMMYFUNCTION("""COMPUTED_VALUE"""),366.7)</f>
        <v>366.7</v>
      </c>
      <c r="F428" s="7">
        <f>IFERROR(__xludf.DUMMYFUNCTION("""COMPUTED_VALUE"""),1.6383636E7)</f>
        <v>16383636</v>
      </c>
      <c r="G428" s="7" t="str">
        <f>IFERROR(__xludf.DUMMYFUNCTION("""COMPUTED_VALUE"""),"NTPC.NS")</f>
        <v>NTPC.NS</v>
      </c>
      <c r="H428" s="8">
        <f t="shared" si="1"/>
        <v>-0.035</v>
      </c>
      <c r="I428" s="8">
        <f t="shared" si="2"/>
        <v>0.035</v>
      </c>
      <c r="J428" s="7" t="str">
        <f t="shared" si="3"/>
        <v>Nov-2024</v>
      </c>
      <c r="K428" s="9">
        <f t="shared" si="4"/>
        <v>45597</v>
      </c>
      <c r="L428" s="7" t="str">
        <f t="shared" si="5"/>
        <v/>
      </c>
      <c r="M428" s="7" t="str">
        <f>IFERROR(__xludf.DUMMYFUNCTION("IFERROR(
  IF(
    F428 &gt;
    3*AVERAGE(
       FILTER($F$2:$F10491,
         $G$2:$G10491=G428,
         $A$2:$A10491&gt;=A428-20,
         $A$2:$A10491&lt;=A428
       )
    ),
    ""VOL_SPIKE_3X"",""""
  ),
"""")
"),"")</f>
        <v/>
      </c>
      <c r="N428" s="7" t="str">
        <f t="shared" si="6"/>
        <v/>
      </c>
      <c r="O428" s="7" t="str">
        <f t="shared" si="7"/>
        <v/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>
        <f>IFERROR(__xludf.DUMMYFUNCTION("""COMPUTED_VALUE"""),45614.0)</f>
        <v>45614</v>
      </c>
      <c r="B429" s="6">
        <f>IFERROR(__xludf.DUMMYFUNCTION("""COMPUTED_VALUE"""),251.1)</f>
        <v>251.1</v>
      </c>
      <c r="C429" s="6">
        <f>IFERROR(__xludf.DUMMYFUNCTION("""COMPUTED_VALUE"""),252.1)</f>
        <v>252.1</v>
      </c>
      <c r="D429" s="6">
        <f>IFERROR(__xludf.DUMMYFUNCTION("""COMPUTED_VALUE"""),247.1)</f>
        <v>247.1</v>
      </c>
      <c r="E429" s="6">
        <f>IFERROR(__xludf.DUMMYFUNCTION("""COMPUTED_VALUE"""),250.65)</f>
        <v>250.65</v>
      </c>
      <c r="F429" s="7">
        <f>IFERROR(__xludf.DUMMYFUNCTION("""COMPUTED_VALUE"""),1.4636541E7)</f>
        <v>14636541</v>
      </c>
      <c r="G429" s="7" t="str">
        <f>IFERROR(__xludf.DUMMYFUNCTION("""COMPUTED_VALUE"""),"ONGC.NS")</f>
        <v>ONGC.NS</v>
      </c>
      <c r="H429" s="8">
        <f t="shared" si="1"/>
        <v>-0.001792114695</v>
      </c>
      <c r="I429" s="8">
        <f t="shared" si="2"/>
        <v>0.001792114695</v>
      </c>
      <c r="J429" s="7" t="str">
        <f t="shared" si="3"/>
        <v>Nov-2024</v>
      </c>
      <c r="K429" s="9">
        <f t="shared" si="4"/>
        <v>45597</v>
      </c>
      <c r="L429" s="7" t="str">
        <f t="shared" si="5"/>
        <v/>
      </c>
      <c r="M429" s="7" t="str">
        <f>IFERROR(__xludf.DUMMYFUNCTION("IFERROR(
  IF(
    F429 &gt;
    3*AVERAGE(
       FILTER($F$2:$F10491,
         $G$2:$G10491=G429,
         $A$2:$A10491&gt;=A429-20,
         $A$2:$A10491&lt;=A429
       )
    ),
    ""VOL_SPIKE_3X"",""""
  ),
"""")
"),"")</f>
        <v/>
      </c>
      <c r="N429" s="7" t="str">
        <f t="shared" si="6"/>
        <v/>
      </c>
      <c r="O429" s="7" t="str">
        <f t="shared" si="7"/>
        <v/>
      </c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>
        <f>IFERROR(__xludf.DUMMYFUNCTION("""COMPUTED_VALUE"""),45614.0)</f>
        <v>45614</v>
      </c>
      <c r="B430" s="6">
        <f>IFERROR(__xludf.DUMMYFUNCTION("""COMPUTED_VALUE"""),314.0)</f>
        <v>314</v>
      </c>
      <c r="C430" s="6">
        <f>IFERROR(__xludf.DUMMYFUNCTION("""COMPUTED_VALUE"""),315.55)</f>
        <v>315.55</v>
      </c>
      <c r="D430" s="6">
        <f>IFERROR(__xludf.DUMMYFUNCTION("""COMPUTED_VALUE"""),310.1)</f>
        <v>310.1</v>
      </c>
      <c r="E430" s="6">
        <f>IFERROR(__xludf.DUMMYFUNCTION("""COMPUTED_VALUE"""),312.05)</f>
        <v>312.05</v>
      </c>
      <c r="F430" s="7">
        <f>IFERROR(__xludf.DUMMYFUNCTION("""COMPUTED_VALUE"""),9408101.0)</f>
        <v>9408101</v>
      </c>
      <c r="G430" s="7" t="str">
        <f>IFERROR(__xludf.DUMMYFUNCTION("""COMPUTED_VALUE"""),"POWERGRID.NS")</f>
        <v>POWERGRID.NS</v>
      </c>
      <c r="H430" s="8">
        <f t="shared" si="1"/>
        <v>-0.006210191083</v>
      </c>
      <c r="I430" s="8">
        <f t="shared" si="2"/>
        <v>0.006210191083</v>
      </c>
      <c r="J430" s="7" t="str">
        <f t="shared" si="3"/>
        <v>Nov-2024</v>
      </c>
      <c r="K430" s="9">
        <f t="shared" si="4"/>
        <v>45597</v>
      </c>
      <c r="L430" s="7" t="str">
        <f t="shared" si="5"/>
        <v/>
      </c>
      <c r="M430" s="7" t="str">
        <f>IFERROR(__xludf.DUMMYFUNCTION("IFERROR(
  IF(
    F430 &gt;
    3*AVERAGE(
       FILTER($F$2:$F10491,
         $G$2:$G10491=G430,
         $A$2:$A10491&gt;=A430-20,
         $A$2:$A10491&lt;=A430
       )
    ),
    ""VOL_SPIKE_3X"",""""
  ),
"""")
"),"")</f>
        <v/>
      </c>
      <c r="N430" s="7" t="str">
        <f t="shared" si="6"/>
        <v/>
      </c>
      <c r="O430" s="7" t="str">
        <f t="shared" si="7"/>
        <v/>
      </c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>
        <f>IFERROR(__xludf.DUMMYFUNCTION("""COMPUTED_VALUE"""),45614.0)</f>
        <v>45614</v>
      </c>
      <c r="B431" s="6">
        <f>IFERROR(__xludf.DUMMYFUNCTION("""COMPUTED_VALUE"""),1267.6)</f>
        <v>1267.6</v>
      </c>
      <c r="C431" s="6">
        <f>IFERROR(__xludf.DUMMYFUNCTION("""COMPUTED_VALUE"""),1272.9)</f>
        <v>1272.9</v>
      </c>
      <c r="D431" s="6">
        <f>IFERROR(__xludf.DUMMYFUNCTION("""COMPUTED_VALUE"""),1243.9)</f>
        <v>1243.9</v>
      </c>
      <c r="E431" s="6">
        <f>IFERROR(__xludf.DUMMYFUNCTION("""COMPUTED_VALUE"""),1260.75)</f>
        <v>1260.75</v>
      </c>
      <c r="F431" s="7">
        <f>IFERROR(__xludf.DUMMYFUNCTION("""COMPUTED_VALUE"""),1.3620611E7)</f>
        <v>13620611</v>
      </c>
      <c r="G431" s="7" t="str">
        <f>IFERROR(__xludf.DUMMYFUNCTION("""COMPUTED_VALUE"""),"RELIANCE.NS")</f>
        <v>RELIANCE.NS</v>
      </c>
      <c r="H431" s="8">
        <f t="shared" si="1"/>
        <v>-0.005403912906</v>
      </c>
      <c r="I431" s="8">
        <f t="shared" si="2"/>
        <v>0.005403912906</v>
      </c>
      <c r="J431" s="7" t="str">
        <f t="shared" si="3"/>
        <v>Nov-2024</v>
      </c>
      <c r="K431" s="9">
        <f t="shared" si="4"/>
        <v>45597</v>
      </c>
      <c r="L431" s="7" t="str">
        <f t="shared" si="5"/>
        <v/>
      </c>
      <c r="M431" s="7" t="str">
        <f>IFERROR(__xludf.DUMMYFUNCTION("IFERROR(
  IF(
    F431 &gt;
    3*AVERAGE(
       FILTER($F$2:$F10491,
         $G$2:$G10491=G431,
         $A$2:$A10491&gt;=A431-20,
         $A$2:$A10491&lt;=A431
       )
    ),
    ""VOL_SPIKE_3X"",""""
  ),
"""")
"),"")</f>
        <v/>
      </c>
      <c r="N431" s="7" t="str">
        <f t="shared" si="6"/>
        <v/>
      </c>
      <c r="O431" s="7" t="str">
        <f t="shared" si="7"/>
        <v/>
      </c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>
        <f>IFERROR(__xludf.DUMMYFUNCTION("""COMPUTED_VALUE"""),45615.0)</f>
        <v>45615</v>
      </c>
      <c r="B432" s="6">
        <f>IFERROR(__xludf.DUMMYFUNCTION("""COMPUTED_VALUE"""),866.55)</f>
        <v>866.55</v>
      </c>
      <c r="C432" s="6">
        <f>IFERROR(__xludf.DUMMYFUNCTION("""COMPUTED_VALUE"""),887.4)</f>
        <v>887.4</v>
      </c>
      <c r="D432" s="6">
        <f>IFERROR(__xludf.DUMMYFUNCTION("""COMPUTED_VALUE"""),865.25)</f>
        <v>865.25</v>
      </c>
      <c r="E432" s="6">
        <f>IFERROR(__xludf.DUMMYFUNCTION("""COMPUTED_VALUE"""),871.55)</f>
        <v>871.55</v>
      </c>
      <c r="F432" s="7">
        <f>IFERROR(__xludf.DUMMYFUNCTION("""COMPUTED_VALUE"""),1551260.0)</f>
        <v>1551260</v>
      </c>
      <c r="G432" s="7" t="str">
        <f>IFERROR(__xludf.DUMMYFUNCTION("""COMPUTED_VALUE"""),"ADANIENSOL.NS")</f>
        <v>ADANIENSOL.NS</v>
      </c>
      <c r="H432" s="8">
        <f t="shared" si="1"/>
        <v>0.005770007501</v>
      </c>
      <c r="I432" s="8">
        <f t="shared" si="2"/>
        <v>0.005770007501</v>
      </c>
      <c r="J432" s="7" t="str">
        <f t="shared" si="3"/>
        <v>Nov-2024</v>
      </c>
      <c r="K432" s="9">
        <f t="shared" si="4"/>
        <v>45597</v>
      </c>
      <c r="L432" s="7" t="str">
        <f t="shared" si="5"/>
        <v/>
      </c>
      <c r="M432" s="7" t="str">
        <f>IFERROR(__xludf.DUMMYFUNCTION("IFERROR(
  IF(
    F432 &gt;
    3*AVERAGE(
       FILTER($F$2:$F10491,
         $G$2:$G10491=G432,
         $A$2:$A10491&gt;=A432-20,
         $A$2:$A10491&lt;=A432
       )
    ),
    ""VOL_SPIKE_3X"",""""
  ),
"""")
"),"")</f>
        <v/>
      </c>
      <c r="N432" s="7" t="str">
        <f t="shared" si="6"/>
        <v/>
      </c>
      <c r="O432" s="7" t="str">
        <f t="shared" si="7"/>
        <v/>
      </c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>
        <f>IFERROR(__xludf.DUMMYFUNCTION("""COMPUTED_VALUE"""),45615.0)</f>
        <v>45615</v>
      </c>
      <c r="B433" s="6">
        <f>IFERROR(__xludf.DUMMYFUNCTION("""COMPUTED_VALUE"""),1448.05)</f>
        <v>1448.05</v>
      </c>
      <c r="C433" s="6">
        <f>IFERROR(__xludf.DUMMYFUNCTION("""COMPUTED_VALUE"""),1467.0)</f>
        <v>1467</v>
      </c>
      <c r="D433" s="6">
        <f>IFERROR(__xludf.DUMMYFUNCTION("""COMPUTED_VALUE"""),1400.1)</f>
        <v>1400.1</v>
      </c>
      <c r="E433" s="6">
        <f>IFERROR(__xludf.DUMMYFUNCTION("""COMPUTED_VALUE"""),1412.7)</f>
        <v>1412.7</v>
      </c>
      <c r="F433" s="7">
        <f>IFERROR(__xludf.DUMMYFUNCTION("""COMPUTED_VALUE"""),972102.0)</f>
        <v>972102</v>
      </c>
      <c r="G433" s="7" t="str">
        <f>IFERROR(__xludf.DUMMYFUNCTION("""COMPUTED_VALUE"""),"ADANIGREEN.NS")</f>
        <v>ADANIGREEN.NS</v>
      </c>
      <c r="H433" s="8">
        <f t="shared" si="1"/>
        <v>-0.02441214046</v>
      </c>
      <c r="I433" s="8">
        <f t="shared" si="2"/>
        <v>0.02441214046</v>
      </c>
      <c r="J433" s="7" t="str">
        <f t="shared" si="3"/>
        <v>Nov-2024</v>
      </c>
      <c r="K433" s="9">
        <f t="shared" si="4"/>
        <v>45597</v>
      </c>
      <c r="L433" s="7" t="str">
        <f t="shared" si="5"/>
        <v/>
      </c>
      <c r="M433" s="7" t="str">
        <f>IFERROR(__xludf.DUMMYFUNCTION("IFERROR(
  IF(
    F433 &gt;
    3*AVERAGE(
       FILTER($F$2:$F10491,
         $G$2:$G10491=G433,
         $A$2:$A10491&gt;=A433-20,
         $A$2:$A10491&lt;=A433
       )
    ),
    ""VOL_SPIKE_3X"",""""
  ),
"""")
"),"")</f>
        <v/>
      </c>
      <c r="N433" s="7" t="str">
        <f t="shared" si="6"/>
        <v/>
      </c>
      <c r="O433" s="7" t="str">
        <f t="shared" si="7"/>
        <v/>
      </c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>
        <f>IFERROR(__xludf.DUMMYFUNCTION("""COMPUTED_VALUE"""),45615.0)</f>
        <v>45615</v>
      </c>
      <c r="B434" s="6">
        <f>IFERROR(__xludf.DUMMYFUNCTION("""COMPUTED_VALUE"""),292.65)</f>
        <v>292.65</v>
      </c>
      <c r="C434" s="6">
        <f>IFERROR(__xludf.DUMMYFUNCTION("""COMPUTED_VALUE"""),297.9)</f>
        <v>297.9</v>
      </c>
      <c r="D434" s="6">
        <f>IFERROR(__xludf.DUMMYFUNCTION("""COMPUTED_VALUE"""),286.5)</f>
        <v>286.5</v>
      </c>
      <c r="E434" s="6">
        <f>IFERROR(__xludf.DUMMYFUNCTION("""COMPUTED_VALUE"""),287.5)</f>
        <v>287.5</v>
      </c>
      <c r="F434" s="7">
        <f>IFERROR(__xludf.DUMMYFUNCTION("""COMPUTED_VALUE"""),9912544.0)</f>
        <v>9912544</v>
      </c>
      <c r="G434" s="7" t="str">
        <f>IFERROR(__xludf.DUMMYFUNCTION("""COMPUTED_VALUE"""),"BPCL.NS")</f>
        <v>BPCL.NS</v>
      </c>
      <c r="H434" s="8">
        <f t="shared" si="1"/>
        <v>-0.01759781309</v>
      </c>
      <c r="I434" s="8">
        <f t="shared" si="2"/>
        <v>0.01759781309</v>
      </c>
      <c r="J434" s="7" t="str">
        <f t="shared" si="3"/>
        <v>Nov-2024</v>
      </c>
      <c r="K434" s="9">
        <f t="shared" si="4"/>
        <v>45597</v>
      </c>
      <c r="L434" s="7" t="str">
        <f t="shared" si="5"/>
        <v/>
      </c>
      <c r="M434" s="7" t="str">
        <f>IFERROR(__xludf.DUMMYFUNCTION("IFERROR(
  IF(
    F434 &gt;
    3*AVERAGE(
       FILTER($F$2:$F10491,
         $G$2:$G10491=G434,
         $A$2:$A10491&gt;=A434-20,
         $A$2:$A10491&lt;=A434
       )
    ),
    ""VOL_SPIKE_3X"",""""
  ),
"""")
"),"")</f>
        <v/>
      </c>
      <c r="N434" s="7" t="str">
        <f t="shared" si="6"/>
        <v/>
      </c>
      <c r="O434" s="7" t="str">
        <f t="shared" si="7"/>
        <v/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>
        <f>IFERROR(__xludf.DUMMYFUNCTION("""COMPUTED_VALUE"""),45615.0)</f>
        <v>45615</v>
      </c>
      <c r="B435" s="6">
        <f>IFERROR(__xludf.DUMMYFUNCTION("""COMPUTED_VALUE"""),415.95)</f>
        <v>415.95</v>
      </c>
      <c r="C435" s="6">
        <f>IFERROR(__xludf.DUMMYFUNCTION("""COMPUTED_VALUE"""),422.0)</f>
        <v>422</v>
      </c>
      <c r="D435" s="6">
        <f>IFERROR(__xludf.DUMMYFUNCTION("""COMPUTED_VALUE"""),410.7)</f>
        <v>410.7</v>
      </c>
      <c r="E435" s="6">
        <f>IFERROR(__xludf.DUMMYFUNCTION("""COMPUTED_VALUE"""),412.25)</f>
        <v>412.25</v>
      </c>
      <c r="F435" s="7">
        <f>IFERROR(__xludf.DUMMYFUNCTION("""COMPUTED_VALUE"""),6291292.0)</f>
        <v>6291292</v>
      </c>
      <c r="G435" s="7" t="str">
        <f>IFERROR(__xludf.DUMMYFUNCTION("""COMPUTED_VALUE"""),"COALINDIA.NS")</f>
        <v>COALINDIA.NS</v>
      </c>
      <c r="H435" s="8">
        <f t="shared" si="1"/>
        <v>-0.008895299916</v>
      </c>
      <c r="I435" s="8">
        <f t="shared" si="2"/>
        <v>0.008895299916</v>
      </c>
      <c r="J435" s="7" t="str">
        <f t="shared" si="3"/>
        <v>Nov-2024</v>
      </c>
      <c r="K435" s="9">
        <f t="shared" si="4"/>
        <v>45597</v>
      </c>
      <c r="L435" s="7" t="str">
        <f t="shared" si="5"/>
        <v/>
      </c>
      <c r="M435" s="7" t="str">
        <f>IFERROR(__xludf.DUMMYFUNCTION("IFERROR(
  IF(
    F435 &gt;
    3*AVERAGE(
       FILTER($F$2:$F10491,
         $G$2:$G10491=G435,
         $A$2:$A10491&gt;=A435-20,
         $A$2:$A10491&lt;=A435
       )
    ),
    ""VOL_SPIKE_3X"",""""
  ),
"""")
"),"")</f>
        <v/>
      </c>
      <c r="N435" s="7" t="str">
        <f t="shared" si="6"/>
        <v/>
      </c>
      <c r="O435" s="7" t="str">
        <f t="shared" si="7"/>
        <v/>
      </c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>
        <f>IFERROR(__xludf.DUMMYFUNCTION("""COMPUTED_VALUE"""),45615.0)</f>
        <v>45615</v>
      </c>
      <c r="B436" s="6">
        <f>IFERROR(__xludf.DUMMYFUNCTION("""COMPUTED_VALUE"""),366.0)</f>
        <v>366</v>
      </c>
      <c r="C436" s="6">
        <f>IFERROR(__xludf.DUMMYFUNCTION("""COMPUTED_VALUE"""),374.8)</f>
        <v>374.8</v>
      </c>
      <c r="D436" s="6">
        <f>IFERROR(__xludf.DUMMYFUNCTION("""COMPUTED_VALUE"""),360.2)</f>
        <v>360.2</v>
      </c>
      <c r="E436" s="6">
        <f>IFERROR(__xludf.DUMMYFUNCTION("""COMPUTED_VALUE"""),362.15)</f>
        <v>362.15</v>
      </c>
      <c r="F436" s="7">
        <f>IFERROR(__xludf.DUMMYFUNCTION("""COMPUTED_VALUE"""),2933169.0)</f>
        <v>2933169</v>
      </c>
      <c r="G436" s="7" t="str">
        <f>IFERROR(__xludf.DUMMYFUNCTION("""COMPUTED_VALUE"""),"HINDPETRO.NS")</f>
        <v>HINDPETRO.NS</v>
      </c>
      <c r="H436" s="8">
        <f t="shared" si="1"/>
        <v>-0.01051912568</v>
      </c>
      <c r="I436" s="8">
        <f t="shared" si="2"/>
        <v>0.01051912568</v>
      </c>
      <c r="J436" s="7" t="str">
        <f t="shared" si="3"/>
        <v>Nov-2024</v>
      </c>
      <c r="K436" s="9">
        <f t="shared" si="4"/>
        <v>45597</v>
      </c>
      <c r="L436" s="7" t="str">
        <f t="shared" si="5"/>
        <v/>
      </c>
      <c r="M436" s="7" t="str">
        <f>IFERROR(__xludf.DUMMYFUNCTION("IFERROR(
  IF(
    F436 &gt;
    3*AVERAGE(
       FILTER($F$2:$F10491,
         $G$2:$G10491=G436,
         $A$2:$A10491&gt;=A436-20,
         $A$2:$A10491&lt;=A436
       )
    ),
    ""VOL_SPIKE_3X"",""""
  ),
"""")
"),"")</f>
        <v/>
      </c>
      <c r="N436" s="7" t="str">
        <f t="shared" si="6"/>
        <v/>
      </c>
      <c r="O436" s="7" t="str">
        <f t="shared" si="7"/>
        <v/>
      </c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>
        <f>IFERROR(__xludf.DUMMYFUNCTION("""COMPUTED_VALUE"""),45615.0)</f>
        <v>45615</v>
      </c>
      <c r="B437" s="6">
        <f>IFERROR(__xludf.DUMMYFUNCTION("""COMPUTED_VALUE"""),134.86)</f>
        <v>134.86</v>
      </c>
      <c r="C437" s="6">
        <f>IFERROR(__xludf.DUMMYFUNCTION("""COMPUTED_VALUE"""),136.68)</f>
        <v>136.68</v>
      </c>
      <c r="D437" s="6">
        <f>IFERROR(__xludf.DUMMYFUNCTION("""COMPUTED_VALUE"""),132.65)</f>
        <v>132.65</v>
      </c>
      <c r="E437" s="6">
        <f>IFERROR(__xludf.DUMMYFUNCTION("""COMPUTED_VALUE"""),133.12)</f>
        <v>133.12</v>
      </c>
      <c r="F437" s="7">
        <f>IFERROR(__xludf.DUMMYFUNCTION("""COMPUTED_VALUE"""),1.2696762E7)</f>
        <v>12696762</v>
      </c>
      <c r="G437" s="7" t="str">
        <f>IFERROR(__xludf.DUMMYFUNCTION("""COMPUTED_VALUE"""),"IOC.NS")</f>
        <v>IOC.NS</v>
      </c>
      <c r="H437" s="8">
        <f t="shared" si="1"/>
        <v>-0.01290226902</v>
      </c>
      <c r="I437" s="8">
        <f t="shared" si="2"/>
        <v>0.01290226902</v>
      </c>
      <c r="J437" s="7" t="str">
        <f t="shared" si="3"/>
        <v>Nov-2024</v>
      </c>
      <c r="K437" s="9">
        <f t="shared" si="4"/>
        <v>45597</v>
      </c>
      <c r="L437" s="7" t="str">
        <f t="shared" si="5"/>
        <v/>
      </c>
      <c r="M437" s="7" t="str">
        <f>IFERROR(__xludf.DUMMYFUNCTION("IFERROR(
  IF(
    F437 &gt;
    3*AVERAGE(
       FILTER($F$2:$F10491,
         $G$2:$G10491=G437,
         $A$2:$A10491&gt;=A437-20,
         $A$2:$A10491&lt;=A437
       )
    ),
    ""VOL_SPIKE_3X"",""""
  ),
"""")
"),"")</f>
        <v/>
      </c>
      <c r="N437" s="7" t="str">
        <f t="shared" si="6"/>
        <v/>
      </c>
      <c r="O437" s="7" t="str">
        <f t="shared" si="7"/>
        <v/>
      </c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>
        <f>IFERROR(__xludf.DUMMYFUNCTION("""COMPUTED_VALUE"""),45615.0)</f>
        <v>45615</v>
      </c>
      <c r="B438" s="6">
        <f>IFERROR(__xludf.DUMMYFUNCTION("""COMPUTED_VALUE"""),368.0)</f>
        <v>368</v>
      </c>
      <c r="C438" s="6">
        <f>IFERROR(__xludf.DUMMYFUNCTION("""COMPUTED_VALUE"""),378.5)</f>
        <v>378.5</v>
      </c>
      <c r="D438" s="6">
        <f>IFERROR(__xludf.DUMMYFUNCTION("""COMPUTED_VALUE"""),365.05)</f>
        <v>365.05</v>
      </c>
      <c r="E438" s="6">
        <f>IFERROR(__xludf.DUMMYFUNCTION("""COMPUTED_VALUE"""),366.7)</f>
        <v>366.7</v>
      </c>
      <c r="F438" s="7">
        <f>IFERROR(__xludf.DUMMYFUNCTION("""COMPUTED_VALUE"""),1.7055094E7)</f>
        <v>17055094</v>
      </c>
      <c r="G438" s="7" t="str">
        <f>IFERROR(__xludf.DUMMYFUNCTION("""COMPUTED_VALUE"""),"NTPC.NS")</f>
        <v>NTPC.NS</v>
      </c>
      <c r="H438" s="8">
        <f t="shared" si="1"/>
        <v>-0.003532608696</v>
      </c>
      <c r="I438" s="8">
        <f t="shared" si="2"/>
        <v>0.003532608696</v>
      </c>
      <c r="J438" s="7" t="str">
        <f t="shared" si="3"/>
        <v>Nov-2024</v>
      </c>
      <c r="K438" s="9">
        <f t="shared" si="4"/>
        <v>45597</v>
      </c>
      <c r="L438" s="7" t="str">
        <f t="shared" si="5"/>
        <v/>
      </c>
      <c r="M438" s="7" t="str">
        <f>IFERROR(__xludf.DUMMYFUNCTION("IFERROR(
  IF(
    F438 &gt;
    3*AVERAGE(
       FILTER($F$2:$F10491,
         $G$2:$G10491=G438,
         $A$2:$A10491&gt;=A438-20,
         $A$2:$A10491&lt;=A438
       )
    ),
    ""VOL_SPIKE_3X"",""""
  ),
"""")
"),"")</f>
        <v/>
      </c>
      <c r="N438" s="7" t="str">
        <f t="shared" si="6"/>
        <v/>
      </c>
      <c r="O438" s="7" t="str">
        <f t="shared" si="7"/>
        <v/>
      </c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>
        <f>IFERROR(__xludf.DUMMYFUNCTION("""COMPUTED_VALUE"""),45615.0)</f>
        <v>45615</v>
      </c>
      <c r="B439" s="6">
        <f>IFERROR(__xludf.DUMMYFUNCTION("""COMPUTED_VALUE"""),250.0)</f>
        <v>250</v>
      </c>
      <c r="C439" s="6">
        <f>IFERROR(__xludf.DUMMYFUNCTION("""COMPUTED_VALUE"""),255.4)</f>
        <v>255.4</v>
      </c>
      <c r="D439" s="6">
        <f>IFERROR(__xludf.DUMMYFUNCTION("""COMPUTED_VALUE"""),247.1)</f>
        <v>247.1</v>
      </c>
      <c r="E439" s="6">
        <f>IFERROR(__xludf.DUMMYFUNCTION("""COMPUTED_VALUE"""),248.0)</f>
        <v>248</v>
      </c>
      <c r="F439" s="7">
        <f>IFERROR(__xludf.DUMMYFUNCTION("""COMPUTED_VALUE"""),1.7397559E7)</f>
        <v>17397559</v>
      </c>
      <c r="G439" s="7" t="str">
        <f>IFERROR(__xludf.DUMMYFUNCTION("""COMPUTED_VALUE"""),"ONGC.NS")</f>
        <v>ONGC.NS</v>
      </c>
      <c r="H439" s="8">
        <f t="shared" si="1"/>
        <v>-0.008</v>
      </c>
      <c r="I439" s="8">
        <f t="shared" si="2"/>
        <v>0.008</v>
      </c>
      <c r="J439" s="7" t="str">
        <f t="shared" si="3"/>
        <v>Nov-2024</v>
      </c>
      <c r="K439" s="9">
        <f t="shared" si="4"/>
        <v>45597</v>
      </c>
      <c r="L439" s="7" t="str">
        <f t="shared" si="5"/>
        <v/>
      </c>
      <c r="M439" s="7" t="str">
        <f>IFERROR(__xludf.DUMMYFUNCTION("IFERROR(
  IF(
    F439 &gt;
    3*AVERAGE(
       FILTER($F$2:$F10491,
         $G$2:$G10491=G439,
         $A$2:$A10491&gt;=A439-20,
         $A$2:$A10491&lt;=A439
       )
    ),
    ""VOL_SPIKE_3X"",""""
  ),
"""")
"),"")</f>
        <v/>
      </c>
      <c r="N439" s="7" t="str">
        <f t="shared" si="6"/>
        <v/>
      </c>
      <c r="O439" s="7" t="str">
        <f t="shared" si="7"/>
        <v/>
      </c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>
        <f>IFERROR(__xludf.DUMMYFUNCTION("""COMPUTED_VALUE"""),45615.0)</f>
        <v>45615</v>
      </c>
      <c r="B440" s="6">
        <f>IFERROR(__xludf.DUMMYFUNCTION("""COMPUTED_VALUE"""),313.05)</f>
        <v>313.05</v>
      </c>
      <c r="C440" s="6">
        <f>IFERROR(__xludf.DUMMYFUNCTION("""COMPUTED_VALUE"""),318.25)</f>
        <v>318.25</v>
      </c>
      <c r="D440" s="6">
        <f>IFERROR(__xludf.DUMMYFUNCTION("""COMPUTED_VALUE"""),312.25)</f>
        <v>312.25</v>
      </c>
      <c r="E440" s="6">
        <f>IFERROR(__xludf.DUMMYFUNCTION("""COMPUTED_VALUE"""),315.05)</f>
        <v>315.05</v>
      </c>
      <c r="F440" s="7">
        <f>IFERROR(__xludf.DUMMYFUNCTION("""COMPUTED_VALUE"""),1.3157158E7)</f>
        <v>13157158</v>
      </c>
      <c r="G440" s="7" t="str">
        <f>IFERROR(__xludf.DUMMYFUNCTION("""COMPUTED_VALUE"""),"POWERGRID.NS")</f>
        <v>POWERGRID.NS</v>
      </c>
      <c r="H440" s="8">
        <f t="shared" si="1"/>
        <v>0.00638875579</v>
      </c>
      <c r="I440" s="8">
        <f t="shared" si="2"/>
        <v>0.00638875579</v>
      </c>
      <c r="J440" s="7" t="str">
        <f t="shared" si="3"/>
        <v>Nov-2024</v>
      </c>
      <c r="K440" s="9">
        <f t="shared" si="4"/>
        <v>45597</v>
      </c>
      <c r="L440" s="7" t="str">
        <f t="shared" si="5"/>
        <v/>
      </c>
      <c r="M440" s="7" t="str">
        <f>IFERROR(__xludf.DUMMYFUNCTION("IFERROR(
  IF(
    F440 &gt;
    3*AVERAGE(
       FILTER($F$2:$F10491,
         $G$2:$G10491=G440,
         $A$2:$A10491&gt;=A440-20,
         $A$2:$A10491&lt;=A440
       )
    ),
    ""VOL_SPIKE_3X"",""""
  ),
"""")
"),"")</f>
        <v/>
      </c>
      <c r="N440" s="7" t="str">
        <f t="shared" si="6"/>
        <v/>
      </c>
      <c r="O440" s="7" t="str">
        <f t="shared" si="7"/>
        <v/>
      </c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>
        <f>IFERROR(__xludf.DUMMYFUNCTION("""COMPUTED_VALUE"""),45615.0)</f>
        <v>45615</v>
      </c>
      <c r="B441" s="6">
        <f>IFERROR(__xludf.DUMMYFUNCTION("""COMPUTED_VALUE"""),1260.75)</f>
        <v>1260.75</v>
      </c>
      <c r="C441" s="6">
        <f>IFERROR(__xludf.DUMMYFUNCTION("""COMPUTED_VALUE"""),1281.5)</f>
        <v>1281.5</v>
      </c>
      <c r="D441" s="6">
        <f>IFERROR(__xludf.DUMMYFUNCTION("""COMPUTED_VALUE"""),1235.15)</f>
        <v>1235.15</v>
      </c>
      <c r="E441" s="6">
        <f>IFERROR(__xludf.DUMMYFUNCTION("""COMPUTED_VALUE"""),1241.65)</f>
        <v>1241.65</v>
      </c>
      <c r="F441" s="7">
        <f>IFERROR(__xludf.DUMMYFUNCTION("""COMPUTED_VALUE"""),1.4183746E7)</f>
        <v>14183746</v>
      </c>
      <c r="G441" s="7" t="str">
        <f>IFERROR(__xludf.DUMMYFUNCTION("""COMPUTED_VALUE"""),"RELIANCE.NS")</f>
        <v>RELIANCE.NS</v>
      </c>
      <c r="H441" s="8">
        <f t="shared" si="1"/>
        <v>-0.01514971247</v>
      </c>
      <c r="I441" s="8">
        <f t="shared" si="2"/>
        <v>0.01514971247</v>
      </c>
      <c r="J441" s="7" t="str">
        <f t="shared" si="3"/>
        <v>Nov-2024</v>
      </c>
      <c r="K441" s="9">
        <f t="shared" si="4"/>
        <v>45597</v>
      </c>
      <c r="L441" s="7" t="str">
        <f t="shared" si="5"/>
        <v/>
      </c>
      <c r="M441" s="7" t="str">
        <f>IFERROR(__xludf.DUMMYFUNCTION("IFERROR(
  IF(
    F441 &gt;
    3*AVERAGE(
       FILTER($F$2:$F10491,
         $G$2:$G10491=G441,
         $A$2:$A10491&gt;=A441-20,
         $A$2:$A10491&lt;=A441
       )
    ),
    ""VOL_SPIKE_3X"",""""
  ),
"""")
"),"")</f>
        <v/>
      </c>
      <c r="N441" s="7" t="str">
        <f t="shared" si="6"/>
        <v/>
      </c>
      <c r="O441" s="7" t="str">
        <f t="shared" si="7"/>
        <v/>
      </c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>
        <f>IFERROR(__xludf.DUMMYFUNCTION("""COMPUTED_VALUE"""),45617.0)</f>
        <v>45617</v>
      </c>
      <c r="B442" s="6">
        <f>IFERROR(__xludf.DUMMYFUNCTION("""COMPUTED_VALUE"""),697.25)</f>
        <v>697.25</v>
      </c>
      <c r="C442" s="6">
        <f>IFERROR(__xludf.DUMMYFUNCTION("""COMPUTED_VALUE"""),724.0)</f>
        <v>724</v>
      </c>
      <c r="D442" s="6">
        <f>IFERROR(__xludf.DUMMYFUNCTION("""COMPUTED_VALUE"""),697.25)</f>
        <v>697.25</v>
      </c>
      <c r="E442" s="6">
        <f>IFERROR(__xludf.DUMMYFUNCTION("""COMPUTED_VALUE"""),697.25)</f>
        <v>697.25</v>
      </c>
      <c r="F442" s="7">
        <f>IFERROR(__xludf.DUMMYFUNCTION("""COMPUTED_VALUE"""),2.1316268E7)</f>
        <v>21316268</v>
      </c>
      <c r="G442" s="7" t="str">
        <f>IFERROR(__xludf.DUMMYFUNCTION("""COMPUTED_VALUE"""),"ADANIENSOL.NS")</f>
        <v>ADANIENSOL.NS</v>
      </c>
      <c r="H442" s="8">
        <f t="shared" si="1"/>
        <v>0</v>
      </c>
      <c r="I442" s="8">
        <f t="shared" si="2"/>
        <v>0</v>
      </c>
      <c r="J442" s="7" t="str">
        <f t="shared" si="3"/>
        <v>Nov-2024</v>
      </c>
      <c r="K442" s="9">
        <f t="shared" si="4"/>
        <v>45597</v>
      </c>
      <c r="L442" s="7" t="str">
        <f t="shared" si="5"/>
        <v/>
      </c>
      <c r="M442" s="7" t="str">
        <f>IFERROR(__xludf.DUMMYFUNCTION("IFERROR(
  IF(
    F442 &gt;
    3*AVERAGE(
       FILTER($F$2:$F10491,
         $G$2:$G10491=G442,
         $A$2:$A10491&gt;=A442-20,
         $A$2:$A10491&lt;=A442
       )
    ),
    ""VOL_SPIKE_3X"",""""
  ),
"""")
"),"VOL_SPIKE_3X")</f>
        <v>VOL_SPIKE_3X</v>
      </c>
      <c r="N442" s="7" t="str">
        <f t="shared" si="6"/>
        <v>VOL_SPIKE_3X</v>
      </c>
      <c r="O442" s="7" t="str">
        <f t="shared" si="7"/>
        <v/>
      </c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>
        <f>IFERROR(__xludf.DUMMYFUNCTION("""COMPUTED_VALUE"""),45617.0)</f>
        <v>45617</v>
      </c>
      <c r="B443" s="6">
        <f>IFERROR(__xludf.DUMMYFUNCTION("""COMPUTED_VALUE"""),1160.0)</f>
        <v>1160</v>
      </c>
      <c r="C443" s="6">
        <f>IFERROR(__xludf.DUMMYFUNCTION("""COMPUTED_VALUE"""),1212.0)</f>
        <v>1212</v>
      </c>
      <c r="D443" s="6">
        <f>IFERROR(__xludf.DUMMYFUNCTION("""COMPUTED_VALUE"""),1132.0)</f>
        <v>1132</v>
      </c>
      <c r="E443" s="6">
        <f>IFERROR(__xludf.DUMMYFUNCTION("""COMPUTED_VALUE"""),1145.7)</f>
        <v>1145.7</v>
      </c>
      <c r="F443" s="7">
        <f>IFERROR(__xludf.DUMMYFUNCTION("""COMPUTED_VALUE"""),9523600.0)</f>
        <v>9523600</v>
      </c>
      <c r="G443" s="7" t="str">
        <f>IFERROR(__xludf.DUMMYFUNCTION("""COMPUTED_VALUE"""),"ADANIGREEN.NS")</f>
        <v>ADANIGREEN.NS</v>
      </c>
      <c r="H443" s="8">
        <f t="shared" si="1"/>
        <v>-0.01232758621</v>
      </c>
      <c r="I443" s="8">
        <f t="shared" si="2"/>
        <v>0.01232758621</v>
      </c>
      <c r="J443" s="7" t="str">
        <f t="shared" si="3"/>
        <v>Nov-2024</v>
      </c>
      <c r="K443" s="9">
        <f t="shared" si="4"/>
        <v>45597</v>
      </c>
      <c r="L443" s="7" t="str">
        <f t="shared" si="5"/>
        <v/>
      </c>
      <c r="M443" s="7" t="str">
        <f>IFERROR(__xludf.DUMMYFUNCTION("IFERROR(
  IF(
    F443 &gt;
    3*AVERAGE(
       FILTER($F$2:$F10491,
         $G$2:$G10491=G443,
         $A$2:$A10491&gt;=A443-20,
         $A$2:$A10491&lt;=A443
       )
    ),
    ""VOL_SPIKE_3X"",""""
  ),
"""")
"),"VOL_SPIKE_3X")</f>
        <v>VOL_SPIKE_3X</v>
      </c>
      <c r="N443" s="7" t="str">
        <f t="shared" si="6"/>
        <v>VOL_SPIKE_3X</v>
      </c>
      <c r="O443" s="7" t="str">
        <f t="shared" si="7"/>
        <v/>
      </c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>
        <f>IFERROR(__xludf.DUMMYFUNCTION("""COMPUTED_VALUE"""),45617.0)</f>
        <v>45617</v>
      </c>
      <c r="B444" s="6">
        <f>IFERROR(__xludf.DUMMYFUNCTION("""COMPUTED_VALUE"""),287.45)</f>
        <v>287.45</v>
      </c>
      <c r="C444" s="6">
        <f>IFERROR(__xludf.DUMMYFUNCTION("""COMPUTED_VALUE"""),287.45)</f>
        <v>287.45</v>
      </c>
      <c r="D444" s="6">
        <f>IFERROR(__xludf.DUMMYFUNCTION("""COMPUTED_VALUE"""),279.35)</f>
        <v>279.35</v>
      </c>
      <c r="E444" s="6">
        <f>IFERROR(__xludf.DUMMYFUNCTION("""COMPUTED_VALUE"""),282.4)</f>
        <v>282.4</v>
      </c>
      <c r="F444" s="7">
        <f>IFERROR(__xludf.DUMMYFUNCTION("""COMPUTED_VALUE"""),8273120.0)</f>
        <v>8273120</v>
      </c>
      <c r="G444" s="7" t="str">
        <f>IFERROR(__xludf.DUMMYFUNCTION("""COMPUTED_VALUE"""),"BPCL.NS")</f>
        <v>BPCL.NS</v>
      </c>
      <c r="H444" s="8">
        <f t="shared" si="1"/>
        <v>-0.01756827274</v>
      </c>
      <c r="I444" s="8">
        <f t="shared" si="2"/>
        <v>0.01756827274</v>
      </c>
      <c r="J444" s="7" t="str">
        <f t="shared" si="3"/>
        <v>Nov-2024</v>
      </c>
      <c r="K444" s="9">
        <f t="shared" si="4"/>
        <v>45597</v>
      </c>
      <c r="L444" s="7" t="str">
        <f t="shared" si="5"/>
        <v/>
      </c>
      <c r="M444" s="7" t="str">
        <f>IFERROR(__xludf.DUMMYFUNCTION("IFERROR(
  IF(
    F444 &gt;
    3*AVERAGE(
       FILTER($F$2:$F10491,
         $G$2:$G10491=G444,
         $A$2:$A10491&gt;=A444-20,
         $A$2:$A10491&lt;=A444
       )
    ),
    ""VOL_SPIKE_3X"",""""
  ),
"""")
"),"")</f>
        <v/>
      </c>
      <c r="N444" s="7" t="str">
        <f t="shared" si="6"/>
        <v/>
      </c>
      <c r="O444" s="7" t="str">
        <f t="shared" si="7"/>
        <v/>
      </c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>
        <f>IFERROR(__xludf.DUMMYFUNCTION("""COMPUTED_VALUE"""),45617.0)</f>
        <v>45617</v>
      </c>
      <c r="B445" s="6">
        <f>IFERROR(__xludf.DUMMYFUNCTION("""COMPUTED_VALUE"""),413.05)</f>
        <v>413.05</v>
      </c>
      <c r="C445" s="6">
        <f>IFERROR(__xludf.DUMMYFUNCTION("""COMPUTED_VALUE"""),413.9)</f>
        <v>413.9</v>
      </c>
      <c r="D445" s="6">
        <f>IFERROR(__xludf.DUMMYFUNCTION("""COMPUTED_VALUE"""),404.15)</f>
        <v>404.15</v>
      </c>
      <c r="E445" s="6">
        <f>IFERROR(__xludf.DUMMYFUNCTION("""COMPUTED_VALUE"""),406.0)</f>
        <v>406</v>
      </c>
      <c r="F445" s="7">
        <f>IFERROR(__xludf.DUMMYFUNCTION("""COMPUTED_VALUE"""),1.4141967E7)</f>
        <v>14141967</v>
      </c>
      <c r="G445" s="7" t="str">
        <f>IFERROR(__xludf.DUMMYFUNCTION("""COMPUTED_VALUE"""),"COALINDIA.NS")</f>
        <v>COALINDIA.NS</v>
      </c>
      <c r="H445" s="8">
        <f t="shared" si="1"/>
        <v>-0.01706815156</v>
      </c>
      <c r="I445" s="8">
        <f t="shared" si="2"/>
        <v>0.01706815156</v>
      </c>
      <c r="J445" s="7" t="str">
        <f t="shared" si="3"/>
        <v>Nov-2024</v>
      </c>
      <c r="K445" s="9">
        <f t="shared" si="4"/>
        <v>45597</v>
      </c>
      <c r="L445" s="7" t="str">
        <f t="shared" si="5"/>
        <v/>
      </c>
      <c r="M445" s="7" t="str">
        <f>IFERROR(__xludf.DUMMYFUNCTION("IFERROR(
  IF(
    F445 &gt;
    3*AVERAGE(
       FILTER($F$2:$F10491,
         $G$2:$G10491=G445,
         $A$2:$A10491&gt;=A445-20,
         $A$2:$A10491&lt;=A445
       )
    ),
    ""VOL_SPIKE_3X"",""""
  ),
"""")
"),"")</f>
        <v/>
      </c>
      <c r="N445" s="7" t="str">
        <f t="shared" si="6"/>
        <v/>
      </c>
      <c r="O445" s="7" t="str">
        <f t="shared" si="7"/>
        <v/>
      </c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>
        <f>IFERROR(__xludf.DUMMYFUNCTION("""COMPUTED_VALUE"""),45617.0)</f>
        <v>45617</v>
      </c>
      <c r="B446" s="6">
        <f>IFERROR(__xludf.DUMMYFUNCTION("""COMPUTED_VALUE"""),362.15)</f>
        <v>362.15</v>
      </c>
      <c r="C446" s="6">
        <f>IFERROR(__xludf.DUMMYFUNCTION("""COMPUTED_VALUE"""),363.6)</f>
        <v>363.6</v>
      </c>
      <c r="D446" s="6">
        <f>IFERROR(__xludf.DUMMYFUNCTION("""COMPUTED_VALUE"""),354.9)</f>
        <v>354.9</v>
      </c>
      <c r="E446" s="6">
        <f>IFERROR(__xludf.DUMMYFUNCTION("""COMPUTED_VALUE"""),360.1)</f>
        <v>360.1</v>
      </c>
      <c r="F446" s="7">
        <f>IFERROR(__xludf.DUMMYFUNCTION("""COMPUTED_VALUE"""),4403773.0)</f>
        <v>4403773</v>
      </c>
      <c r="G446" s="7" t="str">
        <f>IFERROR(__xludf.DUMMYFUNCTION("""COMPUTED_VALUE"""),"HINDPETRO.NS")</f>
        <v>HINDPETRO.NS</v>
      </c>
      <c r="H446" s="8">
        <f t="shared" si="1"/>
        <v>-0.005660637857</v>
      </c>
      <c r="I446" s="8">
        <f t="shared" si="2"/>
        <v>0.005660637857</v>
      </c>
      <c r="J446" s="7" t="str">
        <f t="shared" si="3"/>
        <v>Nov-2024</v>
      </c>
      <c r="K446" s="9">
        <f t="shared" si="4"/>
        <v>45597</v>
      </c>
      <c r="L446" s="7" t="str">
        <f t="shared" si="5"/>
        <v/>
      </c>
      <c r="M446" s="7" t="str">
        <f>IFERROR(__xludf.DUMMYFUNCTION("IFERROR(
  IF(
    F446 &gt;
    3*AVERAGE(
       FILTER($F$2:$F10491,
         $G$2:$G10491=G446,
         $A$2:$A10491&gt;=A446-20,
         $A$2:$A10491&lt;=A446
       )
    ),
    ""VOL_SPIKE_3X"",""""
  ),
"""")
"),"")</f>
        <v/>
      </c>
      <c r="N446" s="7" t="str">
        <f t="shared" si="6"/>
        <v/>
      </c>
      <c r="O446" s="7" t="str">
        <f t="shared" si="7"/>
        <v/>
      </c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>
        <f>IFERROR(__xludf.DUMMYFUNCTION("""COMPUTED_VALUE"""),45617.0)</f>
        <v>45617</v>
      </c>
      <c r="B447" s="6">
        <f>IFERROR(__xludf.DUMMYFUNCTION("""COMPUTED_VALUE"""),133.12)</f>
        <v>133.12</v>
      </c>
      <c r="C447" s="6">
        <f>IFERROR(__xludf.DUMMYFUNCTION("""COMPUTED_VALUE"""),133.4)</f>
        <v>133.4</v>
      </c>
      <c r="D447" s="6">
        <f>IFERROR(__xludf.DUMMYFUNCTION("""COMPUTED_VALUE"""),129.5)</f>
        <v>129.5</v>
      </c>
      <c r="E447" s="6">
        <f>IFERROR(__xludf.DUMMYFUNCTION("""COMPUTED_VALUE"""),130.71)</f>
        <v>130.71</v>
      </c>
      <c r="F447" s="7">
        <f>IFERROR(__xludf.DUMMYFUNCTION("""COMPUTED_VALUE"""),1.578741E7)</f>
        <v>15787410</v>
      </c>
      <c r="G447" s="7" t="str">
        <f>IFERROR(__xludf.DUMMYFUNCTION("""COMPUTED_VALUE"""),"IOC.NS")</f>
        <v>IOC.NS</v>
      </c>
      <c r="H447" s="8">
        <f t="shared" si="1"/>
        <v>-0.01810396635</v>
      </c>
      <c r="I447" s="8">
        <f t="shared" si="2"/>
        <v>0.01810396635</v>
      </c>
      <c r="J447" s="7" t="str">
        <f t="shared" si="3"/>
        <v>Nov-2024</v>
      </c>
      <c r="K447" s="9">
        <f t="shared" si="4"/>
        <v>45597</v>
      </c>
      <c r="L447" s="7" t="str">
        <f t="shared" si="5"/>
        <v/>
      </c>
      <c r="M447" s="7" t="str">
        <f>IFERROR(__xludf.DUMMYFUNCTION("IFERROR(
  IF(
    F447 &gt;
    3*AVERAGE(
       FILTER($F$2:$F10491,
         $G$2:$G10491=G447,
         $A$2:$A10491&gt;=A447-20,
         $A$2:$A10491&lt;=A447
       )
    ),
    ""VOL_SPIKE_3X"",""""
  ),
"""")
"),"")</f>
        <v/>
      </c>
      <c r="N447" s="7" t="str">
        <f t="shared" si="6"/>
        <v/>
      </c>
      <c r="O447" s="7" t="str">
        <f t="shared" si="7"/>
        <v/>
      </c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>
        <f>IFERROR(__xludf.DUMMYFUNCTION("""COMPUTED_VALUE"""),45617.0)</f>
        <v>45617</v>
      </c>
      <c r="B448" s="6">
        <f>IFERROR(__xludf.DUMMYFUNCTION("""COMPUTED_VALUE"""),363.7)</f>
        <v>363.7</v>
      </c>
      <c r="C448" s="6">
        <f>IFERROR(__xludf.DUMMYFUNCTION("""COMPUTED_VALUE"""),364.35)</f>
        <v>364.35</v>
      </c>
      <c r="D448" s="6">
        <f>IFERROR(__xludf.DUMMYFUNCTION("""COMPUTED_VALUE"""),354.8)</f>
        <v>354.8</v>
      </c>
      <c r="E448" s="6">
        <f>IFERROR(__xludf.DUMMYFUNCTION("""COMPUTED_VALUE"""),356.15)</f>
        <v>356.15</v>
      </c>
      <c r="F448" s="7">
        <f>IFERROR(__xludf.DUMMYFUNCTION("""COMPUTED_VALUE"""),2.127615E7)</f>
        <v>21276150</v>
      </c>
      <c r="G448" s="7" t="str">
        <f>IFERROR(__xludf.DUMMYFUNCTION("""COMPUTED_VALUE"""),"NTPC.NS")</f>
        <v>NTPC.NS</v>
      </c>
      <c r="H448" s="8">
        <f t="shared" si="1"/>
        <v>-0.0207588672</v>
      </c>
      <c r="I448" s="8">
        <f t="shared" si="2"/>
        <v>0.0207588672</v>
      </c>
      <c r="J448" s="7" t="str">
        <f t="shared" si="3"/>
        <v>Nov-2024</v>
      </c>
      <c r="K448" s="9">
        <f t="shared" si="4"/>
        <v>45597</v>
      </c>
      <c r="L448" s="7" t="str">
        <f t="shared" si="5"/>
        <v/>
      </c>
      <c r="M448" s="7" t="str">
        <f>IFERROR(__xludf.DUMMYFUNCTION("IFERROR(
  IF(
    F448 &gt;
    3*AVERAGE(
       FILTER($F$2:$F10491,
         $G$2:$G10491=G448,
         $A$2:$A10491&gt;=A448-20,
         $A$2:$A10491&lt;=A448
       )
    ),
    ""VOL_SPIKE_3X"",""""
  ),
"""")
"),"")</f>
        <v/>
      </c>
      <c r="N448" s="7" t="str">
        <f t="shared" si="6"/>
        <v/>
      </c>
      <c r="O448" s="7" t="str">
        <f t="shared" si="7"/>
        <v/>
      </c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>
        <f>IFERROR(__xludf.DUMMYFUNCTION("""COMPUTED_VALUE"""),45617.0)</f>
        <v>45617</v>
      </c>
      <c r="B449" s="6">
        <f>IFERROR(__xludf.DUMMYFUNCTION("""COMPUTED_VALUE"""),248.0)</f>
        <v>248</v>
      </c>
      <c r="C449" s="6">
        <f>IFERROR(__xludf.DUMMYFUNCTION("""COMPUTED_VALUE"""),248.0)</f>
        <v>248</v>
      </c>
      <c r="D449" s="6">
        <f>IFERROR(__xludf.DUMMYFUNCTION("""COMPUTED_VALUE"""),240.8)</f>
        <v>240.8</v>
      </c>
      <c r="E449" s="6">
        <f>IFERROR(__xludf.DUMMYFUNCTION("""COMPUTED_VALUE"""),242.15)</f>
        <v>242.15</v>
      </c>
      <c r="F449" s="7">
        <f>IFERROR(__xludf.DUMMYFUNCTION("""COMPUTED_VALUE"""),1.618944E7)</f>
        <v>16189440</v>
      </c>
      <c r="G449" s="7" t="str">
        <f>IFERROR(__xludf.DUMMYFUNCTION("""COMPUTED_VALUE"""),"ONGC.NS")</f>
        <v>ONGC.NS</v>
      </c>
      <c r="H449" s="8">
        <f t="shared" si="1"/>
        <v>-0.02358870968</v>
      </c>
      <c r="I449" s="8">
        <f t="shared" si="2"/>
        <v>0.02358870968</v>
      </c>
      <c r="J449" s="7" t="str">
        <f t="shared" si="3"/>
        <v>Nov-2024</v>
      </c>
      <c r="K449" s="9">
        <f t="shared" si="4"/>
        <v>45597</v>
      </c>
      <c r="L449" s="7" t="str">
        <f t="shared" si="5"/>
        <v/>
      </c>
      <c r="M449" s="7" t="str">
        <f>IFERROR(__xludf.DUMMYFUNCTION("IFERROR(
  IF(
    F449 &gt;
    3*AVERAGE(
       FILTER($F$2:$F10491,
         $G$2:$G10491=G449,
         $A$2:$A10491&gt;=A449-20,
         $A$2:$A10491&lt;=A449
       )
    ),
    ""VOL_SPIKE_3X"",""""
  ),
"""")
"),"")</f>
        <v/>
      </c>
      <c r="N449" s="7" t="str">
        <f t="shared" si="6"/>
        <v/>
      </c>
      <c r="O449" s="7" t="str">
        <f t="shared" si="7"/>
        <v/>
      </c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>
        <f>IFERROR(__xludf.DUMMYFUNCTION("""COMPUTED_VALUE"""),45617.0)</f>
        <v>45617</v>
      </c>
      <c r="B450" s="6">
        <f>IFERROR(__xludf.DUMMYFUNCTION("""COMPUTED_VALUE"""),316.0)</f>
        <v>316</v>
      </c>
      <c r="C450" s="6">
        <f>IFERROR(__xludf.DUMMYFUNCTION("""COMPUTED_VALUE"""),326.75)</f>
        <v>326.75</v>
      </c>
      <c r="D450" s="6">
        <f>IFERROR(__xludf.DUMMYFUNCTION("""COMPUTED_VALUE"""),313.0)</f>
        <v>313</v>
      </c>
      <c r="E450" s="6">
        <f>IFERROR(__xludf.DUMMYFUNCTION("""COMPUTED_VALUE"""),325.9)</f>
        <v>325.9</v>
      </c>
      <c r="F450" s="7">
        <f>IFERROR(__xludf.DUMMYFUNCTION("""COMPUTED_VALUE"""),2.5406386E7)</f>
        <v>25406386</v>
      </c>
      <c r="G450" s="7" t="str">
        <f>IFERROR(__xludf.DUMMYFUNCTION("""COMPUTED_VALUE"""),"POWERGRID.NS")</f>
        <v>POWERGRID.NS</v>
      </c>
      <c r="H450" s="8">
        <f t="shared" si="1"/>
        <v>0.03132911392</v>
      </c>
      <c r="I450" s="8">
        <f t="shared" si="2"/>
        <v>0.03132911392</v>
      </c>
      <c r="J450" s="7" t="str">
        <f t="shared" si="3"/>
        <v>Nov-2024</v>
      </c>
      <c r="K450" s="9">
        <f t="shared" si="4"/>
        <v>45597</v>
      </c>
      <c r="L450" s="7" t="str">
        <f t="shared" si="5"/>
        <v/>
      </c>
      <c r="M450" s="7" t="str">
        <f>IFERROR(__xludf.DUMMYFUNCTION("IFERROR(
  IF(
    F450 &gt;
    3*AVERAGE(
       FILTER($F$2:$F10491,
         $G$2:$G10491=G450,
         $A$2:$A10491&gt;=A450-20,
         $A$2:$A10491&lt;=A450
       )
    ),
    ""VOL_SPIKE_3X"",""""
  ),
"""")
"),"")</f>
        <v/>
      </c>
      <c r="N450" s="7" t="str">
        <f t="shared" si="6"/>
        <v/>
      </c>
      <c r="O450" s="7" t="str">
        <f t="shared" si="7"/>
        <v/>
      </c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>
        <f>IFERROR(__xludf.DUMMYFUNCTION("""COMPUTED_VALUE"""),45617.0)</f>
        <v>45617</v>
      </c>
      <c r="B451" s="6">
        <f>IFERROR(__xludf.DUMMYFUNCTION("""COMPUTED_VALUE"""),1241.65)</f>
        <v>1241.65</v>
      </c>
      <c r="C451" s="6">
        <f>IFERROR(__xludf.DUMMYFUNCTION("""COMPUTED_VALUE"""),1243.95)</f>
        <v>1243.95</v>
      </c>
      <c r="D451" s="6">
        <f>IFERROR(__xludf.DUMMYFUNCTION("""COMPUTED_VALUE"""),1217.25)</f>
        <v>1217.25</v>
      </c>
      <c r="E451" s="6">
        <f>IFERROR(__xludf.DUMMYFUNCTION("""COMPUTED_VALUE"""),1223.0)</f>
        <v>1223</v>
      </c>
      <c r="F451" s="7">
        <f>IFERROR(__xludf.DUMMYFUNCTION("""COMPUTED_VALUE"""),1.9433843E7)</f>
        <v>19433843</v>
      </c>
      <c r="G451" s="7" t="str">
        <f>IFERROR(__xludf.DUMMYFUNCTION("""COMPUTED_VALUE"""),"RELIANCE.NS")</f>
        <v>RELIANCE.NS</v>
      </c>
      <c r="H451" s="8">
        <f t="shared" si="1"/>
        <v>-0.01502033584</v>
      </c>
      <c r="I451" s="8">
        <f t="shared" si="2"/>
        <v>0.01502033584</v>
      </c>
      <c r="J451" s="7" t="str">
        <f t="shared" si="3"/>
        <v>Nov-2024</v>
      </c>
      <c r="K451" s="9">
        <f t="shared" si="4"/>
        <v>45597</v>
      </c>
      <c r="L451" s="7" t="str">
        <f t="shared" si="5"/>
        <v/>
      </c>
      <c r="M451" s="7" t="str">
        <f>IFERROR(__xludf.DUMMYFUNCTION("IFERROR(
  IF(
    F451 &gt;
    3*AVERAGE(
       FILTER($F$2:$F10491,
         $G$2:$G10491=G451,
         $A$2:$A10491&gt;=A451-20,
         $A$2:$A10491&lt;=A451
       )
    ),
    ""VOL_SPIKE_3X"",""""
  ),
"""")
"),"")</f>
        <v/>
      </c>
      <c r="N451" s="7" t="str">
        <f t="shared" si="6"/>
        <v/>
      </c>
      <c r="O451" s="7" t="str">
        <f t="shared" si="7"/>
        <v/>
      </c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>
        <f>IFERROR(__xludf.DUMMYFUNCTION("""COMPUTED_VALUE"""),45618.0)</f>
        <v>45618</v>
      </c>
      <c r="B452" s="6">
        <f>IFERROR(__xludf.DUMMYFUNCTION("""COMPUTED_VALUE"""),658.15)</f>
        <v>658.15</v>
      </c>
      <c r="C452" s="6">
        <f>IFERROR(__xludf.DUMMYFUNCTION("""COMPUTED_VALUE"""),695.0)</f>
        <v>695</v>
      </c>
      <c r="D452" s="6">
        <f>IFERROR(__xludf.DUMMYFUNCTION("""COMPUTED_VALUE"""),627.5)</f>
        <v>627.5</v>
      </c>
      <c r="E452" s="6">
        <f>IFERROR(__xludf.DUMMYFUNCTION("""COMPUTED_VALUE"""),648.95)</f>
        <v>648.95</v>
      </c>
      <c r="F452" s="7">
        <f>IFERROR(__xludf.DUMMYFUNCTION("""COMPUTED_VALUE"""),2.2987433E7)</f>
        <v>22987433</v>
      </c>
      <c r="G452" s="7" t="str">
        <f>IFERROR(__xludf.DUMMYFUNCTION("""COMPUTED_VALUE"""),"ADANIENSOL.NS")</f>
        <v>ADANIENSOL.NS</v>
      </c>
      <c r="H452" s="8">
        <f t="shared" si="1"/>
        <v>-0.01397857631</v>
      </c>
      <c r="I452" s="8">
        <f t="shared" si="2"/>
        <v>0.01397857631</v>
      </c>
      <c r="J452" s="7" t="str">
        <f t="shared" si="3"/>
        <v>Nov-2024</v>
      </c>
      <c r="K452" s="9">
        <f t="shared" si="4"/>
        <v>45597</v>
      </c>
      <c r="L452" s="7" t="str">
        <f t="shared" si="5"/>
        <v/>
      </c>
      <c r="M452" s="7" t="str">
        <f>IFERROR(__xludf.DUMMYFUNCTION("IFERROR(
  IF(
    F452 &gt;
    3*AVERAGE(
       FILTER($F$2:$F10491,
         $G$2:$G10491=G452,
         $A$2:$A10491&gt;=A452-20,
         $A$2:$A10491&lt;=A452
       )
    ),
    ""VOL_SPIKE_3X"",""""
  ),
"""")
"),"VOL_SPIKE_3X")</f>
        <v>VOL_SPIKE_3X</v>
      </c>
      <c r="N452" s="7" t="str">
        <f t="shared" si="6"/>
        <v>VOL_SPIKE_3X</v>
      </c>
      <c r="O452" s="7" t="str">
        <f t="shared" si="7"/>
        <v/>
      </c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>
        <f>IFERROR(__xludf.DUMMYFUNCTION("""COMPUTED_VALUE"""),45618.0)</f>
        <v>45618</v>
      </c>
      <c r="B453" s="6">
        <f>IFERROR(__xludf.DUMMYFUNCTION("""COMPUTED_VALUE"""),1085.0)</f>
        <v>1085</v>
      </c>
      <c r="C453" s="6">
        <f>IFERROR(__xludf.DUMMYFUNCTION("""COMPUTED_VALUE"""),1219.0)</f>
        <v>1219</v>
      </c>
      <c r="D453" s="6">
        <f>IFERROR(__xludf.DUMMYFUNCTION("""COMPUTED_VALUE"""),1021.0)</f>
        <v>1021</v>
      </c>
      <c r="E453" s="6">
        <f>IFERROR(__xludf.DUMMYFUNCTION("""COMPUTED_VALUE"""),1051.8)</f>
        <v>1051.8</v>
      </c>
      <c r="F453" s="7">
        <f>IFERROR(__xludf.DUMMYFUNCTION("""COMPUTED_VALUE"""),2.2036694E7)</f>
        <v>22036694</v>
      </c>
      <c r="G453" s="7" t="str">
        <f>IFERROR(__xludf.DUMMYFUNCTION("""COMPUTED_VALUE"""),"ADANIGREEN.NS")</f>
        <v>ADANIGREEN.NS</v>
      </c>
      <c r="H453" s="8">
        <f t="shared" si="1"/>
        <v>-0.03059907834</v>
      </c>
      <c r="I453" s="8">
        <f t="shared" si="2"/>
        <v>0.03059907834</v>
      </c>
      <c r="J453" s="7" t="str">
        <f t="shared" si="3"/>
        <v>Nov-2024</v>
      </c>
      <c r="K453" s="9">
        <f t="shared" si="4"/>
        <v>45597</v>
      </c>
      <c r="L453" s="7" t="str">
        <f t="shared" si="5"/>
        <v/>
      </c>
      <c r="M453" s="7" t="str">
        <f>IFERROR(__xludf.DUMMYFUNCTION("IFERROR(
  IF(
    F453 &gt;
    3*AVERAGE(
       FILTER($F$2:$F10491,
         $G$2:$G10491=G453,
         $A$2:$A10491&gt;=A453-20,
         $A$2:$A10491&lt;=A453
       )
    ),
    ""VOL_SPIKE_3X"",""""
  ),
"""")
"),"VOL_SPIKE_3X")</f>
        <v>VOL_SPIKE_3X</v>
      </c>
      <c r="N453" s="7" t="str">
        <f t="shared" si="6"/>
        <v>VOL_SPIKE_3X</v>
      </c>
      <c r="O453" s="7" t="str">
        <f t="shared" si="7"/>
        <v/>
      </c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>
        <f>IFERROR(__xludf.DUMMYFUNCTION("""COMPUTED_VALUE"""),45618.0)</f>
        <v>45618</v>
      </c>
      <c r="B454" s="6">
        <f>IFERROR(__xludf.DUMMYFUNCTION("""COMPUTED_VALUE"""),282.6)</f>
        <v>282.6</v>
      </c>
      <c r="C454" s="6">
        <f>IFERROR(__xludf.DUMMYFUNCTION("""COMPUTED_VALUE"""),287.0)</f>
        <v>287</v>
      </c>
      <c r="D454" s="6">
        <f>IFERROR(__xludf.DUMMYFUNCTION("""COMPUTED_VALUE"""),281.05)</f>
        <v>281.05</v>
      </c>
      <c r="E454" s="6">
        <f>IFERROR(__xludf.DUMMYFUNCTION("""COMPUTED_VALUE"""),285.85)</f>
        <v>285.85</v>
      </c>
      <c r="F454" s="7">
        <f>IFERROR(__xludf.DUMMYFUNCTION("""COMPUTED_VALUE"""),6539977.0)</f>
        <v>6539977</v>
      </c>
      <c r="G454" s="7" t="str">
        <f>IFERROR(__xludf.DUMMYFUNCTION("""COMPUTED_VALUE"""),"BPCL.NS")</f>
        <v>BPCL.NS</v>
      </c>
      <c r="H454" s="8">
        <f t="shared" si="1"/>
        <v>0.01150035386</v>
      </c>
      <c r="I454" s="8">
        <f t="shared" si="2"/>
        <v>0.01150035386</v>
      </c>
      <c r="J454" s="7" t="str">
        <f t="shared" si="3"/>
        <v>Nov-2024</v>
      </c>
      <c r="K454" s="9">
        <f t="shared" si="4"/>
        <v>45597</v>
      </c>
      <c r="L454" s="7" t="str">
        <f t="shared" si="5"/>
        <v/>
      </c>
      <c r="M454" s="7" t="str">
        <f>IFERROR(__xludf.DUMMYFUNCTION("IFERROR(
  IF(
    F454 &gt;
    3*AVERAGE(
       FILTER($F$2:$F10491,
         $G$2:$G10491=G454,
         $A$2:$A10491&gt;=A454-20,
         $A$2:$A10491&lt;=A454
       )
    ),
    ""VOL_SPIKE_3X"",""""
  ),
"""")
"),"")</f>
        <v/>
      </c>
      <c r="N454" s="7" t="str">
        <f t="shared" si="6"/>
        <v/>
      </c>
      <c r="O454" s="7" t="str">
        <f t="shared" si="7"/>
        <v/>
      </c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>
        <f>IFERROR(__xludf.DUMMYFUNCTION("""COMPUTED_VALUE"""),45618.0)</f>
        <v>45618</v>
      </c>
      <c r="B455" s="6">
        <f>IFERROR(__xludf.DUMMYFUNCTION("""COMPUTED_VALUE"""),407.4)</f>
        <v>407.4</v>
      </c>
      <c r="C455" s="6">
        <f>IFERROR(__xludf.DUMMYFUNCTION("""COMPUTED_VALUE"""),415.75)</f>
        <v>415.75</v>
      </c>
      <c r="D455" s="6">
        <f>IFERROR(__xludf.DUMMYFUNCTION("""COMPUTED_VALUE"""),406.4)</f>
        <v>406.4</v>
      </c>
      <c r="E455" s="6">
        <f>IFERROR(__xludf.DUMMYFUNCTION("""COMPUTED_VALUE"""),414.05)</f>
        <v>414.05</v>
      </c>
      <c r="F455" s="7">
        <f>IFERROR(__xludf.DUMMYFUNCTION("""COMPUTED_VALUE"""),8155453.0)</f>
        <v>8155453</v>
      </c>
      <c r="G455" s="7" t="str">
        <f>IFERROR(__xludf.DUMMYFUNCTION("""COMPUTED_VALUE"""),"COALINDIA.NS")</f>
        <v>COALINDIA.NS</v>
      </c>
      <c r="H455" s="8">
        <f t="shared" si="1"/>
        <v>0.01632302405</v>
      </c>
      <c r="I455" s="8">
        <f t="shared" si="2"/>
        <v>0.01632302405</v>
      </c>
      <c r="J455" s="7" t="str">
        <f t="shared" si="3"/>
        <v>Nov-2024</v>
      </c>
      <c r="K455" s="9">
        <f t="shared" si="4"/>
        <v>45597</v>
      </c>
      <c r="L455" s="7" t="str">
        <f t="shared" si="5"/>
        <v/>
      </c>
      <c r="M455" s="7" t="str">
        <f>IFERROR(__xludf.DUMMYFUNCTION("IFERROR(
  IF(
    F455 &gt;
    3*AVERAGE(
       FILTER($F$2:$F10491,
         $G$2:$G10491=G455,
         $A$2:$A10491&gt;=A455-20,
         $A$2:$A10491&lt;=A455
       )
    ),
    ""VOL_SPIKE_3X"",""""
  ),
"""")
"),"")</f>
        <v/>
      </c>
      <c r="N455" s="7" t="str">
        <f t="shared" si="6"/>
        <v/>
      </c>
      <c r="O455" s="7" t="str">
        <f t="shared" si="7"/>
        <v/>
      </c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>
        <f>IFERROR(__xludf.DUMMYFUNCTION("""COMPUTED_VALUE"""),45618.0)</f>
        <v>45618</v>
      </c>
      <c r="B456" s="6">
        <f>IFERROR(__xludf.DUMMYFUNCTION("""COMPUTED_VALUE"""),362.0)</f>
        <v>362</v>
      </c>
      <c r="C456" s="6">
        <f>IFERROR(__xludf.DUMMYFUNCTION("""COMPUTED_VALUE"""),365.3)</f>
        <v>365.3</v>
      </c>
      <c r="D456" s="6">
        <f>IFERROR(__xludf.DUMMYFUNCTION("""COMPUTED_VALUE"""),358.6)</f>
        <v>358.6</v>
      </c>
      <c r="E456" s="6">
        <f>IFERROR(__xludf.DUMMYFUNCTION("""COMPUTED_VALUE"""),360.7)</f>
        <v>360.7</v>
      </c>
      <c r="F456" s="7">
        <f>IFERROR(__xludf.DUMMYFUNCTION("""COMPUTED_VALUE"""),2571975.0)</f>
        <v>2571975</v>
      </c>
      <c r="G456" s="7" t="str">
        <f>IFERROR(__xludf.DUMMYFUNCTION("""COMPUTED_VALUE"""),"HINDPETRO.NS")</f>
        <v>HINDPETRO.NS</v>
      </c>
      <c r="H456" s="8">
        <f t="shared" si="1"/>
        <v>-0.003591160221</v>
      </c>
      <c r="I456" s="8">
        <f t="shared" si="2"/>
        <v>0.003591160221</v>
      </c>
      <c r="J456" s="7" t="str">
        <f t="shared" si="3"/>
        <v>Nov-2024</v>
      </c>
      <c r="K456" s="9">
        <f t="shared" si="4"/>
        <v>45597</v>
      </c>
      <c r="L456" s="7" t="str">
        <f t="shared" si="5"/>
        <v/>
      </c>
      <c r="M456" s="7" t="str">
        <f>IFERROR(__xludf.DUMMYFUNCTION("IFERROR(
  IF(
    F456 &gt;
    3*AVERAGE(
       FILTER($F$2:$F10491,
         $G$2:$G10491=G456,
         $A$2:$A10491&gt;=A456-20,
         $A$2:$A10491&lt;=A456
       )
    ),
    ""VOL_SPIKE_3X"",""""
  ),
"""")
"),"")</f>
        <v/>
      </c>
      <c r="N456" s="7" t="str">
        <f t="shared" si="6"/>
        <v/>
      </c>
      <c r="O456" s="7" t="str">
        <f t="shared" si="7"/>
        <v/>
      </c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>
        <f>IFERROR(__xludf.DUMMYFUNCTION("""COMPUTED_VALUE"""),45618.0)</f>
        <v>45618</v>
      </c>
      <c r="B457" s="6">
        <f>IFERROR(__xludf.DUMMYFUNCTION("""COMPUTED_VALUE"""),131.49)</f>
        <v>131.49</v>
      </c>
      <c r="C457" s="6">
        <f>IFERROR(__xludf.DUMMYFUNCTION("""COMPUTED_VALUE"""),133.1)</f>
        <v>133.1</v>
      </c>
      <c r="D457" s="6">
        <f>IFERROR(__xludf.DUMMYFUNCTION("""COMPUTED_VALUE"""),130.73)</f>
        <v>130.73</v>
      </c>
      <c r="E457" s="6">
        <f>IFERROR(__xludf.DUMMYFUNCTION("""COMPUTED_VALUE"""),132.61)</f>
        <v>132.61</v>
      </c>
      <c r="F457" s="7">
        <f>IFERROR(__xludf.DUMMYFUNCTION("""COMPUTED_VALUE"""),1.2070416E7)</f>
        <v>12070416</v>
      </c>
      <c r="G457" s="7" t="str">
        <f>IFERROR(__xludf.DUMMYFUNCTION("""COMPUTED_VALUE"""),"IOC.NS")</f>
        <v>IOC.NS</v>
      </c>
      <c r="H457" s="8">
        <f t="shared" si="1"/>
        <v>0.008517758004</v>
      </c>
      <c r="I457" s="8">
        <f t="shared" si="2"/>
        <v>0.008517758004</v>
      </c>
      <c r="J457" s="7" t="str">
        <f t="shared" si="3"/>
        <v>Nov-2024</v>
      </c>
      <c r="K457" s="9">
        <f t="shared" si="4"/>
        <v>45597</v>
      </c>
      <c r="L457" s="7" t="str">
        <f t="shared" si="5"/>
        <v/>
      </c>
      <c r="M457" s="7" t="str">
        <f>IFERROR(__xludf.DUMMYFUNCTION("IFERROR(
  IF(
    F457 &gt;
    3*AVERAGE(
       FILTER($F$2:$F10491,
         $G$2:$G10491=G457,
         $A$2:$A10491&gt;=A457-20,
         $A$2:$A10491&lt;=A457
       )
    ),
    ""VOL_SPIKE_3X"",""""
  ),
"""")
"),"")</f>
        <v/>
      </c>
      <c r="N457" s="7" t="str">
        <f t="shared" si="6"/>
        <v/>
      </c>
      <c r="O457" s="7" t="str">
        <f t="shared" si="7"/>
        <v/>
      </c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>
        <f>IFERROR(__xludf.DUMMYFUNCTION("""COMPUTED_VALUE"""),45618.0)</f>
        <v>45618</v>
      </c>
      <c r="B458" s="6">
        <f>IFERROR(__xludf.DUMMYFUNCTION("""COMPUTED_VALUE"""),357.05)</f>
        <v>357.05</v>
      </c>
      <c r="C458" s="6">
        <f>IFERROR(__xludf.DUMMYFUNCTION("""COMPUTED_VALUE"""),367.1)</f>
        <v>367.1</v>
      </c>
      <c r="D458" s="6">
        <f>IFERROR(__xludf.DUMMYFUNCTION("""COMPUTED_VALUE"""),355.7)</f>
        <v>355.7</v>
      </c>
      <c r="E458" s="6">
        <f>IFERROR(__xludf.DUMMYFUNCTION("""COMPUTED_VALUE"""),365.45)</f>
        <v>365.45</v>
      </c>
      <c r="F458" s="7">
        <f>IFERROR(__xludf.DUMMYFUNCTION("""COMPUTED_VALUE"""),1.5949254E7)</f>
        <v>15949254</v>
      </c>
      <c r="G458" s="7" t="str">
        <f>IFERROR(__xludf.DUMMYFUNCTION("""COMPUTED_VALUE"""),"NTPC.NS")</f>
        <v>NTPC.NS</v>
      </c>
      <c r="H458" s="8">
        <f t="shared" si="1"/>
        <v>0.02352611679</v>
      </c>
      <c r="I458" s="8">
        <f t="shared" si="2"/>
        <v>0.02352611679</v>
      </c>
      <c r="J458" s="7" t="str">
        <f t="shared" si="3"/>
        <v>Nov-2024</v>
      </c>
      <c r="K458" s="9">
        <f t="shared" si="4"/>
        <v>45597</v>
      </c>
      <c r="L458" s="7" t="str">
        <f t="shared" si="5"/>
        <v/>
      </c>
      <c r="M458" s="7" t="str">
        <f>IFERROR(__xludf.DUMMYFUNCTION("IFERROR(
  IF(
    F458 &gt;
    3*AVERAGE(
       FILTER($F$2:$F10491,
         $G$2:$G10491=G458,
         $A$2:$A10491&gt;=A458-20,
         $A$2:$A10491&lt;=A458
       )
    ),
    ""VOL_SPIKE_3X"",""""
  ),
"""")
"),"")</f>
        <v/>
      </c>
      <c r="N458" s="7" t="str">
        <f t="shared" si="6"/>
        <v/>
      </c>
      <c r="O458" s="7" t="str">
        <f t="shared" si="7"/>
        <v/>
      </c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>
        <f>IFERROR(__xludf.DUMMYFUNCTION("""COMPUTED_VALUE"""),45618.0)</f>
        <v>45618</v>
      </c>
      <c r="B459" s="6">
        <f>IFERROR(__xludf.DUMMYFUNCTION("""COMPUTED_VALUE"""),244.8)</f>
        <v>244.8</v>
      </c>
      <c r="C459" s="6">
        <f>IFERROR(__xludf.DUMMYFUNCTION("""COMPUTED_VALUE"""),246.95)</f>
        <v>246.95</v>
      </c>
      <c r="D459" s="6">
        <f>IFERROR(__xludf.DUMMYFUNCTION("""COMPUTED_VALUE"""),243.5)</f>
        <v>243.5</v>
      </c>
      <c r="E459" s="6">
        <f>IFERROR(__xludf.DUMMYFUNCTION("""COMPUTED_VALUE"""),245.6)</f>
        <v>245.6</v>
      </c>
      <c r="F459" s="7">
        <f>IFERROR(__xludf.DUMMYFUNCTION("""COMPUTED_VALUE"""),9637581.0)</f>
        <v>9637581</v>
      </c>
      <c r="G459" s="7" t="str">
        <f>IFERROR(__xludf.DUMMYFUNCTION("""COMPUTED_VALUE"""),"ONGC.NS")</f>
        <v>ONGC.NS</v>
      </c>
      <c r="H459" s="8">
        <f t="shared" si="1"/>
        <v>0.003267973856</v>
      </c>
      <c r="I459" s="8">
        <f t="shared" si="2"/>
        <v>0.003267973856</v>
      </c>
      <c r="J459" s="7" t="str">
        <f t="shared" si="3"/>
        <v>Nov-2024</v>
      </c>
      <c r="K459" s="9">
        <f t="shared" si="4"/>
        <v>45597</v>
      </c>
      <c r="L459" s="7" t="str">
        <f t="shared" si="5"/>
        <v/>
      </c>
      <c r="M459" s="7" t="str">
        <f>IFERROR(__xludf.DUMMYFUNCTION("IFERROR(
  IF(
    F459 &gt;
    3*AVERAGE(
       FILTER($F$2:$F10491,
         $G$2:$G10491=G459,
         $A$2:$A10491&gt;=A459-20,
         $A$2:$A10491&lt;=A459
       )
    ),
    ""VOL_SPIKE_3X"",""""
  ),
"""")
"),"")</f>
        <v/>
      </c>
      <c r="N459" s="7" t="str">
        <f t="shared" si="6"/>
        <v/>
      </c>
      <c r="O459" s="7" t="str">
        <f t="shared" si="7"/>
        <v/>
      </c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>
        <f>IFERROR(__xludf.DUMMYFUNCTION("""COMPUTED_VALUE"""),45618.0)</f>
        <v>45618</v>
      </c>
      <c r="B460" s="6">
        <f>IFERROR(__xludf.DUMMYFUNCTION("""COMPUTED_VALUE"""),325.8)</f>
        <v>325.8</v>
      </c>
      <c r="C460" s="6">
        <f>IFERROR(__xludf.DUMMYFUNCTION("""COMPUTED_VALUE"""),337.6)</f>
        <v>337.6</v>
      </c>
      <c r="D460" s="6">
        <f>IFERROR(__xludf.DUMMYFUNCTION("""COMPUTED_VALUE"""),324.0)</f>
        <v>324</v>
      </c>
      <c r="E460" s="6">
        <f>IFERROR(__xludf.DUMMYFUNCTION("""COMPUTED_VALUE"""),336.95)</f>
        <v>336.95</v>
      </c>
      <c r="F460" s="7">
        <f>IFERROR(__xludf.DUMMYFUNCTION("""COMPUTED_VALUE"""),3.1523269E7)</f>
        <v>31523269</v>
      </c>
      <c r="G460" s="7" t="str">
        <f>IFERROR(__xludf.DUMMYFUNCTION("""COMPUTED_VALUE"""),"POWERGRID.NS")</f>
        <v>POWERGRID.NS</v>
      </c>
      <c r="H460" s="8">
        <f t="shared" si="1"/>
        <v>0.03422344997</v>
      </c>
      <c r="I460" s="8">
        <f t="shared" si="2"/>
        <v>0.03422344997</v>
      </c>
      <c r="J460" s="7" t="str">
        <f t="shared" si="3"/>
        <v>Nov-2024</v>
      </c>
      <c r="K460" s="9">
        <f t="shared" si="4"/>
        <v>45597</v>
      </c>
      <c r="L460" s="7" t="str">
        <f t="shared" si="5"/>
        <v/>
      </c>
      <c r="M460" s="7" t="str">
        <f>IFERROR(__xludf.DUMMYFUNCTION("IFERROR(
  IF(
    F460 &gt;
    3*AVERAGE(
       FILTER($F$2:$F10491,
         $G$2:$G10491=G460,
         $A$2:$A10491&gt;=A460-20,
         $A$2:$A10491&lt;=A460
       )
    ),
    ""VOL_SPIKE_3X"",""""
  ),
"""")
"),"")</f>
        <v/>
      </c>
      <c r="N460" s="7" t="str">
        <f t="shared" si="6"/>
        <v/>
      </c>
      <c r="O460" s="7" t="str">
        <f t="shared" si="7"/>
        <v/>
      </c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>
        <f>IFERROR(__xludf.DUMMYFUNCTION("""COMPUTED_VALUE"""),45618.0)</f>
        <v>45618</v>
      </c>
      <c r="B461" s="6">
        <f>IFERROR(__xludf.DUMMYFUNCTION("""COMPUTED_VALUE"""),1229.4)</f>
        <v>1229.4</v>
      </c>
      <c r="C461" s="6">
        <f>IFERROR(__xludf.DUMMYFUNCTION("""COMPUTED_VALUE"""),1268.85)</f>
        <v>1268.85</v>
      </c>
      <c r="D461" s="6">
        <f>IFERROR(__xludf.DUMMYFUNCTION("""COMPUTED_VALUE"""),1222.45)</f>
        <v>1222.45</v>
      </c>
      <c r="E461" s="6">
        <f>IFERROR(__xludf.DUMMYFUNCTION("""COMPUTED_VALUE"""),1265.4)</f>
        <v>1265.4</v>
      </c>
      <c r="F461" s="7">
        <f>IFERROR(__xludf.DUMMYFUNCTION("""COMPUTED_VALUE"""),2.0471957E7)</f>
        <v>20471957</v>
      </c>
      <c r="G461" s="7" t="str">
        <f>IFERROR(__xludf.DUMMYFUNCTION("""COMPUTED_VALUE"""),"RELIANCE.NS")</f>
        <v>RELIANCE.NS</v>
      </c>
      <c r="H461" s="8">
        <f t="shared" si="1"/>
        <v>0.02928257687</v>
      </c>
      <c r="I461" s="8">
        <f t="shared" si="2"/>
        <v>0.02928257687</v>
      </c>
      <c r="J461" s="7" t="str">
        <f t="shared" si="3"/>
        <v>Nov-2024</v>
      </c>
      <c r="K461" s="9">
        <f t="shared" si="4"/>
        <v>45597</v>
      </c>
      <c r="L461" s="7" t="str">
        <f t="shared" si="5"/>
        <v/>
      </c>
      <c r="M461" s="7" t="str">
        <f>IFERROR(__xludf.DUMMYFUNCTION("IFERROR(
  IF(
    F461 &gt;
    3*AVERAGE(
       FILTER($F$2:$F10491,
         $G$2:$G10491=G461,
         $A$2:$A10491&gt;=A461-20,
         $A$2:$A10491&lt;=A461
       )
    ),
    ""VOL_SPIKE_3X"",""""
  ),
"""")
"),"")</f>
        <v/>
      </c>
      <c r="N461" s="7" t="str">
        <f t="shared" si="6"/>
        <v/>
      </c>
      <c r="O461" s="7" t="str">
        <f t="shared" si="7"/>
        <v/>
      </c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>
        <f>IFERROR(__xludf.DUMMYFUNCTION("""COMPUTED_VALUE"""),45621.0)</f>
        <v>45621</v>
      </c>
      <c r="B462" s="6">
        <f>IFERROR(__xludf.DUMMYFUNCTION("""COMPUTED_VALUE"""),678.0)</f>
        <v>678</v>
      </c>
      <c r="C462" s="6">
        <f>IFERROR(__xludf.DUMMYFUNCTION("""COMPUTED_VALUE"""),694.2)</f>
        <v>694.2</v>
      </c>
      <c r="D462" s="6">
        <f>IFERROR(__xludf.DUMMYFUNCTION("""COMPUTED_VALUE"""),620.0)</f>
        <v>620</v>
      </c>
      <c r="E462" s="6">
        <f>IFERROR(__xludf.DUMMYFUNCTION("""COMPUTED_VALUE"""),625.2)</f>
        <v>625.2</v>
      </c>
      <c r="F462" s="7">
        <f>IFERROR(__xludf.DUMMYFUNCTION("""COMPUTED_VALUE"""),1.3113479E7)</f>
        <v>13113479</v>
      </c>
      <c r="G462" s="7" t="str">
        <f>IFERROR(__xludf.DUMMYFUNCTION("""COMPUTED_VALUE"""),"ADANIENSOL.NS")</f>
        <v>ADANIENSOL.NS</v>
      </c>
      <c r="H462" s="8">
        <f t="shared" si="1"/>
        <v>-0.07787610619</v>
      </c>
      <c r="I462" s="8">
        <f t="shared" si="2"/>
        <v>0.07787610619</v>
      </c>
      <c r="J462" s="7" t="str">
        <f t="shared" si="3"/>
        <v>Nov-2024</v>
      </c>
      <c r="K462" s="9">
        <f t="shared" si="4"/>
        <v>45597</v>
      </c>
      <c r="L462" s="7" t="str">
        <f t="shared" si="5"/>
        <v>PRICE_MOVE_5PCT+</v>
      </c>
      <c r="M462" s="7" t="str">
        <f>IFERROR(__xludf.DUMMYFUNCTION("IFERROR(
  IF(
    F462 &gt;
    3*AVERAGE(
       FILTER($F$2:$F10491,
         $G$2:$G10491=G462,
         $A$2:$A10491&gt;=A462-20,
         $A$2:$A10491&lt;=A462
       )
    ),
    ""VOL_SPIKE_3X"",""""
  ),
"""")
"),"")</f>
        <v/>
      </c>
      <c r="N462" s="7" t="str">
        <f t="shared" si="6"/>
        <v>PRICE_MOVE_5PCT+</v>
      </c>
      <c r="O462" s="7" t="str">
        <f t="shared" si="7"/>
        <v/>
      </c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>
        <f>IFERROR(__xludf.DUMMYFUNCTION("""COMPUTED_VALUE"""),45621.0)</f>
        <v>45621</v>
      </c>
      <c r="B463" s="6">
        <f>IFERROR(__xludf.DUMMYFUNCTION("""COMPUTED_VALUE"""),1080.2)</f>
        <v>1080.2</v>
      </c>
      <c r="C463" s="6">
        <f>IFERROR(__xludf.DUMMYFUNCTION("""COMPUTED_VALUE"""),1141.0)</f>
        <v>1141</v>
      </c>
      <c r="D463" s="6">
        <f>IFERROR(__xludf.DUMMYFUNCTION("""COMPUTED_VALUE"""),933.0)</f>
        <v>933</v>
      </c>
      <c r="E463" s="6">
        <f>IFERROR(__xludf.DUMMYFUNCTION("""COMPUTED_VALUE"""),968.8)</f>
        <v>968.8</v>
      </c>
      <c r="F463" s="7">
        <f>IFERROR(__xludf.DUMMYFUNCTION("""COMPUTED_VALUE"""),2.86232E7)</f>
        <v>28623200</v>
      </c>
      <c r="G463" s="7" t="str">
        <f>IFERROR(__xludf.DUMMYFUNCTION("""COMPUTED_VALUE"""),"ADANIGREEN.NS")</f>
        <v>ADANIGREEN.NS</v>
      </c>
      <c r="H463" s="8">
        <f t="shared" si="1"/>
        <v>-0.1031290502</v>
      </c>
      <c r="I463" s="8">
        <f t="shared" si="2"/>
        <v>0.1031290502</v>
      </c>
      <c r="J463" s="7" t="str">
        <f t="shared" si="3"/>
        <v>Nov-2024</v>
      </c>
      <c r="K463" s="9">
        <f t="shared" si="4"/>
        <v>45597</v>
      </c>
      <c r="L463" s="7" t="str">
        <f t="shared" si="5"/>
        <v>PRICE_MOVE_5PCT+</v>
      </c>
      <c r="M463" s="7" t="str">
        <f>IFERROR(__xludf.DUMMYFUNCTION("IFERROR(
  IF(
    F463 &gt;
    3*AVERAGE(
       FILTER($F$2:$F10491,
         $G$2:$G10491=G463,
         $A$2:$A10491&gt;=A463-20,
         $A$2:$A10491&lt;=A463
       )
    ),
    ""VOL_SPIKE_3X"",""""
  ),
"""")
"),"VOL_SPIKE_3X")</f>
        <v>VOL_SPIKE_3X</v>
      </c>
      <c r="N463" s="7" t="str">
        <f t="shared" si="6"/>
        <v>PRICE_MOVE_5PCT+;VOL_SPIKE_3X</v>
      </c>
      <c r="O463" s="7" t="str">
        <f t="shared" si="7"/>
        <v/>
      </c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>
        <f>IFERROR(__xludf.DUMMYFUNCTION("""COMPUTED_VALUE"""),45621.0)</f>
        <v>45621</v>
      </c>
      <c r="B464" s="6">
        <f>IFERROR(__xludf.DUMMYFUNCTION("""COMPUTED_VALUE"""),292.05)</f>
        <v>292.05</v>
      </c>
      <c r="C464" s="6">
        <f>IFERROR(__xludf.DUMMYFUNCTION("""COMPUTED_VALUE"""),304.4)</f>
        <v>304.4</v>
      </c>
      <c r="D464" s="6">
        <f>IFERROR(__xludf.DUMMYFUNCTION("""COMPUTED_VALUE"""),292.0)</f>
        <v>292</v>
      </c>
      <c r="E464" s="6">
        <f>IFERROR(__xludf.DUMMYFUNCTION("""COMPUTED_VALUE"""),296.55)</f>
        <v>296.55</v>
      </c>
      <c r="F464" s="7">
        <f>IFERROR(__xludf.DUMMYFUNCTION("""COMPUTED_VALUE"""),1.6903527E7)</f>
        <v>16903527</v>
      </c>
      <c r="G464" s="7" t="str">
        <f>IFERROR(__xludf.DUMMYFUNCTION("""COMPUTED_VALUE"""),"BPCL.NS")</f>
        <v>BPCL.NS</v>
      </c>
      <c r="H464" s="8">
        <f t="shared" si="1"/>
        <v>0.01540832049</v>
      </c>
      <c r="I464" s="8">
        <f t="shared" si="2"/>
        <v>0.01540832049</v>
      </c>
      <c r="J464" s="7" t="str">
        <f t="shared" si="3"/>
        <v>Nov-2024</v>
      </c>
      <c r="K464" s="9">
        <f t="shared" si="4"/>
        <v>45597</v>
      </c>
      <c r="L464" s="7" t="str">
        <f t="shared" si="5"/>
        <v/>
      </c>
      <c r="M464" s="7" t="str">
        <f>IFERROR(__xludf.DUMMYFUNCTION("IFERROR(
  IF(
    F464 &gt;
    3*AVERAGE(
       FILTER($F$2:$F10491,
         $G$2:$G10491=G464,
         $A$2:$A10491&gt;=A464-20,
         $A$2:$A10491&lt;=A464
       )
    ),
    ""VOL_SPIKE_3X"",""""
  ),
"""")
"),"")</f>
        <v/>
      </c>
      <c r="N464" s="7" t="str">
        <f t="shared" si="6"/>
        <v/>
      </c>
      <c r="O464" s="7" t="str">
        <f t="shared" si="7"/>
        <v/>
      </c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>
        <f>IFERROR(__xludf.DUMMYFUNCTION("""COMPUTED_VALUE"""),45621.0)</f>
        <v>45621</v>
      </c>
      <c r="B465" s="6">
        <f>IFERROR(__xludf.DUMMYFUNCTION("""COMPUTED_VALUE"""),421.0)</f>
        <v>421</v>
      </c>
      <c r="C465" s="6">
        <f>IFERROR(__xludf.DUMMYFUNCTION("""COMPUTED_VALUE"""),427.45)</f>
        <v>427.45</v>
      </c>
      <c r="D465" s="6">
        <f>IFERROR(__xludf.DUMMYFUNCTION("""COMPUTED_VALUE"""),415.7)</f>
        <v>415.7</v>
      </c>
      <c r="E465" s="6">
        <f>IFERROR(__xludf.DUMMYFUNCTION("""COMPUTED_VALUE"""),417.45)</f>
        <v>417.45</v>
      </c>
      <c r="F465" s="7">
        <f>IFERROR(__xludf.DUMMYFUNCTION("""COMPUTED_VALUE"""),1.0903727E7)</f>
        <v>10903727</v>
      </c>
      <c r="G465" s="7" t="str">
        <f>IFERROR(__xludf.DUMMYFUNCTION("""COMPUTED_VALUE"""),"COALINDIA.NS")</f>
        <v>COALINDIA.NS</v>
      </c>
      <c r="H465" s="8">
        <f t="shared" si="1"/>
        <v>-0.008432304038</v>
      </c>
      <c r="I465" s="8">
        <f t="shared" si="2"/>
        <v>0.008432304038</v>
      </c>
      <c r="J465" s="7" t="str">
        <f t="shared" si="3"/>
        <v>Nov-2024</v>
      </c>
      <c r="K465" s="9">
        <f t="shared" si="4"/>
        <v>45597</v>
      </c>
      <c r="L465" s="7" t="str">
        <f t="shared" si="5"/>
        <v/>
      </c>
      <c r="M465" s="7" t="str">
        <f>IFERROR(__xludf.DUMMYFUNCTION("IFERROR(
  IF(
    F465 &gt;
    3*AVERAGE(
       FILTER($F$2:$F10491,
         $G$2:$G10491=G465,
         $A$2:$A10491&gt;=A465-20,
         $A$2:$A10491&lt;=A465
       )
    ),
    ""VOL_SPIKE_3X"",""""
  ),
"""")
"),"")</f>
        <v/>
      </c>
      <c r="N465" s="7" t="str">
        <f t="shared" si="6"/>
        <v/>
      </c>
      <c r="O465" s="7" t="str">
        <f t="shared" si="7"/>
        <v/>
      </c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>
        <f>IFERROR(__xludf.DUMMYFUNCTION("""COMPUTED_VALUE"""),45621.0)</f>
        <v>45621</v>
      </c>
      <c r="B466" s="6">
        <f>IFERROR(__xludf.DUMMYFUNCTION("""COMPUTED_VALUE"""),368.95)</f>
        <v>368.95</v>
      </c>
      <c r="C466" s="6">
        <f>IFERROR(__xludf.DUMMYFUNCTION("""COMPUTED_VALUE"""),384.65)</f>
        <v>384.65</v>
      </c>
      <c r="D466" s="6">
        <f>IFERROR(__xludf.DUMMYFUNCTION("""COMPUTED_VALUE"""),367.95)</f>
        <v>367.95</v>
      </c>
      <c r="E466" s="6">
        <f>IFERROR(__xludf.DUMMYFUNCTION("""COMPUTED_VALUE"""),376.85)</f>
        <v>376.85</v>
      </c>
      <c r="F466" s="7">
        <f>IFERROR(__xludf.DUMMYFUNCTION("""COMPUTED_VALUE"""),9614696.0)</f>
        <v>9614696</v>
      </c>
      <c r="G466" s="7" t="str">
        <f>IFERROR(__xludf.DUMMYFUNCTION("""COMPUTED_VALUE"""),"HINDPETRO.NS")</f>
        <v>HINDPETRO.NS</v>
      </c>
      <c r="H466" s="8">
        <f t="shared" si="1"/>
        <v>0.02141211546</v>
      </c>
      <c r="I466" s="8">
        <f t="shared" si="2"/>
        <v>0.02141211546</v>
      </c>
      <c r="J466" s="7" t="str">
        <f t="shared" si="3"/>
        <v>Nov-2024</v>
      </c>
      <c r="K466" s="9">
        <f t="shared" si="4"/>
        <v>45597</v>
      </c>
      <c r="L466" s="7" t="str">
        <f t="shared" si="5"/>
        <v/>
      </c>
      <c r="M466" s="7" t="str">
        <f>IFERROR(__xludf.DUMMYFUNCTION("IFERROR(
  IF(
    F466 &gt;
    3*AVERAGE(
       FILTER($F$2:$F10491,
         $G$2:$G10491=G466,
         $A$2:$A10491&gt;=A466-20,
         $A$2:$A10491&lt;=A466
       )
    ),
    ""VOL_SPIKE_3X"",""""
  ),
"""")
"),"")</f>
        <v/>
      </c>
      <c r="N466" s="7" t="str">
        <f t="shared" si="6"/>
        <v/>
      </c>
      <c r="O466" s="7" t="str">
        <f t="shared" si="7"/>
        <v/>
      </c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>
        <f>IFERROR(__xludf.DUMMYFUNCTION("""COMPUTED_VALUE"""),45621.0)</f>
        <v>45621</v>
      </c>
      <c r="B467" s="6">
        <f>IFERROR(__xludf.DUMMYFUNCTION("""COMPUTED_VALUE"""),135.77)</f>
        <v>135.77</v>
      </c>
      <c r="C467" s="6">
        <f>IFERROR(__xludf.DUMMYFUNCTION("""COMPUTED_VALUE"""),137.96)</f>
        <v>137.96</v>
      </c>
      <c r="D467" s="6">
        <f>IFERROR(__xludf.DUMMYFUNCTION("""COMPUTED_VALUE"""),135.18)</f>
        <v>135.18</v>
      </c>
      <c r="E467" s="6">
        <f>IFERROR(__xludf.DUMMYFUNCTION("""COMPUTED_VALUE"""),136.4)</f>
        <v>136.4</v>
      </c>
      <c r="F467" s="7">
        <f>IFERROR(__xludf.DUMMYFUNCTION("""COMPUTED_VALUE"""),2.2201129E7)</f>
        <v>22201129</v>
      </c>
      <c r="G467" s="7" t="str">
        <f>IFERROR(__xludf.DUMMYFUNCTION("""COMPUTED_VALUE"""),"IOC.NS")</f>
        <v>IOC.NS</v>
      </c>
      <c r="H467" s="8">
        <f t="shared" si="1"/>
        <v>0.004640200339</v>
      </c>
      <c r="I467" s="8">
        <f t="shared" si="2"/>
        <v>0.004640200339</v>
      </c>
      <c r="J467" s="7" t="str">
        <f t="shared" si="3"/>
        <v>Nov-2024</v>
      </c>
      <c r="K467" s="9">
        <f t="shared" si="4"/>
        <v>45597</v>
      </c>
      <c r="L467" s="7" t="str">
        <f t="shared" si="5"/>
        <v/>
      </c>
      <c r="M467" s="7" t="str">
        <f>IFERROR(__xludf.DUMMYFUNCTION("IFERROR(
  IF(
    F467 &gt;
    3*AVERAGE(
       FILTER($F$2:$F10491,
         $G$2:$G10491=G467,
         $A$2:$A10491&gt;=A467-20,
         $A$2:$A10491&lt;=A467
       )
    ),
    ""VOL_SPIKE_3X"",""""
  ),
"""")
"),"")</f>
        <v/>
      </c>
      <c r="N467" s="7" t="str">
        <f t="shared" si="6"/>
        <v/>
      </c>
      <c r="O467" s="7" t="str">
        <f t="shared" si="7"/>
        <v/>
      </c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>
        <f>IFERROR(__xludf.DUMMYFUNCTION("""COMPUTED_VALUE"""),45621.0)</f>
        <v>45621</v>
      </c>
      <c r="B468" s="6">
        <f>IFERROR(__xludf.DUMMYFUNCTION("""COMPUTED_VALUE"""),374.0)</f>
        <v>374</v>
      </c>
      <c r="C468" s="6">
        <f>IFERROR(__xludf.DUMMYFUNCTION("""COMPUTED_VALUE"""),377.2)</f>
        <v>377.2</v>
      </c>
      <c r="D468" s="6">
        <f>IFERROR(__xludf.DUMMYFUNCTION("""COMPUTED_VALUE"""),367.5)</f>
        <v>367.5</v>
      </c>
      <c r="E468" s="6">
        <f>IFERROR(__xludf.DUMMYFUNCTION("""COMPUTED_VALUE"""),368.4)</f>
        <v>368.4</v>
      </c>
      <c r="F468" s="7">
        <f>IFERROR(__xludf.DUMMYFUNCTION("""COMPUTED_VALUE"""),1.8388844E7)</f>
        <v>18388844</v>
      </c>
      <c r="G468" s="7" t="str">
        <f>IFERROR(__xludf.DUMMYFUNCTION("""COMPUTED_VALUE"""),"NTPC.NS")</f>
        <v>NTPC.NS</v>
      </c>
      <c r="H468" s="8">
        <f t="shared" si="1"/>
        <v>-0.01497326203</v>
      </c>
      <c r="I468" s="8">
        <f t="shared" si="2"/>
        <v>0.01497326203</v>
      </c>
      <c r="J468" s="7" t="str">
        <f t="shared" si="3"/>
        <v>Nov-2024</v>
      </c>
      <c r="K468" s="9">
        <f t="shared" si="4"/>
        <v>45597</v>
      </c>
      <c r="L468" s="7" t="str">
        <f t="shared" si="5"/>
        <v/>
      </c>
      <c r="M468" s="7" t="str">
        <f>IFERROR(__xludf.DUMMYFUNCTION("IFERROR(
  IF(
    F468 &gt;
    3*AVERAGE(
       FILTER($F$2:$F10491,
         $G$2:$G10491=G468,
         $A$2:$A10491&gt;=A468-20,
         $A$2:$A10491&lt;=A468
       )
    ),
    ""VOL_SPIKE_3X"",""""
  ),
"""")
"),"")</f>
        <v/>
      </c>
      <c r="N468" s="7" t="str">
        <f t="shared" si="6"/>
        <v/>
      </c>
      <c r="O468" s="7" t="str">
        <f t="shared" si="7"/>
        <v/>
      </c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>
        <f>IFERROR(__xludf.DUMMYFUNCTION("""COMPUTED_VALUE"""),45621.0)</f>
        <v>45621</v>
      </c>
      <c r="B469" s="6">
        <f>IFERROR(__xludf.DUMMYFUNCTION("""COMPUTED_VALUE"""),248.5)</f>
        <v>248.5</v>
      </c>
      <c r="C469" s="6">
        <f>IFERROR(__xludf.DUMMYFUNCTION("""COMPUTED_VALUE"""),260.5)</f>
        <v>260.5</v>
      </c>
      <c r="D469" s="6">
        <f>IFERROR(__xludf.DUMMYFUNCTION("""COMPUTED_VALUE"""),247.95)</f>
        <v>247.95</v>
      </c>
      <c r="E469" s="6">
        <f>IFERROR(__xludf.DUMMYFUNCTION("""COMPUTED_VALUE"""),257.9)</f>
        <v>257.9</v>
      </c>
      <c r="F469" s="7">
        <f>IFERROR(__xludf.DUMMYFUNCTION("""COMPUTED_VALUE"""),3.1973671E7)</f>
        <v>31973671</v>
      </c>
      <c r="G469" s="7" t="str">
        <f>IFERROR(__xludf.DUMMYFUNCTION("""COMPUTED_VALUE"""),"ONGC.NS")</f>
        <v>ONGC.NS</v>
      </c>
      <c r="H469" s="8">
        <f t="shared" si="1"/>
        <v>0.03782696177</v>
      </c>
      <c r="I469" s="8">
        <f t="shared" si="2"/>
        <v>0.03782696177</v>
      </c>
      <c r="J469" s="7" t="str">
        <f t="shared" si="3"/>
        <v>Nov-2024</v>
      </c>
      <c r="K469" s="9">
        <f t="shared" si="4"/>
        <v>45597</v>
      </c>
      <c r="L469" s="7" t="str">
        <f t="shared" si="5"/>
        <v/>
      </c>
      <c r="M469" s="7" t="str">
        <f>IFERROR(__xludf.DUMMYFUNCTION("IFERROR(
  IF(
    F469 &gt;
    3*AVERAGE(
       FILTER($F$2:$F10491,
         $G$2:$G10491=G469,
         $A$2:$A10491&gt;=A469-20,
         $A$2:$A10491&lt;=A469
       )
    ),
    ""VOL_SPIKE_3X"",""""
  ),
"""")
"),"")</f>
        <v/>
      </c>
      <c r="N469" s="7" t="str">
        <f t="shared" si="6"/>
        <v/>
      </c>
      <c r="O469" s="7" t="str">
        <f t="shared" si="7"/>
        <v/>
      </c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>
        <f>IFERROR(__xludf.DUMMYFUNCTION("""COMPUTED_VALUE"""),45621.0)</f>
        <v>45621</v>
      </c>
      <c r="B470" s="6">
        <f>IFERROR(__xludf.DUMMYFUNCTION("""COMPUTED_VALUE"""),341.85)</f>
        <v>341.85</v>
      </c>
      <c r="C470" s="6">
        <f>IFERROR(__xludf.DUMMYFUNCTION("""COMPUTED_VALUE"""),345.4)</f>
        <v>345.4</v>
      </c>
      <c r="D470" s="6">
        <f>IFERROR(__xludf.DUMMYFUNCTION("""COMPUTED_VALUE"""),336.15)</f>
        <v>336.15</v>
      </c>
      <c r="E470" s="6">
        <f>IFERROR(__xludf.DUMMYFUNCTION("""COMPUTED_VALUE"""),342.75)</f>
        <v>342.75</v>
      </c>
      <c r="F470" s="7">
        <f>IFERROR(__xludf.DUMMYFUNCTION("""COMPUTED_VALUE"""),2.9419152E7)</f>
        <v>29419152</v>
      </c>
      <c r="G470" s="7" t="str">
        <f>IFERROR(__xludf.DUMMYFUNCTION("""COMPUTED_VALUE"""),"POWERGRID.NS")</f>
        <v>POWERGRID.NS</v>
      </c>
      <c r="H470" s="8">
        <f t="shared" si="1"/>
        <v>0.002632733655</v>
      </c>
      <c r="I470" s="8">
        <f t="shared" si="2"/>
        <v>0.002632733655</v>
      </c>
      <c r="J470" s="7" t="str">
        <f t="shared" si="3"/>
        <v>Nov-2024</v>
      </c>
      <c r="K470" s="9">
        <f t="shared" si="4"/>
        <v>45597</v>
      </c>
      <c r="L470" s="7" t="str">
        <f t="shared" si="5"/>
        <v/>
      </c>
      <c r="M470" s="7" t="str">
        <f>IFERROR(__xludf.DUMMYFUNCTION("IFERROR(
  IF(
    F470 &gt;
    3*AVERAGE(
       FILTER($F$2:$F10491,
         $G$2:$G10491=G470,
         $A$2:$A10491&gt;=A470-20,
         $A$2:$A10491&lt;=A470
       )
    ),
    ""VOL_SPIKE_3X"",""""
  ),
"""")
"),"")</f>
        <v/>
      </c>
      <c r="N470" s="7" t="str">
        <f t="shared" si="6"/>
        <v/>
      </c>
      <c r="O470" s="7" t="str">
        <f t="shared" si="7"/>
        <v/>
      </c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>
        <f>IFERROR(__xludf.DUMMYFUNCTION("""COMPUTED_VALUE"""),45621.0)</f>
        <v>45621</v>
      </c>
      <c r="B471" s="6">
        <f>IFERROR(__xludf.DUMMYFUNCTION("""COMPUTED_VALUE"""),1290.0)</f>
        <v>1290</v>
      </c>
      <c r="C471" s="6">
        <f>IFERROR(__xludf.DUMMYFUNCTION("""COMPUTED_VALUE"""),1304.45)</f>
        <v>1304.45</v>
      </c>
      <c r="D471" s="6">
        <f>IFERROR(__xludf.DUMMYFUNCTION("""COMPUTED_VALUE"""),1282.45)</f>
        <v>1282.45</v>
      </c>
      <c r="E471" s="6">
        <f>IFERROR(__xludf.DUMMYFUNCTION("""COMPUTED_VALUE"""),1287.0)</f>
        <v>1287</v>
      </c>
      <c r="F471" s="7">
        <f>IFERROR(__xludf.DUMMYFUNCTION("""COMPUTED_VALUE"""),2.8923341E7)</f>
        <v>28923341</v>
      </c>
      <c r="G471" s="7" t="str">
        <f>IFERROR(__xludf.DUMMYFUNCTION("""COMPUTED_VALUE"""),"RELIANCE.NS")</f>
        <v>RELIANCE.NS</v>
      </c>
      <c r="H471" s="8">
        <f t="shared" si="1"/>
        <v>-0.002325581395</v>
      </c>
      <c r="I471" s="8">
        <f t="shared" si="2"/>
        <v>0.002325581395</v>
      </c>
      <c r="J471" s="7" t="str">
        <f t="shared" si="3"/>
        <v>Nov-2024</v>
      </c>
      <c r="K471" s="9">
        <f t="shared" si="4"/>
        <v>45597</v>
      </c>
      <c r="L471" s="7" t="str">
        <f t="shared" si="5"/>
        <v/>
      </c>
      <c r="M471" s="7" t="str">
        <f>IFERROR(__xludf.DUMMYFUNCTION("IFERROR(
  IF(
    F471 &gt;
    3*AVERAGE(
       FILTER($F$2:$F10491,
         $G$2:$G10491=G471,
         $A$2:$A10491&gt;=A471-20,
         $A$2:$A10491&lt;=A471
       )
    ),
    ""VOL_SPIKE_3X"",""""
  ),
"""")
"),"")</f>
        <v/>
      </c>
      <c r="N471" s="7" t="str">
        <f t="shared" si="6"/>
        <v/>
      </c>
      <c r="O471" s="7" t="str">
        <f t="shared" si="7"/>
        <v/>
      </c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>
        <f>IFERROR(__xludf.DUMMYFUNCTION("""COMPUTED_VALUE"""),45622.0)</f>
        <v>45622</v>
      </c>
      <c r="B472" s="6">
        <f>IFERROR(__xludf.DUMMYFUNCTION("""COMPUTED_VALUE"""),637.75)</f>
        <v>637.75</v>
      </c>
      <c r="C472" s="6">
        <f>IFERROR(__xludf.DUMMYFUNCTION("""COMPUTED_VALUE"""),637.75)</f>
        <v>637.75</v>
      </c>
      <c r="D472" s="6">
        <f>IFERROR(__xludf.DUMMYFUNCTION("""COMPUTED_VALUE"""),593.05)</f>
        <v>593.05</v>
      </c>
      <c r="E472" s="6">
        <f>IFERROR(__xludf.DUMMYFUNCTION("""COMPUTED_VALUE"""),600.75)</f>
        <v>600.75</v>
      </c>
      <c r="F472" s="7">
        <f>IFERROR(__xludf.DUMMYFUNCTION("""COMPUTED_VALUE"""),7755657.0)</f>
        <v>7755657</v>
      </c>
      <c r="G472" s="7" t="str">
        <f>IFERROR(__xludf.DUMMYFUNCTION("""COMPUTED_VALUE"""),"ADANIENSOL.NS")</f>
        <v>ADANIENSOL.NS</v>
      </c>
      <c r="H472" s="8">
        <f t="shared" si="1"/>
        <v>-0.05801646413</v>
      </c>
      <c r="I472" s="8">
        <f t="shared" si="2"/>
        <v>0.05801646413</v>
      </c>
      <c r="J472" s="7" t="str">
        <f t="shared" si="3"/>
        <v>Nov-2024</v>
      </c>
      <c r="K472" s="9">
        <f t="shared" si="4"/>
        <v>45597</v>
      </c>
      <c r="L472" s="7" t="str">
        <f t="shared" si="5"/>
        <v>PRICE_MOVE_5PCT+</v>
      </c>
      <c r="M472" s="7" t="str">
        <f>IFERROR(__xludf.DUMMYFUNCTION("IFERROR(
  IF(
    F472 &gt;
    3*AVERAGE(
       FILTER($F$2:$F10491,
         $G$2:$G10491=G472,
         $A$2:$A10491&gt;=A472-20,
         $A$2:$A10491&lt;=A472
       )
    ),
    ""VOL_SPIKE_3X"",""""
  ),
"""")
"),"")</f>
        <v/>
      </c>
      <c r="N472" s="7" t="str">
        <f t="shared" si="6"/>
        <v>PRICE_MOVE_5PCT+</v>
      </c>
      <c r="O472" s="7" t="str">
        <f t="shared" si="7"/>
        <v/>
      </c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>
        <f>IFERROR(__xludf.DUMMYFUNCTION("""COMPUTED_VALUE"""),45622.0)</f>
        <v>45622</v>
      </c>
      <c r="B473" s="6">
        <f>IFERROR(__xludf.DUMMYFUNCTION("""COMPUTED_VALUE"""),968.8)</f>
        <v>968.8</v>
      </c>
      <c r="C473" s="6">
        <f>IFERROR(__xludf.DUMMYFUNCTION("""COMPUTED_VALUE"""),968.8)</f>
        <v>968.8</v>
      </c>
      <c r="D473" s="6">
        <f>IFERROR(__xludf.DUMMYFUNCTION("""COMPUTED_VALUE"""),891.85)</f>
        <v>891.85</v>
      </c>
      <c r="E473" s="6">
        <f>IFERROR(__xludf.DUMMYFUNCTION("""COMPUTED_VALUE"""),898.55)</f>
        <v>898.55</v>
      </c>
      <c r="F473" s="7">
        <f>IFERROR(__xludf.DUMMYFUNCTION("""COMPUTED_VALUE"""),7526340.0)</f>
        <v>7526340</v>
      </c>
      <c r="G473" s="7" t="str">
        <f>IFERROR(__xludf.DUMMYFUNCTION("""COMPUTED_VALUE"""),"ADANIGREEN.NS")</f>
        <v>ADANIGREEN.NS</v>
      </c>
      <c r="H473" s="8">
        <f t="shared" si="1"/>
        <v>-0.07251238646</v>
      </c>
      <c r="I473" s="8">
        <f t="shared" si="2"/>
        <v>0.07251238646</v>
      </c>
      <c r="J473" s="7" t="str">
        <f t="shared" si="3"/>
        <v>Nov-2024</v>
      </c>
      <c r="K473" s="9">
        <f t="shared" si="4"/>
        <v>45597</v>
      </c>
      <c r="L473" s="7" t="str">
        <f t="shared" si="5"/>
        <v>PRICE_MOVE_5PCT+</v>
      </c>
      <c r="M473" s="7" t="str">
        <f>IFERROR(__xludf.DUMMYFUNCTION("IFERROR(
  IF(
    F473 &gt;
    3*AVERAGE(
       FILTER($F$2:$F10491,
         $G$2:$G10491=G473,
         $A$2:$A10491&gt;=A473-20,
         $A$2:$A10491&lt;=A473
       )
    ),
    ""VOL_SPIKE_3X"",""""
  ),
"""")
"),"")</f>
        <v/>
      </c>
      <c r="N473" s="7" t="str">
        <f t="shared" si="6"/>
        <v>PRICE_MOVE_5PCT+</v>
      </c>
      <c r="O473" s="7" t="str">
        <f t="shared" si="7"/>
        <v/>
      </c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>
        <f>IFERROR(__xludf.DUMMYFUNCTION("""COMPUTED_VALUE"""),45622.0)</f>
        <v>45622</v>
      </c>
      <c r="B474" s="6">
        <f>IFERROR(__xludf.DUMMYFUNCTION("""COMPUTED_VALUE"""),297.95)</f>
        <v>297.95</v>
      </c>
      <c r="C474" s="6">
        <f>IFERROR(__xludf.DUMMYFUNCTION("""COMPUTED_VALUE"""),301.0)</f>
        <v>301</v>
      </c>
      <c r="D474" s="6">
        <f>IFERROR(__xludf.DUMMYFUNCTION("""COMPUTED_VALUE"""),293.35)</f>
        <v>293.35</v>
      </c>
      <c r="E474" s="6">
        <f>IFERROR(__xludf.DUMMYFUNCTION("""COMPUTED_VALUE"""),293.85)</f>
        <v>293.85</v>
      </c>
      <c r="F474" s="7">
        <f>IFERROR(__xludf.DUMMYFUNCTION("""COMPUTED_VALUE"""),5160007.0)</f>
        <v>5160007</v>
      </c>
      <c r="G474" s="7" t="str">
        <f>IFERROR(__xludf.DUMMYFUNCTION("""COMPUTED_VALUE"""),"BPCL.NS")</f>
        <v>BPCL.NS</v>
      </c>
      <c r="H474" s="8">
        <f t="shared" si="1"/>
        <v>-0.0137606981</v>
      </c>
      <c r="I474" s="8">
        <f t="shared" si="2"/>
        <v>0.0137606981</v>
      </c>
      <c r="J474" s="7" t="str">
        <f t="shared" si="3"/>
        <v>Nov-2024</v>
      </c>
      <c r="K474" s="9">
        <f t="shared" si="4"/>
        <v>45597</v>
      </c>
      <c r="L474" s="7" t="str">
        <f t="shared" si="5"/>
        <v/>
      </c>
      <c r="M474" s="7" t="str">
        <f>IFERROR(__xludf.DUMMYFUNCTION("IFERROR(
  IF(
    F474 &gt;
    3*AVERAGE(
       FILTER($F$2:$F10491,
         $G$2:$G10491=G474,
         $A$2:$A10491&gt;=A474-20,
         $A$2:$A10491&lt;=A474
       )
    ),
    ""VOL_SPIKE_3X"",""""
  ),
"""")
"),"")</f>
        <v/>
      </c>
      <c r="N474" s="7" t="str">
        <f t="shared" si="6"/>
        <v/>
      </c>
      <c r="O474" s="7" t="str">
        <f t="shared" si="7"/>
        <v/>
      </c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>
        <f>IFERROR(__xludf.DUMMYFUNCTION("""COMPUTED_VALUE"""),45622.0)</f>
        <v>45622</v>
      </c>
      <c r="B475" s="6">
        <f>IFERROR(__xludf.DUMMYFUNCTION("""COMPUTED_VALUE"""),418.45)</f>
        <v>418.45</v>
      </c>
      <c r="C475" s="6">
        <f>IFERROR(__xludf.DUMMYFUNCTION("""COMPUTED_VALUE"""),420.0)</f>
        <v>420</v>
      </c>
      <c r="D475" s="6">
        <f>IFERROR(__xludf.DUMMYFUNCTION("""COMPUTED_VALUE"""),409.7)</f>
        <v>409.7</v>
      </c>
      <c r="E475" s="6">
        <f>IFERROR(__xludf.DUMMYFUNCTION("""COMPUTED_VALUE"""),411.5)</f>
        <v>411.5</v>
      </c>
      <c r="F475" s="7">
        <f>IFERROR(__xludf.DUMMYFUNCTION("""COMPUTED_VALUE"""),5798977.0)</f>
        <v>5798977</v>
      </c>
      <c r="G475" s="7" t="str">
        <f>IFERROR(__xludf.DUMMYFUNCTION("""COMPUTED_VALUE"""),"COALINDIA.NS")</f>
        <v>COALINDIA.NS</v>
      </c>
      <c r="H475" s="8">
        <f t="shared" si="1"/>
        <v>-0.01660891385</v>
      </c>
      <c r="I475" s="8">
        <f t="shared" si="2"/>
        <v>0.01660891385</v>
      </c>
      <c r="J475" s="7" t="str">
        <f t="shared" si="3"/>
        <v>Nov-2024</v>
      </c>
      <c r="K475" s="9">
        <f t="shared" si="4"/>
        <v>45597</v>
      </c>
      <c r="L475" s="7" t="str">
        <f t="shared" si="5"/>
        <v/>
      </c>
      <c r="M475" s="7" t="str">
        <f>IFERROR(__xludf.DUMMYFUNCTION("IFERROR(
  IF(
    F475 &gt;
    3*AVERAGE(
       FILTER($F$2:$F10491,
         $G$2:$G10491=G475,
         $A$2:$A10491&gt;=A475-20,
         $A$2:$A10491&lt;=A475
       )
    ),
    ""VOL_SPIKE_3X"",""""
  ),
"""")
"),"")</f>
        <v/>
      </c>
      <c r="N475" s="7" t="str">
        <f t="shared" si="6"/>
        <v/>
      </c>
      <c r="O475" s="7" t="str">
        <f t="shared" si="7"/>
        <v/>
      </c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>
        <f>IFERROR(__xludf.DUMMYFUNCTION("""COMPUTED_VALUE"""),45622.0)</f>
        <v>45622</v>
      </c>
      <c r="B476" s="6">
        <f>IFERROR(__xludf.DUMMYFUNCTION("""COMPUTED_VALUE"""),382.1)</f>
        <v>382.1</v>
      </c>
      <c r="C476" s="6">
        <f>IFERROR(__xludf.DUMMYFUNCTION("""COMPUTED_VALUE"""),389.7)</f>
        <v>389.7</v>
      </c>
      <c r="D476" s="6">
        <f>IFERROR(__xludf.DUMMYFUNCTION("""COMPUTED_VALUE"""),378.0)</f>
        <v>378</v>
      </c>
      <c r="E476" s="6">
        <f>IFERROR(__xludf.DUMMYFUNCTION("""COMPUTED_VALUE"""),379.6)</f>
        <v>379.6</v>
      </c>
      <c r="F476" s="7">
        <f>IFERROR(__xludf.DUMMYFUNCTION("""COMPUTED_VALUE"""),3574299.0)</f>
        <v>3574299</v>
      </c>
      <c r="G476" s="7" t="str">
        <f>IFERROR(__xludf.DUMMYFUNCTION("""COMPUTED_VALUE"""),"HINDPETRO.NS")</f>
        <v>HINDPETRO.NS</v>
      </c>
      <c r="H476" s="8">
        <f t="shared" si="1"/>
        <v>-0.006542789846</v>
      </c>
      <c r="I476" s="8">
        <f t="shared" si="2"/>
        <v>0.006542789846</v>
      </c>
      <c r="J476" s="7" t="str">
        <f t="shared" si="3"/>
        <v>Nov-2024</v>
      </c>
      <c r="K476" s="9">
        <f t="shared" si="4"/>
        <v>45597</v>
      </c>
      <c r="L476" s="7" t="str">
        <f t="shared" si="5"/>
        <v/>
      </c>
      <c r="M476" s="7" t="str">
        <f>IFERROR(__xludf.DUMMYFUNCTION("IFERROR(
  IF(
    F476 &gt;
    3*AVERAGE(
       FILTER($F$2:$F10491,
         $G$2:$G10491=G476,
         $A$2:$A10491&gt;=A476-20,
         $A$2:$A10491&lt;=A476
       )
    ),
    ""VOL_SPIKE_3X"",""""
  ),
"""")
"),"")</f>
        <v/>
      </c>
      <c r="N476" s="7" t="str">
        <f t="shared" si="6"/>
        <v/>
      </c>
      <c r="O476" s="7" t="str">
        <f t="shared" si="7"/>
        <v/>
      </c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>
        <f>IFERROR(__xludf.DUMMYFUNCTION("""COMPUTED_VALUE"""),45622.0)</f>
        <v>45622</v>
      </c>
      <c r="B477" s="6">
        <f>IFERROR(__xludf.DUMMYFUNCTION("""COMPUTED_VALUE"""),137.3)</f>
        <v>137.3</v>
      </c>
      <c r="C477" s="6">
        <f>IFERROR(__xludf.DUMMYFUNCTION("""COMPUTED_VALUE"""),137.75)</f>
        <v>137.75</v>
      </c>
      <c r="D477" s="6">
        <f>IFERROR(__xludf.DUMMYFUNCTION("""COMPUTED_VALUE"""),136.14)</f>
        <v>136.14</v>
      </c>
      <c r="E477" s="6">
        <f>IFERROR(__xludf.DUMMYFUNCTION("""COMPUTED_VALUE"""),136.96)</f>
        <v>136.96</v>
      </c>
      <c r="F477" s="7">
        <f>IFERROR(__xludf.DUMMYFUNCTION("""COMPUTED_VALUE"""),9265539.0)</f>
        <v>9265539</v>
      </c>
      <c r="G477" s="7" t="str">
        <f>IFERROR(__xludf.DUMMYFUNCTION("""COMPUTED_VALUE"""),"IOC.NS")</f>
        <v>IOC.NS</v>
      </c>
      <c r="H477" s="8">
        <f t="shared" si="1"/>
        <v>-0.002476329206</v>
      </c>
      <c r="I477" s="8">
        <f t="shared" si="2"/>
        <v>0.002476329206</v>
      </c>
      <c r="J477" s="7" t="str">
        <f t="shared" si="3"/>
        <v>Nov-2024</v>
      </c>
      <c r="K477" s="9">
        <f t="shared" si="4"/>
        <v>45597</v>
      </c>
      <c r="L477" s="7" t="str">
        <f t="shared" si="5"/>
        <v/>
      </c>
      <c r="M477" s="7" t="str">
        <f>IFERROR(__xludf.DUMMYFUNCTION("IFERROR(
  IF(
    F477 &gt;
    3*AVERAGE(
       FILTER($F$2:$F10491,
         $G$2:$G10491=G477,
         $A$2:$A10491&gt;=A477-20,
         $A$2:$A10491&lt;=A477
       )
    ),
    ""VOL_SPIKE_3X"",""""
  ),
"""")
"),"")</f>
        <v/>
      </c>
      <c r="N477" s="7" t="str">
        <f t="shared" si="6"/>
        <v/>
      </c>
      <c r="O477" s="7" t="str">
        <f t="shared" si="7"/>
        <v/>
      </c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>
        <f>IFERROR(__xludf.DUMMYFUNCTION("""COMPUTED_VALUE"""),45622.0)</f>
        <v>45622</v>
      </c>
      <c r="B478" s="6">
        <f>IFERROR(__xludf.DUMMYFUNCTION("""COMPUTED_VALUE"""),370.0)</f>
        <v>370</v>
      </c>
      <c r="C478" s="6">
        <f>IFERROR(__xludf.DUMMYFUNCTION("""COMPUTED_VALUE"""),370.4)</f>
        <v>370.4</v>
      </c>
      <c r="D478" s="6">
        <f>IFERROR(__xludf.DUMMYFUNCTION("""COMPUTED_VALUE"""),360.25)</f>
        <v>360.25</v>
      </c>
      <c r="E478" s="6">
        <f>IFERROR(__xludf.DUMMYFUNCTION("""COMPUTED_VALUE"""),361.65)</f>
        <v>361.65</v>
      </c>
      <c r="F478" s="7">
        <f>IFERROR(__xludf.DUMMYFUNCTION("""COMPUTED_VALUE"""),1.1222231E7)</f>
        <v>11222231</v>
      </c>
      <c r="G478" s="7" t="str">
        <f>IFERROR(__xludf.DUMMYFUNCTION("""COMPUTED_VALUE"""),"NTPC.NS")</f>
        <v>NTPC.NS</v>
      </c>
      <c r="H478" s="8">
        <f t="shared" si="1"/>
        <v>-0.02256756757</v>
      </c>
      <c r="I478" s="8">
        <f t="shared" si="2"/>
        <v>0.02256756757</v>
      </c>
      <c r="J478" s="7" t="str">
        <f t="shared" si="3"/>
        <v>Nov-2024</v>
      </c>
      <c r="K478" s="9">
        <f t="shared" si="4"/>
        <v>45597</v>
      </c>
      <c r="L478" s="7" t="str">
        <f t="shared" si="5"/>
        <v/>
      </c>
      <c r="M478" s="7" t="str">
        <f>IFERROR(__xludf.DUMMYFUNCTION("IFERROR(
  IF(
    F478 &gt;
    3*AVERAGE(
       FILTER($F$2:$F10491,
         $G$2:$G10491=G478,
         $A$2:$A10491&gt;=A478-20,
         $A$2:$A10491&lt;=A478
       )
    ),
    ""VOL_SPIKE_3X"",""""
  ),
"""")
"),"")</f>
        <v/>
      </c>
      <c r="N478" s="7" t="str">
        <f t="shared" si="6"/>
        <v/>
      </c>
      <c r="O478" s="7" t="str">
        <f t="shared" si="7"/>
        <v/>
      </c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>
        <f>IFERROR(__xludf.DUMMYFUNCTION("""COMPUTED_VALUE"""),45622.0)</f>
        <v>45622</v>
      </c>
      <c r="B479" s="6">
        <f>IFERROR(__xludf.DUMMYFUNCTION("""COMPUTED_VALUE"""),256.95)</f>
        <v>256.95</v>
      </c>
      <c r="C479" s="6">
        <f>IFERROR(__xludf.DUMMYFUNCTION("""COMPUTED_VALUE"""),258.25)</f>
        <v>258.25</v>
      </c>
      <c r="D479" s="6">
        <f>IFERROR(__xludf.DUMMYFUNCTION("""COMPUTED_VALUE"""),252.55)</f>
        <v>252.55</v>
      </c>
      <c r="E479" s="6">
        <f>IFERROR(__xludf.DUMMYFUNCTION("""COMPUTED_VALUE"""),254.25)</f>
        <v>254.25</v>
      </c>
      <c r="F479" s="7">
        <f>IFERROR(__xludf.DUMMYFUNCTION("""COMPUTED_VALUE"""),9242451.0)</f>
        <v>9242451</v>
      </c>
      <c r="G479" s="7" t="str">
        <f>IFERROR(__xludf.DUMMYFUNCTION("""COMPUTED_VALUE"""),"ONGC.NS")</f>
        <v>ONGC.NS</v>
      </c>
      <c r="H479" s="8">
        <f t="shared" si="1"/>
        <v>-0.01050788091</v>
      </c>
      <c r="I479" s="8">
        <f t="shared" si="2"/>
        <v>0.01050788091</v>
      </c>
      <c r="J479" s="7" t="str">
        <f t="shared" si="3"/>
        <v>Nov-2024</v>
      </c>
      <c r="K479" s="9">
        <f t="shared" si="4"/>
        <v>45597</v>
      </c>
      <c r="L479" s="7" t="str">
        <f t="shared" si="5"/>
        <v/>
      </c>
      <c r="M479" s="7" t="str">
        <f>IFERROR(__xludf.DUMMYFUNCTION("IFERROR(
  IF(
    F479 &gt;
    3*AVERAGE(
       FILTER($F$2:$F10491,
         $G$2:$G10491=G479,
         $A$2:$A10491&gt;=A479-20,
         $A$2:$A10491&lt;=A479
       )
    ),
    ""VOL_SPIKE_3X"",""""
  ),
"""")
"),"")</f>
        <v/>
      </c>
      <c r="N479" s="7" t="str">
        <f t="shared" si="6"/>
        <v/>
      </c>
      <c r="O479" s="7" t="str">
        <f t="shared" si="7"/>
        <v/>
      </c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>
        <f>IFERROR(__xludf.DUMMYFUNCTION("""COMPUTED_VALUE"""),45622.0)</f>
        <v>45622</v>
      </c>
      <c r="B480" s="6">
        <f>IFERROR(__xludf.DUMMYFUNCTION("""COMPUTED_VALUE"""),342.0)</f>
        <v>342</v>
      </c>
      <c r="C480" s="6">
        <f>IFERROR(__xludf.DUMMYFUNCTION("""COMPUTED_VALUE"""),344.6)</f>
        <v>344.6</v>
      </c>
      <c r="D480" s="6">
        <f>IFERROR(__xludf.DUMMYFUNCTION("""COMPUTED_VALUE"""),337.9)</f>
        <v>337.9</v>
      </c>
      <c r="E480" s="6">
        <f>IFERROR(__xludf.DUMMYFUNCTION("""COMPUTED_VALUE"""),338.8)</f>
        <v>338.8</v>
      </c>
      <c r="F480" s="7">
        <f>IFERROR(__xludf.DUMMYFUNCTION("""COMPUTED_VALUE"""),1.3997179E7)</f>
        <v>13997179</v>
      </c>
      <c r="G480" s="7" t="str">
        <f>IFERROR(__xludf.DUMMYFUNCTION("""COMPUTED_VALUE"""),"POWERGRID.NS")</f>
        <v>POWERGRID.NS</v>
      </c>
      <c r="H480" s="8">
        <f t="shared" si="1"/>
        <v>-0.009356725146</v>
      </c>
      <c r="I480" s="8">
        <f t="shared" si="2"/>
        <v>0.009356725146</v>
      </c>
      <c r="J480" s="7" t="str">
        <f t="shared" si="3"/>
        <v>Nov-2024</v>
      </c>
      <c r="K480" s="9">
        <f t="shared" si="4"/>
        <v>45597</v>
      </c>
      <c r="L480" s="7" t="str">
        <f t="shared" si="5"/>
        <v/>
      </c>
      <c r="M480" s="7" t="str">
        <f>IFERROR(__xludf.DUMMYFUNCTION("IFERROR(
  IF(
    F480 &gt;
    3*AVERAGE(
       FILTER($F$2:$F10491,
         $G$2:$G10491=G480,
         $A$2:$A10491&gt;=A480-20,
         $A$2:$A10491&lt;=A480
       )
    ),
    ""VOL_SPIKE_3X"",""""
  ),
"""")
"),"")</f>
        <v/>
      </c>
      <c r="N480" s="7" t="str">
        <f t="shared" si="6"/>
        <v/>
      </c>
      <c r="O480" s="7" t="str">
        <f t="shared" si="7"/>
        <v/>
      </c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>
        <f>IFERROR(__xludf.DUMMYFUNCTION("""COMPUTED_VALUE"""),45622.0)</f>
        <v>45622</v>
      </c>
      <c r="B481" s="6">
        <f>IFERROR(__xludf.DUMMYFUNCTION("""COMPUTED_VALUE"""),1294.95)</f>
        <v>1294.95</v>
      </c>
      <c r="C481" s="6">
        <f>IFERROR(__xludf.DUMMYFUNCTION("""COMPUTED_VALUE"""),1297.85)</f>
        <v>1297.85</v>
      </c>
      <c r="D481" s="6">
        <f>IFERROR(__xludf.DUMMYFUNCTION("""COMPUTED_VALUE"""),1284.2)</f>
        <v>1284.2</v>
      </c>
      <c r="E481" s="6">
        <f>IFERROR(__xludf.DUMMYFUNCTION("""COMPUTED_VALUE"""),1295.7)</f>
        <v>1295.7</v>
      </c>
      <c r="F481" s="7">
        <f>IFERROR(__xludf.DUMMYFUNCTION("""COMPUTED_VALUE"""),9247557.0)</f>
        <v>9247557</v>
      </c>
      <c r="G481" s="7" t="str">
        <f>IFERROR(__xludf.DUMMYFUNCTION("""COMPUTED_VALUE"""),"RELIANCE.NS")</f>
        <v>RELIANCE.NS</v>
      </c>
      <c r="H481" s="8">
        <f t="shared" si="1"/>
        <v>0.000579172941</v>
      </c>
      <c r="I481" s="8">
        <f t="shared" si="2"/>
        <v>0.000579172941</v>
      </c>
      <c r="J481" s="7" t="str">
        <f t="shared" si="3"/>
        <v>Nov-2024</v>
      </c>
      <c r="K481" s="9">
        <f t="shared" si="4"/>
        <v>45597</v>
      </c>
      <c r="L481" s="7" t="str">
        <f t="shared" si="5"/>
        <v/>
      </c>
      <c r="M481" s="7" t="str">
        <f>IFERROR(__xludf.DUMMYFUNCTION("IFERROR(
  IF(
    F481 &gt;
    3*AVERAGE(
       FILTER($F$2:$F10491,
         $G$2:$G10491=G481,
         $A$2:$A10491&gt;=A481-20,
         $A$2:$A10491&lt;=A481
       )
    ),
    ""VOL_SPIKE_3X"",""""
  ),
"""")
"),"")</f>
        <v/>
      </c>
      <c r="N481" s="7" t="str">
        <f t="shared" si="6"/>
        <v/>
      </c>
      <c r="O481" s="7" t="str">
        <f t="shared" si="7"/>
        <v/>
      </c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>
        <f>IFERROR(__xludf.DUMMYFUNCTION("""COMPUTED_VALUE"""),45623.0)</f>
        <v>45623</v>
      </c>
      <c r="B482" s="6">
        <f>IFERROR(__xludf.DUMMYFUNCTION("""COMPUTED_VALUE"""),601.1)</f>
        <v>601.1</v>
      </c>
      <c r="C482" s="6">
        <f>IFERROR(__xludf.DUMMYFUNCTION("""COMPUTED_VALUE"""),660.8)</f>
        <v>660.8</v>
      </c>
      <c r="D482" s="6">
        <f>IFERROR(__xludf.DUMMYFUNCTION("""COMPUTED_VALUE"""),588.0)</f>
        <v>588</v>
      </c>
      <c r="E482" s="6">
        <f>IFERROR(__xludf.DUMMYFUNCTION("""COMPUTED_VALUE"""),660.8)</f>
        <v>660.8</v>
      </c>
      <c r="F482" s="7">
        <f>IFERROR(__xludf.DUMMYFUNCTION("""COMPUTED_VALUE"""),9030869.0)</f>
        <v>9030869</v>
      </c>
      <c r="G482" s="7" t="str">
        <f>IFERROR(__xludf.DUMMYFUNCTION("""COMPUTED_VALUE"""),"ADANIENSOL.NS")</f>
        <v>ADANIENSOL.NS</v>
      </c>
      <c r="H482" s="8">
        <f t="shared" si="1"/>
        <v>0.09931791715</v>
      </c>
      <c r="I482" s="8">
        <f t="shared" si="2"/>
        <v>0.09931791715</v>
      </c>
      <c r="J482" s="7" t="str">
        <f t="shared" si="3"/>
        <v>Nov-2024</v>
      </c>
      <c r="K482" s="9">
        <f t="shared" si="4"/>
        <v>45597</v>
      </c>
      <c r="L482" s="7" t="str">
        <f t="shared" si="5"/>
        <v>PRICE_MOVE_5PCT+</v>
      </c>
      <c r="M482" s="7" t="str">
        <f>IFERROR(__xludf.DUMMYFUNCTION("IFERROR(
  IF(
    F482 &gt;
    3*AVERAGE(
       FILTER($F$2:$F10491,
         $G$2:$G10491=G482,
         $A$2:$A10491&gt;=A482-20,
         $A$2:$A10491&lt;=A482
       )
    ),
    ""VOL_SPIKE_3X"",""""
  ),
"""")
"),"")</f>
        <v/>
      </c>
      <c r="N482" s="7" t="str">
        <f t="shared" si="6"/>
        <v>PRICE_MOVE_5PCT+</v>
      </c>
      <c r="O482" s="7" t="str">
        <f t="shared" si="7"/>
        <v/>
      </c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>
        <f>IFERROR(__xludf.DUMMYFUNCTION("""COMPUTED_VALUE"""),45623.0)</f>
        <v>45623</v>
      </c>
      <c r="B483" s="6">
        <f>IFERROR(__xludf.DUMMYFUNCTION("""COMPUTED_VALUE"""),890.0)</f>
        <v>890</v>
      </c>
      <c r="C483" s="6">
        <f>IFERROR(__xludf.DUMMYFUNCTION("""COMPUTED_VALUE"""),988.4)</f>
        <v>988.4</v>
      </c>
      <c r="D483" s="6">
        <f>IFERROR(__xludf.DUMMYFUNCTION("""COMPUTED_VALUE"""),870.25)</f>
        <v>870.25</v>
      </c>
      <c r="E483" s="6">
        <f>IFERROR(__xludf.DUMMYFUNCTION("""COMPUTED_VALUE"""),988.4)</f>
        <v>988.4</v>
      </c>
      <c r="F483" s="7">
        <f>IFERROR(__xludf.DUMMYFUNCTION("""COMPUTED_VALUE"""),1.0995732E7)</f>
        <v>10995732</v>
      </c>
      <c r="G483" s="7" t="str">
        <f>IFERROR(__xludf.DUMMYFUNCTION("""COMPUTED_VALUE"""),"ADANIGREEN.NS")</f>
        <v>ADANIGREEN.NS</v>
      </c>
      <c r="H483" s="8">
        <f t="shared" si="1"/>
        <v>0.1105617978</v>
      </c>
      <c r="I483" s="8">
        <f t="shared" si="2"/>
        <v>0.1105617978</v>
      </c>
      <c r="J483" s="7" t="str">
        <f t="shared" si="3"/>
        <v>Nov-2024</v>
      </c>
      <c r="K483" s="9">
        <f t="shared" si="4"/>
        <v>45597</v>
      </c>
      <c r="L483" s="7" t="str">
        <f t="shared" si="5"/>
        <v>PRICE_MOVE_5PCT+</v>
      </c>
      <c r="M483" s="7" t="str">
        <f>IFERROR(__xludf.DUMMYFUNCTION("IFERROR(
  IF(
    F483 &gt;
    3*AVERAGE(
       FILTER($F$2:$F10491,
         $G$2:$G10491=G483,
         $A$2:$A10491&gt;=A483-20,
         $A$2:$A10491&lt;=A483
       )
    ),
    ""VOL_SPIKE_3X"",""""
  ),
"""")
"),"")</f>
        <v/>
      </c>
      <c r="N483" s="7" t="str">
        <f t="shared" si="6"/>
        <v>PRICE_MOVE_5PCT+</v>
      </c>
      <c r="O483" s="7" t="str">
        <f t="shared" si="7"/>
        <v/>
      </c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>
        <f>IFERROR(__xludf.DUMMYFUNCTION("""COMPUTED_VALUE"""),45623.0)</f>
        <v>45623</v>
      </c>
      <c r="B484" s="6">
        <f>IFERROR(__xludf.DUMMYFUNCTION("""COMPUTED_VALUE"""),296.95)</f>
        <v>296.95</v>
      </c>
      <c r="C484" s="6">
        <f>IFERROR(__xludf.DUMMYFUNCTION("""COMPUTED_VALUE"""),297.0)</f>
        <v>297</v>
      </c>
      <c r="D484" s="6">
        <f>IFERROR(__xludf.DUMMYFUNCTION("""COMPUTED_VALUE"""),291.05)</f>
        <v>291.05</v>
      </c>
      <c r="E484" s="6">
        <f>IFERROR(__xludf.DUMMYFUNCTION("""COMPUTED_VALUE"""),293.45)</f>
        <v>293.45</v>
      </c>
      <c r="F484" s="7">
        <f>IFERROR(__xludf.DUMMYFUNCTION("""COMPUTED_VALUE"""),5995425.0)</f>
        <v>5995425</v>
      </c>
      <c r="G484" s="7" t="str">
        <f>IFERROR(__xludf.DUMMYFUNCTION("""COMPUTED_VALUE"""),"BPCL.NS")</f>
        <v>BPCL.NS</v>
      </c>
      <c r="H484" s="8">
        <f t="shared" si="1"/>
        <v>-0.01178649604</v>
      </c>
      <c r="I484" s="8">
        <f t="shared" si="2"/>
        <v>0.01178649604</v>
      </c>
      <c r="J484" s="7" t="str">
        <f t="shared" si="3"/>
        <v>Nov-2024</v>
      </c>
      <c r="K484" s="9">
        <f t="shared" si="4"/>
        <v>45597</v>
      </c>
      <c r="L484" s="7" t="str">
        <f t="shared" si="5"/>
        <v/>
      </c>
      <c r="M484" s="7" t="str">
        <f>IFERROR(__xludf.DUMMYFUNCTION("IFERROR(
  IF(
    F484 &gt;
    3*AVERAGE(
       FILTER($F$2:$F10491,
         $G$2:$G10491=G484,
         $A$2:$A10491&gt;=A484-20,
         $A$2:$A10491&lt;=A484
       )
    ),
    ""VOL_SPIKE_3X"",""""
  ),
"""")
"),"")</f>
        <v/>
      </c>
      <c r="N484" s="7" t="str">
        <f t="shared" si="6"/>
        <v/>
      </c>
      <c r="O484" s="7" t="str">
        <f t="shared" si="7"/>
        <v/>
      </c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>
        <f>IFERROR(__xludf.DUMMYFUNCTION("""COMPUTED_VALUE"""),45623.0)</f>
        <v>45623</v>
      </c>
      <c r="B485" s="6">
        <f>IFERROR(__xludf.DUMMYFUNCTION("""COMPUTED_VALUE"""),420.0)</f>
        <v>420</v>
      </c>
      <c r="C485" s="6">
        <f>IFERROR(__xludf.DUMMYFUNCTION("""COMPUTED_VALUE"""),421.0)</f>
        <v>421</v>
      </c>
      <c r="D485" s="6">
        <f>IFERROR(__xludf.DUMMYFUNCTION("""COMPUTED_VALUE"""),412.7)</f>
        <v>412.7</v>
      </c>
      <c r="E485" s="6">
        <f>IFERROR(__xludf.DUMMYFUNCTION("""COMPUTED_VALUE"""),417.15)</f>
        <v>417.15</v>
      </c>
      <c r="F485" s="7">
        <f>IFERROR(__xludf.DUMMYFUNCTION("""COMPUTED_VALUE"""),9219932.0)</f>
        <v>9219932</v>
      </c>
      <c r="G485" s="7" t="str">
        <f>IFERROR(__xludf.DUMMYFUNCTION("""COMPUTED_VALUE"""),"COALINDIA.NS")</f>
        <v>COALINDIA.NS</v>
      </c>
      <c r="H485" s="8">
        <f t="shared" si="1"/>
        <v>-0.006785714286</v>
      </c>
      <c r="I485" s="8">
        <f t="shared" si="2"/>
        <v>0.006785714286</v>
      </c>
      <c r="J485" s="7" t="str">
        <f t="shared" si="3"/>
        <v>Nov-2024</v>
      </c>
      <c r="K485" s="9">
        <f t="shared" si="4"/>
        <v>45597</v>
      </c>
      <c r="L485" s="7" t="str">
        <f t="shared" si="5"/>
        <v/>
      </c>
      <c r="M485" s="7" t="str">
        <f>IFERROR(__xludf.DUMMYFUNCTION("IFERROR(
  IF(
    F485 &gt;
    3*AVERAGE(
       FILTER($F$2:$F10491,
         $G$2:$G10491=G485,
         $A$2:$A10491&gt;=A485-20,
         $A$2:$A10491&lt;=A485
       )
    ),
    ""VOL_SPIKE_3X"",""""
  ),
"""")
"),"")</f>
        <v/>
      </c>
      <c r="N485" s="7" t="str">
        <f t="shared" si="6"/>
        <v/>
      </c>
      <c r="O485" s="7" t="str">
        <f t="shared" si="7"/>
        <v/>
      </c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>
        <f>IFERROR(__xludf.DUMMYFUNCTION("""COMPUTED_VALUE"""),45623.0)</f>
        <v>45623</v>
      </c>
      <c r="B486" s="6">
        <f>IFERROR(__xludf.DUMMYFUNCTION("""COMPUTED_VALUE"""),385.9)</f>
        <v>385.9</v>
      </c>
      <c r="C486" s="6">
        <f>IFERROR(__xludf.DUMMYFUNCTION("""COMPUTED_VALUE"""),386.0)</f>
        <v>386</v>
      </c>
      <c r="D486" s="6">
        <f>IFERROR(__xludf.DUMMYFUNCTION("""COMPUTED_VALUE"""),375.8)</f>
        <v>375.8</v>
      </c>
      <c r="E486" s="6">
        <f>IFERROR(__xludf.DUMMYFUNCTION("""COMPUTED_VALUE"""),380.15)</f>
        <v>380.15</v>
      </c>
      <c r="F486" s="7">
        <f>IFERROR(__xludf.DUMMYFUNCTION("""COMPUTED_VALUE"""),6106128.0)</f>
        <v>6106128</v>
      </c>
      <c r="G486" s="7" t="str">
        <f>IFERROR(__xludf.DUMMYFUNCTION("""COMPUTED_VALUE"""),"HINDPETRO.NS")</f>
        <v>HINDPETRO.NS</v>
      </c>
      <c r="H486" s="8">
        <f t="shared" si="1"/>
        <v>-0.01490023322</v>
      </c>
      <c r="I486" s="8">
        <f t="shared" si="2"/>
        <v>0.01490023322</v>
      </c>
      <c r="J486" s="7" t="str">
        <f t="shared" si="3"/>
        <v>Nov-2024</v>
      </c>
      <c r="K486" s="9">
        <f t="shared" si="4"/>
        <v>45597</v>
      </c>
      <c r="L486" s="7" t="str">
        <f t="shared" si="5"/>
        <v/>
      </c>
      <c r="M486" s="7" t="str">
        <f>IFERROR(__xludf.DUMMYFUNCTION("IFERROR(
  IF(
    F486 &gt;
    3*AVERAGE(
       FILTER($F$2:$F10491,
         $G$2:$G10491=G486,
         $A$2:$A10491&gt;=A486-20,
         $A$2:$A10491&lt;=A486
       )
    ),
    ""VOL_SPIKE_3X"",""""
  ),
"""")
"),"")</f>
        <v/>
      </c>
      <c r="N486" s="7" t="str">
        <f t="shared" si="6"/>
        <v/>
      </c>
      <c r="O486" s="7" t="str">
        <f t="shared" si="7"/>
        <v/>
      </c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>
        <f>IFERROR(__xludf.DUMMYFUNCTION("""COMPUTED_VALUE"""),45623.0)</f>
        <v>45623</v>
      </c>
      <c r="B487" s="6">
        <f>IFERROR(__xludf.DUMMYFUNCTION("""COMPUTED_VALUE"""),138.14)</f>
        <v>138.14</v>
      </c>
      <c r="C487" s="6">
        <f>IFERROR(__xludf.DUMMYFUNCTION("""COMPUTED_VALUE"""),139.75)</f>
        <v>139.75</v>
      </c>
      <c r="D487" s="6">
        <f>IFERROR(__xludf.DUMMYFUNCTION("""COMPUTED_VALUE"""),135.25)</f>
        <v>135.25</v>
      </c>
      <c r="E487" s="6">
        <f>IFERROR(__xludf.DUMMYFUNCTION("""COMPUTED_VALUE"""),139.0)</f>
        <v>139</v>
      </c>
      <c r="F487" s="7">
        <f>IFERROR(__xludf.DUMMYFUNCTION("""COMPUTED_VALUE"""),1.8242345E7)</f>
        <v>18242345</v>
      </c>
      <c r="G487" s="7" t="str">
        <f>IFERROR(__xludf.DUMMYFUNCTION("""COMPUTED_VALUE"""),"IOC.NS")</f>
        <v>IOC.NS</v>
      </c>
      <c r="H487" s="8">
        <f t="shared" si="1"/>
        <v>0.006225568264</v>
      </c>
      <c r="I487" s="8">
        <f t="shared" si="2"/>
        <v>0.006225568264</v>
      </c>
      <c r="J487" s="7" t="str">
        <f t="shared" si="3"/>
        <v>Nov-2024</v>
      </c>
      <c r="K487" s="9">
        <f t="shared" si="4"/>
        <v>45597</v>
      </c>
      <c r="L487" s="7" t="str">
        <f t="shared" si="5"/>
        <v/>
      </c>
      <c r="M487" s="7" t="str">
        <f>IFERROR(__xludf.DUMMYFUNCTION("IFERROR(
  IF(
    F487 &gt;
    3*AVERAGE(
       FILTER($F$2:$F10491,
         $G$2:$G10491=G487,
         $A$2:$A10491&gt;=A487-20,
         $A$2:$A10491&lt;=A487
       )
    ),
    ""VOL_SPIKE_3X"",""""
  ),
"""")
"),"")</f>
        <v/>
      </c>
      <c r="N487" s="7" t="str">
        <f t="shared" si="6"/>
        <v/>
      </c>
      <c r="O487" s="7" t="str">
        <f t="shared" si="7"/>
        <v/>
      </c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>
        <f>IFERROR(__xludf.DUMMYFUNCTION("""COMPUTED_VALUE"""),45623.0)</f>
        <v>45623</v>
      </c>
      <c r="B488" s="6">
        <f>IFERROR(__xludf.DUMMYFUNCTION("""COMPUTED_VALUE"""),363.8)</f>
        <v>363.8</v>
      </c>
      <c r="C488" s="6">
        <f>IFERROR(__xludf.DUMMYFUNCTION("""COMPUTED_VALUE"""),371.6)</f>
        <v>371.6</v>
      </c>
      <c r="D488" s="6">
        <f>IFERROR(__xludf.DUMMYFUNCTION("""COMPUTED_VALUE"""),361.35)</f>
        <v>361.35</v>
      </c>
      <c r="E488" s="6">
        <f>IFERROR(__xludf.DUMMYFUNCTION("""COMPUTED_VALUE"""),369.3)</f>
        <v>369.3</v>
      </c>
      <c r="F488" s="7">
        <f>IFERROR(__xludf.DUMMYFUNCTION("""COMPUTED_VALUE"""),1.4225274E7)</f>
        <v>14225274</v>
      </c>
      <c r="G488" s="7" t="str">
        <f>IFERROR(__xludf.DUMMYFUNCTION("""COMPUTED_VALUE"""),"NTPC.NS")</f>
        <v>NTPC.NS</v>
      </c>
      <c r="H488" s="8">
        <f t="shared" si="1"/>
        <v>0.01511819681</v>
      </c>
      <c r="I488" s="8">
        <f t="shared" si="2"/>
        <v>0.01511819681</v>
      </c>
      <c r="J488" s="7" t="str">
        <f t="shared" si="3"/>
        <v>Nov-2024</v>
      </c>
      <c r="K488" s="9">
        <f t="shared" si="4"/>
        <v>45597</v>
      </c>
      <c r="L488" s="7" t="str">
        <f t="shared" si="5"/>
        <v/>
      </c>
      <c r="M488" s="7" t="str">
        <f>IFERROR(__xludf.DUMMYFUNCTION("IFERROR(
  IF(
    F488 &gt;
    3*AVERAGE(
       FILTER($F$2:$F10491,
         $G$2:$G10491=G488,
         $A$2:$A10491&gt;=A488-20,
         $A$2:$A10491&lt;=A488
       )
    ),
    ""VOL_SPIKE_3X"",""""
  ),
"""")
"),"")</f>
        <v/>
      </c>
      <c r="N488" s="7" t="str">
        <f t="shared" si="6"/>
        <v/>
      </c>
      <c r="O488" s="7" t="str">
        <f t="shared" si="7"/>
        <v/>
      </c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>
        <f>IFERROR(__xludf.DUMMYFUNCTION("""COMPUTED_VALUE"""),45623.0)</f>
        <v>45623</v>
      </c>
      <c r="B489" s="6">
        <f>IFERROR(__xludf.DUMMYFUNCTION("""COMPUTED_VALUE"""),255.0)</f>
        <v>255</v>
      </c>
      <c r="C489" s="6">
        <f>IFERROR(__xludf.DUMMYFUNCTION("""COMPUTED_VALUE"""),255.5)</f>
        <v>255.5</v>
      </c>
      <c r="D489" s="6">
        <f>IFERROR(__xludf.DUMMYFUNCTION("""COMPUTED_VALUE"""),250.55)</f>
        <v>250.55</v>
      </c>
      <c r="E489" s="6">
        <f>IFERROR(__xludf.DUMMYFUNCTION("""COMPUTED_VALUE"""),254.3)</f>
        <v>254.3</v>
      </c>
      <c r="F489" s="7">
        <f>IFERROR(__xludf.DUMMYFUNCTION("""COMPUTED_VALUE"""),1.168997E7)</f>
        <v>11689970</v>
      </c>
      <c r="G489" s="7" t="str">
        <f>IFERROR(__xludf.DUMMYFUNCTION("""COMPUTED_VALUE"""),"ONGC.NS")</f>
        <v>ONGC.NS</v>
      </c>
      <c r="H489" s="8">
        <f t="shared" si="1"/>
        <v>-0.002745098039</v>
      </c>
      <c r="I489" s="8">
        <f t="shared" si="2"/>
        <v>0.002745098039</v>
      </c>
      <c r="J489" s="7" t="str">
        <f t="shared" si="3"/>
        <v>Nov-2024</v>
      </c>
      <c r="K489" s="9">
        <f t="shared" si="4"/>
        <v>45597</v>
      </c>
      <c r="L489" s="7" t="str">
        <f t="shared" si="5"/>
        <v/>
      </c>
      <c r="M489" s="7" t="str">
        <f>IFERROR(__xludf.DUMMYFUNCTION("IFERROR(
  IF(
    F489 &gt;
    3*AVERAGE(
       FILTER($F$2:$F10491,
         $G$2:$G10491=G489,
         $A$2:$A10491&gt;=A489-20,
         $A$2:$A10491&lt;=A489
       )
    ),
    ""VOL_SPIKE_3X"",""""
  ),
"""")
"),"")</f>
        <v/>
      </c>
      <c r="N489" s="7" t="str">
        <f t="shared" si="6"/>
        <v/>
      </c>
      <c r="O489" s="7" t="str">
        <f t="shared" si="7"/>
        <v/>
      </c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>
        <f>IFERROR(__xludf.DUMMYFUNCTION("""COMPUTED_VALUE"""),45623.0)</f>
        <v>45623</v>
      </c>
      <c r="B490" s="6">
        <f>IFERROR(__xludf.DUMMYFUNCTION("""COMPUTED_VALUE"""),337.25)</f>
        <v>337.25</v>
      </c>
      <c r="C490" s="6">
        <f>IFERROR(__xludf.DUMMYFUNCTION("""COMPUTED_VALUE"""),341.3)</f>
        <v>341.3</v>
      </c>
      <c r="D490" s="6">
        <f>IFERROR(__xludf.DUMMYFUNCTION("""COMPUTED_VALUE"""),336.5)</f>
        <v>336.5</v>
      </c>
      <c r="E490" s="6">
        <f>IFERROR(__xludf.DUMMYFUNCTION("""COMPUTED_VALUE"""),339.25)</f>
        <v>339.25</v>
      </c>
      <c r="F490" s="7">
        <f>IFERROR(__xludf.DUMMYFUNCTION("""COMPUTED_VALUE"""),1.217726E7)</f>
        <v>12177260</v>
      </c>
      <c r="G490" s="7" t="str">
        <f>IFERROR(__xludf.DUMMYFUNCTION("""COMPUTED_VALUE"""),"POWERGRID.NS")</f>
        <v>POWERGRID.NS</v>
      </c>
      <c r="H490" s="8">
        <f t="shared" si="1"/>
        <v>0.005930318755</v>
      </c>
      <c r="I490" s="8">
        <f t="shared" si="2"/>
        <v>0.005930318755</v>
      </c>
      <c r="J490" s="7" t="str">
        <f t="shared" si="3"/>
        <v>Nov-2024</v>
      </c>
      <c r="K490" s="9">
        <f t="shared" si="4"/>
        <v>45597</v>
      </c>
      <c r="L490" s="7" t="str">
        <f t="shared" si="5"/>
        <v/>
      </c>
      <c r="M490" s="7" t="str">
        <f>IFERROR(__xludf.DUMMYFUNCTION("IFERROR(
  IF(
    F490 &gt;
    3*AVERAGE(
       FILTER($F$2:$F10491,
         $G$2:$G10491=G490,
         $A$2:$A10491&gt;=A490-20,
         $A$2:$A10491&lt;=A490
       )
    ),
    ""VOL_SPIKE_3X"",""""
  ),
"""")
"),"")</f>
        <v/>
      </c>
      <c r="N490" s="7" t="str">
        <f t="shared" si="6"/>
        <v/>
      </c>
      <c r="O490" s="7" t="str">
        <f t="shared" si="7"/>
        <v/>
      </c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>
        <f>IFERROR(__xludf.DUMMYFUNCTION("""COMPUTED_VALUE"""),45623.0)</f>
        <v>45623</v>
      </c>
      <c r="B491" s="6">
        <f>IFERROR(__xludf.DUMMYFUNCTION("""COMPUTED_VALUE"""),1293.5)</f>
        <v>1293.5</v>
      </c>
      <c r="C491" s="6">
        <f>IFERROR(__xludf.DUMMYFUNCTION("""COMPUTED_VALUE"""),1303.85)</f>
        <v>1303.85</v>
      </c>
      <c r="D491" s="6">
        <f>IFERROR(__xludf.DUMMYFUNCTION("""COMPUTED_VALUE"""),1286.0)</f>
        <v>1286</v>
      </c>
      <c r="E491" s="6">
        <f>IFERROR(__xludf.DUMMYFUNCTION("""COMPUTED_VALUE"""),1293.2)</f>
        <v>1293.2</v>
      </c>
      <c r="F491" s="7">
        <f>IFERROR(__xludf.DUMMYFUNCTION("""COMPUTED_VALUE"""),9572746.0)</f>
        <v>9572746</v>
      </c>
      <c r="G491" s="7" t="str">
        <f>IFERROR(__xludf.DUMMYFUNCTION("""COMPUTED_VALUE"""),"RELIANCE.NS")</f>
        <v>RELIANCE.NS</v>
      </c>
      <c r="H491" s="8">
        <f t="shared" si="1"/>
        <v>-0.0002319288751</v>
      </c>
      <c r="I491" s="8">
        <f t="shared" si="2"/>
        <v>0.0002319288751</v>
      </c>
      <c r="J491" s="7" t="str">
        <f t="shared" si="3"/>
        <v>Nov-2024</v>
      </c>
      <c r="K491" s="9">
        <f t="shared" si="4"/>
        <v>45597</v>
      </c>
      <c r="L491" s="7" t="str">
        <f t="shared" si="5"/>
        <v/>
      </c>
      <c r="M491" s="7" t="str">
        <f>IFERROR(__xludf.DUMMYFUNCTION("IFERROR(
  IF(
    F491 &gt;
    3*AVERAGE(
       FILTER($F$2:$F10491,
         $G$2:$G10491=G491,
         $A$2:$A10491&gt;=A491-20,
         $A$2:$A10491&lt;=A491
       )
    ),
    ""VOL_SPIKE_3X"",""""
  ),
"""")
"),"")</f>
        <v/>
      </c>
      <c r="N491" s="7" t="str">
        <f t="shared" si="6"/>
        <v/>
      </c>
      <c r="O491" s="7" t="str">
        <f t="shared" si="7"/>
        <v/>
      </c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>
        <f>IFERROR(__xludf.DUMMYFUNCTION("""COMPUTED_VALUE"""),45624.0)</f>
        <v>45624</v>
      </c>
      <c r="B492" s="6">
        <f>IFERROR(__xludf.DUMMYFUNCTION("""COMPUTED_VALUE"""),689.9)</f>
        <v>689.9</v>
      </c>
      <c r="C492" s="6">
        <f>IFERROR(__xludf.DUMMYFUNCTION("""COMPUTED_VALUE"""),726.85)</f>
        <v>726.85</v>
      </c>
      <c r="D492" s="6">
        <f>IFERROR(__xludf.DUMMYFUNCTION("""COMPUTED_VALUE"""),685.0)</f>
        <v>685</v>
      </c>
      <c r="E492" s="6">
        <f>IFERROR(__xludf.DUMMYFUNCTION("""COMPUTED_VALUE"""),726.85)</f>
        <v>726.85</v>
      </c>
      <c r="F492" s="7">
        <f>IFERROR(__xludf.DUMMYFUNCTION("""COMPUTED_VALUE"""),9255642.0)</f>
        <v>9255642</v>
      </c>
      <c r="G492" s="7" t="str">
        <f>IFERROR(__xludf.DUMMYFUNCTION("""COMPUTED_VALUE"""),"ADANIENSOL.NS")</f>
        <v>ADANIENSOL.NS</v>
      </c>
      <c r="H492" s="8">
        <f t="shared" si="1"/>
        <v>0.05355848674</v>
      </c>
      <c r="I492" s="8">
        <f t="shared" si="2"/>
        <v>0.05355848674</v>
      </c>
      <c r="J492" s="7" t="str">
        <f t="shared" si="3"/>
        <v>Nov-2024</v>
      </c>
      <c r="K492" s="9">
        <f t="shared" si="4"/>
        <v>45597</v>
      </c>
      <c r="L492" s="7" t="str">
        <f t="shared" si="5"/>
        <v>PRICE_MOVE_5PCT+</v>
      </c>
      <c r="M492" s="7" t="str">
        <f>IFERROR(__xludf.DUMMYFUNCTION("IFERROR(
  IF(
    F492 &gt;
    3*AVERAGE(
       FILTER($F$2:$F10491,
         $G$2:$G10491=G492,
         $A$2:$A10491&gt;=A492-20,
         $A$2:$A10491&lt;=A492
       )
    ),
    ""VOL_SPIKE_3X"",""""
  ),
"""")
"),"")</f>
        <v/>
      </c>
      <c r="N492" s="7" t="str">
        <f t="shared" si="6"/>
        <v>PRICE_MOVE_5PCT+</v>
      </c>
      <c r="O492" s="7" t="str">
        <f t="shared" si="7"/>
        <v/>
      </c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>
        <f>IFERROR(__xludf.DUMMYFUNCTION("""COMPUTED_VALUE"""),45624.0)</f>
        <v>45624</v>
      </c>
      <c r="B493" s="6">
        <f>IFERROR(__xludf.DUMMYFUNCTION("""COMPUTED_VALUE"""),1020.0)</f>
        <v>1020</v>
      </c>
      <c r="C493" s="6">
        <f>IFERROR(__xludf.DUMMYFUNCTION("""COMPUTED_VALUE"""),1087.2)</f>
        <v>1087.2</v>
      </c>
      <c r="D493" s="6">
        <f>IFERROR(__xludf.DUMMYFUNCTION("""COMPUTED_VALUE"""),1014.0)</f>
        <v>1014</v>
      </c>
      <c r="E493" s="6">
        <f>IFERROR(__xludf.DUMMYFUNCTION("""COMPUTED_VALUE"""),1087.2)</f>
        <v>1087.2</v>
      </c>
      <c r="F493" s="7">
        <f>IFERROR(__xludf.DUMMYFUNCTION("""COMPUTED_VALUE"""),7840622.0)</f>
        <v>7840622</v>
      </c>
      <c r="G493" s="7" t="str">
        <f>IFERROR(__xludf.DUMMYFUNCTION("""COMPUTED_VALUE"""),"ADANIGREEN.NS")</f>
        <v>ADANIGREEN.NS</v>
      </c>
      <c r="H493" s="8">
        <f t="shared" si="1"/>
        <v>0.06588235294</v>
      </c>
      <c r="I493" s="8">
        <f t="shared" si="2"/>
        <v>0.06588235294</v>
      </c>
      <c r="J493" s="7" t="str">
        <f t="shared" si="3"/>
        <v>Nov-2024</v>
      </c>
      <c r="K493" s="9">
        <f t="shared" si="4"/>
        <v>45597</v>
      </c>
      <c r="L493" s="7" t="str">
        <f t="shared" si="5"/>
        <v>PRICE_MOVE_5PCT+</v>
      </c>
      <c r="M493" s="7" t="str">
        <f>IFERROR(__xludf.DUMMYFUNCTION("IFERROR(
  IF(
    F493 &gt;
    3*AVERAGE(
       FILTER($F$2:$F10491,
         $G$2:$G10491=G493,
         $A$2:$A10491&gt;=A493-20,
         $A$2:$A10491&lt;=A493
       )
    ),
    ""VOL_SPIKE_3X"",""""
  ),
"""")
"),"")</f>
        <v/>
      </c>
      <c r="N493" s="7" t="str">
        <f t="shared" si="6"/>
        <v>PRICE_MOVE_5PCT+</v>
      </c>
      <c r="O493" s="7" t="str">
        <f t="shared" si="7"/>
        <v/>
      </c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>
        <f>IFERROR(__xludf.DUMMYFUNCTION("""COMPUTED_VALUE"""),45624.0)</f>
        <v>45624</v>
      </c>
      <c r="B494" s="6">
        <f>IFERROR(__xludf.DUMMYFUNCTION("""COMPUTED_VALUE"""),294.45)</f>
        <v>294.45</v>
      </c>
      <c r="C494" s="6">
        <f>IFERROR(__xludf.DUMMYFUNCTION("""COMPUTED_VALUE"""),298.75)</f>
        <v>298.75</v>
      </c>
      <c r="D494" s="6">
        <f>IFERROR(__xludf.DUMMYFUNCTION("""COMPUTED_VALUE"""),289.5)</f>
        <v>289.5</v>
      </c>
      <c r="E494" s="6">
        <f>IFERROR(__xludf.DUMMYFUNCTION("""COMPUTED_VALUE"""),290.95)</f>
        <v>290.95</v>
      </c>
      <c r="F494" s="7">
        <f>IFERROR(__xludf.DUMMYFUNCTION("""COMPUTED_VALUE"""),1.3130411E7)</f>
        <v>13130411</v>
      </c>
      <c r="G494" s="7" t="str">
        <f>IFERROR(__xludf.DUMMYFUNCTION("""COMPUTED_VALUE"""),"BPCL.NS")</f>
        <v>BPCL.NS</v>
      </c>
      <c r="H494" s="8">
        <f t="shared" si="1"/>
        <v>-0.01188656818</v>
      </c>
      <c r="I494" s="8">
        <f t="shared" si="2"/>
        <v>0.01188656818</v>
      </c>
      <c r="J494" s="7" t="str">
        <f t="shared" si="3"/>
        <v>Nov-2024</v>
      </c>
      <c r="K494" s="9">
        <f t="shared" si="4"/>
        <v>45597</v>
      </c>
      <c r="L494" s="7" t="str">
        <f t="shared" si="5"/>
        <v/>
      </c>
      <c r="M494" s="7" t="str">
        <f>IFERROR(__xludf.DUMMYFUNCTION("IFERROR(
  IF(
    F494 &gt;
    3*AVERAGE(
       FILTER($F$2:$F10491,
         $G$2:$G10491=G494,
         $A$2:$A10491&gt;=A494-20,
         $A$2:$A10491&lt;=A494
       )
    ),
    ""VOL_SPIKE_3X"",""""
  ),
"""")
"),"")</f>
        <v/>
      </c>
      <c r="N494" s="7" t="str">
        <f t="shared" si="6"/>
        <v/>
      </c>
      <c r="O494" s="7" t="str">
        <f t="shared" si="7"/>
        <v/>
      </c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>
        <f>IFERROR(__xludf.DUMMYFUNCTION("""COMPUTED_VALUE"""),45624.0)</f>
        <v>45624</v>
      </c>
      <c r="B495" s="6">
        <f>IFERROR(__xludf.DUMMYFUNCTION("""COMPUTED_VALUE"""),420.0)</f>
        <v>420</v>
      </c>
      <c r="C495" s="6">
        <f>IFERROR(__xludf.DUMMYFUNCTION("""COMPUTED_VALUE"""),424.9)</f>
        <v>424.9</v>
      </c>
      <c r="D495" s="6">
        <f>IFERROR(__xludf.DUMMYFUNCTION("""COMPUTED_VALUE"""),413.5)</f>
        <v>413.5</v>
      </c>
      <c r="E495" s="6">
        <f>IFERROR(__xludf.DUMMYFUNCTION("""COMPUTED_VALUE"""),415.2)</f>
        <v>415.2</v>
      </c>
      <c r="F495" s="7">
        <f>IFERROR(__xludf.DUMMYFUNCTION("""COMPUTED_VALUE"""),7788912.0)</f>
        <v>7788912</v>
      </c>
      <c r="G495" s="7" t="str">
        <f>IFERROR(__xludf.DUMMYFUNCTION("""COMPUTED_VALUE"""),"COALINDIA.NS")</f>
        <v>COALINDIA.NS</v>
      </c>
      <c r="H495" s="8">
        <f t="shared" si="1"/>
        <v>-0.01142857143</v>
      </c>
      <c r="I495" s="8">
        <f t="shared" si="2"/>
        <v>0.01142857143</v>
      </c>
      <c r="J495" s="7" t="str">
        <f t="shared" si="3"/>
        <v>Nov-2024</v>
      </c>
      <c r="K495" s="9">
        <f t="shared" si="4"/>
        <v>45597</v>
      </c>
      <c r="L495" s="7" t="str">
        <f t="shared" si="5"/>
        <v/>
      </c>
      <c r="M495" s="7" t="str">
        <f>IFERROR(__xludf.DUMMYFUNCTION("IFERROR(
  IF(
    F495 &gt;
    3*AVERAGE(
       FILTER($F$2:$F10491,
         $G$2:$G10491=G495,
         $A$2:$A10491&gt;=A495-20,
         $A$2:$A10491&lt;=A495
       )
    ),
    ""VOL_SPIKE_3X"",""""
  ),
"""")
"),"")</f>
        <v/>
      </c>
      <c r="N495" s="7" t="str">
        <f t="shared" si="6"/>
        <v/>
      </c>
      <c r="O495" s="7" t="str">
        <f t="shared" si="7"/>
        <v/>
      </c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>
        <f>IFERROR(__xludf.DUMMYFUNCTION("""COMPUTED_VALUE"""),45624.0)</f>
        <v>45624</v>
      </c>
      <c r="B496" s="6">
        <f>IFERROR(__xludf.DUMMYFUNCTION("""COMPUTED_VALUE"""),381.9)</f>
        <v>381.9</v>
      </c>
      <c r="C496" s="6">
        <f>IFERROR(__xludf.DUMMYFUNCTION("""COMPUTED_VALUE"""),386.25)</f>
        <v>386.25</v>
      </c>
      <c r="D496" s="6">
        <f>IFERROR(__xludf.DUMMYFUNCTION("""COMPUTED_VALUE"""),377.25)</f>
        <v>377.25</v>
      </c>
      <c r="E496" s="6">
        <f>IFERROR(__xludf.DUMMYFUNCTION("""COMPUTED_VALUE"""),380.0)</f>
        <v>380</v>
      </c>
      <c r="F496" s="7">
        <f>IFERROR(__xludf.DUMMYFUNCTION("""COMPUTED_VALUE"""),5435933.0)</f>
        <v>5435933</v>
      </c>
      <c r="G496" s="7" t="str">
        <f>IFERROR(__xludf.DUMMYFUNCTION("""COMPUTED_VALUE"""),"HINDPETRO.NS")</f>
        <v>HINDPETRO.NS</v>
      </c>
      <c r="H496" s="8">
        <f t="shared" si="1"/>
        <v>-0.004975124378</v>
      </c>
      <c r="I496" s="8">
        <f t="shared" si="2"/>
        <v>0.004975124378</v>
      </c>
      <c r="J496" s="7" t="str">
        <f t="shared" si="3"/>
        <v>Nov-2024</v>
      </c>
      <c r="K496" s="9">
        <f t="shared" si="4"/>
        <v>45597</v>
      </c>
      <c r="L496" s="7" t="str">
        <f t="shared" si="5"/>
        <v/>
      </c>
      <c r="M496" s="7" t="str">
        <f>IFERROR(__xludf.DUMMYFUNCTION("IFERROR(
  IF(
    F496 &gt;
    3*AVERAGE(
       FILTER($F$2:$F10491,
         $G$2:$G10491=G496,
         $A$2:$A10491&gt;=A496-20,
         $A$2:$A10491&lt;=A496
       )
    ),
    ""VOL_SPIKE_3X"",""""
  ),
"""")
"),"")</f>
        <v/>
      </c>
      <c r="N496" s="7" t="str">
        <f t="shared" si="6"/>
        <v/>
      </c>
      <c r="O496" s="7" t="str">
        <f t="shared" si="7"/>
        <v/>
      </c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>
        <f>IFERROR(__xludf.DUMMYFUNCTION("""COMPUTED_VALUE"""),45624.0)</f>
        <v>45624</v>
      </c>
      <c r="B497" s="6">
        <f>IFERROR(__xludf.DUMMYFUNCTION("""COMPUTED_VALUE"""),139.2)</f>
        <v>139.2</v>
      </c>
      <c r="C497" s="6">
        <f>IFERROR(__xludf.DUMMYFUNCTION("""COMPUTED_VALUE"""),141.1)</f>
        <v>141.1</v>
      </c>
      <c r="D497" s="6">
        <f>IFERROR(__xludf.DUMMYFUNCTION("""COMPUTED_VALUE"""),137.25)</f>
        <v>137.25</v>
      </c>
      <c r="E497" s="6">
        <f>IFERROR(__xludf.DUMMYFUNCTION("""COMPUTED_VALUE"""),137.75)</f>
        <v>137.75</v>
      </c>
      <c r="F497" s="7">
        <f>IFERROR(__xludf.DUMMYFUNCTION("""COMPUTED_VALUE"""),1.7331637E7)</f>
        <v>17331637</v>
      </c>
      <c r="G497" s="7" t="str">
        <f>IFERROR(__xludf.DUMMYFUNCTION("""COMPUTED_VALUE"""),"IOC.NS")</f>
        <v>IOC.NS</v>
      </c>
      <c r="H497" s="8">
        <f t="shared" si="1"/>
        <v>-0.01041666667</v>
      </c>
      <c r="I497" s="8">
        <f t="shared" si="2"/>
        <v>0.01041666667</v>
      </c>
      <c r="J497" s="7" t="str">
        <f t="shared" si="3"/>
        <v>Nov-2024</v>
      </c>
      <c r="K497" s="9">
        <f t="shared" si="4"/>
        <v>45597</v>
      </c>
      <c r="L497" s="7" t="str">
        <f t="shared" si="5"/>
        <v/>
      </c>
      <c r="M497" s="7" t="str">
        <f>IFERROR(__xludf.DUMMYFUNCTION("IFERROR(
  IF(
    F497 &gt;
    3*AVERAGE(
       FILTER($F$2:$F10491,
         $G$2:$G10491=G497,
         $A$2:$A10491&gt;=A497-20,
         $A$2:$A10491&lt;=A497
       )
    ),
    ""VOL_SPIKE_3X"",""""
  ),
"""")
"),"")</f>
        <v/>
      </c>
      <c r="N497" s="7" t="str">
        <f t="shared" si="6"/>
        <v/>
      </c>
      <c r="O497" s="7" t="str">
        <f t="shared" si="7"/>
        <v/>
      </c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>
        <f>IFERROR(__xludf.DUMMYFUNCTION("""COMPUTED_VALUE"""),45624.0)</f>
        <v>45624</v>
      </c>
      <c r="B498" s="6">
        <f>IFERROR(__xludf.DUMMYFUNCTION("""COMPUTED_VALUE"""),369.7)</f>
        <v>369.7</v>
      </c>
      <c r="C498" s="6">
        <f>IFERROR(__xludf.DUMMYFUNCTION("""COMPUTED_VALUE"""),371.85)</f>
        <v>371.85</v>
      </c>
      <c r="D498" s="6">
        <f>IFERROR(__xludf.DUMMYFUNCTION("""COMPUTED_VALUE"""),359.6)</f>
        <v>359.6</v>
      </c>
      <c r="E498" s="6">
        <f>IFERROR(__xludf.DUMMYFUNCTION("""COMPUTED_VALUE"""),362.05)</f>
        <v>362.05</v>
      </c>
      <c r="F498" s="7">
        <f>IFERROR(__xludf.DUMMYFUNCTION("""COMPUTED_VALUE"""),1.683786E7)</f>
        <v>16837860</v>
      </c>
      <c r="G498" s="7" t="str">
        <f>IFERROR(__xludf.DUMMYFUNCTION("""COMPUTED_VALUE"""),"NTPC.NS")</f>
        <v>NTPC.NS</v>
      </c>
      <c r="H498" s="8">
        <f t="shared" si="1"/>
        <v>-0.02069245334</v>
      </c>
      <c r="I498" s="8">
        <f t="shared" si="2"/>
        <v>0.02069245334</v>
      </c>
      <c r="J498" s="7" t="str">
        <f t="shared" si="3"/>
        <v>Nov-2024</v>
      </c>
      <c r="K498" s="9">
        <f t="shared" si="4"/>
        <v>45597</v>
      </c>
      <c r="L498" s="7" t="str">
        <f t="shared" si="5"/>
        <v/>
      </c>
      <c r="M498" s="7" t="str">
        <f>IFERROR(__xludf.DUMMYFUNCTION("IFERROR(
  IF(
    F498 &gt;
    3*AVERAGE(
       FILTER($F$2:$F10491,
         $G$2:$G10491=G498,
         $A$2:$A10491&gt;=A498-20,
         $A$2:$A10491&lt;=A498
       )
    ),
    ""VOL_SPIKE_3X"",""""
  ),
"""")
"),"")</f>
        <v/>
      </c>
      <c r="N498" s="7" t="str">
        <f t="shared" si="6"/>
        <v/>
      </c>
      <c r="O498" s="7" t="str">
        <f t="shared" si="7"/>
        <v/>
      </c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>
        <f>IFERROR(__xludf.DUMMYFUNCTION("""COMPUTED_VALUE"""),45624.0)</f>
        <v>45624</v>
      </c>
      <c r="B499" s="6">
        <f>IFERROR(__xludf.DUMMYFUNCTION("""COMPUTED_VALUE"""),255.0)</f>
        <v>255</v>
      </c>
      <c r="C499" s="6">
        <f>IFERROR(__xludf.DUMMYFUNCTION("""COMPUTED_VALUE"""),257.4)</f>
        <v>257.4</v>
      </c>
      <c r="D499" s="6">
        <f>IFERROR(__xludf.DUMMYFUNCTION("""COMPUTED_VALUE"""),251.2)</f>
        <v>251.2</v>
      </c>
      <c r="E499" s="6">
        <f>IFERROR(__xludf.DUMMYFUNCTION("""COMPUTED_VALUE"""),252.2)</f>
        <v>252.2</v>
      </c>
      <c r="F499" s="7">
        <f>IFERROR(__xludf.DUMMYFUNCTION("""COMPUTED_VALUE"""),1.4202863E7)</f>
        <v>14202863</v>
      </c>
      <c r="G499" s="7" t="str">
        <f>IFERROR(__xludf.DUMMYFUNCTION("""COMPUTED_VALUE"""),"ONGC.NS")</f>
        <v>ONGC.NS</v>
      </c>
      <c r="H499" s="8">
        <f t="shared" si="1"/>
        <v>-0.01098039216</v>
      </c>
      <c r="I499" s="8">
        <f t="shared" si="2"/>
        <v>0.01098039216</v>
      </c>
      <c r="J499" s="7" t="str">
        <f t="shared" si="3"/>
        <v>Nov-2024</v>
      </c>
      <c r="K499" s="9">
        <f t="shared" si="4"/>
        <v>45597</v>
      </c>
      <c r="L499" s="7" t="str">
        <f t="shared" si="5"/>
        <v/>
      </c>
      <c r="M499" s="7" t="str">
        <f>IFERROR(__xludf.DUMMYFUNCTION("IFERROR(
  IF(
    F499 &gt;
    3*AVERAGE(
       FILTER($F$2:$F10491,
         $G$2:$G10491=G499,
         $A$2:$A10491&gt;=A499-20,
         $A$2:$A10491&lt;=A499
       )
    ),
    ""VOL_SPIKE_3X"",""""
  ),
"""")
"),"")</f>
        <v/>
      </c>
      <c r="N499" s="7" t="str">
        <f t="shared" si="6"/>
        <v/>
      </c>
      <c r="O499" s="7" t="str">
        <f t="shared" si="7"/>
        <v/>
      </c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>
        <f>IFERROR(__xludf.DUMMYFUNCTION("""COMPUTED_VALUE"""),45624.0)</f>
        <v>45624</v>
      </c>
      <c r="B500" s="6">
        <f>IFERROR(__xludf.DUMMYFUNCTION("""COMPUTED_VALUE"""),339.25)</f>
        <v>339.25</v>
      </c>
      <c r="C500" s="6">
        <f>IFERROR(__xludf.DUMMYFUNCTION("""COMPUTED_VALUE"""),341.75)</f>
        <v>341.75</v>
      </c>
      <c r="D500" s="6">
        <f>IFERROR(__xludf.DUMMYFUNCTION("""COMPUTED_VALUE"""),332.2)</f>
        <v>332.2</v>
      </c>
      <c r="E500" s="6">
        <f>IFERROR(__xludf.DUMMYFUNCTION("""COMPUTED_VALUE"""),333.65)</f>
        <v>333.65</v>
      </c>
      <c r="F500" s="7">
        <f>IFERROR(__xludf.DUMMYFUNCTION("""COMPUTED_VALUE"""),1.6920231E7)</f>
        <v>16920231</v>
      </c>
      <c r="G500" s="7" t="str">
        <f>IFERROR(__xludf.DUMMYFUNCTION("""COMPUTED_VALUE"""),"POWERGRID.NS")</f>
        <v>POWERGRID.NS</v>
      </c>
      <c r="H500" s="8">
        <f t="shared" si="1"/>
        <v>-0.01650700074</v>
      </c>
      <c r="I500" s="8">
        <f t="shared" si="2"/>
        <v>0.01650700074</v>
      </c>
      <c r="J500" s="7" t="str">
        <f t="shared" si="3"/>
        <v>Nov-2024</v>
      </c>
      <c r="K500" s="9">
        <f t="shared" si="4"/>
        <v>45597</v>
      </c>
      <c r="L500" s="7" t="str">
        <f t="shared" si="5"/>
        <v/>
      </c>
      <c r="M500" s="7" t="str">
        <f>IFERROR(__xludf.DUMMYFUNCTION("IFERROR(
  IF(
    F500 &gt;
    3*AVERAGE(
       FILTER($F$2:$F10491,
         $G$2:$G10491=G500,
         $A$2:$A10491&gt;=A500-20,
         $A$2:$A10491&lt;=A500
       )
    ),
    ""VOL_SPIKE_3X"",""""
  ),
"""")
"),"")</f>
        <v/>
      </c>
      <c r="N500" s="7" t="str">
        <f t="shared" si="6"/>
        <v/>
      </c>
      <c r="O500" s="7" t="str">
        <f t="shared" si="7"/>
        <v/>
      </c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>
        <f>IFERROR(__xludf.DUMMYFUNCTION("""COMPUTED_VALUE"""),45624.0)</f>
        <v>45624</v>
      </c>
      <c r="B501" s="6">
        <f>IFERROR(__xludf.DUMMYFUNCTION("""COMPUTED_VALUE"""),1289.95)</f>
        <v>1289.95</v>
      </c>
      <c r="C501" s="6">
        <f>IFERROR(__xludf.DUMMYFUNCTION("""COMPUTED_VALUE"""),1296.6)</f>
        <v>1296.6</v>
      </c>
      <c r="D501" s="6">
        <f>IFERROR(__xludf.DUMMYFUNCTION("""COMPUTED_VALUE"""),1269.05)</f>
        <v>1269.05</v>
      </c>
      <c r="E501" s="6">
        <f>IFERROR(__xludf.DUMMYFUNCTION("""COMPUTED_VALUE"""),1270.8)</f>
        <v>1270.8</v>
      </c>
      <c r="F501" s="7">
        <f>IFERROR(__xludf.DUMMYFUNCTION("""COMPUTED_VALUE"""),1.5027412E7)</f>
        <v>15027412</v>
      </c>
      <c r="G501" s="7" t="str">
        <f>IFERROR(__xludf.DUMMYFUNCTION("""COMPUTED_VALUE"""),"RELIANCE.NS")</f>
        <v>RELIANCE.NS</v>
      </c>
      <c r="H501" s="8">
        <f t="shared" si="1"/>
        <v>-0.01484553665</v>
      </c>
      <c r="I501" s="8">
        <f t="shared" si="2"/>
        <v>0.01484553665</v>
      </c>
      <c r="J501" s="7" t="str">
        <f t="shared" si="3"/>
        <v>Nov-2024</v>
      </c>
      <c r="K501" s="9">
        <f t="shared" si="4"/>
        <v>45597</v>
      </c>
      <c r="L501" s="7" t="str">
        <f t="shared" si="5"/>
        <v/>
      </c>
      <c r="M501" s="7" t="str">
        <f>IFERROR(__xludf.DUMMYFUNCTION("IFERROR(
  IF(
    F501 &gt;
    3*AVERAGE(
       FILTER($F$2:$F10491,
         $G$2:$G10491=G501,
         $A$2:$A10491&gt;=A501-20,
         $A$2:$A10491&lt;=A501
       )
    ),
    ""VOL_SPIKE_3X"",""""
  ),
"""")
"),"")</f>
        <v/>
      </c>
      <c r="N501" s="7" t="str">
        <f t="shared" si="6"/>
        <v/>
      </c>
      <c r="O501" s="7" t="str">
        <f t="shared" si="7"/>
        <v/>
      </c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>
        <f>IFERROR(__xludf.DUMMYFUNCTION("""COMPUTED_VALUE"""),45625.0)</f>
        <v>45625</v>
      </c>
      <c r="B502" s="6">
        <f>IFERROR(__xludf.DUMMYFUNCTION("""COMPUTED_VALUE"""),748.0)</f>
        <v>748</v>
      </c>
      <c r="C502" s="6">
        <f>IFERROR(__xludf.DUMMYFUNCTION("""COMPUTED_VALUE"""),869.75)</f>
        <v>869.75</v>
      </c>
      <c r="D502" s="6">
        <f>IFERROR(__xludf.DUMMYFUNCTION("""COMPUTED_VALUE"""),742.0)</f>
        <v>742</v>
      </c>
      <c r="E502" s="6">
        <f>IFERROR(__xludf.DUMMYFUNCTION("""COMPUTED_VALUE"""),840.5)</f>
        <v>840.5</v>
      </c>
      <c r="F502" s="7">
        <f>IFERROR(__xludf.DUMMYFUNCTION("""COMPUTED_VALUE"""),3.091852E7)</f>
        <v>30918520</v>
      </c>
      <c r="G502" s="7" t="str">
        <f>IFERROR(__xludf.DUMMYFUNCTION("""COMPUTED_VALUE"""),"ADANIENSOL.NS")</f>
        <v>ADANIENSOL.NS</v>
      </c>
      <c r="H502" s="8">
        <f t="shared" si="1"/>
        <v>0.1236631016</v>
      </c>
      <c r="I502" s="8">
        <f t="shared" si="2"/>
        <v>0.1236631016</v>
      </c>
      <c r="J502" s="7" t="str">
        <f t="shared" si="3"/>
        <v>Nov-2024</v>
      </c>
      <c r="K502" s="9">
        <f t="shared" si="4"/>
        <v>45597</v>
      </c>
      <c r="L502" s="7" t="str">
        <f t="shared" si="5"/>
        <v>PRICE_MOVE_5PCT+</v>
      </c>
      <c r="M502" s="7" t="str">
        <f>IFERROR(__xludf.DUMMYFUNCTION("IFERROR(
  IF(
    F502 &gt;
    3*AVERAGE(
       FILTER($F$2:$F10491,
         $G$2:$G10491=G502,
         $A$2:$A10491&gt;=A502-20,
         $A$2:$A10491&lt;=A502
       )
    ),
    ""VOL_SPIKE_3X"",""""
  ),
"""")
"),"VOL_SPIKE_3X")</f>
        <v>VOL_SPIKE_3X</v>
      </c>
      <c r="N502" s="7" t="str">
        <f t="shared" si="6"/>
        <v>PRICE_MOVE_5PCT+;VOL_SPIKE_3X</v>
      </c>
      <c r="O502" s="7" t="str">
        <f t="shared" si="7"/>
        <v/>
      </c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>
        <f>IFERROR(__xludf.DUMMYFUNCTION("""COMPUTED_VALUE"""),45625.0)</f>
        <v>45625</v>
      </c>
      <c r="B503" s="6">
        <f>IFERROR(__xludf.DUMMYFUNCTION("""COMPUTED_VALUE"""),1149.0)</f>
        <v>1149</v>
      </c>
      <c r="C503" s="6">
        <f>IFERROR(__xludf.DUMMYFUNCTION("""COMPUTED_VALUE"""),1368.0)</f>
        <v>1368</v>
      </c>
      <c r="D503" s="6">
        <f>IFERROR(__xludf.DUMMYFUNCTION("""COMPUTED_VALUE"""),1138.5)</f>
        <v>1138.5</v>
      </c>
      <c r="E503" s="6">
        <f>IFERROR(__xludf.DUMMYFUNCTION("""COMPUTED_VALUE"""),1323.9)</f>
        <v>1323.9</v>
      </c>
      <c r="F503" s="7">
        <f>IFERROR(__xludf.DUMMYFUNCTION("""COMPUTED_VALUE"""),2.3771119E7)</f>
        <v>23771119</v>
      </c>
      <c r="G503" s="7" t="str">
        <f>IFERROR(__xludf.DUMMYFUNCTION("""COMPUTED_VALUE"""),"ADANIGREEN.NS")</f>
        <v>ADANIGREEN.NS</v>
      </c>
      <c r="H503" s="8">
        <f t="shared" si="1"/>
        <v>0.1522193211</v>
      </c>
      <c r="I503" s="8">
        <f t="shared" si="2"/>
        <v>0.1522193211</v>
      </c>
      <c r="J503" s="7" t="str">
        <f t="shared" si="3"/>
        <v>Nov-2024</v>
      </c>
      <c r="K503" s="9">
        <f t="shared" si="4"/>
        <v>45597</v>
      </c>
      <c r="L503" s="7" t="str">
        <f t="shared" si="5"/>
        <v>PRICE_MOVE_5PCT+</v>
      </c>
      <c r="M503" s="7" t="str">
        <f>IFERROR(__xludf.DUMMYFUNCTION("IFERROR(
  IF(
    F503 &gt;
    3*AVERAGE(
       FILTER($F$2:$F10491,
         $G$2:$G10491=G503,
         $A$2:$A10491&gt;=A503-20,
         $A$2:$A10491&lt;=A503
       )
    ),
    ""VOL_SPIKE_3X"",""""
  ),
"""")
"),"")</f>
        <v/>
      </c>
      <c r="N503" s="7" t="str">
        <f t="shared" si="6"/>
        <v>PRICE_MOVE_5PCT+</v>
      </c>
      <c r="O503" s="7" t="str">
        <f t="shared" si="7"/>
        <v/>
      </c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>
        <f>IFERROR(__xludf.DUMMYFUNCTION("""COMPUTED_VALUE"""),45625.0)</f>
        <v>45625</v>
      </c>
      <c r="B504" s="6">
        <f>IFERROR(__xludf.DUMMYFUNCTION("""COMPUTED_VALUE"""),292.4)</f>
        <v>292.4</v>
      </c>
      <c r="C504" s="6">
        <f>IFERROR(__xludf.DUMMYFUNCTION("""COMPUTED_VALUE"""),294.25)</f>
        <v>294.25</v>
      </c>
      <c r="D504" s="6">
        <f>IFERROR(__xludf.DUMMYFUNCTION("""COMPUTED_VALUE"""),289.4)</f>
        <v>289.4</v>
      </c>
      <c r="E504" s="6">
        <f>IFERROR(__xludf.DUMMYFUNCTION("""COMPUTED_VALUE"""),292.1)</f>
        <v>292.1</v>
      </c>
      <c r="F504" s="7">
        <f>IFERROR(__xludf.DUMMYFUNCTION("""COMPUTED_VALUE"""),8125467.0)</f>
        <v>8125467</v>
      </c>
      <c r="G504" s="7" t="str">
        <f>IFERROR(__xludf.DUMMYFUNCTION("""COMPUTED_VALUE"""),"BPCL.NS")</f>
        <v>BPCL.NS</v>
      </c>
      <c r="H504" s="8">
        <f t="shared" si="1"/>
        <v>-0.001025991792</v>
      </c>
      <c r="I504" s="8">
        <f t="shared" si="2"/>
        <v>0.001025991792</v>
      </c>
      <c r="J504" s="7" t="str">
        <f t="shared" si="3"/>
        <v>Nov-2024</v>
      </c>
      <c r="K504" s="9">
        <f t="shared" si="4"/>
        <v>45597</v>
      </c>
      <c r="L504" s="7" t="str">
        <f t="shared" si="5"/>
        <v/>
      </c>
      <c r="M504" s="7" t="str">
        <f>IFERROR(__xludf.DUMMYFUNCTION("IFERROR(
  IF(
    F504 &gt;
    3*AVERAGE(
       FILTER($F$2:$F10491,
         $G$2:$G10491=G504,
         $A$2:$A10491&gt;=A504-20,
         $A$2:$A10491&lt;=A504
       )
    ),
    ""VOL_SPIKE_3X"",""""
  ),
"""")
"),"")</f>
        <v/>
      </c>
      <c r="N504" s="7" t="str">
        <f t="shared" si="6"/>
        <v/>
      </c>
      <c r="O504" s="7" t="str">
        <f t="shared" si="7"/>
        <v/>
      </c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>
        <f>IFERROR(__xludf.DUMMYFUNCTION("""COMPUTED_VALUE"""),45625.0)</f>
        <v>45625</v>
      </c>
      <c r="B505" s="6">
        <f>IFERROR(__xludf.DUMMYFUNCTION("""COMPUTED_VALUE"""),415.3)</f>
        <v>415.3</v>
      </c>
      <c r="C505" s="6">
        <f>IFERROR(__xludf.DUMMYFUNCTION("""COMPUTED_VALUE"""),418.0)</f>
        <v>418</v>
      </c>
      <c r="D505" s="6">
        <f>IFERROR(__xludf.DUMMYFUNCTION("""COMPUTED_VALUE"""),411.0)</f>
        <v>411</v>
      </c>
      <c r="E505" s="6">
        <f>IFERROR(__xludf.DUMMYFUNCTION("""COMPUTED_VALUE"""),416.4)</f>
        <v>416.4</v>
      </c>
      <c r="F505" s="7">
        <f>IFERROR(__xludf.DUMMYFUNCTION("""COMPUTED_VALUE"""),7057742.0)</f>
        <v>7057742</v>
      </c>
      <c r="G505" s="7" t="str">
        <f>IFERROR(__xludf.DUMMYFUNCTION("""COMPUTED_VALUE"""),"COALINDIA.NS")</f>
        <v>COALINDIA.NS</v>
      </c>
      <c r="H505" s="8">
        <f t="shared" si="1"/>
        <v>0.002648687696</v>
      </c>
      <c r="I505" s="8">
        <f t="shared" si="2"/>
        <v>0.002648687696</v>
      </c>
      <c r="J505" s="7" t="str">
        <f t="shared" si="3"/>
        <v>Nov-2024</v>
      </c>
      <c r="K505" s="9">
        <f t="shared" si="4"/>
        <v>45597</v>
      </c>
      <c r="L505" s="7" t="str">
        <f t="shared" si="5"/>
        <v/>
      </c>
      <c r="M505" s="7" t="str">
        <f>IFERROR(__xludf.DUMMYFUNCTION("IFERROR(
  IF(
    F505 &gt;
    3*AVERAGE(
       FILTER($F$2:$F10491,
         $G$2:$G10491=G505,
         $A$2:$A10491&gt;=A505-20,
         $A$2:$A10491&lt;=A505
       )
    ),
    ""VOL_SPIKE_3X"",""""
  ),
"""")
"),"")</f>
        <v/>
      </c>
      <c r="N505" s="7" t="str">
        <f t="shared" si="6"/>
        <v/>
      </c>
      <c r="O505" s="7" t="str">
        <f t="shared" si="7"/>
        <v/>
      </c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>
        <f>IFERROR(__xludf.DUMMYFUNCTION("""COMPUTED_VALUE"""),45625.0)</f>
        <v>45625</v>
      </c>
      <c r="B506" s="6">
        <f>IFERROR(__xludf.DUMMYFUNCTION("""COMPUTED_VALUE"""),381.45)</f>
        <v>381.45</v>
      </c>
      <c r="C506" s="6">
        <f>IFERROR(__xludf.DUMMYFUNCTION("""COMPUTED_VALUE"""),385.0)</f>
        <v>385</v>
      </c>
      <c r="D506" s="6">
        <f>IFERROR(__xludf.DUMMYFUNCTION("""COMPUTED_VALUE"""),376.4)</f>
        <v>376.4</v>
      </c>
      <c r="E506" s="6">
        <f>IFERROR(__xludf.DUMMYFUNCTION("""COMPUTED_VALUE"""),383.1)</f>
        <v>383.1</v>
      </c>
      <c r="F506" s="7">
        <f>IFERROR(__xludf.DUMMYFUNCTION("""COMPUTED_VALUE"""),4384830.0)</f>
        <v>4384830</v>
      </c>
      <c r="G506" s="7" t="str">
        <f>IFERROR(__xludf.DUMMYFUNCTION("""COMPUTED_VALUE"""),"HINDPETRO.NS")</f>
        <v>HINDPETRO.NS</v>
      </c>
      <c r="H506" s="8">
        <f t="shared" si="1"/>
        <v>0.004325599685</v>
      </c>
      <c r="I506" s="8">
        <f t="shared" si="2"/>
        <v>0.004325599685</v>
      </c>
      <c r="J506" s="7" t="str">
        <f t="shared" si="3"/>
        <v>Nov-2024</v>
      </c>
      <c r="K506" s="9">
        <f t="shared" si="4"/>
        <v>45597</v>
      </c>
      <c r="L506" s="7" t="str">
        <f t="shared" si="5"/>
        <v/>
      </c>
      <c r="M506" s="7" t="str">
        <f>IFERROR(__xludf.DUMMYFUNCTION("IFERROR(
  IF(
    F506 &gt;
    3*AVERAGE(
       FILTER($F$2:$F10491,
         $G$2:$G10491=G506,
         $A$2:$A10491&gt;=A506-20,
         $A$2:$A10491&lt;=A506
       )
    ),
    ""VOL_SPIKE_3X"",""""
  ),
"""")
"),"")</f>
        <v/>
      </c>
      <c r="N506" s="7" t="str">
        <f t="shared" si="6"/>
        <v/>
      </c>
      <c r="O506" s="7" t="str">
        <f t="shared" si="7"/>
        <v/>
      </c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>
        <f>IFERROR(__xludf.DUMMYFUNCTION("""COMPUTED_VALUE"""),45625.0)</f>
        <v>45625</v>
      </c>
      <c r="B507" s="6">
        <f>IFERROR(__xludf.DUMMYFUNCTION("""COMPUTED_VALUE"""),137.0)</f>
        <v>137</v>
      </c>
      <c r="C507" s="6">
        <f>IFERROR(__xludf.DUMMYFUNCTION("""COMPUTED_VALUE"""),139.26)</f>
        <v>139.26</v>
      </c>
      <c r="D507" s="6">
        <f>IFERROR(__xludf.DUMMYFUNCTION("""COMPUTED_VALUE"""),136.87)</f>
        <v>136.87</v>
      </c>
      <c r="E507" s="6">
        <f>IFERROR(__xludf.DUMMYFUNCTION("""COMPUTED_VALUE"""),138.63)</f>
        <v>138.63</v>
      </c>
      <c r="F507" s="7">
        <f>IFERROR(__xludf.DUMMYFUNCTION("""COMPUTED_VALUE"""),1.4012364E7)</f>
        <v>14012364</v>
      </c>
      <c r="G507" s="7" t="str">
        <f>IFERROR(__xludf.DUMMYFUNCTION("""COMPUTED_VALUE"""),"IOC.NS")</f>
        <v>IOC.NS</v>
      </c>
      <c r="H507" s="8">
        <f t="shared" si="1"/>
        <v>0.01189781022</v>
      </c>
      <c r="I507" s="8">
        <f t="shared" si="2"/>
        <v>0.01189781022</v>
      </c>
      <c r="J507" s="7" t="str">
        <f t="shared" si="3"/>
        <v>Nov-2024</v>
      </c>
      <c r="K507" s="9">
        <f t="shared" si="4"/>
        <v>45597</v>
      </c>
      <c r="L507" s="7" t="str">
        <f t="shared" si="5"/>
        <v/>
      </c>
      <c r="M507" s="7" t="str">
        <f>IFERROR(__xludf.DUMMYFUNCTION("IFERROR(
  IF(
    F507 &gt;
    3*AVERAGE(
       FILTER($F$2:$F10491,
         $G$2:$G10491=G507,
         $A$2:$A10491&gt;=A507-20,
         $A$2:$A10491&lt;=A507
       )
    ),
    ""VOL_SPIKE_3X"",""""
  ),
"""")
"),"")</f>
        <v/>
      </c>
      <c r="N507" s="7" t="str">
        <f t="shared" si="6"/>
        <v/>
      </c>
      <c r="O507" s="7" t="str">
        <f t="shared" si="7"/>
        <v/>
      </c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>
        <f>IFERROR(__xludf.DUMMYFUNCTION("""COMPUTED_VALUE"""),45625.0)</f>
        <v>45625</v>
      </c>
      <c r="B508" s="6">
        <f>IFERROR(__xludf.DUMMYFUNCTION("""COMPUTED_VALUE"""),363.25)</f>
        <v>363.25</v>
      </c>
      <c r="C508" s="6">
        <f>IFERROR(__xludf.DUMMYFUNCTION("""COMPUTED_VALUE"""),365.4)</f>
        <v>365.4</v>
      </c>
      <c r="D508" s="6">
        <f>IFERROR(__xludf.DUMMYFUNCTION("""COMPUTED_VALUE"""),360.2)</f>
        <v>360.2</v>
      </c>
      <c r="E508" s="6">
        <f>IFERROR(__xludf.DUMMYFUNCTION("""COMPUTED_VALUE"""),363.65)</f>
        <v>363.65</v>
      </c>
      <c r="F508" s="7">
        <f>IFERROR(__xludf.DUMMYFUNCTION("""COMPUTED_VALUE"""),1.4280017E7)</f>
        <v>14280017</v>
      </c>
      <c r="G508" s="7" t="str">
        <f>IFERROR(__xludf.DUMMYFUNCTION("""COMPUTED_VALUE"""),"NTPC.NS")</f>
        <v>NTPC.NS</v>
      </c>
      <c r="H508" s="8">
        <f t="shared" si="1"/>
        <v>0.001101169993</v>
      </c>
      <c r="I508" s="8">
        <f t="shared" si="2"/>
        <v>0.001101169993</v>
      </c>
      <c r="J508" s="7" t="str">
        <f t="shared" si="3"/>
        <v>Nov-2024</v>
      </c>
      <c r="K508" s="9">
        <f t="shared" si="4"/>
        <v>45597</v>
      </c>
      <c r="L508" s="7" t="str">
        <f t="shared" si="5"/>
        <v/>
      </c>
      <c r="M508" s="7" t="str">
        <f>IFERROR(__xludf.DUMMYFUNCTION("IFERROR(
  IF(
    F508 &gt;
    3*AVERAGE(
       FILTER($F$2:$F10491,
         $G$2:$G10491=G508,
         $A$2:$A10491&gt;=A508-20,
         $A$2:$A10491&lt;=A508
       )
    ),
    ""VOL_SPIKE_3X"",""""
  ),
"""")
"),"")</f>
        <v/>
      </c>
      <c r="N508" s="7" t="str">
        <f t="shared" si="6"/>
        <v/>
      </c>
      <c r="O508" s="7" t="str">
        <f t="shared" si="7"/>
        <v/>
      </c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>
        <f>IFERROR(__xludf.DUMMYFUNCTION("""COMPUTED_VALUE"""),45625.0)</f>
        <v>45625</v>
      </c>
      <c r="B509" s="6">
        <f>IFERROR(__xludf.DUMMYFUNCTION("""COMPUTED_VALUE"""),253.8)</f>
        <v>253.8</v>
      </c>
      <c r="C509" s="6">
        <f>IFERROR(__xludf.DUMMYFUNCTION("""COMPUTED_VALUE"""),258.65)</f>
        <v>258.65</v>
      </c>
      <c r="D509" s="6">
        <f>IFERROR(__xludf.DUMMYFUNCTION("""COMPUTED_VALUE"""),252.25)</f>
        <v>252.25</v>
      </c>
      <c r="E509" s="6">
        <f>IFERROR(__xludf.DUMMYFUNCTION("""COMPUTED_VALUE"""),256.7)</f>
        <v>256.7</v>
      </c>
      <c r="F509" s="7">
        <f>IFERROR(__xludf.DUMMYFUNCTION("""COMPUTED_VALUE"""),1.1476347E7)</f>
        <v>11476347</v>
      </c>
      <c r="G509" s="7" t="str">
        <f>IFERROR(__xludf.DUMMYFUNCTION("""COMPUTED_VALUE"""),"ONGC.NS")</f>
        <v>ONGC.NS</v>
      </c>
      <c r="H509" s="8">
        <f t="shared" si="1"/>
        <v>0.01142631994</v>
      </c>
      <c r="I509" s="8">
        <f t="shared" si="2"/>
        <v>0.01142631994</v>
      </c>
      <c r="J509" s="7" t="str">
        <f t="shared" si="3"/>
        <v>Nov-2024</v>
      </c>
      <c r="K509" s="9">
        <f t="shared" si="4"/>
        <v>45597</v>
      </c>
      <c r="L509" s="7" t="str">
        <f t="shared" si="5"/>
        <v/>
      </c>
      <c r="M509" s="7" t="str">
        <f>IFERROR(__xludf.DUMMYFUNCTION("IFERROR(
  IF(
    F509 &gt;
    3*AVERAGE(
       FILTER($F$2:$F10491,
         $G$2:$G10491=G509,
         $A$2:$A10491&gt;=A509-20,
         $A$2:$A10491&lt;=A509
       )
    ),
    ""VOL_SPIKE_3X"",""""
  ),
"""")
"),"")</f>
        <v/>
      </c>
      <c r="N509" s="7" t="str">
        <f t="shared" si="6"/>
        <v/>
      </c>
      <c r="O509" s="7" t="str">
        <f t="shared" si="7"/>
        <v/>
      </c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>
        <f>IFERROR(__xludf.DUMMYFUNCTION("""COMPUTED_VALUE"""),45625.0)</f>
        <v>45625</v>
      </c>
      <c r="B510" s="6">
        <f>IFERROR(__xludf.DUMMYFUNCTION("""COMPUTED_VALUE"""),331.35)</f>
        <v>331.35</v>
      </c>
      <c r="C510" s="6">
        <f>IFERROR(__xludf.DUMMYFUNCTION("""COMPUTED_VALUE"""),332.5)</f>
        <v>332.5</v>
      </c>
      <c r="D510" s="6">
        <f>IFERROR(__xludf.DUMMYFUNCTION("""COMPUTED_VALUE"""),326.5)</f>
        <v>326.5</v>
      </c>
      <c r="E510" s="6">
        <f>IFERROR(__xludf.DUMMYFUNCTION("""COMPUTED_VALUE"""),329.4)</f>
        <v>329.4</v>
      </c>
      <c r="F510" s="7">
        <f>IFERROR(__xludf.DUMMYFUNCTION("""COMPUTED_VALUE"""),1.3890537E7)</f>
        <v>13890537</v>
      </c>
      <c r="G510" s="7" t="str">
        <f>IFERROR(__xludf.DUMMYFUNCTION("""COMPUTED_VALUE"""),"POWERGRID.NS")</f>
        <v>POWERGRID.NS</v>
      </c>
      <c r="H510" s="8">
        <f t="shared" si="1"/>
        <v>-0.005885015844</v>
      </c>
      <c r="I510" s="8">
        <f t="shared" si="2"/>
        <v>0.005885015844</v>
      </c>
      <c r="J510" s="7" t="str">
        <f t="shared" si="3"/>
        <v>Nov-2024</v>
      </c>
      <c r="K510" s="9">
        <f t="shared" si="4"/>
        <v>45597</v>
      </c>
      <c r="L510" s="7" t="str">
        <f t="shared" si="5"/>
        <v/>
      </c>
      <c r="M510" s="7" t="str">
        <f>IFERROR(__xludf.DUMMYFUNCTION("IFERROR(
  IF(
    F510 &gt;
    3*AVERAGE(
       FILTER($F$2:$F10491,
         $G$2:$G10491=G510,
         $A$2:$A10491&gt;=A510-20,
         $A$2:$A10491&lt;=A510
       )
    ),
    ""VOL_SPIKE_3X"",""""
  ),
"""")
"),"")</f>
        <v/>
      </c>
      <c r="N510" s="7" t="str">
        <f t="shared" si="6"/>
        <v/>
      </c>
      <c r="O510" s="7" t="str">
        <f t="shared" si="7"/>
        <v/>
      </c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>
        <f>IFERROR(__xludf.DUMMYFUNCTION("""COMPUTED_VALUE"""),45625.0)</f>
        <v>45625</v>
      </c>
      <c r="B511" s="6">
        <f>IFERROR(__xludf.DUMMYFUNCTION("""COMPUTED_VALUE"""),1280.0)</f>
        <v>1280</v>
      </c>
      <c r="C511" s="6">
        <f>IFERROR(__xludf.DUMMYFUNCTION("""COMPUTED_VALUE"""),1299.5)</f>
        <v>1299.5</v>
      </c>
      <c r="D511" s="6">
        <f>IFERROR(__xludf.DUMMYFUNCTION("""COMPUTED_VALUE"""),1275.25)</f>
        <v>1275.25</v>
      </c>
      <c r="E511" s="6">
        <f>IFERROR(__xludf.DUMMYFUNCTION("""COMPUTED_VALUE"""),1292.2)</f>
        <v>1292.2</v>
      </c>
      <c r="F511" s="7">
        <f>IFERROR(__xludf.DUMMYFUNCTION("""COMPUTED_VALUE"""),1.3202307E7)</f>
        <v>13202307</v>
      </c>
      <c r="G511" s="7" t="str">
        <f>IFERROR(__xludf.DUMMYFUNCTION("""COMPUTED_VALUE"""),"RELIANCE.NS")</f>
        <v>RELIANCE.NS</v>
      </c>
      <c r="H511" s="8">
        <f t="shared" si="1"/>
        <v>0.00953125</v>
      </c>
      <c r="I511" s="8">
        <f t="shared" si="2"/>
        <v>0.00953125</v>
      </c>
      <c r="J511" s="7" t="str">
        <f t="shared" si="3"/>
        <v>Nov-2024</v>
      </c>
      <c r="K511" s="9">
        <f t="shared" si="4"/>
        <v>45597</v>
      </c>
      <c r="L511" s="7" t="str">
        <f t="shared" si="5"/>
        <v/>
      </c>
      <c r="M511" s="7" t="str">
        <f>IFERROR(__xludf.DUMMYFUNCTION("IFERROR(
  IF(
    F511 &gt;
    3*AVERAGE(
       FILTER($F$2:$F10491,
         $G$2:$G10491=G511,
         $A$2:$A10491&gt;=A511-20,
         $A$2:$A10491&lt;=A511
       )
    ),
    ""VOL_SPIKE_3X"",""""
  ),
"""")
"),"")</f>
        <v/>
      </c>
      <c r="N511" s="7" t="str">
        <f t="shared" si="6"/>
        <v/>
      </c>
      <c r="O511" s="7" t="str">
        <f t="shared" si="7"/>
        <v/>
      </c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>
        <f>IFERROR(__xludf.DUMMYFUNCTION("""COMPUTED_VALUE"""),45628.0)</f>
        <v>45628</v>
      </c>
      <c r="B512" s="6">
        <f>IFERROR(__xludf.DUMMYFUNCTION("""COMPUTED_VALUE"""),844.9)</f>
        <v>844.9</v>
      </c>
      <c r="C512" s="6">
        <f>IFERROR(__xludf.DUMMYFUNCTION("""COMPUTED_VALUE"""),855.85)</f>
        <v>855.85</v>
      </c>
      <c r="D512" s="6">
        <f>IFERROR(__xludf.DUMMYFUNCTION("""COMPUTED_VALUE"""),802.5)</f>
        <v>802.5</v>
      </c>
      <c r="E512" s="6">
        <f>IFERROR(__xludf.DUMMYFUNCTION("""COMPUTED_VALUE"""),807.0)</f>
        <v>807</v>
      </c>
      <c r="F512" s="7">
        <f>IFERROR(__xludf.DUMMYFUNCTION("""COMPUTED_VALUE"""),8433923.0)</f>
        <v>8433923</v>
      </c>
      <c r="G512" s="7" t="str">
        <f>IFERROR(__xludf.DUMMYFUNCTION("""COMPUTED_VALUE"""),"ADANIENSOL.NS")</f>
        <v>ADANIENSOL.NS</v>
      </c>
      <c r="H512" s="8">
        <f t="shared" si="1"/>
        <v>-0.04485737957</v>
      </c>
      <c r="I512" s="8">
        <f t="shared" si="2"/>
        <v>0.04485737957</v>
      </c>
      <c r="J512" s="7" t="str">
        <f t="shared" si="3"/>
        <v>Dec-2024</v>
      </c>
      <c r="K512" s="9">
        <f t="shared" si="4"/>
        <v>45627</v>
      </c>
      <c r="L512" s="7" t="str">
        <f t="shared" si="5"/>
        <v/>
      </c>
      <c r="M512" s="7" t="str">
        <f>IFERROR(__xludf.DUMMYFUNCTION("IFERROR(
  IF(
    F512 &gt;
    3*AVERAGE(
       FILTER($F$2:$F10491,
         $G$2:$G10491=G512,
         $A$2:$A10491&gt;=A512-20,
         $A$2:$A10491&lt;=A512
       )
    ),
    ""VOL_SPIKE_3X"",""""
  ),
"""")
"),"")</f>
        <v/>
      </c>
      <c r="N512" s="7" t="str">
        <f t="shared" si="6"/>
        <v/>
      </c>
      <c r="O512" s="7" t="str">
        <f t="shared" si="7"/>
        <v/>
      </c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>
        <f>IFERROR(__xludf.DUMMYFUNCTION("""COMPUTED_VALUE"""),45628.0)</f>
        <v>45628</v>
      </c>
      <c r="B513" s="6">
        <f>IFERROR(__xludf.DUMMYFUNCTION("""COMPUTED_VALUE"""),1360.55)</f>
        <v>1360.55</v>
      </c>
      <c r="C513" s="6">
        <f>IFERROR(__xludf.DUMMYFUNCTION("""COMPUTED_VALUE"""),1447.7)</f>
        <v>1447.7</v>
      </c>
      <c r="D513" s="6">
        <f>IFERROR(__xludf.DUMMYFUNCTION("""COMPUTED_VALUE"""),1301.9)</f>
        <v>1301.9</v>
      </c>
      <c r="E513" s="6">
        <f>IFERROR(__xludf.DUMMYFUNCTION("""COMPUTED_VALUE"""),1327.95)</f>
        <v>1327.95</v>
      </c>
      <c r="F513" s="7">
        <f>IFERROR(__xludf.DUMMYFUNCTION("""COMPUTED_VALUE"""),1.9679024E7)</f>
        <v>19679024</v>
      </c>
      <c r="G513" s="7" t="str">
        <f>IFERROR(__xludf.DUMMYFUNCTION("""COMPUTED_VALUE"""),"ADANIGREEN.NS")</f>
        <v>ADANIGREEN.NS</v>
      </c>
      <c r="H513" s="8">
        <f t="shared" si="1"/>
        <v>-0.02396089817</v>
      </c>
      <c r="I513" s="8">
        <f t="shared" si="2"/>
        <v>0.02396089817</v>
      </c>
      <c r="J513" s="7" t="str">
        <f t="shared" si="3"/>
        <v>Dec-2024</v>
      </c>
      <c r="K513" s="9">
        <f t="shared" si="4"/>
        <v>45627</v>
      </c>
      <c r="L513" s="7" t="str">
        <f t="shared" si="5"/>
        <v/>
      </c>
      <c r="M513" s="7" t="str">
        <f>IFERROR(__xludf.DUMMYFUNCTION("IFERROR(
  IF(
    F513 &gt;
    3*AVERAGE(
       FILTER($F$2:$F10491,
         $G$2:$G10491=G513,
         $A$2:$A10491&gt;=A513-20,
         $A$2:$A10491&lt;=A513
       )
    ),
    ""VOL_SPIKE_3X"",""""
  ),
"""")
"),"")</f>
        <v/>
      </c>
      <c r="N513" s="7" t="str">
        <f t="shared" si="6"/>
        <v/>
      </c>
      <c r="O513" s="7" t="str">
        <f t="shared" si="7"/>
        <v/>
      </c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>
        <f>IFERROR(__xludf.DUMMYFUNCTION("""COMPUTED_VALUE"""),45628.0)</f>
        <v>45628</v>
      </c>
      <c r="B514" s="6">
        <f>IFERROR(__xludf.DUMMYFUNCTION("""COMPUTED_VALUE"""),292.65)</f>
        <v>292.65</v>
      </c>
      <c r="C514" s="6">
        <f>IFERROR(__xludf.DUMMYFUNCTION("""COMPUTED_VALUE"""),295.9)</f>
        <v>295.9</v>
      </c>
      <c r="D514" s="6">
        <f>IFERROR(__xludf.DUMMYFUNCTION("""COMPUTED_VALUE"""),290.5)</f>
        <v>290.5</v>
      </c>
      <c r="E514" s="6">
        <f>IFERROR(__xludf.DUMMYFUNCTION("""COMPUTED_VALUE"""),294.15)</f>
        <v>294.15</v>
      </c>
      <c r="F514" s="7">
        <f>IFERROR(__xludf.DUMMYFUNCTION("""COMPUTED_VALUE"""),5193026.0)</f>
        <v>5193026</v>
      </c>
      <c r="G514" s="7" t="str">
        <f>IFERROR(__xludf.DUMMYFUNCTION("""COMPUTED_VALUE"""),"BPCL.NS")</f>
        <v>BPCL.NS</v>
      </c>
      <c r="H514" s="8">
        <f t="shared" si="1"/>
        <v>0.005125576627</v>
      </c>
      <c r="I514" s="8">
        <f t="shared" si="2"/>
        <v>0.005125576627</v>
      </c>
      <c r="J514" s="7" t="str">
        <f t="shared" si="3"/>
        <v>Dec-2024</v>
      </c>
      <c r="K514" s="9">
        <f t="shared" si="4"/>
        <v>45627</v>
      </c>
      <c r="L514" s="7" t="str">
        <f t="shared" si="5"/>
        <v/>
      </c>
      <c r="M514" s="7" t="str">
        <f>IFERROR(__xludf.DUMMYFUNCTION("IFERROR(
  IF(
    F514 &gt;
    3*AVERAGE(
       FILTER($F$2:$F10491,
         $G$2:$G10491=G514,
         $A$2:$A10491&gt;=A514-20,
         $A$2:$A10491&lt;=A514
       )
    ),
    ""VOL_SPIKE_3X"",""""
  ),
"""")
"),"")</f>
        <v/>
      </c>
      <c r="N514" s="7" t="str">
        <f t="shared" si="6"/>
        <v/>
      </c>
      <c r="O514" s="7" t="str">
        <f t="shared" si="7"/>
        <v/>
      </c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>
        <f>IFERROR(__xludf.DUMMYFUNCTION("""COMPUTED_VALUE"""),45628.0)</f>
        <v>45628</v>
      </c>
      <c r="B515" s="6">
        <f>IFERROR(__xludf.DUMMYFUNCTION("""COMPUTED_VALUE"""),418.4)</f>
        <v>418.4</v>
      </c>
      <c r="C515" s="6">
        <f>IFERROR(__xludf.DUMMYFUNCTION("""COMPUTED_VALUE"""),423.4)</f>
        <v>423.4</v>
      </c>
      <c r="D515" s="6">
        <f>IFERROR(__xludf.DUMMYFUNCTION("""COMPUTED_VALUE"""),416.8)</f>
        <v>416.8</v>
      </c>
      <c r="E515" s="6">
        <f>IFERROR(__xludf.DUMMYFUNCTION("""COMPUTED_VALUE"""),421.7)</f>
        <v>421.7</v>
      </c>
      <c r="F515" s="7">
        <f>IFERROR(__xludf.DUMMYFUNCTION("""COMPUTED_VALUE"""),6404844.0)</f>
        <v>6404844</v>
      </c>
      <c r="G515" s="7" t="str">
        <f>IFERROR(__xludf.DUMMYFUNCTION("""COMPUTED_VALUE"""),"COALINDIA.NS")</f>
        <v>COALINDIA.NS</v>
      </c>
      <c r="H515" s="8">
        <f t="shared" si="1"/>
        <v>0.007887189293</v>
      </c>
      <c r="I515" s="8">
        <f t="shared" si="2"/>
        <v>0.007887189293</v>
      </c>
      <c r="J515" s="7" t="str">
        <f t="shared" si="3"/>
        <v>Dec-2024</v>
      </c>
      <c r="K515" s="9">
        <f t="shared" si="4"/>
        <v>45627</v>
      </c>
      <c r="L515" s="7" t="str">
        <f t="shared" si="5"/>
        <v/>
      </c>
      <c r="M515" s="7" t="str">
        <f>IFERROR(__xludf.DUMMYFUNCTION("IFERROR(
  IF(
    F515 &gt;
    3*AVERAGE(
       FILTER($F$2:$F10491,
         $G$2:$G10491=G515,
         $A$2:$A10491&gt;=A515-20,
         $A$2:$A10491&lt;=A515
       )
    ),
    ""VOL_SPIKE_3X"",""""
  ),
"""")
"),"")</f>
        <v/>
      </c>
      <c r="N515" s="7" t="str">
        <f t="shared" si="6"/>
        <v/>
      </c>
      <c r="O515" s="7" t="str">
        <f t="shared" si="7"/>
        <v/>
      </c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>
        <f>IFERROR(__xludf.DUMMYFUNCTION("""COMPUTED_VALUE"""),45628.0)</f>
        <v>45628</v>
      </c>
      <c r="B516" s="6">
        <f>IFERROR(__xludf.DUMMYFUNCTION("""COMPUTED_VALUE"""),383.1)</f>
        <v>383.1</v>
      </c>
      <c r="C516" s="6">
        <f>IFERROR(__xludf.DUMMYFUNCTION("""COMPUTED_VALUE"""),384.0)</f>
        <v>384</v>
      </c>
      <c r="D516" s="6">
        <f>IFERROR(__xludf.DUMMYFUNCTION("""COMPUTED_VALUE"""),379.2)</f>
        <v>379.2</v>
      </c>
      <c r="E516" s="6">
        <f>IFERROR(__xludf.DUMMYFUNCTION("""COMPUTED_VALUE"""),380.95)</f>
        <v>380.95</v>
      </c>
      <c r="F516" s="7">
        <f>IFERROR(__xludf.DUMMYFUNCTION("""COMPUTED_VALUE"""),2355565.0)</f>
        <v>2355565</v>
      </c>
      <c r="G516" s="7" t="str">
        <f>IFERROR(__xludf.DUMMYFUNCTION("""COMPUTED_VALUE"""),"HINDPETRO.NS")</f>
        <v>HINDPETRO.NS</v>
      </c>
      <c r="H516" s="8">
        <f t="shared" si="1"/>
        <v>-0.00561211172</v>
      </c>
      <c r="I516" s="8">
        <f t="shared" si="2"/>
        <v>0.00561211172</v>
      </c>
      <c r="J516" s="7" t="str">
        <f t="shared" si="3"/>
        <v>Dec-2024</v>
      </c>
      <c r="K516" s="9">
        <f t="shared" si="4"/>
        <v>45627</v>
      </c>
      <c r="L516" s="7" t="str">
        <f t="shared" si="5"/>
        <v/>
      </c>
      <c r="M516" s="7" t="str">
        <f>IFERROR(__xludf.DUMMYFUNCTION("IFERROR(
  IF(
    F516 &gt;
    3*AVERAGE(
       FILTER($F$2:$F10491,
         $G$2:$G10491=G516,
         $A$2:$A10491&gt;=A516-20,
         $A$2:$A10491&lt;=A516
       )
    ),
    ""VOL_SPIKE_3X"",""""
  ),
"""")
"),"")</f>
        <v/>
      </c>
      <c r="N516" s="7" t="str">
        <f t="shared" si="6"/>
        <v/>
      </c>
      <c r="O516" s="7" t="str">
        <f t="shared" si="7"/>
        <v/>
      </c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>
        <f>IFERROR(__xludf.DUMMYFUNCTION("""COMPUTED_VALUE"""),45628.0)</f>
        <v>45628</v>
      </c>
      <c r="B517" s="6">
        <f>IFERROR(__xludf.DUMMYFUNCTION("""COMPUTED_VALUE"""),138.22)</f>
        <v>138.22</v>
      </c>
      <c r="C517" s="6">
        <f>IFERROR(__xludf.DUMMYFUNCTION("""COMPUTED_VALUE"""),138.65)</f>
        <v>138.65</v>
      </c>
      <c r="D517" s="6">
        <f>IFERROR(__xludf.DUMMYFUNCTION("""COMPUTED_VALUE"""),136.88)</f>
        <v>136.88</v>
      </c>
      <c r="E517" s="6">
        <f>IFERROR(__xludf.DUMMYFUNCTION("""COMPUTED_VALUE"""),137.65)</f>
        <v>137.65</v>
      </c>
      <c r="F517" s="7">
        <f>IFERROR(__xludf.DUMMYFUNCTION("""COMPUTED_VALUE"""),1.6069119E7)</f>
        <v>16069119</v>
      </c>
      <c r="G517" s="7" t="str">
        <f>IFERROR(__xludf.DUMMYFUNCTION("""COMPUTED_VALUE"""),"IOC.NS")</f>
        <v>IOC.NS</v>
      </c>
      <c r="H517" s="8">
        <f t="shared" si="1"/>
        <v>-0.004123860512</v>
      </c>
      <c r="I517" s="8">
        <f t="shared" si="2"/>
        <v>0.004123860512</v>
      </c>
      <c r="J517" s="7" t="str">
        <f t="shared" si="3"/>
        <v>Dec-2024</v>
      </c>
      <c r="K517" s="9">
        <f t="shared" si="4"/>
        <v>45627</v>
      </c>
      <c r="L517" s="7" t="str">
        <f t="shared" si="5"/>
        <v/>
      </c>
      <c r="M517" s="7" t="str">
        <f>IFERROR(__xludf.DUMMYFUNCTION("IFERROR(
  IF(
    F517 &gt;
    3*AVERAGE(
       FILTER($F$2:$F10491,
         $G$2:$G10491=G517,
         $A$2:$A10491&gt;=A517-20,
         $A$2:$A10491&lt;=A517
       )
    ),
    ""VOL_SPIKE_3X"",""""
  ),
"""")
"),"")</f>
        <v/>
      </c>
      <c r="N517" s="7" t="str">
        <f t="shared" si="6"/>
        <v/>
      </c>
      <c r="O517" s="7" t="str">
        <f t="shared" si="7"/>
        <v/>
      </c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>
        <f>IFERROR(__xludf.DUMMYFUNCTION("""COMPUTED_VALUE"""),45628.0)</f>
        <v>45628</v>
      </c>
      <c r="B518" s="6">
        <f>IFERROR(__xludf.DUMMYFUNCTION("""COMPUTED_VALUE"""),363.65)</f>
        <v>363.65</v>
      </c>
      <c r="C518" s="6">
        <f>IFERROR(__xludf.DUMMYFUNCTION("""COMPUTED_VALUE"""),363.9)</f>
        <v>363.9</v>
      </c>
      <c r="D518" s="6">
        <f>IFERROR(__xludf.DUMMYFUNCTION("""COMPUTED_VALUE"""),357.0)</f>
        <v>357</v>
      </c>
      <c r="E518" s="6">
        <f>IFERROR(__xludf.DUMMYFUNCTION("""COMPUTED_VALUE"""),358.2)</f>
        <v>358.2</v>
      </c>
      <c r="F518" s="7">
        <f>IFERROR(__xludf.DUMMYFUNCTION("""COMPUTED_VALUE"""),1.251035E7)</f>
        <v>12510350</v>
      </c>
      <c r="G518" s="7" t="str">
        <f>IFERROR(__xludf.DUMMYFUNCTION("""COMPUTED_VALUE"""),"NTPC.NS")</f>
        <v>NTPC.NS</v>
      </c>
      <c r="H518" s="8">
        <f t="shared" si="1"/>
        <v>-0.01498693799</v>
      </c>
      <c r="I518" s="8">
        <f t="shared" si="2"/>
        <v>0.01498693799</v>
      </c>
      <c r="J518" s="7" t="str">
        <f t="shared" si="3"/>
        <v>Dec-2024</v>
      </c>
      <c r="K518" s="9">
        <f t="shared" si="4"/>
        <v>45627</v>
      </c>
      <c r="L518" s="7" t="str">
        <f t="shared" si="5"/>
        <v/>
      </c>
      <c r="M518" s="7" t="str">
        <f>IFERROR(__xludf.DUMMYFUNCTION("IFERROR(
  IF(
    F518 &gt;
    3*AVERAGE(
       FILTER($F$2:$F10491,
         $G$2:$G10491=G518,
         $A$2:$A10491&gt;=A518-20,
         $A$2:$A10491&lt;=A518
       )
    ),
    ""VOL_SPIKE_3X"",""""
  ),
"""")
"),"")</f>
        <v/>
      </c>
      <c r="N518" s="7" t="str">
        <f t="shared" si="6"/>
        <v/>
      </c>
      <c r="O518" s="7" t="str">
        <f t="shared" si="7"/>
        <v/>
      </c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>
        <f>IFERROR(__xludf.DUMMYFUNCTION("""COMPUTED_VALUE"""),45628.0)</f>
        <v>45628</v>
      </c>
      <c r="B519" s="6">
        <f>IFERROR(__xludf.DUMMYFUNCTION("""COMPUTED_VALUE"""),255.5)</f>
        <v>255.5</v>
      </c>
      <c r="C519" s="6">
        <f>IFERROR(__xludf.DUMMYFUNCTION("""COMPUTED_VALUE"""),258.3)</f>
        <v>258.3</v>
      </c>
      <c r="D519" s="6">
        <f>IFERROR(__xludf.DUMMYFUNCTION("""COMPUTED_VALUE"""),252.7)</f>
        <v>252.7</v>
      </c>
      <c r="E519" s="6">
        <f>IFERROR(__xludf.DUMMYFUNCTION("""COMPUTED_VALUE"""),257.55)</f>
        <v>257.55</v>
      </c>
      <c r="F519" s="7">
        <f>IFERROR(__xludf.DUMMYFUNCTION("""COMPUTED_VALUE"""),1.3677959E7)</f>
        <v>13677959</v>
      </c>
      <c r="G519" s="7" t="str">
        <f>IFERROR(__xludf.DUMMYFUNCTION("""COMPUTED_VALUE"""),"ONGC.NS")</f>
        <v>ONGC.NS</v>
      </c>
      <c r="H519" s="8">
        <f t="shared" si="1"/>
        <v>0.008023483366</v>
      </c>
      <c r="I519" s="8">
        <f t="shared" si="2"/>
        <v>0.008023483366</v>
      </c>
      <c r="J519" s="7" t="str">
        <f t="shared" si="3"/>
        <v>Dec-2024</v>
      </c>
      <c r="K519" s="9">
        <f t="shared" si="4"/>
        <v>45627</v>
      </c>
      <c r="L519" s="7" t="str">
        <f t="shared" si="5"/>
        <v/>
      </c>
      <c r="M519" s="7" t="str">
        <f>IFERROR(__xludf.DUMMYFUNCTION("IFERROR(
  IF(
    F519 &gt;
    3*AVERAGE(
       FILTER($F$2:$F10491,
         $G$2:$G10491=G519,
         $A$2:$A10491&gt;=A519-20,
         $A$2:$A10491&lt;=A519
       )
    ),
    ""VOL_SPIKE_3X"",""""
  ),
"""")
"),"")</f>
        <v/>
      </c>
      <c r="N519" s="7" t="str">
        <f t="shared" si="6"/>
        <v/>
      </c>
      <c r="O519" s="7" t="str">
        <f t="shared" si="7"/>
        <v/>
      </c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>
        <f>IFERROR(__xludf.DUMMYFUNCTION("""COMPUTED_VALUE"""),45628.0)</f>
        <v>45628</v>
      </c>
      <c r="B520" s="6">
        <f>IFERROR(__xludf.DUMMYFUNCTION("""COMPUTED_VALUE"""),328.15)</f>
        <v>328.15</v>
      </c>
      <c r="C520" s="6">
        <f>IFERROR(__xludf.DUMMYFUNCTION("""COMPUTED_VALUE"""),331.95)</f>
        <v>331.95</v>
      </c>
      <c r="D520" s="6">
        <f>IFERROR(__xludf.DUMMYFUNCTION("""COMPUTED_VALUE"""),326.2)</f>
        <v>326.2</v>
      </c>
      <c r="E520" s="6">
        <f>IFERROR(__xludf.DUMMYFUNCTION("""COMPUTED_VALUE"""),327.85)</f>
        <v>327.85</v>
      </c>
      <c r="F520" s="7">
        <f>IFERROR(__xludf.DUMMYFUNCTION("""COMPUTED_VALUE"""),1.6003524E7)</f>
        <v>16003524</v>
      </c>
      <c r="G520" s="7" t="str">
        <f>IFERROR(__xludf.DUMMYFUNCTION("""COMPUTED_VALUE"""),"POWERGRID.NS")</f>
        <v>POWERGRID.NS</v>
      </c>
      <c r="H520" s="8">
        <f t="shared" si="1"/>
        <v>-0.0009142160597</v>
      </c>
      <c r="I520" s="8">
        <f t="shared" si="2"/>
        <v>0.0009142160597</v>
      </c>
      <c r="J520" s="7" t="str">
        <f t="shared" si="3"/>
        <v>Dec-2024</v>
      </c>
      <c r="K520" s="9">
        <f t="shared" si="4"/>
        <v>45627</v>
      </c>
      <c r="L520" s="7" t="str">
        <f t="shared" si="5"/>
        <v/>
      </c>
      <c r="M520" s="7" t="str">
        <f>IFERROR(__xludf.DUMMYFUNCTION("IFERROR(
  IF(
    F520 &gt;
    3*AVERAGE(
       FILTER($F$2:$F10491,
         $G$2:$G10491=G520,
         $A$2:$A10491&gt;=A520-20,
         $A$2:$A10491&lt;=A520
       )
    ),
    ""VOL_SPIKE_3X"",""""
  ),
"""")
"),"")</f>
        <v/>
      </c>
      <c r="N520" s="7" t="str">
        <f t="shared" si="6"/>
        <v/>
      </c>
      <c r="O520" s="7" t="str">
        <f t="shared" si="7"/>
        <v/>
      </c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>
        <f>IFERROR(__xludf.DUMMYFUNCTION("""COMPUTED_VALUE"""),45628.0)</f>
        <v>45628</v>
      </c>
      <c r="B521" s="6">
        <f>IFERROR(__xludf.DUMMYFUNCTION("""COMPUTED_VALUE"""),1288.0)</f>
        <v>1288</v>
      </c>
      <c r="C521" s="6">
        <f>IFERROR(__xludf.DUMMYFUNCTION("""COMPUTED_VALUE"""),1311.35)</f>
        <v>1311.35</v>
      </c>
      <c r="D521" s="6">
        <f>IFERROR(__xludf.DUMMYFUNCTION("""COMPUTED_VALUE"""),1277.05)</f>
        <v>1277.05</v>
      </c>
      <c r="E521" s="6">
        <f>IFERROR(__xludf.DUMMYFUNCTION("""COMPUTED_VALUE"""),1309.15)</f>
        <v>1309.15</v>
      </c>
      <c r="F521" s="7">
        <f>IFERROR(__xludf.DUMMYFUNCTION("""COMPUTED_VALUE"""),1.1024152E7)</f>
        <v>11024152</v>
      </c>
      <c r="G521" s="7" t="str">
        <f>IFERROR(__xludf.DUMMYFUNCTION("""COMPUTED_VALUE"""),"RELIANCE.NS")</f>
        <v>RELIANCE.NS</v>
      </c>
      <c r="H521" s="8">
        <f t="shared" si="1"/>
        <v>0.01642080745</v>
      </c>
      <c r="I521" s="8">
        <f t="shared" si="2"/>
        <v>0.01642080745</v>
      </c>
      <c r="J521" s="7" t="str">
        <f t="shared" si="3"/>
        <v>Dec-2024</v>
      </c>
      <c r="K521" s="9">
        <f t="shared" si="4"/>
        <v>45627</v>
      </c>
      <c r="L521" s="7" t="str">
        <f t="shared" si="5"/>
        <v/>
      </c>
      <c r="M521" s="7" t="str">
        <f>IFERROR(__xludf.DUMMYFUNCTION("IFERROR(
  IF(
    F521 &gt;
    3*AVERAGE(
       FILTER($F$2:$F10491,
         $G$2:$G10491=G521,
         $A$2:$A10491&gt;=A521-20,
         $A$2:$A10491&lt;=A521
       )
    ),
    ""VOL_SPIKE_3X"",""""
  ),
"""")
"),"")</f>
        <v/>
      </c>
      <c r="N521" s="7" t="str">
        <f t="shared" si="6"/>
        <v/>
      </c>
      <c r="O521" s="7" t="str">
        <f t="shared" si="7"/>
        <v/>
      </c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>
        <f>IFERROR(__xludf.DUMMYFUNCTION("""COMPUTED_VALUE"""),45629.0)</f>
        <v>45629</v>
      </c>
      <c r="B522" s="6">
        <f>IFERROR(__xludf.DUMMYFUNCTION("""COMPUTED_VALUE"""),807.05)</f>
        <v>807.05</v>
      </c>
      <c r="C522" s="6">
        <f>IFERROR(__xludf.DUMMYFUNCTION("""COMPUTED_VALUE"""),829.0)</f>
        <v>829</v>
      </c>
      <c r="D522" s="6">
        <f>IFERROR(__xludf.DUMMYFUNCTION("""COMPUTED_VALUE"""),798.0)</f>
        <v>798</v>
      </c>
      <c r="E522" s="6">
        <f>IFERROR(__xludf.DUMMYFUNCTION("""COMPUTED_VALUE"""),801.85)</f>
        <v>801.85</v>
      </c>
      <c r="F522" s="7">
        <f>IFERROR(__xludf.DUMMYFUNCTION("""COMPUTED_VALUE"""),4239248.0)</f>
        <v>4239248</v>
      </c>
      <c r="G522" s="7" t="str">
        <f>IFERROR(__xludf.DUMMYFUNCTION("""COMPUTED_VALUE"""),"ADANIENSOL.NS")</f>
        <v>ADANIENSOL.NS</v>
      </c>
      <c r="H522" s="8">
        <f t="shared" si="1"/>
        <v>-0.006443219131</v>
      </c>
      <c r="I522" s="8">
        <f t="shared" si="2"/>
        <v>0.006443219131</v>
      </c>
      <c r="J522" s="7" t="str">
        <f t="shared" si="3"/>
        <v>Dec-2024</v>
      </c>
      <c r="K522" s="9">
        <f t="shared" si="4"/>
        <v>45627</v>
      </c>
      <c r="L522" s="7" t="str">
        <f t="shared" si="5"/>
        <v/>
      </c>
      <c r="M522" s="7" t="str">
        <f>IFERROR(__xludf.DUMMYFUNCTION("IFERROR(
  IF(
    F522 &gt;
    3*AVERAGE(
       FILTER($F$2:$F10491,
         $G$2:$G10491=G522,
         $A$2:$A10491&gt;=A522-20,
         $A$2:$A10491&lt;=A522
       )
    ),
    ""VOL_SPIKE_3X"",""""
  ),
"""")
"),"")</f>
        <v/>
      </c>
      <c r="N522" s="7" t="str">
        <f t="shared" si="6"/>
        <v/>
      </c>
      <c r="O522" s="7" t="str">
        <f t="shared" si="7"/>
        <v/>
      </c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>
        <f>IFERROR(__xludf.DUMMYFUNCTION("""COMPUTED_VALUE"""),45629.0)</f>
        <v>45629</v>
      </c>
      <c r="B523" s="6">
        <f>IFERROR(__xludf.DUMMYFUNCTION("""COMPUTED_VALUE"""),1344.0)</f>
        <v>1344</v>
      </c>
      <c r="C523" s="6">
        <f>IFERROR(__xludf.DUMMYFUNCTION("""COMPUTED_VALUE"""),1365.0)</f>
        <v>1365</v>
      </c>
      <c r="D523" s="6">
        <f>IFERROR(__xludf.DUMMYFUNCTION("""COMPUTED_VALUE"""),1305.0)</f>
        <v>1305</v>
      </c>
      <c r="E523" s="6">
        <f>IFERROR(__xludf.DUMMYFUNCTION("""COMPUTED_VALUE"""),1312.8)</f>
        <v>1312.8</v>
      </c>
      <c r="F523" s="7">
        <f>IFERROR(__xludf.DUMMYFUNCTION("""COMPUTED_VALUE"""),7685780.0)</f>
        <v>7685780</v>
      </c>
      <c r="G523" s="7" t="str">
        <f>IFERROR(__xludf.DUMMYFUNCTION("""COMPUTED_VALUE"""),"ADANIGREEN.NS")</f>
        <v>ADANIGREEN.NS</v>
      </c>
      <c r="H523" s="8">
        <f t="shared" si="1"/>
        <v>-0.02321428571</v>
      </c>
      <c r="I523" s="8">
        <f t="shared" si="2"/>
        <v>0.02321428571</v>
      </c>
      <c r="J523" s="7" t="str">
        <f t="shared" si="3"/>
        <v>Dec-2024</v>
      </c>
      <c r="K523" s="9">
        <f t="shared" si="4"/>
        <v>45627</v>
      </c>
      <c r="L523" s="7" t="str">
        <f t="shared" si="5"/>
        <v/>
      </c>
      <c r="M523" s="7" t="str">
        <f>IFERROR(__xludf.DUMMYFUNCTION("IFERROR(
  IF(
    F523 &gt;
    3*AVERAGE(
       FILTER($F$2:$F10491,
         $G$2:$G10491=G523,
         $A$2:$A10491&gt;=A523-20,
         $A$2:$A10491&lt;=A523
       )
    ),
    ""VOL_SPIKE_3X"",""""
  ),
"""")
"),"")</f>
        <v/>
      </c>
      <c r="N523" s="7" t="str">
        <f t="shared" si="6"/>
        <v/>
      </c>
      <c r="O523" s="7" t="str">
        <f t="shared" si="7"/>
        <v/>
      </c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>
        <f>IFERROR(__xludf.DUMMYFUNCTION("""COMPUTED_VALUE"""),45629.0)</f>
        <v>45629</v>
      </c>
      <c r="B524" s="6">
        <f>IFERROR(__xludf.DUMMYFUNCTION("""COMPUTED_VALUE"""),297.5)</f>
        <v>297.5</v>
      </c>
      <c r="C524" s="6">
        <f>IFERROR(__xludf.DUMMYFUNCTION("""COMPUTED_VALUE"""),297.8)</f>
        <v>297.8</v>
      </c>
      <c r="D524" s="6">
        <f>IFERROR(__xludf.DUMMYFUNCTION("""COMPUTED_VALUE"""),292.05)</f>
        <v>292.05</v>
      </c>
      <c r="E524" s="6">
        <f>IFERROR(__xludf.DUMMYFUNCTION("""COMPUTED_VALUE"""),294.25)</f>
        <v>294.25</v>
      </c>
      <c r="F524" s="7">
        <f>IFERROR(__xludf.DUMMYFUNCTION("""COMPUTED_VALUE"""),9198285.0)</f>
        <v>9198285</v>
      </c>
      <c r="G524" s="7" t="str">
        <f>IFERROR(__xludf.DUMMYFUNCTION("""COMPUTED_VALUE"""),"BPCL.NS")</f>
        <v>BPCL.NS</v>
      </c>
      <c r="H524" s="8">
        <f t="shared" si="1"/>
        <v>-0.01092436975</v>
      </c>
      <c r="I524" s="8">
        <f t="shared" si="2"/>
        <v>0.01092436975</v>
      </c>
      <c r="J524" s="7" t="str">
        <f t="shared" si="3"/>
        <v>Dec-2024</v>
      </c>
      <c r="K524" s="9">
        <f t="shared" si="4"/>
        <v>45627</v>
      </c>
      <c r="L524" s="7" t="str">
        <f t="shared" si="5"/>
        <v/>
      </c>
      <c r="M524" s="7" t="str">
        <f>IFERROR(__xludf.DUMMYFUNCTION("IFERROR(
  IF(
    F524 &gt;
    3*AVERAGE(
       FILTER($F$2:$F10491,
         $G$2:$G10491=G524,
         $A$2:$A10491&gt;=A524-20,
         $A$2:$A10491&lt;=A524
       )
    ),
    ""VOL_SPIKE_3X"",""""
  ),
"""")
"),"")</f>
        <v/>
      </c>
      <c r="N524" s="7" t="str">
        <f t="shared" si="6"/>
        <v/>
      </c>
      <c r="O524" s="7" t="str">
        <f t="shared" si="7"/>
        <v/>
      </c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>
        <f>IFERROR(__xludf.DUMMYFUNCTION("""COMPUTED_VALUE"""),45629.0)</f>
        <v>45629</v>
      </c>
      <c r="B525" s="6">
        <f>IFERROR(__xludf.DUMMYFUNCTION("""COMPUTED_VALUE"""),425.0)</f>
        <v>425</v>
      </c>
      <c r="C525" s="6">
        <f>IFERROR(__xludf.DUMMYFUNCTION("""COMPUTED_VALUE"""),425.5)</f>
        <v>425.5</v>
      </c>
      <c r="D525" s="6">
        <f>IFERROR(__xludf.DUMMYFUNCTION("""COMPUTED_VALUE"""),419.35)</f>
        <v>419.35</v>
      </c>
      <c r="E525" s="6">
        <f>IFERROR(__xludf.DUMMYFUNCTION("""COMPUTED_VALUE"""),422.1)</f>
        <v>422.1</v>
      </c>
      <c r="F525" s="7">
        <f>IFERROR(__xludf.DUMMYFUNCTION("""COMPUTED_VALUE"""),7928558.0)</f>
        <v>7928558</v>
      </c>
      <c r="G525" s="7" t="str">
        <f>IFERROR(__xludf.DUMMYFUNCTION("""COMPUTED_VALUE"""),"COALINDIA.NS")</f>
        <v>COALINDIA.NS</v>
      </c>
      <c r="H525" s="8">
        <f t="shared" si="1"/>
        <v>-0.006823529412</v>
      </c>
      <c r="I525" s="8">
        <f t="shared" si="2"/>
        <v>0.006823529412</v>
      </c>
      <c r="J525" s="7" t="str">
        <f t="shared" si="3"/>
        <v>Dec-2024</v>
      </c>
      <c r="K525" s="9">
        <f t="shared" si="4"/>
        <v>45627</v>
      </c>
      <c r="L525" s="7" t="str">
        <f t="shared" si="5"/>
        <v/>
      </c>
      <c r="M525" s="7" t="str">
        <f>IFERROR(__xludf.DUMMYFUNCTION("IFERROR(
  IF(
    F525 &gt;
    3*AVERAGE(
       FILTER($F$2:$F10491,
         $G$2:$G10491=G525,
         $A$2:$A10491&gt;=A525-20,
         $A$2:$A10491&lt;=A525
       )
    ),
    ""VOL_SPIKE_3X"",""""
  ),
"""")
"),"")</f>
        <v/>
      </c>
      <c r="N525" s="7" t="str">
        <f t="shared" si="6"/>
        <v/>
      </c>
      <c r="O525" s="7" t="str">
        <f t="shared" si="7"/>
        <v/>
      </c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>
        <f>IFERROR(__xludf.DUMMYFUNCTION("""COMPUTED_VALUE"""),45629.0)</f>
        <v>45629</v>
      </c>
      <c r="B526" s="6">
        <f>IFERROR(__xludf.DUMMYFUNCTION("""COMPUTED_VALUE"""),385.0)</f>
        <v>385</v>
      </c>
      <c r="C526" s="6">
        <f>IFERROR(__xludf.DUMMYFUNCTION("""COMPUTED_VALUE"""),387.6)</f>
        <v>387.6</v>
      </c>
      <c r="D526" s="6">
        <f>IFERROR(__xludf.DUMMYFUNCTION("""COMPUTED_VALUE"""),382.55)</f>
        <v>382.55</v>
      </c>
      <c r="E526" s="6">
        <f>IFERROR(__xludf.DUMMYFUNCTION("""COMPUTED_VALUE"""),384.55)</f>
        <v>384.55</v>
      </c>
      <c r="F526" s="7">
        <f>IFERROR(__xludf.DUMMYFUNCTION("""COMPUTED_VALUE"""),5317630.0)</f>
        <v>5317630</v>
      </c>
      <c r="G526" s="7" t="str">
        <f>IFERROR(__xludf.DUMMYFUNCTION("""COMPUTED_VALUE"""),"HINDPETRO.NS")</f>
        <v>HINDPETRO.NS</v>
      </c>
      <c r="H526" s="8">
        <f t="shared" si="1"/>
        <v>-0.001168831169</v>
      </c>
      <c r="I526" s="8">
        <f t="shared" si="2"/>
        <v>0.001168831169</v>
      </c>
      <c r="J526" s="7" t="str">
        <f t="shared" si="3"/>
        <v>Dec-2024</v>
      </c>
      <c r="K526" s="9">
        <f t="shared" si="4"/>
        <v>45627</v>
      </c>
      <c r="L526" s="7" t="str">
        <f t="shared" si="5"/>
        <v/>
      </c>
      <c r="M526" s="7" t="str">
        <f>IFERROR(__xludf.DUMMYFUNCTION("IFERROR(
  IF(
    F526 &gt;
    3*AVERAGE(
       FILTER($F$2:$F10491,
         $G$2:$G10491=G526,
         $A$2:$A10491&gt;=A526-20,
         $A$2:$A10491&lt;=A526
       )
    ),
    ""VOL_SPIKE_3X"",""""
  ),
"""")
"),"")</f>
        <v/>
      </c>
      <c r="N526" s="7" t="str">
        <f t="shared" si="6"/>
        <v/>
      </c>
      <c r="O526" s="7" t="str">
        <f t="shared" si="7"/>
        <v/>
      </c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>
        <f>IFERROR(__xludf.DUMMYFUNCTION("""COMPUTED_VALUE"""),45629.0)</f>
        <v>45629</v>
      </c>
      <c r="B527" s="6">
        <f>IFERROR(__xludf.DUMMYFUNCTION("""COMPUTED_VALUE"""),138.0)</f>
        <v>138</v>
      </c>
      <c r="C527" s="6">
        <f>IFERROR(__xludf.DUMMYFUNCTION("""COMPUTED_VALUE"""),139.75)</f>
        <v>139.75</v>
      </c>
      <c r="D527" s="6">
        <f>IFERROR(__xludf.DUMMYFUNCTION("""COMPUTED_VALUE"""),137.92)</f>
        <v>137.92</v>
      </c>
      <c r="E527" s="6">
        <f>IFERROR(__xludf.DUMMYFUNCTION("""COMPUTED_VALUE"""),139.51)</f>
        <v>139.51</v>
      </c>
      <c r="F527" s="7">
        <f>IFERROR(__xludf.DUMMYFUNCTION("""COMPUTED_VALUE"""),1.308977E7)</f>
        <v>13089770</v>
      </c>
      <c r="G527" s="7" t="str">
        <f>IFERROR(__xludf.DUMMYFUNCTION("""COMPUTED_VALUE"""),"IOC.NS")</f>
        <v>IOC.NS</v>
      </c>
      <c r="H527" s="8">
        <f t="shared" si="1"/>
        <v>0.01094202899</v>
      </c>
      <c r="I527" s="8">
        <f t="shared" si="2"/>
        <v>0.01094202899</v>
      </c>
      <c r="J527" s="7" t="str">
        <f t="shared" si="3"/>
        <v>Dec-2024</v>
      </c>
      <c r="K527" s="9">
        <f t="shared" si="4"/>
        <v>45627</v>
      </c>
      <c r="L527" s="7" t="str">
        <f t="shared" si="5"/>
        <v/>
      </c>
      <c r="M527" s="7" t="str">
        <f>IFERROR(__xludf.DUMMYFUNCTION("IFERROR(
  IF(
    F527 &gt;
    3*AVERAGE(
       FILTER($F$2:$F10491,
         $G$2:$G10491=G527,
         $A$2:$A10491&gt;=A527-20,
         $A$2:$A10491&lt;=A527
       )
    ),
    ""VOL_SPIKE_3X"",""""
  ),
"""")
"),"")</f>
        <v/>
      </c>
      <c r="N527" s="7" t="str">
        <f t="shared" si="6"/>
        <v/>
      </c>
      <c r="O527" s="7" t="str">
        <f t="shared" si="7"/>
        <v/>
      </c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>
        <f>IFERROR(__xludf.DUMMYFUNCTION("""COMPUTED_VALUE"""),45629.0)</f>
        <v>45629</v>
      </c>
      <c r="B528" s="6">
        <f>IFERROR(__xludf.DUMMYFUNCTION("""COMPUTED_VALUE"""),359.0)</f>
        <v>359</v>
      </c>
      <c r="C528" s="6">
        <f>IFERROR(__xludf.DUMMYFUNCTION("""COMPUTED_VALUE"""),370.0)</f>
        <v>370</v>
      </c>
      <c r="D528" s="6">
        <f>IFERROR(__xludf.DUMMYFUNCTION("""COMPUTED_VALUE"""),358.2)</f>
        <v>358.2</v>
      </c>
      <c r="E528" s="6">
        <f>IFERROR(__xludf.DUMMYFUNCTION("""COMPUTED_VALUE"""),367.45)</f>
        <v>367.45</v>
      </c>
      <c r="F528" s="7">
        <f>IFERROR(__xludf.DUMMYFUNCTION("""COMPUTED_VALUE"""),1.420576E7)</f>
        <v>14205760</v>
      </c>
      <c r="G528" s="7" t="str">
        <f>IFERROR(__xludf.DUMMYFUNCTION("""COMPUTED_VALUE"""),"NTPC.NS")</f>
        <v>NTPC.NS</v>
      </c>
      <c r="H528" s="8">
        <f t="shared" si="1"/>
        <v>0.02353760446</v>
      </c>
      <c r="I528" s="8">
        <f t="shared" si="2"/>
        <v>0.02353760446</v>
      </c>
      <c r="J528" s="7" t="str">
        <f t="shared" si="3"/>
        <v>Dec-2024</v>
      </c>
      <c r="K528" s="9">
        <f t="shared" si="4"/>
        <v>45627</v>
      </c>
      <c r="L528" s="7" t="str">
        <f t="shared" si="5"/>
        <v/>
      </c>
      <c r="M528" s="7" t="str">
        <f>IFERROR(__xludf.DUMMYFUNCTION("IFERROR(
  IF(
    F528 &gt;
    3*AVERAGE(
       FILTER($F$2:$F10491,
         $G$2:$G10491=G528,
         $A$2:$A10491&gt;=A528-20,
         $A$2:$A10491&lt;=A528
       )
    ),
    ""VOL_SPIKE_3X"",""""
  ),
"""")
"),"")</f>
        <v/>
      </c>
      <c r="N528" s="7" t="str">
        <f t="shared" si="6"/>
        <v/>
      </c>
      <c r="O528" s="7" t="str">
        <f t="shared" si="7"/>
        <v/>
      </c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>
        <f>IFERROR(__xludf.DUMMYFUNCTION("""COMPUTED_VALUE"""),45629.0)</f>
        <v>45629</v>
      </c>
      <c r="B529" s="6">
        <f>IFERROR(__xludf.DUMMYFUNCTION("""COMPUTED_VALUE"""),260.4)</f>
        <v>260.4</v>
      </c>
      <c r="C529" s="6">
        <f>IFERROR(__xludf.DUMMYFUNCTION("""COMPUTED_VALUE"""),264.7)</f>
        <v>264.7</v>
      </c>
      <c r="D529" s="6">
        <f>IFERROR(__xludf.DUMMYFUNCTION("""COMPUTED_VALUE"""),258.85)</f>
        <v>258.85</v>
      </c>
      <c r="E529" s="6">
        <f>IFERROR(__xludf.DUMMYFUNCTION("""COMPUTED_VALUE"""),262.35)</f>
        <v>262.35</v>
      </c>
      <c r="F529" s="7">
        <f>IFERROR(__xludf.DUMMYFUNCTION("""COMPUTED_VALUE"""),1.5345326E7)</f>
        <v>15345326</v>
      </c>
      <c r="G529" s="7" t="str">
        <f>IFERROR(__xludf.DUMMYFUNCTION("""COMPUTED_VALUE"""),"ONGC.NS")</f>
        <v>ONGC.NS</v>
      </c>
      <c r="H529" s="8">
        <f t="shared" si="1"/>
        <v>0.007488479263</v>
      </c>
      <c r="I529" s="8">
        <f t="shared" si="2"/>
        <v>0.007488479263</v>
      </c>
      <c r="J529" s="7" t="str">
        <f t="shared" si="3"/>
        <v>Dec-2024</v>
      </c>
      <c r="K529" s="9">
        <f t="shared" si="4"/>
        <v>45627</v>
      </c>
      <c r="L529" s="7" t="str">
        <f t="shared" si="5"/>
        <v/>
      </c>
      <c r="M529" s="7" t="str">
        <f>IFERROR(__xludf.DUMMYFUNCTION("IFERROR(
  IF(
    F529 &gt;
    3*AVERAGE(
       FILTER($F$2:$F10491,
         $G$2:$G10491=G529,
         $A$2:$A10491&gt;=A529-20,
         $A$2:$A10491&lt;=A529
       )
    ),
    ""VOL_SPIKE_3X"",""""
  ),
"""")
"),"")</f>
        <v/>
      </c>
      <c r="N529" s="7" t="str">
        <f t="shared" si="6"/>
        <v/>
      </c>
      <c r="O529" s="7" t="str">
        <f t="shared" si="7"/>
        <v/>
      </c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>
        <f>IFERROR(__xludf.DUMMYFUNCTION("""COMPUTED_VALUE"""),45629.0)</f>
        <v>45629</v>
      </c>
      <c r="B530" s="6">
        <f>IFERROR(__xludf.DUMMYFUNCTION("""COMPUTED_VALUE"""),324.25)</f>
        <v>324.25</v>
      </c>
      <c r="C530" s="6">
        <f>IFERROR(__xludf.DUMMYFUNCTION("""COMPUTED_VALUE"""),331.35)</f>
        <v>331.35</v>
      </c>
      <c r="D530" s="6">
        <f>IFERROR(__xludf.DUMMYFUNCTION("""COMPUTED_VALUE"""),324.25)</f>
        <v>324.25</v>
      </c>
      <c r="E530" s="6">
        <f>IFERROR(__xludf.DUMMYFUNCTION("""COMPUTED_VALUE"""),329.65)</f>
        <v>329.65</v>
      </c>
      <c r="F530" s="7">
        <f>IFERROR(__xludf.DUMMYFUNCTION("""COMPUTED_VALUE"""),2.3174488E7)</f>
        <v>23174488</v>
      </c>
      <c r="G530" s="7" t="str">
        <f>IFERROR(__xludf.DUMMYFUNCTION("""COMPUTED_VALUE"""),"POWERGRID.NS")</f>
        <v>POWERGRID.NS</v>
      </c>
      <c r="H530" s="8">
        <f t="shared" si="1"/>
        <v>0.0166538165</v>
      </c>
      <c r="I530" s="8">
        <f t="shared" si="2"/>
        <v>0.0166538165</v>
      </c>
      <c r="J530" s="7" t="str">
        <f t="shared" si="3"/>
        <v>Dec-2024</v>
      </c>
      <c r="K530" s="9">
        <f t="shared" si="4"/>
        <v>45627</v>
      </c>
      <c r="L530" s="7" t="str">
        <f t="shared" si="5"/>
        <v/>
      </c>
      <c r="M530" s="7" t="str">
        <f>IFERROR(__xludf.DUMMYFUNCTION("IFERROR(
  IF(
    F530 &gt;
    3*AVERAGE(
       FILTER($F$2:$F10491,
         $G$2:$G10491=G530,
         $A$2:$A10491&gt;=A530-20,
         $A$2:$A10491&lt;=A530
       )
    ),
    ""VOL_SPIKE_3X"",""""
  ),
"""")
"),"")</f>
        <v/>
      </c>
      <c r="N530" s="7" t="str">
        <f t="shared" si="6"/>
        <v/>
      </c>
      <c r="O530" s="7" t="str">
        <f t="shared" si="7"/>
        <v/>
      </c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>
        <f>IFERROR(__xludf.DUMMYFUNCTION("""COMPUTED_VALUE"""),45629.0)</f>
        <v>45629</v>
      </c>
      <c r="B531" s="6">
        <f>IFERROR(__xludf.DUMMYFUNCTION("""COMPUTED_VALUE"""),1317.0)</f>
        <v>1317</v>
      </c>
      <c r="C531" s="6">
        <f>IFERROR(__xludf.DUMMYFUNCTION("""COMPUTED_VALUE"""),1326.8)</f>
        <v>1326.8</v>
      </c>
      <c r="D531" s="6">
        <f>IFERROR(__xludf.DUMMYFUNCTION("""COMPUTED_VALUE"""),1307.0)</f>
        <v>1307</v>
      </c>
      <c r="E531" s="6">
        <f>IFERROR(__xludf.DUMMYFUNCTION("""COMPUTED_VALUE"""),1323.3)</f>
        <v>1323.3</v>
      </c>
      <c r="F531" s="7">
        <f>IFERROR(__xludf.DUMMYFUNCTION("""COMPUTED_VALUE"""),1.6869482E7)</f>
        <v>16869482</v>
      </c>
      <c r="G531" s="7" t="str">
        <f>IFERROR(__xludf.DUMMYFUNCTION("""COMPUTED_VALUE"""),"RELIANCE.NS")</f>
        <v>RELIANCE.NS</v>
      </c>
      <c r="H531" s="8">
        <f t="shared" si="1"/>
        <v>0.004783599089</v>
      </c>
      <c r="I531" s="8">
        <f t="shared" si="2"/>
        <v>0.004783599089</v>
      </c>
      <c r="J531" s="7" t="str">
        <f t="shared" si="3"/>
        <v>Dec-2024</v>
      </c>
      <c r="K531" s="9">
        <f t="shared" si="4"/>
        <v>45627</v>
      </c>
      <c r="L531" s="7" t="str">
        <f t="shared" si="5"/>
        <v/>
      </c>
      <c r="M531" s="7" t="str">
        <f>IFERROR(__xludf.DUMMYFUNCTION("IFERROR(
  IF(
    F531 &gt;
    3*AVERAGE(
       FILTER($F$2:$F10491,
         $G$2:$G10491=G531,
         $A$2:$A10491&gt;=A531-20,
         $A$2:$A10491&lt;=A531
       )
    ),
    ""VOL_SPIKE_3X"",""""
  ),
"""")
"),"")</f>
        <v/>
      </c>
      <c r="N531" s="7" t="str">
        <f t="shared" si="6"/>
        <v/>
      </c>
      <c r="O531" s="7" t="str">
        <f t="shared" si="7"/>
        <v/>
      </c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>
        <f>IFERROR(__xludf.DUMMYFUNCTION("""COMPUTED_VALUE"""),45630.0)</f>
        <v>45630</v>
      </c>
      <c r="B532" s="6">
        <f>IFERROR(__xludf.DUMMYFUNCTION("""COMPUTED_VALUE"""),820.05)</f>
        <v>820.05</v>
      </c>
      <c r="C532" s="6">
        <f>IFERROR(__xludf.DUMMYFUNCTION("""COMPUTED_VALUE"""),828.0)</f>
        <v>828</v>
      </c>
      <c r="D532" s="6">
        <f>IFERROR(__xludf.DUMMYFUNCTION("""COMPUTED_VALUE"""),797.0)</f>
        <v>797</v>
      </c>
      <c r="E532" s="6">
        <f>IFERROR(__xludf.DUMMYFUNCTION("""COMPUTED_VALUE"""),813.45)</f>
        <v>813.45</v>
      </c>
      <c r="F532" s="7">
        <f>IFERROR(__xludf.DUMMYFUNCTION("""COMPUTED_VALUE"""),4086092.0)</f>
        <v>4086092</v>
      </c>
      <c r="G532" s="7" t="str">
        <f>IFERROR(__xludf.DUMMYFUNCTION("""COMPUTED_VALUE"""),"ADANIENSOL.NS")</f>
        <v>ADANIENSOL.NS</v>
      </c>
      <c r="H532" s="8">
        <f t="shared" si="1"/>
        <v>-0.008048289738</v>
      </c>
      <c r="I532" s="8">
        <f t="shared" si="2"/>
        <v>0.008048289738</v>
      </c>
      <c r="J532" s="7" t="str">
        <f t="shared" si="3"/>
        <v>Dec-2024</v>
      </c>
      <c r="K532" s="9">
        <f t="shared" si="4"/>
        <v>45627</v>
      </c>
      <c r="L532" s="7" t="str">
        <f t="shared" si="5"/>
        <v/>
      </c>
      <c r="M532" s="7" t="str">
        <f>IFERROR(__xludf.DUMMYFUNCTION("IFERROR(
  IF(
    F532 &gt;
    3*AVERAGE(
       FILTER($F$2:$F10491,
         $G$2:$G10491=G532,
         $A$2:$A10491&gt;=A532-20,
         $A$2:$A10491&lt;=A532
       )
    ),
    ""VOL_SPIKE_3X"",""""
  ),
"""")
"),"")</f>
        <v/>
      </c>
      <c r="N532" s="7" t="str">
        <f t="shared" si="6"/>
        <v/>
      </c>
      <c r="O532" s="7" t="str">
        <f t="shared" si="7"/>
        <v/>
      </c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>
        <f>IFERROR(__xludf.DUMMYFUNCTION("""COMPUTED_VALUE"""),45630.0)</f>
        <v>45630</v>
      </c>
      <c r="B533" s="6">
        <f>IFERROR(__xludf.DUMMYFUNCTION("""COMPUTED_VALUE"""),1320.0)</f>
        <v>1320</v>
      </c>
      <c r="C533" s="6">
        <f>IFERROR(__xludf.DUMMYFUNCTION("""COMPUTED_VALUE"""),1330.05)</f>
        <v>1330.05</v>
      </c>
      <c r="D533" s="6">
        <f>IFERROR(__xludf.DUMMYFUNCTION("""COMPUTED_VALUE"""),1251.9)</f>
        <v>1251.9</v>
      </c>
      <c r="E533" s="6">
        <f>IFERROR(__xludf.DUMMYFUNCTION("""COMPUTED_VALUE"""),1260.85)</f>
        <v>1260.85</v>
      </c>
      <c r="F533" s="7">
        <f>IFERROR(__xludf.DUMMYFUNCTION("""COMPUTED_VALUE"""),5109679.0)</f>
        <v>5109679</v>
      </c>
      <c r="G533" s="7" t="str">
        <f>IFERROR(__xludf.DUMMYFUNCTION("""COMPUTED_VALUE"""),"ADANIGREEN.NS")</f>
        <v>ADANIGREEN.NS</v>
      </c>
      <c r="H533" s="8">
        <f t="shared" si="1"/>
        <v>-0.04481060606</v>
      </c>
      <c r="I533" s="8">
        <f t="shared" si="2"/>
        <v>0.04481060606</v>
      </c>
      <c r="J533" s="7" t="str">
        <f t="shared" si="3"/>
        <v>Dec-2024</v>
      </c>
      <c r="K533" s="9">
        <f t="shared" si="4"/>
        <v>45627</v>
      </c>
      <c r="L533" s="7" t="str">
        <f t="shared" si="5"/>
        <v/>
      </c>
      <c r="M533" s="7" t="str">
        <f>IFERROR(__xludf.DUMMYFUNCTION("IFERROR(
  IF(
    F533 &gt;
    3*AVERAGE(
       FILTER($F$2:$F10491,
         $G$2:$G10491=G533,
         $A$2:$A10491&gt;=A533-20,
         $A$2:$A10491&lt;=A533
       )
    ),
    ""VOL_SPIKE_3X"",""""
  ),
"""")
"),"")</f>
        <v/>
      </c>
      <c r="N533" s="7" t="str">
        <f t="shared" si="6"/>
        <v/>
      </c>
      <c r="O533" s="7" t="str">
        <f t="shared" si="7"/>
        <v/>
      </c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>
        <f>IFERROR(__xludf.DUMMYFUNCTION("""COMPUTED_VALUE"""),45630.0)</f>
        <v>45630</v>
      </c>
      <c r="B534" s="6">
        <f>IFERROR(__xludf.DUMMYFUNCTION("""COMPUTED_VALUE"""),294.2)</f>
        <v>294.2</v>
      </c>
      <c r="C534" s="6">
        <f>IFERROR(__xludf.DUMMYFUNCTION("""COMPUTED_VALUE"""),299.55)</f>
        <v>299.55</v>
      </c>
      <c r="D534" s="6">
        <f>IFERROR(__xludf.DUMMYFUNCTION("""COMPUTED_VALUE"""),292.85)</f>
        <v>292.85</v>
      </c>
      <c r="E534" s="6">
        <f>IFERROR(__xludf.DUMMYFUNCTION("""COMPUTED_VALUE"""),293.65)</f>
        <v>293.65</v>
      </c>
      <c r="F534" s="7">
        <f>IFERROR(__xludf.DUMMYFUNCTION("""COMPUTED_VALUE"""),9840659.0)</f>
        <v>9840659</v>
      </c>
      <c r="G534" s="7" t="str">
        <f>IFERROR(__xludf.DUMMYFUNCTION("""COMPUTED_VALUE"""),"BPCL.NS")</f>
        <v>BPCL.NS</v>
      </c>
      <c r="H534" s="8">
        <f t="shared" si="1"/>
        <v>-0.001869476547</v>
      </c>
      <c r="I534" s="8">
        <f t="shared" si="2"/>
        <v>0.001869476547</v>
      </c>
      <c r="J534" s="7" t="str">
        <f t="shared" si="3"/>
        <v>Dec-2024</v>
      </c>
      <c r="K534" s="9">
        <f t="shared" si="4"/>
        <v>45627</v>
      </c>
      <c r="L534" s="7" t="str">
        <f t="shared" si="5"/>
        <v/>
      </c>
      <c r="M534" s="7" t="str">
        <f>IFERROR(__xludf.DUMMYFUNCTION("IFERROR(
  IF(
    F534 &gt;
    3*AVERAGE(
       FILTER($F$2:$F10491,
         $G$2:$G10491=G534,
         $A$2:$A10491&gt;=A534-20,
         $A$2:$A10491&lt;=A534
       )
    ),
    ""VOL_SPIKE_3X"",""""
  ),
"""")
"),"")</f>
        <v/>
      </c>
      <c r="N534" s="7" t="str">
        <f t="shared" si="6"/>
        <v/>
      </c>
      <c r="O534" s="7" t="str">
        <f t="shared" si="7"/>
        <v/>
      </c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>
        <f>IFERROR(__xludf.DUMMYFUNCTION("""COMPUTED_VALUE"""),45630.0)</f>
        <v>45630</v>
      </c>
      <c r="B535" s="6">
        <f>IFERROR(__xludf.DUMMYFUNCTION("""COMPUTED_VALUE"""),422.1)</f>
        <v>422.1</v>
      </c>
      <c r="C535" s="6">
        <f>IFERROR(__xludf.DUMMYFUNCTION("""COMPUTED_VALUE"""),425.9)</f>
        <v>425.9</v>
      </c>
      <c r="D535" s="6">
        <f>IFERROR(__xludf.DUMMYFUNCTION("""COMPUTED_VALUE"""),415.0)</f>
        <v>415</v>
      </c>
      <c r="E535" s="6">
        <f>IFERROR(__xludf.DUMMYFUNCTION("""COMPUTED_VALUE"""),416.65)</f>
        <v>416.65</v>
      </c>
      <c r="F535" s="7">
        <f>IFERROR(__xludf.DUMMYFUNCTION("""COMPUTED_VALUE"""),6836472.0)</f>
        <v>6836472</v>
      </c>
      <c r="G535" s="7" t="str">
        <f>IFERROR(__xludf.DUMMYFUNCTION("""COMPUTED_VALUE"""),"COALINDIA.NS")</f>
        <v>COALINDIA.NS</v>
      </c>
      <c r="H535" s="8">
        <f t="shared" si="1"/>
        <v>-0.01291163231</v>
      </c>
      <c r="I535" s="8">
        <f t="shared" si="2"/>
        <v>0.01291163231</v>
      </c>
      <c r="J535" s="7" t="str">
        <f t="shared" si="3"/>
        <v>Dec-2024</v>
      </c>
      <c r="K535" s="9">
        <f t="shared" si="4"/>
        <v>45627</v>
      </c>
      <c r="L535" s="7" t="str">
        <f t="shared" si="5"/>
        <v/>
      </c>
      <c r="M535" s="7" t="str">
        <f>IFERROR(__xludf.DUMMYFUNCTION("IFERROR(
  IF(
    F535 &gt;
    3*AVERAGE(
       FILTER($F$2:$F10491,
         $G$2:$G10491=G535,
         $A$2:$A10491&gt;=A535-20,
         $A$2:$A10491&lt;=A535
       )
    ),
    ""VOL_SPIKE_3X"",""""
  ),
"""")
"),"")</f>
        <v/>
      </c>
      <c r="N535" s="7" t="str">
        <f t="shared" si="6"/>
        <v/>
      </c>
      <c r="O535" s="7" t="str">
        <f t="shared" si="7"/>
        <v/>
      </c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>
        <f>IFERROR(__xludf.DUMMYFUNCTION("""COMPUTED_VALUE"""),45630.0)</f>
        <v>45630</v>
      </c>
      <c r="B536" s="6">
        <f>IFERROR(__xludf.DUMMYFUNCTION("""COMPUTED_VALUE"""),384.0)</f>
        <v>384</v>
      </c>
      <c r="C536" s="6">
        <f>IFERROR(__xludf.DUMMYFUNCTION("""COMPUTED_VALUE"""),391.65)</f>
        <v>391.65</v>
      </c>
      <c r="D536" s="6">
        <f>IFERROR(__xludf.DUMMYFUNCTION("""COMPUTED_VALUE"""),382.7)</f>
        <v>382.7</v>
      </c>
      <c r="E536" s="6">
        <f>IFERROR(__xludf.DUMMYFUNCTION("""COMPUTED_VALUE"""),387.65)</f>
        <v>387.65</v>
      </c>
      <c r="F536" s="7">
        <f>IFERROR(__xludf.DUMMYFUNCTION("""COMPUTED_VALUE"""),3476461.0)</f>
        <v>3476461</v>
      </c>
      <c r="G536" s="7" t="str">
        <f>IFERROR(__xludf.DUMMYFUNCTION("""COMPUTED_VALUE"""),"HINDPETRO.NS")</f>
        <v>HINDPETRO.NS</v>
      </c>
      <c r="H536" s="8">
        <f t="shared" si="1"/>
        <v>0.009505208333</v>
      </c>
      <c r="I536" s="8">
        <f t="shared" si="2"/>
        <v>0.009505208333</v>
      </c>
      <c r="J536" s="7" t="str">
        <f t="shared" si="3"/>
        <v>Dec-2024</v>
      </c>
      <c r="K536" s="9">
        <f t="shared" si="4"/>
        <v>45627</v>
      </c>
      <c r="L536" s="7" t="str">
        <f t="shared" si="5"/>
        <v/>
      </c>
      <c r="M536" s="7" t="str">
        <f>IFERROR(__xludf.DUMMYFUNCTION("IFERROR(
  IF(
    F536 &gt;
    3*AVERAGE(
       FILTER($F$2:$F10491,
         $G$2:$G10491=G536,
         $A$2:$A10491&gt;=A536-20,
         $A$2:$A10491&lt;=A536
       )
    ),
    ""VOL_SPIKE_3X"",""""
  ),
"""")
"),"")</f>
        <v/>
      </c>
      <c r="N536" s="7" t="str">
        <f t="shared" si="6"/>
        <v/>
      </c>
      <c r="O536" s="7" t="str">
        <f t="shared" si="7"/>
        <v/>
      </c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>
        <f>IFERROR(__xludf.DUMMYFUNCTION("""COMPUTED_VALUE"""),45630.0)</f>
        <v>45630</v>
      </c>
      <c r="B537" s="6">
        <f>IFERROR(__xludf.DUMMYFUNCTION("""COMPUTED_VALUE"""),139.51)</f>
        <v>139.51</v>
      </c>
      <c r="C537" s="6">
        <f>IFERROR(__xludf.DUMMYFUNCTION("""COMPUTED_VALUE"""),141.1)</f>
        <v>141.1</v>
      </c>
      <c r="D537" s="6">
        <f>IFERROR(__xludf.DUMMYFUNCTION("""COMPUTED_VALUE"""),139.15)</f>
        <v>139.15</v>
      </c>
      <c r="E537" s="6">
        <f>IFERROR(__xludf.DUMMYFUNCTION("""COMPUTED_VALUE"""),139.86)</f>
        <v>139.86</v>
      </c>
      <c r="F537" s="7">
        <f>IFERROR(__xludf.DUMMYFUNCTION("""COMPUTED_VALUE"""),1.274561E7)</f>
        <v>12745610</v>
      </c>
      <c r="G537" s="7" t="str">
        <f>IFERROR(__xludf.DUMMYFUNCTION("""COMPUTED_VALUE"""),"IOC.NS")</f>
        <v>IOC.NS</v>
      </c>
      <c r="H537" s="8">
        <f t="shared" si="1"/>
        <v>0.002508780733</v>
      </c>
      <c r="I537" s="8">
        <f t="shared" si="2"/>
        <v>0.002508780733</v>
      </c>
      <c r="J537" s="7" t="str">
        <f t="shared" si="3"/>
        <v>Dec-2024</v>
      </c>
      <c r="K537" s="9">
        <f t="shared" si="4"/>
        <v>45627</v>
      </c>
      <c r="L537" s="7" t="str">
        <f t="shared" si="5"/>
        <v/>
      </c>
      <c r="M537" s="7" t="str">
        <f>IFERROR(__xludf.DUMMYFUNCTION("IFERROR(
  IF(
    F537 &gt;
    3*AVERAGE(
       FILTER($F$2:$F10491,
         $G$2:$G10491=G537,
         $A$2:$A10491&gt;=A537-20,
         $A$2:$A10491&lt;=A537
       )
    ),
    ""VOL_SPIKE_3X"",""""
  ),
"""")
"),"")</f>
        <v/>
      </c>
      <c r="N537" s="7" t="str">
        <f t="shared" si="6"/>
        <v/>
      </c>
      <c r="O537" s="7" t="str">
        <f t="shared" si="7"/>
        <v/>
      </c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>
        <f>IFERROR(__xludf.DUMMYFUNCTION("""COMPUTED_VALUE"""),45630.0)</f>
        <v>45630</v>
      </c>
      <c r="B538" s="6">
        <f>IFERROR(__xludf.DUMMYFUNCTION("""COMPUTED_VALUE"""),368.95)</f>
        <v>368.95</v>
      </c>
      <c r="C538" s="6">
        <f>IFERROR(__xludf.DUMMYFUNCTION("""COMPUTED_VALUE"""),375.15)</f>
        <v>375.15</v>
      </c>
      <c r="D538" s="6">
        <f>IFERROR(__xludf.DUMMYFUNCTION("""COMPUTED_VALUE"""),368.0)</f>
        <v>368</v>
      </c>
      <c r="E538" s="6">
        <f>IFERROR(__xludf.DUMMYFUNCTION("""COMPUTED_VALUE"""),372.75)</f>
        <v>372.75</v>
      </c>
      <c r="F538" s="7">
        <f>IFERROR(__xludf.DUMMYFUNCTION("""COMPUTED_VALUE"""),2.2035954E7)</f>
        <v>22035954</v>
      </c>
      <c r="G538" s="7" t="str">
        <f>IFERROR(__xludf.DUMMYFUNCTION("""COMPUTED_VALUE"""),"NTPC.NS")</f>
        <v>NTPC.NS</v>
      </c>
      <c r="H538" s="8">
        <f t="shared" si="1"/>
        <v>0.01029949858</v>
      </c>
      <c r="I538" s="8">
        <f t="shared" si="2"/>
        <v>0.01029949858</v>
      </c>
      <c r="J538" s="7" t="str">
        <f t="shared" si="3"/>
        <v>Dec-2024</v>
      </c>
      <c r="K538" s="9">
        <f t="shared" si="4"/>
        <v>45627</v>
      </c>
      <c r="L538" s="7" t="str">
        <f t="shared" si="5"/>
        <v/>
      </c>
      <c r="M538" s="7" t="str">
        <f>IFERROR(__xludf.DUMMYFUNCTION("IFERROR(
  IF(
    F538 &gt;
    3*AVERAGE(
       FILTER($F$2:$F10491,
         $G$2:$G10491=G538,
         $A$2:$A10491&gt;=A538-20,
         $A$2:$A10491&lt;=A538
       )
    ),
    ""VOL_SPIKE_3X"",""""
  ),
"""")
"),"")</f>
        <v/>
      </c>
      <c r="N538" s="7" t="str">
        <f t="shared" si="6"/>
        <v/>
      </c>
      <c r="O538" s="7" t="str">
        <f t="shared" si="7"/>
        <v/>
      </c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>
        <f>IFERROR(__xludf.DUMMYFUNCTION("""COMPUTED_VALUE"""),45630.0)</f>
        <v>45630</v>
      </c>
      <c r="B539" s="6">
        <f>IFERROR(__xludf.DUMMYFUNCTION("""COMPUTED_VALUE"""),263.85)</f>
        <v>263.85</v>
      </c>
      <c r="C539" s="6">
        <f>IFERROR(__xludf.DUMMYFUNCTION("""COMPUTED_VALUE"""),264.3)</f>
        <v>264.3</v>
      </c>
      <c r="D539" s="6">
        <f>IFERROR(__xludf.DUMMYFUNCTION("""COMPUTED_VALUE"""),260.0)</f>
        <v>260</v>
      </c>
      <c r="E539" s="6">
        <f>IFERROR(__xludf.DUMMYFUNCTION("""COMPUTED_VALUE"""),260.7)</f>
        <v>260.7</v>
      </c>
      <c r="F539" s="7">
        <f>IFERROR(__xludf.DUMMYFUNCTION("""COMPUTED_VALUE"""),1.0713838E7)</f>
        <v>10713838</v>
      </c>
      <c r="G539" s="7" t="str">
        <f>IFERROR(__xludf.DUMMYFUNCTION("""COMPUTED_VALUE"""),"ONGC.NS")</f>
        <v>ONGC.NS</v>
      </c>
      <c r="H539" s="8">
        <f t="shared" si="1"/>
        <v>-0.01193860148</v>
      </c>
      <c r="I539" s="8">
        <f t="shared" si="2"/>
        <v>0.01193860148</v>
      </c>
      <c r="J539" s="7" t="str">
        <f t="shared" si="3"/>
        <v>Dec-2024</v>
      </c>
      <c r="K539" s="9">
        <f t="shared" si="4"/>
        <v>45627</v>
      </c>
      <c r="L539" s="7" t="str">
        <f t="shared" si="5"/>
        <v/>
      </c>
      <c r="M539" s="7" t="str">
        <f>IFERROR(__xludf.DUMMYFUNCTION("IFERROR(
  IF(
    F539 &gt;
    3*AVERAGE(
       FILTER($F$2:$F10491,
         $G$2:$G10491=G539,
         $A$2:$A10491&gt;=A539-20,
         $A$2:$A10491&lt;=A539
       )
    ),
    ""VOL_SPIKE_3X"",""""
  ),
"""")
"),"")</f>
        <v/>
      </c>
      <c r="N539" s="7" t="str">
        <f t="shared" si="6"/>
        <v/>
      </c>
      <c r="O539" s="7" t="str">
        <f t="shared" si="7"/>
        <v/>
      </c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>
        <f>IFERROR(__xludf.DUMMYFUNCTION("""COMPUTED_VALUE"""),45630.0)</f>
        <v>45630</v>
      </c>
      <c r="B540" s="6">
        <f>IFERROR(__xludf.DUMMYFUNCTION("""COMPUTED_VALUE"""),329.05)</f>
        <v>329.05</v>
      </c>
      <c r="C540" s="6">
        <f>IFERROR(__xludf.DUMMYFUNCTION("""COMPUTED_VALUE"""),331.25)</f>
        <v>331.25</v>
      </c>
      <c r="D540" s="6">
        <f>IFERROR(__xludf.DUMMYFUNCTION("""COMPUTED_VALUE"""),321.1)</f>
        <v>321.1</v>
      </c>
      <c r="E540" s="6">
        <f>IFERROR(__xludf.DUMMYFUNCTION("""COMPUTED_VALUE"""),325.05)</f>
        <v>325.05</v>
      </c>
      <c r="F540" s="7">
        <f>IFERROR(__xludf.DUMMYFUNCTION("""COMPUTED_VALUE"""),1.7880011E7)</f>
        <v>17880011</v>
      </c>
      <c r="G540" s="7" t="str">
        <f>IFERROR(__xludf.DUMMYFUNCTION("""COMPUTED_VALUE"""),"POWERGRID.NS")</f>
        <v>POWERGRID.NS</v>
      </c>
      <c r="H540" s="8">
        <f t="shared" si="1"/>
        <v>-0.01215620726</v>
      </c>
      <c r="I540" s="8">
        <f t="shared" si="2"/>
        <v>0.01215620726</v>
      </c>
      <c r="J540" s="7" t="str">
        <f t="shared" si="3"/>
        <v>Dec-2024</v>
      </c>
      <c r="K540" s="9">
        <f t="shared" si="4"/>
        <v>45627</v>
      </c>
      <c r="L540" s="7" t="str">
        <f t="shared" si="5"/>
        <v/>
      </c>
      <c r="M540" s="7" t="str">
        <f>IFERROR(__xludf.DUMMYFUNCTION("IFERROR(
  IF(
    F540 &gt;
    3*AVERAGE(
       FILTER($F$2:$F10491,
         $G$2:$G10491=G540,
         $A$2:$A10491&gt;=A540-20,
         $A$2:$A10491&lt;=A540
       )
    ),
    ""VOL_SPIKE_3X"",""""
  ),
"""")
"),"")</f>
        <v/>
      </c>
      <c r="N540" s="7" t="str">
        <f t="shared" si="6"/>
        <v/>
      </c>
      <c r="O540" s="7" t="str">
        <f t="shared" si="7"/>
        <v/>
      </c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>
        <f>IFERROR(__xludf.DUMMYFUNCTION("""COMPUTED_VALUE"""),45630.0)</f>
        <v>45630</v>
      </c>
      <c r="B541" s="6">
        <f>IFERROR(__xludf.DUMMYFUNCTION("""COMPUTED_VALUE"""),1326.0)</f>
        <v>1326</v>
      </c>
      <c r="C541" s="6">
        <f>IFERROR(__xludf.DUMMYFUNCTION("""COMPUTED_VALUE"""),1328.4)</f>
        <v>1328.4</v>
      </c>
      <c r="D541" s="6">
        <f>IFERROR(__xludf.DUMMYFUNCTION("""COMPUTED_VALUE"""),1304.05)</f>
        <v>1304.05</v>
      </c>
      <c r="E541" s="6">
        <f>IFERROR(__xludf.DUMMYFUNCTION("""COMPUTED_VALUE"""),1308.95)</f>
        <v>1308.95</v>
      </c>
      <c r="F541" s="7">
        <f>IFERROR(__xludf.DUMMYFUNCTION("""COMPUTED_VALUE"""),1.960854E7)</f>
        <v>19608540</v>
      </c>
      <c r="G541" s="7" t="str">
        <f>IFERROR(__xludf.DUMMYFUNCTION("""COMPUTED_VALUE"""),"RELIANCE.NS")</f>
        <v>RELIANCE.NS</v>
      </c>
      <c r="H541" s="8">
        <f t="shared" si="1"/>
        <v>-0.01285822021</v>
      </c>
      <c r="I541" s="8">
        <f t="shared" si="2"/>
        <v>0.01285822021</v>
      </c>
      <c r="J541" s="7" t="str">
        <f t="shared" si="3"/>
        <v>Dec-2024</v>
      </c>
      <c r="K541" s="9">
        <f t="shared" si="4"/>
        <v>45627</v>
      </c>
      <c r="L541" s="7" t="str">
        <f t="shared" si="5"/>
        <v/>
      </c>
      <c r="M541" s="7" t="str">
        <f>IFERROR(__xludf.DUMMYFUNCTION("IFERROR(
  IF(
    F541 &gt;
    3*AVERAGE(
       FILTER($F$2:$F10491,
         $G$2:$G10491=G541,
         $A$2:$A10491&gt;=A541-20,
         $A$2:$A10491&lt;=A541
       )
    ),
    ""VOL_SPIKE_3X"",""""
  ),
"""")
"),"")</f>
        <v/>
      </c>
      <c r="N541" s="7" t="str">
        <f t="shared" si="6"/>
        <v/>
      </c>
      <c r="O541" s="7" t="str">
        <f t="shared" si="7"/>
        <v/>
      </c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>
        <f>IFERROR(__xludf.DUMMYFUNCTION("""COMPUTED_VALUE"""),45631.0)</f>
        <v>45631</v>
      </c>
      <c r="B542" s="6">
        <f>IFERROR(__xludf.DUMMYFUNCTION("""COMPUTED_VALUE"""),829.1)</f>
        <v>829.1</v>
      </c>
      <c r="C542" s="6">
        <f>IFERROR(__xludf.DUMMYFUNCTION("""COMPUTED_VALUE"""),830.0)</f>
        <v>830</v>
      </c>
      <c r="D542" s="6">
        <f>IFERROR(__xludf.DUMMYFUNCTION("""COMPUTED_VALUE"""),806.0)</f>
        <v>806</v>
      </c>
      <c r="E542" s="6">
        <f>IFERROR(__xludf.DUMMYFUNCTION("""COMPUTED_VALUE"""),822.8)</f>
        <v>822.8</v>
      </c>
      <c r="F542" s="7">
        <f>IFERROR(__xludf.DUMMYFUNCTION("""COMPUTED_VALUE"""),3190458.0)</f>
        <v>3190458</v>
      </c>
      <c r="G542" s="7" t="str">
        <f>IFERROR(__xludf.DUMMYFUNCTION("""COMPUTED_VALUE"""),"ADANIENSOL.NS")</f>
        <v>ADANIENSOL.NS</v>
      </c>
      <c r="H542" s="8">
        <f t="shared" si="1"/>
        <v>-0.007598600893</v>
      </c>
      <c r="I542" s="8">
        <f t="shared" si="2"/>
        <v>0.007598600893</v>
      </c>
      <c r="J542" s="7" t="str">
        <f t="shared" si="3"/>
        <v>Dec-2024</v>
      </c>
      <c r="K542" s="9">
        <f t="shared" si="4"/>
        <v>45627</v>
      </c>
      <c r="L542" s="7" t="str">
        <f t="shared" si="5"/>
        <v/>
      </c>
      <c r="M542" s="7" t="str">
        <f>IFERROR(__xludf.DUMMYFUNCTION("IFERROR(
  IF(
    F542 &gt;
    3*AVERAGE(
       FILTER($F$2:$F10491,
         $G$2:$G10491=G542,
         $A$2:$A10491&gt;=A542-20,
         $A$2:$A10491&lt;=A542
       )
    ),
    ""VOL_SPIKE_3X"",""""
  ),
"""")
"),"")</f>
        <v/>
      </c>
      <c r="N542" s="7" t="str">
        <f t="shared" si="6"/>
        <v/>
      </c>
      <c r="O542" s="7" t="str">
        <f t="shared" si="7"/>
        <v/>
      </c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>
        <f>IFERROR(__xludf.DUMMYFUNCTION("""COMPUTED_VALUE"""),45631.0)</f>
        <v>45631</v>
      </c>
      <c r="B543" s="6">
        <f>IFERROR(__xludf.DUMMYFUNCTION("""COMPUTED_VALUE"""),1270.0)</f>
        <v>1270</v>
      </c>
      <c r="C543" s="6">
        <f>IFERROR(__xludf.DUMMYFUNCTION("""COMPUTED_VALUE"""),1270.6)</f>
        <v>1270.6</v>
      </c>
      <c r="D543" s="6">
        <f>IFERROR(__xludf.DUMMYFUNCTION("""COMPUTED_VALUE"""),1220.0)</f>
        <v>1220</v>
      </c>
      <c r="E543" s="6">
        <f>IFERROR(__xludf.DUMMYFUNCTION("""COMPUTED_VALUE"""),1229.6)</f>
        <v>1229.6</v>
      </c>
      <c r="F543" s="7">
        <f>IFERROR(__xludf.DUMMYFUNCTION("""COMPUTED_VALUE"""),4522158.0)</f>
        <v>4522158</v>
      </c>
      <c r="G543" s="7" t="str">
        <f>IFERROR(__xludf.DUMMYFUNCTION("""COMPUTED_VALUE"""),"ADANIGREEN.NS")</f>
        <v>ADANIGREEN.NS</v>
      </c>
      <c r="H543" s="8">
        <f t="shared" si="1"/>
        <v>-0.03181102362</v>
      </c>
      <c r="I543" s="8">
        <f t="shared" si="2"/>
        <v>0.03181102362</v>
      </c>
      <c r="J543" s="7" t="str">
        <f t="shared" si="3"/>
        <v>Dec-2024</v>
      </c>
      <c r="K543" s="9">
        <f t="shared" si="4"/>
        <v>45627</v>
      </c>
      <c r="L543" s="7" t="str">
        <f t="shared" si="5"/>
        <v/>
      </c>
      <c r="M543" s="7" t="str">
        <f>IFERROR(__xludf.DUMMYFUNCTION("IFERROR(
  IF(
    F543 &gt;
    3*AVERAGE(
       FILTER($F$2:$F10491,
         $G$2:$G10491=G543,
         $A$2:$A10491&gt;=A543-20,
         $A$2:$A10491&lt;=A543
       )
    ),
    ""VOL_SPIKE_3X"",""""
  ),
"""")
"),"")</f>
        <v/>
      </c>
      <c r="N543" s="7" t="str">
        <f t="shared" si="6"/>
        <v/>
      </c>
      <c r="O543" s="7" t="str">
        <f t="shared" si="7"/>
        <v/>
      </c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>
        <f>IFERROR(__xludf.DUMMYFUNCTION("""COMPUTED_VALUE"""),45631.0)</f>
        <v>45631</v>
      </c>
      <c r="B544" s="6">
        <f>IFERROR(__xludf.DUMMYFUNCTION("""COMPUTED_VALUE"""),295.1)</f>
        <v>295.1</v>
      </c>
      <c r="C544" s="6">
        <f>IFERROR(__xludf.DUMMYFUNCTION("""COMPUTED_VALUE"""),298.25)</f>
        <v>298.25</v>
      </c>
      <c r="D544" s="6">
        <f>IFERROR(__xludf.DUMMYFUNCTION("""COMPUTED_VALUE"""),291.3)</f>
        <v>291.3</v>
      </c>
      <c r="E544" s="6">
        <f>IFERROR(__xludf.DUMMYFUNCTION("""COMPUTED_VALUE"""),297.0)</f>
        <v>297</v>
      </c>
      <c r="F544" s="7">
        <f>IFERROR(__xludf.DUMMYFUNCTION("""COMPUTED_VALUE"""),9287638.0)</f>
        <v>9287638</v>
      </c>
      <c r="G544" s="7" t="str">
        <f>IFERROR(__xludf.DUMMYFUNCTION("""COMPUTED_VALUE"""),"BPCL.NS")</f>
        <v>BPCL.NS</v>
      </c>
      <c r="H544" s="8">
        <f t="shared" si="1"/>
        <v>0.006438495425</v>
      </c>
      <c r="I544" s="8">
        <f t="shared" si="2"/>
        <v>0.006438495425</v>
      </c>
      <c r="J544" s="7" t="str">
        <f t="shared" si="3"/>
        <v>Dec-2024</v>
      </c>
      <c r="K544" s="9">
        <f t="shared" si="4"/>
        <v>45627</v>
      </c>
      <c r="L544" s="7" t="str">
        <f t="shared" si="5"/>
        <v/>
      </c>
      <c r="M544" s="7" t="str">
        <f>IFERROR(__xludf.DUMMYFUNCTION("IFERROR(
  IF(
    F544 &gt;
    3*AVERAGE(
       FILTER($F$2:$F10491,
         $G$2:$G10491=G544,
         $A$2:$A10491&gt;=A544-20,
         $A$2:$A10491&lt;=A544
       )
    ),
    ""VOL_SPIKE_3X"",""""
  ),
"""")
"),"")</f>
        <v/>
      </c>
      <c r="N544" s="7" t="str">
        <f t="shared" si="6"/>
        <v/>
      </c>
      <c r="O544" s="7" t="str">
        <f t="shared" si="7"/>
        <v/>
      </c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>
        <f>IFERROR(__xludf.DUMMYFUNCTION("""COMPUTED_VALUE"""),45631.0)</f>
        <v>45631</v>
      </c>
      <c r="B545" s="6">
        <f>IFERROR(__xludf.DUMMYFUNCTION("""COMPUTED_VALUE"""),418.15)</f>
        <v>418.15</v>
      </c>
      <c r="C545" s="6">
        <f>IFERROR(__xludf.DUMMYFUNCTION("""COMPUTED_VALUE"""),421.25)</f>
        <v>421.25</v>
      </c>
      <c r="D545" s="6">
        <f>IFERROR(__xludf.DUMMYFUNCTION("""COMPUTED_VALUE"""),412.0)</f>
        <v>412</v>
      </c>
      <c r="E545" s="6">
        <f>IFERROR(__xludf.DUMMYFUNCTION("""COMPUTED_VALUE"""),418.4)</f>
        <v>418.4</v>
      </c>
      <c r="F545" s="7">
        <f>IFERROR(__xludf.DUMMYFUNCTION("""COMPUTED_VALUE"""),9500273.0)</f>
        <v>9500273</v>
      </c>
      <c r="G545" s="7" t="str">
        <f>IFERROR(__xludf.DUMMYFUNCTION("""COMPUTED_VALUE"""),"COALINDIA.NS")</f>
        <v>COALINDIA.NS</v>
      </c>
      <c r="H545" s="8">
        <f t="shared" si="1"/>
        <v>0.0005978715772</v>
      </c>
      <c r="I545" s="8">
        <f t="shared" si="2"/>
        <v>0.0005978715772</v>
      </c>
      <c r="J545" s="7" t="str">
        <f t="shared" si="3"/>
        <v>Dec-2024</v>
      </c>
      <c r="K545" s="9">
        <f t="shared" si="4"/>
        <v>45627</v>
      </c>
      <c r="L545" s="7" t="str">
        <f t="shared" si="5"/>
        <v/>
      </c>
      <c r="M545" s="7" t="str">
        <f>IFERROR(__xludf.DUMMYFUNCTION("IFERROR(
  IF(
    F545 &gt;
    3*AVERAGE(
       FILTER($F$2:$F10491,
         $G$2:$G10491=G545,
         $A$2:$A10491&gt;=A545-20,
         $A$2:$A10491&lt;=A545
       )
    ),
    ""VOL_SPIKE_3X"",""""
  ),
"""")
"),"")</f>
        <v/>
      </c>
      <c r="N545" s="7" t="str">
        <f t="shared" si="6"/>
        <v/>
      </c>
      <c r="O545" s="7" t="str">
        <f t="shared" si="7"/>
        <v/>
      </c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>
        <f>IFERROR(__xludf.DUMMYFUNCTION("""COMPUTED_VALUE"""),45631.0)</f>
        <v>45631</v>
      </c>
      <c r="B546" s="6">
        <f>IFERROR(__xludf.DUMMYFUNCTION("""COMPUTED_VALUE"""),390.5)</f>
        <v>390.5</v>
      </c>
      <c r="C546" s="6">
        <f>IFERROR(__xludf.DUMMYFUNCTION("""COMPUTED_VALUE"""),393.1)</f>
        <v>393.1</v>
      </c>
      <c r="D546" s="6">
        <f>IFERROR(__xludf.DUMMYFUNCTION("""COMPUTED_VALUE"""),384.5)</f>
        <v>384.5</v>
      </c>
      <c r="E546" s="6">
        <f>IFERROR(__xludf.DUMMYFUNCTION("""COMPUTED_VALUE"""),391.8)</f>
        <v>391.8</v>
      </c>
      <c r="F546" s="7">
        <f>IFERROR(__xludf.DUMMYFUNCTION("""COMPUTED_VALUE"""),3583458.0)</f>
        <v>3583458</v>
      </c>
      <c r="G546" s="7" t="str">
        <f>IFERROR(__xludf.DUMMYFUNCTION("""COMPUTED_VALUE"""),"HINDPETRO.NS")</f>
        <v>HINDPETRO.NS</v>
      </c>
      <c r="H546" s="8">
        <f t="shared" si="1"/>
        <v>0.003329065301</v>
      </c>
      <c r="I546" s="8">
        <f t="shared" si="2"/>
        <v>0.003329065301</v>
      </c>
      <c r="J546" s="7" t="str">
        <f t="shared" si="3"/>
        <v>Dec-2024</v>
      </c>
      <c r="K546" s="9">
        <f t="shared" si="4"/>
        <v>45627</v>
      </c>
      <c r="L546" s="7" t="str">
        <f t="shared" si="5"/>
        <v/>
      </c>
      <c r="M546" s="7" t="str">
        <f>IFERROR(__xludf.DUMMYFUNCTION("IFERROR(
  IF(
    F546 &gt;
    3*AVERAGE(
       FILTER($F$2:$F10491,
         $G$2:$G10491=G546,
         $A$2:$A10491&gt;=A546-20,
         $A$2:$A10491&lt;=A546
       )
    ),
    ""VOL_SPIKE_3X"",""""
  ),
"""")
"),"")</f>
        <v/>
      </c>
      <c r="N546" s="7" t="str">
        <f t="shared" si="6"/>
        <v/>
      </c>
      <c r="O546" s="7" t="str">
        <f t="shared" si="7"/>
        <v/>
      </c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>
        <f>IFERROR(__xludf.DUMMYFUNCTION("""COMPUTED_VALUE"""),45631.0)</f>
        <v>45631</v>
      </c>
      <c r="B547" s="6">
        <f>IFERROR(__xludf.DUMMYFUNCTION("""COMPUTED_VALUE"""),140.39)</f>
        <v>140.39</v>
      </c>
      <c r="C547" s="6">
        <f>IFERROR(__xludf.DUMMYFUNCTION("""COMPUTED_VALUE"""),140.39)</f>
        <v>140.39</v>
      </c>
      <c r="D547" s="6">
        <f>IFERROR(__xludf.DUMMYFUNCTION("""COMPUTED_VALUE"""),138.06)</f>
        <v>138.06</v>
      </c>
      <c r="E547" s="6">
        <f>IFERROR(__xludf.DUMMYFUNCTION("""COMPUTED_VALUE"""),139.44)</f>
        <v>139.44</v>
      </c>
      <c r="F547" s="7">
        <f>IFERROR(__xludf.DUMMYFUNCTION("""COMPUTED_VALUE"""),1.4056789E7)</f>
        <v>14056789</v>
      </c>
      <c r="G547" s="7" t="str">
        <f>IFERROR(__xludf.DUMMYFUNCTION("""COMPUTED_VALUE"""),"IOC.NS")</f>
        <v>IOC.NS</v>
      </c>
      <c r="H547" s="8">
        <f t="shared" si="1"/>
        <v>-0.006766863737</v>
      </c>
      <c r="I547" s="8">
        <f t="shared" si="2"/>
        <v>0.006766863737</v>
      </c>
      <c r="J547" s="7" t="str">
        <f t="shared" si="3"/>
        <v>Dec-2024</v>
      </c>
      <c r="K547" s="9">
        <f t="shared" si="4"/>
        <v>45627</v>
      </c>
      <c r="L547" s="7" t="str">
        <f t="shared" si="5"/>
        <v/>
      </c>
      <c r="M547" s="7" t="str">
        <f>IFERROR(__xludf.DUMMYFUNCTION("IFERROR(
  IF(
    F547 &gt;
    3*AVERAGE(
       FILTER($F$2:$F10491,
         $G$2:$G10491=G547,
         $A$2:$A10491&gt;=A547-20,
         $A$2:$A10491&lt;=A547
       )
    ),
    ""VOL_SPIKE_3X"",""""
  ),
"""")
"),"")</f>
        <v/>
      </c>
      <c r="N547" s="7" t="str">
        <f t="shared" si="6"/>
        <v/>
      </c>
      <c r="O547" s="7" t="str">
        <f t="shared" si="7"/>
        <v/>
      </c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>
        <f>IFERROR(__xludf.DUMMYFUNCTION("""COMPUTED_VALUE"""),45631.0)</f>
        <v>45631</v>
      </c>
      <c r="B548" s="6">
        <f>IFERROR(__xludf.DUMMYFUNCTION("""COMPUTED_VALUE"""),372.75)</f>
        <v>372.75</v>
      </c>
      <c r="C548" s="6">
        <f>IFERROR(__xludf.DUMMYFUNCTION("""COMPUTED_VALUE"""),373.95)</f>
        <v>373.95</v>
      </c>
      <c r="D548" s="6">
        <f>IFERROR(__xludf.DUMMYFUNCTION("""COMPUTED_VALUE"""),364.4)</f>
        <v>364.4</v>
      </c>
      <c r="E548" s="6">
        <f>IFERROR(__xludf.DUMMYFUNCTION("""COMPUTED_VALUE"""),369.15)</f>
        <v>369.15</v>
      </c>
      <c r="F548" s="7">
        <f>IFERROR(__xludf.DUMMYFUNCTION("""COMPUTED_VALUE"""),1.8758283E7)</f>
        <v>18758283</v>
      </c>
      <c r="G548" s="7" t="str">
        <f>IFERROR(__xludf.DUMMYFUNCTION("""COMPUTED_VALUE"""),"NTPC.NS")</f>
        <v>NTPC.NS</v>
      </c>
      <c r="H548" s="8">
        <f t="shared" si="1"/>
        <v>-0.009657947686</v>
      </c>
      <c r="I548" s="8">
        <f t="shared" si="2"/>
        <v>0.009657947686</v>
      </c>
      <c r="J548" s="7" t="str">
        <f t="shared" si="3"/>
        <v>Dec-2024</v>
      </c>
      <c r="K548" s="9">
        <f t="shared" si="4"/>
        <v>45627</v>
      </c>
      <c r="L548" s="7" t="str">
        <f t="shared" si="5"/>
        <v/>
      </c>
      <c r="M548" s="7" t="str">
        <f>IFERROR(__xludf.DUMMYFUNCTION("IFERROR(
  IF(
    F548 &gt;
    3*AVERAGE(
       FILTER($F$2:$F10491,
         $G$2:$G10491=G548,
         $A$2:$A10491&gt;=A548-20,
         $A$2:$A10491&lt;=A548
       )
    ),
    ""VOL_SPIKE_3X"",""""
  ),
"""")
"),"")</f>
        <v/>
      </c>
      <c r="N548" s="7" t="str">
        <f t="shared" si="6"/>
        <v/>
      </c>
      <c r="O548" s="7" t="str">
        <f t="shared" si="7"/>
        <v/>
      </c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>
        <f>IFERROR(__xludf.DUMMYFUNCTION("""COMPUTED_VALUE"""),45631.0)</f>
        <v>45631</v>
      </c>
      <c r="B549" s="6">
        <f>IFERROR(__xludf.DUMMYFUNCTION("""COMPUTED_VALUE"""),260.7)</f>
        <v>260.7</v>
      </c>
      <c r="C549" s="6">
        <f>IFERROR(__xludf.DUMMYFUNCTION("""COMPUTED_VALUE"""),263.25)</f>
        <v>263.25</v>
      </c>
      <c r="D549" s="6">
        <f>IFERROR(__xludf.DUMMYFUNCTION("""COMPUTED_VALUE"""),256.9)</f>
        <v>256.9</v>
      </c>
      <c r="E549" s="6">
        <f>IFERROR(__xludf.DUMMYFUNCTION("""COMPUTED_VALUE"""),261.3)</f>
        <v>261.3</v>
      </c>
      <c r="F549" s="7">
        <f>IFERROR(__xludf.DUMMYFUNCTION("""COMPUTED_VALUE"""),1.2896743E7)</f>
        <v>12896743</v>
      </c>
      <c r="G549" s="7" t="str">
        <f>IFERROR(__xludf.DUMMYFUNCTION("""COMPUTED_VALUE"""),"ONGC.NS")</f>
        <v>ONGC.NS</v>
      </c>
      <c r="H549" s="8">
        <f t="shared" si="1"/>
        <v>0.002301495972</v>
      </c>
      <c r="I549" s="8">
        <f t="shared" si="2"/>
        <v>0.002301495972</v>
      </c>
      <c r="J549" s="7" t="str">
        <f t="shared" si="3"/>
        <v>Dec-2024</v>
      </c>
      <c r="K549" s="9">
        <f t="shared" si="4"/>
        <v>45627</v>
      </c>
      <c r="L549" s="7" t="str">
        <f t="shared" si="5"/>
        <v/>
      </c>
      <c r="M549" s="7" t="str">
        <f>IFERROR(__xludf.DUMMYFUNCTION("IFERROR(
  IF(
    F549 &gt;
    3*AVERAGE(
       FILTER($F$2:$F10491,
         $G$2:$G10491=G549,
         $A$2:$A10491&gt;=A549-20,
         $A$2:$A10491&lt;=A549
       )
    ),
    ""VOL_SPIKE_3X"",""""
  ),
"""")
"),"")</f>
        <v/>
      </c>
      <c r="N549" s="7" t="str">
        <f t="shared" si="6"/>
        <v/>
      </c>
      <c r="O549" s="7" t="str">
        <f t="shared" si="7"/>
        <v/>
      </c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>
        <f>IFERROR(__xludf.DUMMYFUNCTION("""COMPUTED_VALUE"""),45631.0)</f>
        <v>45631</v>
      </c>
      <c r="B550" s="6">
        <f>IFERROR(__xludf.DUMMYFUNCTION("""COMPUTED_VALUE"""),325.0)</f>
        <v>325</v>
      </c>
      <c r="C550" s="6">
        <f>IFERROR(__xludf.DUMMYFUNCTION("""COMPUTED_VALUE"""),330.45)</f>
        <v>330.45</v>
      </c>
      <c r="D550" s="6">
        <f>IFERROR(__xludf.DUMMYFUNCTION("""COMPUTED_VALUE"""),319.55)</f>
        <v>319.55</v>
      </c>
      <c r="E550" s="6">
        <f>IFERROR(__xludf.DUMMYFUNCTION("""COMPUTED_VALUE"""),328.35)</f>
        <v>328.35</v>
      </c>
      <c r="F550" s="7">
        <f>IFERROR(__xludf.DUMMYFUNCTION("""COMPUTED_VALUE"""),1.9785053E7)</f>
        <v>19785053</v>
      </c>
      <c r="G550" s="7" t="str">
        <f>IFERROR(__xludf.DUMMYFUNCTION("""COMPUTED_VALUE"""),"POWERGRID.NS")</f>
        <v>POWERGRID.NS</v>
      </c>
      <c r="H550" s="8">
        <f t="shared" si="1"/>
        <v>0.01030769231</v>
      </c>
      <c r="I550" s="8">
        <f t="shared" si="2"/>
        <v>0.01030769231</v>
      </c>
      <c r="J550" s="7" t="str">
        <f t="shared" si="3"/>
        <v>Dec-2024</v>
      </c>
      <c r="K550" s="9">
        <f t="shared" si="4"/>
        <v>45627</v>
      </c>
      <c r="L550" s="7" t="str">
        <f t="shared" si="5"/>
        <v/>
      </c>
      <c r="M550" s="7" t="str">
        <f>IFERROR(__xludf.DUMMYFUNCTION("IFERROR(
  IF(
    F550 &gt;
    3*AVERAGE(
       FILTER($F$2:$F10491,
         $G$2:$G10491=G550,
         $A$2:$A10491&gt;=A550-20,
         $A$2:$A10491&lt;=A550
       )
    ),
    ""VOL_SPIKE_3X"",""""
  ),
"""")
"),"")</f>
        <v/>
      </c>
      <c r="N550" s="7" t="str">
        <f t="shared" si="6"/>
        <v/>
      </c>
      <c r="O550" s="7" t="str">
        <f t="shared" si="7"/>
        <v/>
      </c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>
        <f>IFERROR(__xludf.DUMMYFUNCTION("""COMPUTED_VALUE"""),45631.0)</f>
        <v>45631</v>
      </c>
      <c r="B551" s="6">
        <f>IFERROR(__xludf.DUMMYFUNCTION("""COMPUTED_VALUE"""),1314.35)</f>
        <v>1314.35</v>
      </c>
      <c r="C551" s="6">
        <f>IFERROR(__xludf.DUMMYFUNCTION("""COMPUTED_VALUE"""),1329.95)</f>
        <v>1329.95</v>
      </c>
      <c r="D551" s="6">
        <f>IFERROR(__xludf.DUMMYFUNCTION("""COMPUTED_VALUE"""),1306.15)</f>
        <v>1306.15</v>
      </c>
      <c r="E551" s="6">
        <f>IFERROR(__xludf.DUMMYFUNCTION("""COMPUTED_VALUE"""),1322.05)</f>
        <v>1322.05</v>
      </c>
      <c r="F551" s="7">
        <f>IFERROR(__xludf.DUMMYFUNCTION("""COMPUTED_VALUE"""),1.6858723E7)</f>
        <v>16858723</v>
      </c>
      <c r="G551" s="7" t="str">
        <f>IFERROR(__xludf.DUMMYFUNCTION("""COMPUTED_VALUE"""),"RELIANCE.NS")</f>
        <v>RELIANCE.NS</v>
      </c>
      <c r="H551" s="8">
        <f t="shared" si="1"/>
        <v>0.0058584091</v>
      </c>
      <c r="I551" s="8">
        <f t="shared" si="2"/>
        <v>0.0058584091</v>
      </c>
      <c r="J551" s="7" t="str">
        <f t="shared" si="3"/>
        <v>Dec-2024</v>
      </c>
      <c r="K551" s="9">
        <f t="shared" si="4"/>
        <v>45627</v>
      </c>
      <c r="L551" s="7" t="str">
        <f t="shared" si="5"/>
        <v/>
      </c>
      <c r="M551" s="7" t="str">
        <f>IFERROR(__xludf.DUMMYFUNCTION("IFERROR(
  IF(
    F551 &gt;
    3*AVERAGE(
       FILTER($F$2:$F10491,
         $G$2:$G10491=G551,
         $A$2:$A10491&gt;=A551-20,
         $A$2:$A10491&lt;=A551
       )
    ),
    ""VOL_SPIKE_3X"",""""
  ),
"""")
"),"")</f>
        <v/>
      </c>
      <c r="N551" s="7" t="str">
        <f t="shared" si="6"/>
        <v/>
      </c>
      <c r="O551" s="7" t="str">
        <f t="shared" si="7"/>
        <v/>
      </c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>
        <f>IFERROR(__xludf.DUMMYFUNCTION("""COMPUTED_VALUE"""),45632.0)</f>
        <v>45632</v>
      </c>
      <c r="B552" s="6">
        <f>IFERROR(__xludf.DUMMYFUNCTION("""COMPUTED_VALUE"""),826.0)</f>
        <v>826</v>
      </c>
      <c r="C552" s="6">
        <f>IFERROR(__xludf.DUMMYFUNCTION("""COMPUTED_VALUE"""),830.0)</f>
        <v>830</v>
      </c>
      <c r="D552" s="6">
        <f>IFERROR(__xludf.DUMMYFUNCTION("""COMPUTED_VALUE"""),805.3)</f>
        <v>805.3</v>
      </c>
      <c r="E552" s="6">
        <f>IFERROR(__xludf.DUMMYFUNCTION("""COMPUTED_VALUE"""),808.35)</f>
        <v>808.35</v>
      </c>
      <c r="F552" s="7">
        <f>IFERROR(__xludf.DUMMYFUNCTION("""COMPUTED_VALUE"""),1763438.0)</f>
        <v>1763438</v>
      </c>
      <c r="G552" s="7" t="str">
        <f>IFERROR(__xludf.DUMMYFUNCTION("""COMPUTED_VALUE"""),"ADANIENSOL.NS")</f>
        <v>ADANIENSOL.NS</v>
      </c>
      <c r="H552" s="8">
        <f t="shared" si="1"/>
        <v>-0.02136803874</v>
      </c>
      <c r="I552" s="8">
        <f t="shared" si="2"/>
        <v>0.02136803874</v>
      </c>
      <c r="J552" s="7" t="str">
        <f t="shared" si="3"/>
        <v>Dec-2024</v>
      </c>
      <c r="K552" s="9">
        <f t="shared" si="4"/>
        <v>45627</v>
      </c>
      <c r="L552" s="7" t="str">
        <f t="shared" si="5"/>
        <v/>
      </c>
      <c r="M552" s="7" t="str">
        <f>IFERROR(__xludf.DUMMYFUNCTION("IFERROR(
  IF(
    F552 &gt;
    3*AVERAGE(
       FILTER($F$2:$F10491,
         $G$2:$G10491=G552,
         $A$2:$A10491&gt;=A552-20,
         $A$2:$A10491&lt;=A552
       )
    ),
    ""VOL_SPIKE_3X"",""""
  ),
"""")
"),"")</f>
        <v/>
      </c>
      <c r="N552" s="7" t="str">
        <f t="shared" si="6"/>
        <v/>
      </c>
      <c r="O552" s="7" t="str">
        <f t="shared" si="7"/>
        <v/>
      </c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>
        <f>IFERROR(__xludf.DUMMYFUNCTION("""COMPUTED_VALUE"""),45632.0)</f>
        <v>45632</v>
      </c>
      <c r="B553" s="6">
        <f>IFERROR(__xludf.DUMMYFUNCTION("""COMPUTED_VALUE"""),1236.05)</f>
        <v>1236.05</v>
      </c>
      <c r="C553" s="6">
        <f>IFERROR(__xludf.DUMMYFUNCTION("""COMPUTED_VALUE"""),1266.85)</f>
        <v>1266.85</v>
      </c>
      <c r="D553" s="6">
        <f>IFERROR(__xludf.DUMMYFUNCTION("""COMPUTED_VALUE"""),1205.15)</f>
        <v>1205.15</v>
      </c>
      <c r="E553" s="6">
        <f>IFERROR(__xludf.DUMMYFUNCTION("""COMPUTED_VALUE"""),1210.65)</f>
        <v>1210.65</v>
      </c>
      <c r="F553" s="7">
        <f>IFERROR(__xludf.DUMMYFUNCTION("""COMPUTED_VALUE"""),3815815.0)</f>
        <v>3815815</v>
      </c>
      <c r="G553" s="7" t="str">
        <f>IFERROR(__xludf.DUMMYFUNCTION("""COMPUTED_VALUE"""),"ADANIGREEN.NS")</f>
        <v>ADANIGREEN.NS</v>
      </c>
      <c r="H553" s="8">
        <f t="shared" si="1"/>
        <v>-0.02054933053</v>
      </c>
      <c r="I553" s="8">
        <f t="shared" si="2"/>
        <v>0.02054933053</v>
      </c>
      <c r="J553" s="7" t="str">
        <f t="shared" si="3"/>
        <v>Dec-2024</v>
      </c>
      <c r="K553" s="9">
        <f t="shared" si="4"/>
        <v>45627</v>
      </c>
      <c r="L553" s="7" t="str">
        <f t="shared" si="5"/>
        <v/>
      </c>
      <c r="M553" s="7" t="str">
        <f>IFERROR(__xludf.DUMMYFUNCTION("IFERROR(
  IF(
    F553 &gt;
    3*AVERAGE(
       FILTER($F$2:$F10491,
         $G$2:$G10491=G553,
         $A$2:$A10491&gt;=A553-20,
         $A$2:$A10491&lt;=A553
       )
    ),
    ""VOL_SPIKE_3X"",""""
  ),
"""")
"),"")</f>
        <v/>
      </c>
      <c r="N553" s="7" t="str">
        <f t="shared" si="6"/>
        <v/>
      </c>
      <c r="O553" s="7" t="str">
        <f t="shared" si="7"/>
        <v/>
      </c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>
        <f>IFERROR(__xludf.DUMMYFUNCTION("""COMPUTED_VALUE"""),45632.0)</f>
        <v>45632</v>
      </c>
      <c r="B554" s="6">
        <f>IFERROR(__xludf.DUMMYFUNCTION("""COMPUTED_VALUE"""),297.9)</f>
        <v>297.9</v>
      </c>
      <c r="C554" s="6">
        <f>IFERROR(__xludf.DUMMYFUNCTION("""COMPUTED_VALUE"""),303.9)</f>
        <v>303.9</v>
      </c>
      <c r="D554" s="6">
        <f>IFERROR(__xludf.DUMMYFUNCTION("""COMPUTED_VALUE"""),296.4)</f>
        <v>296.4</v>
      </c>
      <c r="E554" s="6">
        <f>IFERROR(__xludf.DUMMYFUNCTION("""COMPUTED_VALUE"""),300.35)</f>
        <v>300.35</v>
      </c>
      <c r="F554" s="7">
        <f>IFERROR(__xludf.DUMMYFUNCTION("""COMPUTED_VALUE"""),9586531.0)</f>
        <v>9586531</v>
      </c>
      <c r="G554" s="7" t="str">
        <f>IFERROR(__xludf.DUMMYFUNCTION("""COMPUTED_VALUE"""),"BPCL.NS")</f>
        <v>BPCL.NS</v>
      </c>
      <c r="H554" s="8">
        <f t="shared" si="1"/>
        <v>0.008224236321</v>
      </c>
      <c r="I554" s="8">
        <f t="shared" si="2"/>
        <v>0.008224236321</v>
      </c>
      <c r="J554" s="7" t="str">
        <f t="shared" si="3"/>
        <v>Dec-2024</v>
      </c>
      <c r="K554" s="9">
        <f t="shared" si="4"/>
        <v>45627</v>
      </c>
      <c r="L554" s="7" t="str">
        <f t="shared" si="5"/>
        <v/>
      </c>
      <c r="M554" s="7" t="str">
        <f>IFERROR(__xludf.DUMMYFUNCTION("IFERROR(
  IF(
    F554 &gt;
    3*AVERAGE(
       FILTER($F$2:$F10491,
         $G$2:$G10491=G554,
         $A$2:$A10491&gt;=A554-20,
         $A$2:$A10491&lt;=A554
       )
    ),
    ""VOL_SPIKE_3X"",""""
  ),
"""")
"),"")</f>
        <v/>
      </c>
      <c r="N554" s="7" t="str">
        <f t="shared" si="6"/>
        <v/>
      </c>
      <c r="O554" s="7" t="str">
        <f t="shared" si="7"/>
        <v/>
      </c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>
        <f>IFERROR(__xludf.DUMMYFUNCTION("""COMPUTED_VALUE"""),45632.0)</f>
        <v>45632</v>
      </c>
      <c r="B555" s="6">
        <f>IFERROR(__xludf.DUMMYFUNCTION("""COMPUTED_VALUE"""),420.0)</f>
        <v>420</v>
      </c>
      <c r="C555" s="6">
        <f>IFERROR(__xludf.DUMMYFUNCTION("""COMPUTED_VALUE"""),421.5)</f>
        <v>421.5</v>
      </c>
      <c r="D555" s="6">
        <f>IFERROR(__xludf.DUMMYFUNCTION("""COMPUTED_VALUE"""),416.4)</f>
        <v>416.4</v>
      </c>
      <c r="E555" s="6">
        <f>IFERROR(__xludf.DUMMYFUNCTION("""COMPUTED_VALUE"""),417.15)</f>
        <v>417.15</v>
      </c>
      <c r="F555" s="7">
        <f>IFERROR(__xludf.DUMMYFUNCTION("""COMPUTED_VALUE"""),4252732.0)</f>
        <v>4252732</v>
      </c>
      <c r="G555" s="7" t="str">
        <f>IFERROR(__xludf.DUMMYFUNCTION("""COMPUTED_VALUE"""),"COALINDIA.NS")</f>
        <v>COALINDIA.NS</v>
      </c>
      <c r="H555" s="8">
        <f t="shared" si="1"/>
        <v>-0.006785714286</v>
      </c>
      <c r="I555" s="8">
        <f t="shared" si="2"/>
        <v>0.006785714286</v>
      </c>
      <c r="J555" s="7" t="str">
        <f t="shared" si="3"/>
        <v>Dec-2024</v>
      </c>
      <c r="K555" s="9">
        <f t="shared" si="4"/>
        <v>45627</v>
      </c>
      <c r="L555" s="7" t="str">
        <f t="shared" si="5"/>
        <v/>
      </c>
      <c r="M555" s="7" t="str">
        <f>IFERROR(__xludf.DUMMYFUNCTION("IFERROR(
  IF(
    F555 &gt;
    3*AVERAGE(
       FILTER($F$2:$F10491,
         $G$2:$G10491=G555,
         $A$2:$A10491&gt;=A555-20,
         $A$2:$A10491&lt;=A555
       )
    ),
    ""VOL_SPIKE_3X"",""""
  ),
"""")
"),"")</f>
        <v/>
      </c>
      <c r="N555" s="7" t="str">
        <f t="shared" si="6"/>
        <v/>
      </c>
      <c r="O555" s="7" t="str">
        <f t="shared" si="7"/>
        <v/>
      </c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>
        <f>IFERROR(__xludf.DUMMYFUNCTION("""COMPUTED_VALUE"""),45632.0)</f>
        <v>45632</v>
      </c>
      <c r="B556" s="6">
        <f>IFERROR(__xludf.DUMMYFUNCTION("""COMPUTED_VALUE"""),393.85)</f>
        <v>393.85</v>
      </c>
      <c r="C556" s="6">
        <f>IFERROR(__xludf.DUMMYFUNCTION("""COMPUTED_VALUE"""),402.25)</f>
        <v>402.25</v>
      </c>
      <c r="D556" s="6">
        <f>IFERROR(__xludf.DUMMYFUNCTION("""COMPUTED_VALUE"""),392.05)</f>
        <v>392.05</v>
      </c>
      <c r="E556" s="6">
        <f>IFERROR(__xludf.DUMMYFUNCTION("""COMPUTED_VALUE"""),399.2)</f>
        <v>399.2</v>
      </c>
      <c r="F556" s="7">
        <f>IFERROR(__xludf.DUMMYFUNCTION("""COMPUTED_VALUE"""),8107943.0)</f>
        <v>8107943</v>
      </c>
      <c r="G556" s="7" t="str">
        <f>IFERROR(__xludf.DUMMYFUNCTION("""COMPUTED_VALUE"""),"HINDPETRO.NS")</f>
        <v>HINDPETRO.NS</v>
      </c>
      <c r="H556" s="8">
        <f t="shared" si="1"/>
        <v>0.01358385172</v>
      </c>
      <c r="I556" s="8">
        <f t="shared" si="2"/>
        <v>0.01358385172</v>
      </c>
      <c r="J556" s="7" t="str">
        <f t="shared" si="3"/>
        <v>Dec-2024</v>
      </c>
      <c r="K556" s="9">
        <f t="shared" si="4"/>
        <v>45627</v>
      </c>
      <c r="L556" s="7" t="str">
        <f t="shared" si="5"/>
        <v/>
      </c>
      <c r="M556" s="7" t="str">
        <f>IFERROR(__xludf.DUMMYFUNCTION("IFERROR(
  IF(
    F556 &gt;
    3*AVERAGE(
       FILTER($F$2:$F10491,
         $G$2:$G10491=G556,
         $A$2:$A10491&gt;=A556-20,
         $A$2:$A10491&lt;=A556
       )
    ),
    ""VOL_SPIKE_3X"",""""
  ),
"""")
"),"")</f>
        <v/>
      </c>
      <c r="N556" s="7" t="str">
        <f t="shared" si="6"/>
        <v/>
      </c>
      <c r="O556" s="7" t="str">
        <f t="shared" si="7"/>
        <v/>
      </c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>
        <f>IFERROR(__xludf.DUMMYFUNCTION("""COMPUTED_VALUE"""),45632.0)</f>
        <v>45632</v>
      </c>
      <c r="B557" s="6">
        <f>IFERROR(__xludf.DUMMYFUNCTION("""COMPUTED_VALUE"""),140.65)</f>
        <v>140.65</v>
      </c>
      <c r="C557" s="6">
        <f>IFERROR(__xludf.DUMMYFUNCTION("""COMPUTED_VALUE"""),143.54)</f>
        <v>143.54</v>
      </c>
      <c r="D557" s="6">
        <f>IFERROR(__xludf.DUMMYFUNCTION("""COMPUTED_VALUE"""),140.3)</f>
        <v>140.3</v>
      </c>
      <c r="E557" s="6">
        <f>IFERROR(__xludf.DUMMYFUNCTION("""COMPUTED_VALUE"""),141.96)</f>
        <v>141.96</v>
      </c>
      <c r="F557" s="7">
        <f>IFERROR(__xludf.DUMMYFUNCTION("""COMPUTED_VALUE"""),2.0687458E7)</f>
        <v>20687458</v>
      </c>
      <c r="G557" s="7" t="str">
        <f>IFERROR(__xludf.DUMMYFUNCTION("""COMPUTED_VALUE"""),"IOC.NS")</f>
        <v>IOC.NS</v>
      </c>
      <c r="H557" s="8">
        <f t="shared" si="1"/>
        <v>0.009313899751</v>
      </c>
      <c r="I557" s="8">
        <f t="shared" si="2"/>
        <v>0.009313899751</v>
      </c>
      <c r="J557" s="7" t="str">
        <f t="shared" si="3"/>
        <v>Dec-2024</v>
      </c>
      <c r="K557" s="9">
        <f t="shared" si="4"/>
        <v>45627</v>
      </c>
      <c r="L557" s="7" t="str">
        <f t="shared" si="5"/>
        <v/>
      </c>
      <c r="M557" s="7" t="str">
        <f>IFERROR(__xludf.DUMMYFUNCTION("IFERROR(
  IF(
    F557 &gt;
    3*AVERAGE(
       FILTER($F$2:$F10491,
         $G$2:$G10491=G557,
         $A$2:$A10491&gt;=A557-20,
         $A$2:$A10491&lt;=A557
       )
    ),
    ""VOL_SPIKE_3X"",""""
  ),
"""")
"),"")</f>
        <v/>
      </c>
      <c r="N557" s="7" t="str">
        <f t="shared" si="6"/>
        <v/>
      </c>
      <c r="O557" s="7" t="str">
        <f t="shared" si="7"/>
        <v/>
      </c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>
        <f>IFERROR(__xludf.DUMMYFUNCTION("""COMPUTED_VALUE"""),45632.0)</f>
        <v>45632</v>
      </c>
      <c r="B558" s="6">
        <f>IFERROR(__xludf.DUMMYFUNCTION("""COMPUTED_VALUE"""),369.45)</f>
        <v>369.45</v>
      </c>
      <c r="C558" s="6">
        <f>IFERROR(__xludf.DUMMYFUNCTION("""COMPUTED_VALUE"""),371.2)</f>
        <v>371.2</v>
      </c>
      <c r="D558" s="6">
        <f>IFERROR(__xludf.DUMMYFUNCTION("""COMPUTED_VALUE"""),368.05)</f>
        <v>368.05</v>
      </c>
      <c r="E558" s="6">
        <f>IFERROR(__xludf.DUMMYFUNCTION("""COMPUTED_VALUE"""),369.5)</f>
        <v>369.5</v>
      </c>
      <c r="F558" s="7">
        <f>IFERROR(__xludf.DUMMYFUNCTION("""COMPUTED_VALUE"""),9736086.0)</f>
        <v>9736086</v>
      </c>
      <c r="G558" s="7" t="str">
        <f>IFERROR(__xludf.DUMMYFUNCTION("""COMPUTED_VALUE"""),"NTPC.NS")</f>
        <v>NTPC.NS</v>
      </c>
      <c r="H558" s="8">
        <f t="shared" si="1"/>
        <v>0.0001353363107</v>
      </c>
      <c r="I558" s="8">
        <f t="shared" si="2"/>
        <v>0.0001353363107</v>
      </c>
      <c r="J558" s="7" t="str">
        <f t="shared" si="3"/>
        <v>Dec-2024</v>
      </c>
      <c r="K558" s="9">
        <f t="shared" si="4"/>
        <v>45627</v>
      </c>
      <c r="L558" s="7" t="str">
        <f t="shared" si="5"/>
        <v/>
      </c>
      <c r="M558" s="7" t="str">
        <f>IFERROR(__xludf.DUMMYFUNCTION("IFERROR(
  IF(
    F558 &gt;
    3*AVERAGE(
       FILTER($F$2:$F10491,
         $G$2:$G10491=G558,
         $A$2:$A10491&gt;=A558-20,
         $A$2:$A10491&lt;=A558
       )
    ),
    ""VOL_SPIKE_3X"",""""
  ),
"""")
"),"")</f>
        <v/>
      </c>
      <c r="N558" s="7" t="str">
        <f t="shared" si="6"/>
        <v/>
      </c>
      <c r="O558" s="7" t="str">
        <f t="shared" si="7"/>
        <v/>
      </c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>
        <f>IFERROR(__xludf.DUMMYFUNCTION("""COMPUTED_VALUE"""),45632.0)</f>
        <v>45632</v>
      </c>
      <c r="B559" s="6">
        <f>IFERROR(__xludf.DUMMYFUNCTION("""COMPUTED_VALUE"""),260.8)</f>
        <v>260.8</v>
      </c>
      <c r="C559" s="6">
        <f>IFERROR(__xludf.DUMMYFUNCTION("""COMPUTED_VALUE"""),263.0)</f>
        <v>263</v>
      </c>
      <c r="D559" s="6">
        <f>IFERROR(__xludf.DUMMYFUNCTION("""COMPUTED_VALUE"""),259.55)</f>
        <v>259.55</v>
      </c>
      <c r="E559" s="6">
        <f>IFERROR(__xludf.DUMMYFUNCTION("""COMPUTED_VALUE"""),260.05)</f>
        <v>260.05</v>
      </c>
      <c r="F559" s="7">
        <f>IFERROR(__xludf.DUMMYFUNCTION("""COMPUTED_VALUE"""),8783386.0)</f>
        <v>8783386</v>
      </c>
      <c r="G559" s="7" t="str">
        <f>IFERROR(__xludf.DUMMYFUNCTION("""COMPUTED_VALUE"""),"ONGC.NS")</f>
        <v>ONGC.NS</v>
      </c>
      <c r="H559" s="8">
        <f t="shared" si="1"/>
        <v>-0.002875766871</v>
      </c>
      <c r="I559" s="8">
        <f t="shared" si="2"/>
        <v>0.002875766871</v>
      </c>
      <c r="J559" s="7" t="str">
        <f t="shared" si="3"/>
        <v>Dec-2024</v>
      </c>
      <c r="K559" s="9">
        <f t="shared" si="4"/>
        <v>45627</v>
      </c>
      <c r="L559" s="7" t="str">
        <f t="shared" si="5"/>
        <v/>
      </c>
      <c r="M559" s="7" t="str">
        <f>IFERROR(__xludf.DUMMYFUNCTION("IFERROR(
  IF(
    F559 &gt;
    3*AVERAGE(
       FILTER($F$2:$F10491,
         $G$2:$G10491=G559,
         $A$2:$A10491&gt;=A559-20,
         $A$2:$A10491&lt;=A559
       )
    ),
    ""VOL_SPIKE_3X"",""""
  ),
"""")
"),"")</f>
        <v/>
      </c>
      <c r="N559" s="7" t="str">
        <f t="shared" si="6"/>
        <v/>
      </c>
      <c r="O559" s="7" t="str">
        <f t="shared" si="7"/>
        <v/>
      </c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>
        <f>IFERROR(__xludf.DUMMYFUNCTION("""COMPUTED_VALUE"""),45632.0)</f>
        <v>45632</v>
      </c>
      <c r="B560" s="6">
        <f>IFERROR(__xludf.DUMMYFUNCTION("""COMPUTED_VALUE"""),327.1)</f>
        <v>327.1</v>
      </c>
      <c r="C560" s="6">
        <f>IFERROR(__xludf.DUMMYFUNCTION("""COMPUTED_VALUE"""),332.75)</f>
        <v>332.75</v>
      </c>
      <c r="D560" s="6">
        <f>IFERROR(__xludf.DUMMYFUNCTION("""COMPUTED_VALUE"""),326.7)</f>
        <v>326.7</v>
      </c>
      <c r="E560" s="6">
        <f>IFERROR(__xludf.DUMMYFUNCTION("""COMPUTED_VALUE"""),328.9)</f>
        <v>328.9</v>
      </c>
      <c r="F560" s="7">
        <f>IFERROR(__xludf.DUMMYFUNCTION("""COMPUTED_VALUE"""),8802058.0)</f>
        <v>8802058</v>
      </c>
      <c r="G560" s="7" t="str">
        <f>IFERROR(__xludf.DUMMYFUNCTION("""COMPUTED_VALUE"""),"POWERGRID.NS")</f>
        <v>POWERGRID.NS</v>
      </c>
      <c r="H560" s="8">
        <f t="shared" si="1"/>
        <v>0.005502904311</v>
      </c>
      <c r="I560" s="8">
        <f t="shared" si="2"/>
        <v>0.005502904311</v>
      </c>
      <c r="J560" s="7" t="str">
        <f t="shared" si="3"/>
        <v>Dec-2024</v>
      </c>
      <c r="K560" s="9">
        <f t="shared" si="4"/>
        <v>45627</v>
      </c>
      <c r="L560" s="7" t="str">
        <f t="shared" si="5"/>
        <v/>
      </c>
      <c r="M560" s="7" t="str">
        <f>IFERROR(__xludf.DUMMYFUNCTION("IFERROR(
  IF(
    F560 &gt;
    3*AVERAGE(
       FILTER($F$2:$F10491,
         $G$2:$G10491=G560,
         $A$2:$A10491&gt;=A560-20,
         $A$2:$A10491&lt;=A560
       )
    ),
    ""VOL_SPIKE_3X"",""""
  ),
"""")
"),"")</f>
        <v/>
      </c>
      <c r="N560" s="7" t="str">
        <f t="shared" si="6"/>
        <v/>
      </c>
      <c r="O560" s="7" t="str">
        <f t="shared" si="7"/>
        <v/>
      </c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>
        <f>IFERROR(__xludf.DUMMYFUNCTION("""COMPUTED_VALUE"""),45632.0)</f>
        <v>45632</v>
      </c>
      <c r="B561" s="6">
        <f>IFERROR(__xludf.DUMMYFUNCTION("""COMPUTED_VALUE"""),1323.9)</f>
        <v>1323.9</v>
      </c>
      <c r="C561" s="6">
        <f>IFERROR(__xludf.DUMMYFUNCTION("""COMPUTED_VALUE"""),1323.9)</f>
        <v>1323.9</v>
      </c>
      <c r="D561" s="6">
        <f>IFERROR(__xludf.DUMMYFUNCTION("""COMPUTED_VALUE"""),1310.0)</f>
        <v>1310</v>
      </c>
      <c r="E561" s="6">
        <f>IFERROR(__xludf.DUMMYFUNCTION("""COMPUTED_VALUE"""),1311.55)</f>
        <v>1311.55</v>
      </c>
      <c r="F561" s="7">
        <f>IFERROR(__xludf.DUMMYFUNCTION("""COMPUTED_VALUE"""),9037514.0)</f>
        <v>9037514</v>
      </c>
      <c r="G561" s="7" t="str">
        <f>IFERROR(__xludf.DUMMYFUNCTION("""COMPUTED_VALUE"""),"RELIANCE.NS")</f>
        <v>RELIANCE.NS</v>
      </c>
      <c r="H561" s="8">
        <f t="shared" si="1"/>
        <v>-0.009328499131</v>
      </c>
      <c r="I561" s="8">
        <f t="shared" si="2"/>
        <v>0.009328499131</v>
      </c>
      <c r="J561" s="7" t="str">
        <f t="shared" si="3"/>
        <v>Dec-2024</v>
      </c>
      <c r="K561" s="9">
        <f t="shared" si="4"/>
        <v>45627</v>
      </c>
      <c r="L561" s="7" t="str">
        <f t="shared" si="5"/>
        <v/>
      </c>
      <c r="M561" s="7" t="str">
        <f>IFERROR(__xludf.DUMMYFUNCTION("IFERROR(
  IF(
    F561 &gt;
    3*AVERAGE(
       FILTER($F$2:$F10491,
         $G$2:$G10491=G561,
         $A$2:$A10491&gt;=A561-20,
         $A$2:$A10491&lt;=A561
       )
    ),
    ""VOL_SPIKE_3X"",""""
  ),
"""")
"),"")</f>
        <v/>
      </c>
      <c r="N561" s="7" t="str">
        <f t="shared" si="6"/>
        <v/>
      </c>
      <c r="O561" s="7" t="str">
        <f t="shared" si="7"/>
        <v/>
      </c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>
        <f>IFERROR(__xludf.DUMMYFUNCTION("""COMPUTED_VALUE"""),45635.0)</f>
        <v>45635</v>
      </c>
      <c r="B562" s="6">
        <f>IFERROR(__xludf.DUMMYFUNCTION("""COMPUTED_VALUE"""),808.35)</f>
        <v>808.35</v>
      </c>
      <c r="C562" s="6">
        <f>IFERROR(__xludf.DUMMYFUNCTION("""COMPUTED_VALUE"""),814.0)</f>
        <v>814</v>
      </c>
      <c r="D562" s="6">
        <f>IFERROR(__xludf.DUMMYFUNCTION("""COMPUTED_VALUE"""),797.0)</f>
        <v>797</v>
      </c>
      <c r="E562" s="6">
        <f>IFERROR(__xludf.DUMMYFUNCTION("""COMPUTED_VALUE"""),803.45)</f>
        <v>803.45</v>
      </c>
      <c r="F562" s="7">
        <f>IFERROR(__xludf.DUMMYFUNCTION("""COMPUTED_VALUE"""),1461945.0)</f>
        <v>1461945</v>
      </c>
      <c r="G562" s="7" t="str">
        <f>IFERROR(__xludf.DUMMYFUNCTION("""COMPUTED_VALUE"""),"ADANIENSOL.NS")</f>
        <v>ADANIENSOL.NS</v>
      </c>
      <c r="H562" s="8">
        <f t="shared" si="1"/>
        <v>-0.006061730686</v>
      </c>
      <c r="I562" s="8">
        <f t="shared" si="2"/>
        <v>0.006061730686</v>
      </c>
      <c r="J562" s="7" t="str">
        <f t="shared" si="3"/>
        <v>Dec-2024</v>
      </c>
      <c r="K562" s="9">
        <f t="shared" si="4"/>
        <v>45627</v>
      </c>
      <c r="L562" s="7" t="str">
        <f t="shared" si="5"/>
        <v/>
      </c>
      <c r="M562" s="7" t="str">
        <f>IFERROR(__xludf.DUMMYFUNCTION("IFERROR(
  IF(
    F562 &gt;
    3*AVERAGE(
       FILTER($F$2:$F10491,
         $G$2:$G10491=G562,
         $A$2:$A10491&gt;=A562-20,
         $A$2:$A10491&lt;=A562
       )
    ),
    ""VOL_SPIKE_3X"",""""
  ),
"""")
"),"")</f>
        <v/>
      </c>
      <c r="N562" s="7" t="str">
        <f t="shared" si="6"/>
        <v/>
      </c>
      <c r="O562" s="7" t="str">
        <f t="shared" si="7"/>
        <v/>
      </c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>
        <f>IFERROR(__xludf.DUMMYFUNCTION("""COMPUTED_VALUE"""),45635.0)</f>
        <v>45635</v>
      </c>
      <c r="B563" s="6">
        <f>IFERROR(__xludf.DUMMYFUNCTION("""COMPUTED_VALUE"""),1210.65)</f>
        <v>1210.65</v>
      </c>
      <c r="C563" s="6">
        <f>IFERROR(__xludf.DUMMYFUNCTION("""COMPUTED_VALUE"""),1236.0)</f>
        <v>1236</v>
      </c>
      <c r="D563" s="6">
        <f>IFERROR(__xludf.DUMMYFUNCTION("""COMPUTED_VALUE"""),1180.0)</f>
        <v>1180</v>
      </c>
      <c r="E563" s="6">
        <f>IFERROR(__xludf.DUMMYFUNCTION("""COMPUTED_VALUE"""),1216.95)</f>
        <v>1216.95</v>
      </c>
      <c r="F563" s="7">
        <f>IFERROR(__xludf.DUMMYFUNCTION("""COMPUTED_VALUE"""),3505936.0)</f>
        <v>3505936</v>
      </c>
      <c r="G563" s="7" t="str">
        <f>IFERROR(__xludf.DUMMYFUNCTION("""COMPUTED_VALUE"""),"ADANIGREEN.NS")</f>
        <v>ADANIGREEN.NS</v>
      </c>
      <c r="H563" s="8">
        <f t="shared" si="1"/>
        <v>0.005203816132</v>
      </c>
      <c r="I563" s="8">
        <f t="shared" si="2"/>
        <v>0.005203816132</v>
      </c>
      <c r="J563" s="7" t="str">
        <f t="shared" si="3"/>
        <v>Dec-2024</v>
      </c>
      <c r="K563" s="9">
        <f t="shared" si="4"/>
        <v>45627</v>
      </c>
      <c r="L563" s="7" t="str">
        <f t="shared" si="5"/>
        <v/>
      </c>
      <c r="M563" s="7" t="str">
        <f>IFERROR(__xludf.DUMMYFUNCTION("IFERROR(
  IF(
    F563 &gt;
    3*AVERAGE(
       FILTER($F$2:$F10491,
         $G$2:$G10491=G563,
         $A$2:$A10491&gt;=A563-20,
         $A$2:$A10491&lt;=A563
       )
    ),
    ""VOL_SPIKE_3X"",""""
  ),
"""")
"),"")</f>
        <v/>
      </c>
      <c r="N563" s="7" t="str">
        <f t="shared" si="6"/>
        <v/>
      </c>
      <c r="O563" s="7" t="str">
        <f t="shared" si="7"/>
        <v/>
      </c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>
        <f>IFERROR(__xludf.DUMMYFUNCTION("""COMPUTED_VALUE"""),45635.0)</f>
        <v>45635</v>
      </c>
      <c r="B564" s="6">
        <f>IFERROR(__xludf.DUMMYFUNCTION("""COMPUTED_VALUE"""),300.95)</f>
        <v>300.95</v>
      </c>
      <c r="C564" s="6">
        <f>IFERROR(__xludf.DUMMYFUNCTION("""COMPUTED_VALUE"""),304.2)</f>
        <v>304.2</v>
      </c>
      <c r="D564" s="6">
        <f>IFERROR(__xludf.DUMMYFUNCTION("""COMPUTED_VALUE"""),299.1)</f>
        <v>299.1</v>
      </c>
      <c r="E564" s="6">
        <f>IFERROR(__xludf.DUMMYFUNCTION("""COMPUTED_VALUE"""),303.45)</f>
        <v>303.45</v>
      </c>
      <c r="F564" s="7">
        <f>IFERROR(__xludf.DUMMYFUNCTION("""COMPUTED_VALUE"""),1.1637358E7)</f>
        <v>11637358</v>
      </c>
      <c r="G564" s="7" t="str">
        <f>IFERROR(__xludf.DUMMYFUNCTION("""COMPUTED_VALUE"""),"BPCL.NS")</f>
        <v>BPCL.NS</v>
      </c>
      <c r="H564" s="8">
        <f t="shared" si="1"/>
        <v>0.008307027745</v>
      </c>
      <c r="I564" s="8">
        <f t="shared" si="2"/>
        <v>0.008307027745</v>
      </c>
      <c r="J564" s="7" t="str">
        <f t="shared" si="3"/>
        <v>Dec-2024</v>
      </c>
      <c r="K564" s="9">
        <f t="shared" si="4"/>
        <v>45627</v>
      </c>
      <c r="L564" s="7" t="str">
        <f t="shared" si="5"/>
        <v/>
      </c>
      <c r="M564" s="7" t="str">
        <f>IFERROR(__xludf.DUMMYFUNCTION("IFERROR(
  IF(
    F564 &gt;
    3*AVERAGE(
       FILTER($F$2:$F10491,
         $G$2:$G10491=G564,
         $A$2:$A10491&gt;=A564-20,
         $A$2:$A10491&lt;=A564
       )
    ),
    ""VOL_SPIKE_3X"",""""
  ),
"""")
"),"")</f>
        <v/>
      </c>
      <c r="N564" s="7" t="str">
        <f t="shared" si="6"/>
        <v/>
      </c>
      <c r="O564" s="7" t="str">
        <f t="shared" si="7"/>
        <v/>
      </c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>
        <f>IFERROR(__xludf.DUMMYFUNCTION("""COMPUTED_VALUE"""),45635.0)</f>
        <v>45635</v>
      </c>
      <c r="B565" s="6">
        <f>IFERROR(__xludf.DUMMYFUNCTION("""COMPUTED_VALUE"""),418.0)</f>
        <v>418</v>
      </c>
      <c r="C565" s="6">
        <f>IFERROR(__xludf.DUMMYFUNCTION("""COMPUTED_VALUE"""),420.95)</f>
        <v>420.95</v>
      </c>
      <c r="D565" s="6">
        <f>IFERROR(__xludf.DUMMYFUNCTION("""COMPUTED_VALUE"""),412.5)</f>
        <v>412.5</v>
      </c>
      <c r="E565" s="6">
        <f>IFERROR(__xludf.DUMMYFUNCTION("""COMPUTED_VALUE"""),414.0)</f>
        <v>414</v>
      </c>
      <c r="F565" s="7">
        <f>IFERROR(__xludf.DUMMYFUNCTION("""COMPUTED_VALUE"""),6662023.0)</f>
        <v>6662023</v>
      </c>
      <c r="G565" s="7" t="str">
        <f>IFERROR(__xludf.DUMMYFUNCTION("""COMPUTED_VALUE"""),"COALINDIA.NS")</f>
        <v>COALINDIA.NS</v>
      </c>
      <c r="H565" s="8">
        <f t="shared" si="1"/>
        <v>-0.00956937799</v>
      </c>
      <c r="I565" s="8">
        <f t="shared" si="2"/>
        <v>0.00956937799</v>
      </c>
      <c r="J565" s="7" t="str">
        <f t="shared" si="3"/>
        <v>Dec-2024</v>
      </c>
      <c r="K565" s="9">
        <f t="shared" si="4"/>
        <v>45627</v>
      </c>
      <c r="L565" s="7" t="str">
        <f t="shared" si="5"/>
        <v/>
      </c>
      <c r="M565" s="7" t="str">
        <f>IFERROR(__xludf.DUMMYFUNCTION("IFERROR(
  IF(
    F565 &gt;
    3*AVERAGE(
       FILTER($F$2:$F10491,
         $G$2:$G10491=G565,
         $A$2:$A10491&gt;=A565-20,
         $A$2:$A10491&lt;=A565
       )
    ),
    ""VOL_SPIKE_3X"",""""
  ),
"""")
"),"")</f>
        <v/>
      </c>
      <c r="N565" s="7" t="str">
        <f t="shared" si="6"/>
        <v/>
      </c>
      <c r="O565" s="7" t="str">
        <f t="shared" si="7"/>
        <v/>
      </c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>
        <f>IFERROR(__xludf.DUMMYFUNCTION("""COMPUTED_VALUE"""),45635.0)</f>
        <v>45635</v>
      </c>
      <c r="B566" s="6">
        <f>IFERROR(__xludf.DUMMYFUNCTION("""COMPUTED_VALUE"""),399.05)</f>
        <v>399.05</v>
      </c>
      <c r="C566" s="6">
        <f>IFERROR(__xludf.DUMMYFUNCTION("""COMPUTED_VALUE"""),404.45)</f>
        <v>404.45</v>
      </c>
      <c r="D566" s="6">
        <f>IFERROR(__xludf.DUMMYFUNCTION("""COMPUTED_VALUE"""),397.65)</f>
        <v>397.65</v>
      </c>
      <c r="E566" s="6">
        <f>IFERROR(__xludf.DUMMYFUNCTION("""COMPUTED_VALUE"""),399.7)</f>
        <v>399.7</v>
      </c>
      <c r="F566" s="7">
        <f>IFERROR(__xludf.DUMMYFUNCTION("""COMPUTED_VALUE"""),4763280.0)</f>
        <v>4763280</v>
      </c>
      <c r="G566" s="7" t="str">
        <f>IFERROR(__xludf.DUMMYFUNCTION("""COMPUTED_VALUE"""),"HINDPETRO.NS")</f>
        <v>HINDPETRO.NS</v>
      </c>
      <c r="H566" s="8">
        <f t="shared" si="1"/>
        <v>0.001628868563</v>
      </c>
      <c r="I566" s="8">
        <f t="shared" si="2"/>
        <v>0.001628868563</v>
      </c>
      <c r="J566" s="7" t="str">
        <f t="shared" si="3"/>
        <v>Dec-2024</v>
      </c>
      <c r="K566" s="9">
        <f t="shared" si="4"/>
        <v>45627</v>
      </c>
      <c r="L566" s="7" t="str">
        <f t="shared" si="5"/>
        <v/>
      </c>
      <c r="M566" s="7" t="str">
        <f>IFERROR(__xludf.DUMMYFUNCTION("IFERROR(
  IF(
    F566 &gt;
    3*AVERAGE(
       FILTER($F$2:$F10491,
         $G$2:$G10491=G566,
         $A$2:$A10491&gt;=A566-20,
         $A$2:$A10491&lt;=A566
       )
    ),
    ""VOL_SPIKE_3X"",""""
  ),
"""")
"),"")</f>
        <v/>
      </c>
      <c r="N566" s="7" t="str">
        <f t="shared" si="6"/>
        <v/>
      </c>
      <c r="O566" s="7" t="str">
        <f t="shared" si="7"/>
        <v/>
      </c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>
        <f>IFERROR(__xludf.DUMMYFUNCTION("""COMPUTED_VALUE"""),45635.0)</f>
        <v>45635</v>
      </c>
      <c r="B567" s="6">
        <f>IFERROR(__xludf.DUMMYFUNCTION("""COMPUTED_VALUE"""),141.96)</f>
        <v>141.96</v>
      </c>
      <c r="C567" s="6">
        <f>IFERROR(__xludf.DUMMYFUNCTION("""COMPUTED_VALUE"""),143.15)</f>
        <v>143.15</v>
      </c>
      <c r="D567" s="6">
        <f>IFERROR(__xludf.DUMMYFUNCTION("""COMPUTED_VALUE"""),141.31)</f>
        <v>141.31</v>
      </c>
      <c r="E567" s="6">
        <f>IFERROR(__xludf.DUMMYFUNCTION("""COMPUTED_VALUE"""),142.33)</f>
        <v>142.33</v>
      </c>
      <c r="F567" s="7">
        <f>IFERROR(__xludf.DUMMYFUNCTION("""COMPUTED_VALUE"""),1.6119047E7)</f>
        <v>16119047</v>
      </c>
      <c r="G567" s="7" t="str">
        <f>IFERROR(__xludf.DUMMYFUNCTION("""COMPUTED_VALUE"""),"IOC.NS")</f>
        <v>IOC.NS</v>
      </c>
      <c r="H567" s="8">
        <f t="shared" si="1"/>
        <v>0.002606367991</v>
      </c>
      <c r="I567" s="8">
        <f t="shared" si="2"/>
        <v>0.002606367991</v>
      </c>
      <c r="J567" s="7" t="str">
        <f t="shared" si="3"/>
        <v>Dec-2024</v>
      </c>
      <c r="K567" s="9">
        <f t="shared" si="4"/>
        <v>45627</v>
      </c>
      <c r="L567" s="7" t="str">
        <f t="shared" si="5"/>
        <v/>
      </c>
      <c r="M567" s="7" t="str">
        <f>IFERROR(__xludf.DUMMYFUNCTION("IFERROR(
  IF(
    F567 &gt;
    3*AVERAGE(
       FILTER($F$2:$F10491,
         $G$2:$G10491=G567,
         $A$2:$A10491&gt;=A567-20,
         $A$2:$A10491&lt;=A567
       )
    ),
    ""VOL_SPIKE_3X"",""""
  ),
"""")
"),"")</f>
        <v/>
      </c>
      <c r="N567" s="7" t="str">
        <f t="shared" si="6"/>
        <v/>
      </c>
      <c r="O567" s="7" t="str">
        <f t="shared" si="7"/>
        <v/>
      </c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>
        <f>IFERROR(__xludf.DUMMYFUNCTION("""COMPUTED_VALUE"""),45635.0)</f>
        <v>45635</v>
      </c>
      <c r="B568" s="6">
        <f>IFERROR(__xludf.DUMMYFUNCTION("""COMPUTED_VALUE"""),370.9)</f>
        <v>370.9</v>
      </c>
      <c r="C568" s="6">
        <f>IFERROR(__xludf.DUMMYFUNCTION("""COMPUTED_VALUE"""),373.3)</f>
        <v>373.3</v>
      </c>
      <c r="D568" s="6">
        <f>IFERROR(__xludf.DUMMYFUNCTION("""COMPUTED_VALUE"""),367.75)</f>
        <v>367.75</v>
      </c>
      <c r="E568" s="6">
        <f>IFERROR(__xludf.DUMMYFUNCTION("""COMPUTED_VALUE"""),369.85)</f>
        <v>369.85</v>
      </c>
      <c r="F568" s="7">
        <f>IFERROR(__xludf.DUMMYFUNCTION("""COMPUTED_VALUE"""),1.0878679E7)</f>
        <v>10878679</v>
      </c>
      <c r="G568" s="7" t="str">
        <f>IFERROR(__xludf.DUMMYFUNCTION("""COMPUTED_VALUE"""),"NTPC.NS")</f>
        <v>NTPC.NS</v>
      </c>
      <c r="H568" s="8">
        <f t="shared" si="1"/>
        <v>-0.002830951739</v>
      </c>
      <c r="I568" s="8">
        <f t="shared" si="2"/>
        <v>0.002830951739</v>
      </c>
      <c r="J568" s="7" t="str">
        <f t="shared" si="3"/>
        <v>Dec-2024</v>
      </c>
      <c r="K568" s="9">
        <f t="shared" si="4"/>
        <v>45627</v>
      </c>
      <c r="L568" s="7" t="str">
        <f t="shared" si="5"/>
        <v/>
      </c>
      <c r="M568" s="7" t="str">
        <f>IFERROR(__xludf.DUMMYFUNCTION("IFERROR(
  IF(
    F568 &gt;
    3*AVERAGE(
       FILTER($F$2:$F10491,
         $G$2:$G10491=G568,
         $A$2:$A10491&gt;=A568-20,
         $A$2:$A10491&lt;=A568
       )
    ),
    ""VOL_SPIKE_3X"",""""
  ),
"""")
"),"")</f>
        <v/>
      </c>
      <c r="N568" s="7" t="str">
        <f t="shared" si="6"/>
        <v/>
      </c>
      <c r="O568" s="7" t="str">
        <f t="shared" si="7"/>
        <v/>
      </c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>
        <f>IFERROR(__xludf.DUMMYFUNCTION("""COMPUTED_VALUE"""),45635.0)</f>
        <v>45635</v>
      </c>
      <c r="B569" s="6">
        <f>IFERROR(__xludf.DUMMYFUNCTION("""COMPUTED_VALUE"""),260.05)</f>
        <v>260.05</v>
      </c>
      <c r="C569" s="6">
        <f>IFERROR(__xludf.DUMMYFUNCTION("""COMPUTED_VALUE"""),261.35)</f>
        <v>261.35</v>
      </c>
      <c r="D569" s="6">
        <f>IFERROR(__xludf.DUMMYFUNCTION("""COMPUTED_VALUE"""),257.7)</f>
        <v>257.7</v>
      </c>
      <c r="E569" s="6">
        <f>IFERROR(__xludf.DUMMYFUNCTION("""COMPUTED_VALUE"""),258.9)</f>
        <v>258.9</v>
      </c>
      <c r="F569" s="7">
        <f>IFERROR(__xludf.DUMMYFUNCTION("""COMPUTED_VALUE"""),6800856.0)</f>
        <v>6800856</v>
      </c>
      <c r="G569" s="7" t="str">
        <f>IFERROR(__xludf.DUMMYFUNCTION("""COMPUTED_VALUE"""),"ONGC.NS")</f>
        <v>ONGC.NS</v>
      </c>
      <c r="H569" s="8">
        <f t="shared" si="1"/>
        <v>-0.004422226495</v>
      </c>
      <c r="I569" s="8">
        <f t="shared" si="2"/>
        <v>0.004422226495</v>
      </c>
      <c r="J569" s="7" t="str">
        <f t="shared" si="3"/>
        <v>Dec-2024</v>
      </c>
      <c r="K569" s="9">
        <f t="shared" si="4"/>
        <v>45627</v>
      </c>
      <c r="L569" s="7" t="str">
        <f t="shared" si="5"/>
        <v/>
      </c>
      <c r="M569" s="7" t="str">
        <f>IFERROR(__xludf.DUMMYFUNCTION("IFERROR(
  IF(
    F569 &gt;
    3*AVERAGE(
       FILTER($F$2:$F10491,
         $G$2:$G10491=G569,
         $A$2:$A10491&gt;=A569-20,
         $A$2:$A10491&lt;=A569
       )
    ),
    ""VOL_SPIKE_3X"",""""
  ),
"""")
"),"")</f>
        <v/>
      </c>
      <c r="N569" s="7" t="str">
        <f t="shared" si="6"/>
        <v/>
      </c>
      <c r="O569" s="7" t="str">
        <f t="shared" si="7"/>
        <v/>
      </c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>
        <f>IFERROR(__xludf.DUMMYFUNCTION("""COMPUTED_VALUE"""),45635.0)</f>
        <v>45635</v>
      </c>
      <c r="B570" s="6">
        <f>IFERROR(__xludf.DUMMYFUNCTION("""COMPUTED_VALUE"""),327.75)</f>
        <v>327.75</v>
      </c>
      <c r="C570" s="6">
        <f>IFERROR(__xludf.DUMMYFUNCTION("""COMPUTED_VALUE"""),330.65)</f>
        <v>330.65</v>
      </c>
      <c r="D570" s="6">
        <f>IFERROR(__xludf.DUMMYFUNCTION("""COMPUTED_VALUE"""),326.7)</f>
        <v>326.7</v>
      </c>
      <c r="E570" s="6">
        <f>IFERROR(__xludf.DUMMYFUNCTION("""COMPUTED_VALUE"""),329.1)</f>
        <v>329.1</v>
      </c>
      <c r="F570" s="7">
        <f>IFERROR(__xludf.DUMMYFUNCTION("""COMPUTED_VALUE"""),9376929.0)</f>
        <v>9376929</v>
      </c>
      <c r="G570" s="7" t="str">
        <f>IFERROR(__xludf.DUMMYFUNCTION("""COMPUTED_VALUE"""),"POWERGRID.NS")</f>
        <v>POWERGRID.NS</v>
      </c>
      <c r="H570" s="8">
        <f t="shared" si="1"/>
        <v>0.004118993135</v>
      </c>
      <c r="I570" s="8">
        <f t="shared" si="2"/>
        <v>0.004118993135</v>
      </c>
      <c r="J570" s="7" t="str">
        <f t="shared" si="3"/>
        <v>Dec-2024</v>
      </c>
      <c r="K570" s="9">
        <f t="shared" si="4"/>
        <v>45627</v>
      </c>
      <c r="L570" s="7" t="str">
        <f t="shared" si="5"/>
        <v/>
      </c>
      <c r="M570" s="7" t="str">
        <f>IFERROR(__xludf.DUMMYFUNCTION("IFERROR(
  IF(
    F570 &gt;
    3*AVERAGE(
       FILTER($F$2:$F10491,
         $G$2:$G10491=G570,
         $A$2:$A10491&gt;=A570-20,
         $A$2:$A10491&lt;=A570
       )
    ),
    ""VOL_SPIKE_3X"",""""
  ),
"""")
"),"")</f>
        <v/>
      </c>
      <c r="N570" s="7" t="str">
        <f t="shared" si="6"/>
        <v/>
      </c>
      <c r="O570" s="7" t="str">
        <f t="shared" si="7"/>
        <v/>
      </c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>
        <f>IFERROR(__xludf.DUMMYFUNCTION("""COMPUTED_VALUE"""),45635.0)</f>
        <v>45635</v>
      </c>
      <c r="B571" s="6">
        <f>IFERROR(__xludf.DUMMYFUNCTION("""COMPUTED_VALUE"""),1303.0)</f>
        <v>1303</v>
      </c>
      <c r="C571" s="6">
        <f>IFERROR(__xludf.DUMMYFUNCTION("""COMPUTED_VALUE"""),1315.0)</f>
        <v>1315</v>
      </c>
      <c r="D571" s="6">
        <f>IFERROR(__xludf.DUMMYFUNCTION("""COMPUTED_VALUE"""),1293.1)</f>
        <v>1293.1</v>
      </c>
      <c r="E571" s="6">
        <f>IFERROR(__xludf.DUMMYFUNCTION("""COMPUTED_VALUE"""),1295.15)</f>
        <v>1295.15</v>
      </c>
      <c r="F571" s="7">
        <f>IFERROR(__xludf.DUMMYFUNCTION("""COMPUTED_VALUE"""),1.4650002E7)</f>
        <v>14650002</v>
      </c>
      <c r="G571" s="7" t="str">
        <f>IFERROR(__xludf.DUMMYFUNCTION("""COMPUTED_VALUE"""),"RELIANCE.NS")</f>
        <v>RELIANCE.NS</v>
      </c>
      <c r="H571" s="8">
        <f t="shared" si="1"/>
        <v>-0.006024558711</v>
      </c>
      <c r="I571" s="8">
        <f t="shared" si="2"/>
        <v>0.006024558711</v>
      </c>
      <c r="J571" s="7" t="str">
        <f t="shared" si="3"/>
        <v>Dec-2024</v>
      </c>
      <c r="K571" s="9">
        <f t="shared" si="4"/>
        <v>45627</v>
      </c>
      <c r="L571" s="7" t="str">
        <f t="shared" si="5"/>
        <v/>
      </c>
      <c r="M571" s="7" t="str">
        <f>IFERROR(__xludf.DUMMYFUNCTION("IFERROR(
  IF(
    F571 &gt;
    3*AVERAGE(
       FILTER($F$2:$F10491,
         $G$2:$G10491=G571,
         $A$2:$A10491&gt;=A571-20,
         $A$2:$A10491&lt;=A571
       )
    ),
    ""VOL_SPIKE_3X"",""""
  ),
"""")
"),"")</f>
        <v/>
      </c>
      <c r="N571" s="7" t="str">
        <f t="shared" si="6"/>
        <v/>
      </c>
      <c r="O571" s="7" t="str">
        <f t="shared" si="7"/>
        <v/>
      </c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>
        <f>IFERROR(__xludf.DUMMYFUNCTION("""COMPUTED_VALUE"""),45636.0)</f>
        <v>45636</v>
      </c>
      <c r="B572" s="6">
        <f>IFERROR(__xludf.DUMMYFUNCTION("""COMPUTED_VALUE"""),805.45)</f>
        <v>805.45</v>
      </c>
      <c r="C572" s="6">
        <f>IFERROR(__xludf.DUMMYFUNCTION("""COMPUTED_VALUE"""),806.0)</f>
        <v>806</v>
      </c>
      <c r="D572" s="6">
        <f>IFERROR(__xludf.DUMMYFUNCTION("""COMPUTED_VALUE"""),775.8)</f>
        <v>775.8</v>
      </c>
      <c r="E572" s="6">
        <f>IFERROR(__xludf.DUMMYFUNCTION("""COMPUTED_VALUE"""),784.55)</f>
        <v>784.55</v>
      </c>
      <c r="F572" s="7">
        <f>IFERROR(__xludf.DUMMYFUNCTION("""COMPUTED_VALUE"""),1881212.0)</f>
        <v>1881212</v>
      </c>
      <c r="G572" s="7" t="str">
        <f>IFERROR(__xludf.DUMMYFUNCTION("""COMPUTED_VALUE"""),"ADANIENSOL.NS")</f>
        <v>ADANIENSOL.NS</v>
      </c>
      <c r="H572" s="8">
        <f t="shared" si="1"/>
        <v>-0.0259482277</v>
      </c>
      <c r="I572" s="8">
        <f t="shared" si="2"/>
        <v>0.0259482277</v>
      </c>
      <c r="J572" s="7" t="str">
        <f t="shared" si="3"/>
        <v>Dec-2024</v>
      </c>
      <c r="K572" s="9">
        <f t="shared" si="4"/>
        <v>45627</v>
      </c>
      <c r="L572" s="7" t="str">
        <f t="shared" si="5"/>
        <v/>
      </c>
      <c r="M572" s="7" t="str">
        <f>IFERROR(__xludf.DUMMYFUNCTION("IFERROR(
  IF(
    F572 &gt;
    3*AVERAGE(
       FILTER($F$2:$F10491,
         $G$2:$G10491=G572,
         $A$2:$A10491&gt;=A572-20,
         $A$2:$A10491&lt;=A572
       )
    ),
    ""VOL_SPIKE_3X"",""""
  ),
"""")
"),"")</f>
        <v/>
      </c>
      <c r="N572" s="7" t="str">
        <f t="shared" si="6"/>
        <v/>
      </c>
      <c r="O572" s="7" t="str">
        <f t="shared" si="7"/>
        <v/>
      </c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>
        <f>IFERROR(__xludf.DUMMYFUNCTION("""COMPUTED_VALUE"""),45636.0)</f>
        <v>45636</v>
      </c>
      <c r="B573" s="6">
        <f>IFERROR(__xludf.DUMMYFUNCTION("""COMPUTED_VALUE"""),1224.95)</f>
        <v>1224.95</v>
      </c>
      <c r="C573" s="6">
        <f>IFERROR(__xludf.DUMMYFUNCTION("""COMPUTED_VALUE"""),1224.95)</f>
        <v>1224.95</v>
      </c>
      <c r="D573" s="6">
        <f>IFERROR(__xludf.DUMMYFUNCTION("""COMPUTED_VALUE"""),1165.35)</f>
        <v>1165.35</v>
      </c>
      <c r="E573" s="6">
        <f>IFERROR(__xludf.DUMMYFUNCTION("""COMPUTED_VALUE"""),1176.65)</f>
        <v>1176.65</v>
      </c>
      <c r="F573" s="7">
        <f>IFERROR(__xludf.DUMMYFUNCTION("""COMPUTED_VALUE"""),3096278.0)</f>
        <v>3096278</v>
      </c>
      <c r="G573" s="7" t="str">
        <f>IFERROR(__xludf.DUMMYFUNCTION("""COMPUTED_VALUE"""),"ADANIGREEN.NS")</f>
        <v>ADANIGREEN.NS</v>
      </c>
      <c r="H573" s="8">
        <f t="shared" si="1"/>
        <v>-0.03943018082</v>
      </c>
      <c r="I573" s="8">
        <f t="shared" si="2"/>
        <v>0.03943018082</v>
      </c>
      <c r="J573" s="7" t="str">
        <f t="shared" si="3"/>
        <v>Dec-2024</v>
      </c>
      <c r="K573" s="9">
        <f t="shared" si="4"/>
        <v>45627</v>
      </c>
      <c r="L573" s="7" t="str">
        <f t="shared" si="5"/>
        <v/>
      </c>
      <c r="M573" s="7" t="str">
        <f>IFERROR(__xludf.DUMMYFUNCTION("IFERROR(
  IF(
    F573 &gt;
    3*AVERAGE(
       FILTER($F$2:$F10491,
         $G$2:$G10491=G573,
         $A$2:$A10491&gt;=A573-20,
         $A$2:$A10491&lt;=A573
       )
    ),
    ""VOL_SPIKE_3X"",""""
  ),
"""")
"),"")</f>
        <v/>
      </c>
      <c r="N573" s="7" t="str">
        <f t="shared" si="6"/>
        <v/>
      </c>
      <c r="O573" s="7" t="str">
        <f t="shared" si="7"/>
        <v/>
      </c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>
        <f>IFERROR(__xludf.DUMMYFUNCTION("""COMPUTED_VALUE"""),45636.0)</f>
        <v>45636</v>
      </c>
      <c r="B574" s="6">
        <f>IFERROR(__xludf.DUMMYFUNCTION("""COMPUTED_VALUE"""),302.3)</f>
        <v>302.3</v>
      </c>
      <c r="C574" s="6">
        <f>IFERROR(__xludf.DUMMYFUNCTION("""COMPUTED_VALUE"""),306.7)</f>
        <v>306.7</v>
      </c>
      <c r="D574" s="6">
        <f>IFERROR(__xludf.DUMMYFUNCTION("""COMPUTED_VALUE"""),300.85)</f>
        <v>300.85</v>
      </c>
      <c r="E574" s="6">
        <f>IFERROR(__xludf.DUMMYFUNCTION("""COMPUTED_VALUE"""),303.5)</f>
        <v>303.5</v>
      </c>
      <c r="F574" s="7">
        <f>IFERROR(__xludf.DUMMYFUNCTION("""COMPUTED_VALUE"""),8649367.0)</f>
        <v>8649367</v>
      </c>
      <c r="G574" s="7" t="str">
        <f>IFERROR(__xludf.DUMMYFUNCTION("""COMPUTED_VALUE"""),"BPCL.NS")</f>
        <v>BPCL.NS</v>
      </c>
      <c r="H574" s="8">
        <f t="shared" si="1"/>
        <v>0.003969566656</v>
      </c>
      <c r="I574" s="8">
        <f t="shared" si="2"/>
        <v>0.003969566656</v>
      </c>
      <c r="J574" s="7" t="str">
        <f t="shared" si="3"/>
        <v>Dec-2024</v>
      </c>
      <c r="K574" s="9">
        <f t="shared" si="4"/>
        <v>45627</v>
      </c>
      <c r="L574" s="7" t="str">
        <f t="shared" si="5"/>
        <v/>
      </c>
      <c r="M574" s="7" t="str">
        <f>IFERROR(__xludf.DUMMYFUNCTION("IFERROR(
  IF(
    F574 &gt;
    3*AVERAGE(
       FILTER($F$2:$F10491,
         $G$2:$G10491=G574,
         $A$2:$A10491&gt;=A574-20,
         $A$2:$A10491&lt;=A574
       )
    ),
    ""VOL_SPIKE_3X"",""""
  ),
"""")
"),"")</f>
        <v/>
      </c>
      <c r="N574" s="7" t="str">
        <f t="shared" si="6"/>
        <v/>
      </c>
      <c r="O574" s="7" t="str">
        <f t="shared" si="7"/>
        <v/>
      </c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>
        <f>IFERROR(__xludf.DUMMYFUNCTION("""COMPUTED_VALUE"""),45636.0)</f>
        <v>45636</v>
      </c>
      <c r="B575" s="6">
        <f>IFERROR(__xludf.DUMMYFUNCTION("""COMPUTED_VALUE"""),415.5)</f>
        <v>415.5</v>
      </c>
      <c r="C575" s="6">
        <f>IFERROR(__xludf.DUMMYFUNCTION("""COMPUTED_VALUE"""),417.2)</f>
        <v>417.2</v>
      </c>
      <c r="D575" s="6">
        <f>IFERROR(__xludf.DUMMYFUNCTION("""COMPUTED_VALUE"""),411.5)</f>
        <v>411.5</v>
      </c>
      <c r="E575" s="6">
        <f>IFERROR(__xludf.DUMMYFUNCTION("""COMPUTED_VALUE"""),414.05)</f>
        <v>414.05</v>
      </c>
      <c r="F575" s="7">
        <f>IFERROR(__xludf.DUMMYFUNCTION("""COMPUTED_VALUE"""),6035289.0)</f>
        <v>6035289</v>
      </c>
      <c r="G575" s="7" t="str">
        <f>IFERROR(__xludf.DUMMYFUNCTION("""COMPUTED_VALUE"""),"COALINDIA.NS")</f>
        <v>COALINDIA.NS</v>
      </c>
      <c r="H575" s="8">
        <f t="shared" si="1"/>
        <v>-0.00348977136</v>
      </c>
      <c r="I575" s="8">
        <f t="shared" si="2"/>
        <v>0.00348977136</v>
      </c>
      <c r="J575" s="7" t="str">
        <f t="shared" si="3"/>
        <v>Dec-2024</v>
      </c>
      <c r="K575" s="9">
        <f t="shared" si="4"/>
        <v>45627</v>
      </c>
      <c r="L575" s="7" t="str">
        <f t="shared" si="5"/>
        <v/>
      </c>
      <c r="M575" s="7" t="str">
        <f>IFERROR(__xludf.DUMMYFUNCTION("IFERROR(
  IF(
    F575 &gt;
    3*AVERAGE(
       FILTER($F$2:$F10491,
         $G$2:$G10491=G575,
         $A$2:$A10491&gt;=A575-20,
         $A$2:$A10491&lt;=A575
       )
    ),
    ""VOL_SPIKE_3X"",""""
  ),
"""")
"),"")</f>
        <v/>
      </c>
      <c r="N575" s="7" t="str">
        <f t="shared" si="6"/>
        <v/>
      </c>
      <c r="O575" s="7" t="str">
        <f t="shared" si="7"/>
        <v/>
      </c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>
        <f>IFERROR(__xludf.DUMMYFUNCTION("""COMPUTED_VALUE"""),45636.0)</f>
        <v>45636</v>
      </c>
      <c r="B576" s="6">
        <f>IFERROR(__xludf.DUMMYFUNCTION("""COMPUTED_VALUE"""),400.0)</f>
        <v>400</v>
      </c>
      <c r="C576" s="6">
        <f>IFERROR(__xludf.DUMMYFUNCTION("""COMPUTED_VALUE"""),406.35)</f>
        <v>406.35</v>
      </c>
      <c r="D576" s="6">
        <f>IFERROR(__xludf.DUMMYFUNCTION("""COMPUTED_VALUE"""),397.25)</f>
        <v>397.25</v>
      </c>
      <c r="E576" s="6">
        <f>IFERROR(__xludf.DUMMYFUNCTION("""COMPUTED_VALUE"""),404.9)</f>
        <v>404.9</v>
      </c>
      <c r="F576" s="7">
        <f>IFERROR(__xludf.DUMMYFUNCTION("""COMPUTED_VALUE"""),6662197.0)</f>
        <v>6662197</v>
      </c>
      <c r="G576" s="7" t="str">
        <f>IFERROR(__xludf.DUMMYFUNCTION("""COMPUTED_VALUE"""),"HINDPETRO.NS")</f>
        <v>HINDPETRO.NS</v>
      </c>
      <c r="H576" s="8">
        <f t="shared" si="1"/>
        <v>0.01225</v>
      </c>
      <c r="I576" s="8">
        <f t="shared" si="2"/>
        <v>0.01225</v>
      </c>
      <c r="J576" s="7" t="str">
        <f t="shared" si="3"/>
        <v>Dec-2024</v>
      </c>
      <c r="K576" s="9">
        <f t="shared" si="4"/>
        <v>45627</v>
      </c>
      <c r="L576" s="7" t="str">
        <f t="shared" si="5"/>
        <v/>
      </c>
      <c r="M576" s="7" t="str">
        <f>IFERROR(__xludf.DUMMYFUNCTION("IFERROR(
  IF(
    F576 &gt;
    3*AVERAGE(
       FILTER($F$2:$F10491,
         $G$2:$G10491=G576,
         $A$2:$A10491&gt;=A576-20,
         $A$2:$A10491&lt;=A576
       )
    ),
    ""VOL_SPIKE_3X"",""""
  ),
"""")
"),"")</f>
        <v/>
      </c>
      <c r="N576" s="7" t="str">
        <f t="shared" si="6"/>
        <v/>
      </c>
      <c r="O576" s="7" t="str">
        <f t="shared" si="7"/>
        <v/>
      </c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>
        <f>IFERROR(__xludf.DUMMYFUNCTION("""COMPUTED_VALUE"""),45636.0)</f>
        <v>45636</v>
      </c>
      <c r="B577" s="6">
        <f>IFERROR(__xludf.DUMMYFUNCTION("""COMPUTED_VALUE"""),142.1)</f>
        <v>142.1</v>
      </c>
      <c r="C577" s="6">
        <f>IFERROR(__xludf.DUMMYFUNCTION("""COMPUTED_VALUE"""),144.44)</f>
        <v>144.44</v>
      </c>
      <c r="D577" s="6">
        <f>IFERROR(__xludf.DUMMYFUNCTION("""COMPUTED_VALUE"""),141.93)</f>
        <v>141.93</v>
      </c>
      <c r="E577" s="6">
        <f>IFERROR(__xludf.DUMMYFUNCTION("""COMPUTED_VALUE"""),143.54)</f>
        <v>143.54</v>
      </c>
      <c r="F577" s="7">
        <f>IFERROR(__xludf.DUMMYFUNCTION("""COMPUTED_VALUE"""),1.3694082E7)</f>
        <v>13694082</v>
      </c>
      <c r="G577" s="7" t="str">
        <f>IFERROR(__xludf.DUMMYFUNCTION("""COMPUTED_VALUE"""),"IOC.NS")</f>
        <v>IOC.NS</v>
      </c>
      <c r="H577" s="8">
        <f t="shared" si="1"/>
        <v>0.01013370866</v>
      </c>
      <c r="I577" s="8">
        <f t="shared" si="2"/>
        <v>0.01013370866</v>
      </c>
      <c r="J577" s="7" t="str">
        <f t="shared" si="3"/>
        <v>Dec-2024</v>
      </c>
      <c r="K577" s="9">
        <f t="shared" si="4"/>
        <v>45627</v>
      </c>
      <c r="L577" s="7" t="str">
        <f t="shared" si="5"/>
        <v/>
      </c>
      <c r="M577" s="7" t="str">
        <f>IFERROR(__xludf.DUMMYFUNCTION("IFERROR(
  IF(
    F577 &gt;
    3*AVERAGE(
       FILTER($F$2:$F10491,
         $G$2:$G10491=G577,
         $A$2:$A10491&gt;=A577-20,
         $A$2:$A10491&lt;=A577
       )
    ),
    ""VOL_SPIKE_3X"",""""
  ),
"""")
"),"")</f>
        <v/>
      </c>
      <c r="N577" s="7" t="str">
        <f t="shared" si="6"/>
        <v/>
      </c>
      <c r="O577" s="7" t="str">
        <f t="shared" si="7"/>
        <v/>
      </c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>
        <f>IFERROR(__xludf.DUMMYFUNCTION("""COMPUTED_VALUE"""),45636.0)</f>
        <v>45636</v>
      </c>
      <c r="B578" s="6">
        <f>IFERROR(__xludf.DUMMYFUNCTION("""COMPUTED_VALUE"""),369.0)</f>
        <v>369</v>
      </c>
      <c r="C578" s="6">
        <f>IFERROR(__xludf.DUMMYFUNCTION("""COMPUTED_VALUE"""),371.2)</f>
        <v>371.2</v>
      </c>
      <c r="D578" s="6">
        <f>IFERROR(__xludf.DUMMYFUNCTION("""COMPUTED_VALUE"""),366.4)</f>
        <v>366.4</v>
      </c>
      <c r="E578" s="6">
        <f>IFERROR(__xludf.DUMMYFUNCTION("""COMPUTED_VALUE"""),369.15)</f>
        <v>369.15</v>
      </c>
      <c r="F578" s="7">
        <f>IFERROR(__xludf.DUMMYFUNCTION("""COMPUTED_VALUE"""),7913822.0)</f>
        <v>7913822</v>
      </c>
      <c r="G578" s="7" t="str">
        <f>IFERROR(__xludf.DUMMYFUNCTION("""COMPUTED_VALUE"""),"NTPC.NS")</f>
        <v>NTPC.NS</v>
      </c>
      <c r="H578" s="8">
        <f t="shared" si="1"/>
        <v>0.000406504065</v>
      </c>
      <c r="I578" s="8">
        <f t="shared" si="2"/>
        <v>0.000406504065</v>
      </c>
      <c r="J578" s="7" t="str">
        <f t="shared" si="3"/>
        <v>Dec-2024</v>
      </c>
      <c r="K578" s="9">
        <f t="shared" si="4"/>
        <v>45627</v>
      </c>
      <c r="L578" s="7" t="str">
        <f t="shared" si="5"/>
        <v/>
      </c>
      <c r="M578" s="7" t="str">
        <f>IFERROR(__xludf.DUMMYFUNCTION("IFERROR(
  IF(
    F578 &gt;
    3*AVERAGE(
       FILTER($F$2:$F10491,
         $G$2:$G10491=G578,
         $A$2:$A10491&gt;=A578-20,
         $A$2:$A10491&lt;=A578
       )
    ),
    ""VOL_SPIKE_3X"",""""
  ),
"""")
"),"")</f>
        <v/>
      </c>
      <c r="N578" s="7" t="str">
        <f t="shared" si="6"/>
        <v/>
      </c>
      <c r="O578" s="7" t="str">
        <f t="shared" si="7"/>
        <v/>
      </c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>
        <f>IFERROR(__xludf.DUMMYFUNCTION("""COMPUTED_VALUE"""),45636.0)</f>
        <v>45636</v>
      </c>
      <c r="B579" s="6">
        <f>IFERROR(__xludf.DUMMYFUNCTION("""COMPUTED_VALUE"""),257.65)</f>
        <v>257.65</v>
      </c>
      <c r="C579" s="6">
        <f>IFERROR(__xludf.DUMMYFUNCTION("""COMPUTED_VALUE"""),258.75)</f>
        <v>258.75</v>
      </c>
      <c r="D579" s="6">
        <f>IFERROR(__xludf.DUMMYFUNCTION("""COMPUTED_VALUE"""),254.5)</f>
        <v>254.5</v>
      </c>
      <c r="E579" s="6">
        <f>IFERROR(__xludf.DUMMYFUNCTION("""COMPUTED_VALUE"""),256.9)</f>
        <v>256.9</v>
      </c>
      <c r="F579" s="7">
        <f>IFERROR(__xludf.DUMMYFUNCTION("""COMPUTED_VALUE"""),1.1318782E7)</f>
        <v>11318782</v>
      </c>
      <c r="G579" s="7" t="str">
        <f>IFERROR(__xludf.DUMMYFUNCTION("""COMPUTED_VALUE"""),"ONGC.NS")</f>
        <v>ONGC.NS</v>
      </c>
      <c r="H579" s="8">
        <f t="shared" si="1"/>
        <v>-0.002910925674</v>
      </c>
      <c r="I579" s="8">
        <f t="shared" si="2"/>
        <v>0.002910925674</v>
      </c>
      <c r="J579" s="7" t="str">
        <f t="shared" si="3"/>
        <v>Dec-2024</v>
      </c>
      <c r="K579" s="9">
        <f t="shared" si="4"/>
        <v>45627</v>
      </c>
      <c r="L579" s="7" t="str">
        <f t="shared" si="5"/>
        <v/>
      </c>
      <c r="M579" s="7" t="str">
        <f>IFERROR(__xludf.DUMMYFUNCTION("IFERROR(
  IF(
    F579 &gt;
    3*AVERAGE(
       FILTER($F$2:$F10491,
         $G$2:$G10491=G579,
         $A$2:$A10491&gt;=A579-20,
         $A$2:$A10491&lt;=A579
       )
    ),
    ""VOL_SPIKE_3X"",""""
  ),
"""")
"),"")</f>
        <v/>
      </c>
      <c r="N579" s="7" t="str">
        <f t="shared" si="6"/>
        <v/>
      </c>
      <c r="O579" s="7" t="str">
        <f t="shared" si="7"/>
        <v/>
      </c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>
        <f>IFERROR(__xludf.DUMMYFUNCTION("""COMPUTED_VALUE"""),45636.0)</f>
        <v>45636</v>
      </c>
      <c r="B580" s="6">
        <f>IFERROR(__xludf.DUMMYFUNCTION("""COMPUTED_VALUE"""),331.85)</f>
        <v>331.85</v>
      </c>
      <c r="C580" s="6">
        <f>IFERROR(__xludf.DUMMYFUNCTION("""COMPUTED_VALUE"""),331.85)</f>
        <v>331.85</v>
      </c>
      <c r="D580" s="6">
        <f>IFERROR(__xludf.DUMMYFUNCTION("""COMPUTED_VALUE"""),325.35)</f>
        <v>325.35</v>
      </c>
      <c r="E580" s="6">
        <f>IFERROR(__xludf.DUMMYFUNCTION("""COMPUTED_VALUE"""),327.9)</f>
        <v>327.9</v>
      </c>
      <c r="F580" s="7">
        <f>IFERROR(__xludf.DUMMYFUNCTION("""COMPUTED_VALUE"""),1.4994365E7)</f>
        <v>14994365</v>
      </c>
      <c r="G580" s="7" t="str">
        <f>IFERROR(__xludf.DUMMYFUNCTION("""COMPUTED_VALUE"""),"POWERGRID.NS")</f>
        <v>POWERGRID.NS</v>
      </c>
      <c r="H580" s="8">
        <f t="shared" si="1"/>
        <v>-0.01190296821</v>
      </c>
      <c r="I580" s="8">
        <f t="shared" si="2"/>
        <v>0.01190296821</v>
      </c>
      <c r="J580" s="7" t="str">
        <f t="shared" si="3"/>
        <v>Dec-2024</v>
      </c>
      <c r="K580" s="9">
        <f t="shared" si="4"/>
        <v>45627</v>
      </c>
      <c r="L580" s="7" t="str">
        <f t="shared" si="5"/>
        <v/>
      </c>
      <c r="M580" s="7" t="str">
        <f>IFERROR(__xludf.DUMMYFUNCTION("IFERROR(
  IF(
    F580 &gt;
    3*AVERAGE(
       FILTER($F$2:$F10491,
         $G$2:$G10491=G580,
         $A$2:$A10491&gt;=A580-20,
         $A$2:$A10491&lt;=A580
       )
    ),
    ""VOL_SPIKE_3X"",""""
  ),
"""")
"),"")</f>
        <v/>
      </c>
      <c r="N580" s="7" t="str">
        <f t="shared" si="6"/>
        <v/>
      </c>
      <c r="O580" s="7" t="str">
        <f t="shared" si="7"/>
        <v/>
      </c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>
        <f>IFERROR(__xludf.DUMMYFUNCTION("""COMPUTED_VALUE"""),45636.0)</f>
        <v>45636</v>
      </c>
      <c r="B581" s="6">
        <f>IFERROR(__xludf.DUMMYFUNCTION("""COMPUTED_VALUE"""),1289.25)</f>
        <v>1289.25</v>
      </c>
      <c r="C581" s="6">
        <f>IFERROR(__xludf.DUMMYFUNCTION("""COMPUTED_VALUE"""),1294.9)</f>
        <v>1294.9</v>
      </c>
      <c r="D581" s="6">
        <f>IFERROR(__xludf.DUMMYFUNCTION("""COMPUTED_VALUE"""),1280.2)</f>
        <v>1280.2</v>
      </c>
      <c r="E581" s="6">
        <f>IFERROR(__xludf.DUMMYFUNCTION("""COMPUTED_VALUE"""),1284.85)</f>
        <v>1284.85</v>
      </c>
      <c r="F581" s="7">
        <f>IFERROR(__xludf.DUMMYFUNCTION("""COMPUTED_VALUE"""),1.6043729E7)</f>
        <v>16043729</v>
      </c>
      <c r="G581" s="7" t="str">
        <f>IFERROR(__xludf.DUMMYFUNCTION("""COMPUTED_VALUE"""),"RELIANCE.NS")</f>
        <v>RELIANCE.NS</v>
      </c>
      <c r="H581" s="8">
        <f t="shared" si="1"/>
        <v>-0.003412836921</v>
      </c>
      <c r="I581" s="8">
        <f t="shared" si="2"/>
        <v>0.003412836921</v>
      </c>
      <c r="J581" s="7" t="str">
        <f t="shared" si="3"/>
        <v>Dec-2024</v>
      </c>
      <c r="K581" s="9">
        <f t="shared" si="4"/>
        <v>45627</v>
      </c>
      <c r="L581" s="7" t="str">
        <f t="shared" si="5"/>
        <v/>
      </c>
      <c r="M581" s="7" t="str">
        <f>IFERROR(__xludf.DUMMYFUNCTION("IFERROR(
  IF(
    F581 &gt;
    3*AVERAGE(
       FILTER($F$2:$F10491,
         $G$2:$G10491=G581,
         $A$2:$A10491&gt;=A581-20,
         $A$2:$A10491&lt;=A581
       )
    ),
    ""VOL_SPIKE_3X"",""""
  ),
"""")
"),"")</f>
        <v/>
      </c>
      <c r="N581" s="7" t="str">
        <f t="shared" si="6"/>
        <v/>
      </c>
      <c r="O581" s="7" t="str">
        <f t="shared" si="7"/>
        <v/>
      </c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>
        <f>IFERROR(__xludf.DUMMYFUNCTION("""COMPUTED_VALUE"""),45637.0)</f>
        <v>45637</v>
      </c>
      <c r="B582" s="6">
        <f>IFERROR(__xludf.DUMMYFUNCTION("""COMPUTED_VALUE"""),784.55)</f>
        <v>784.55</v>
      </c>
      <c r="C582" s="6">
        <f>IFERROR(__xludf.DUMMYFUNCTION("""COMPUTED_VALUE"""),797.0)</f>
        <v>797</v>
      </c>
      <c r="D582" s="6">
        <f>IFERROR(__xludf.DUMMYFUNCTION("""COMPUTED_VALUE"""),773.0)</f>
        <v>773</v>
      </c>
      <c r="E582" s="6">
        <f>IFERROR(__xludf.DUMMYFUNCTION("""COMPUTED_VALUE"""),791.5)</f>
        <v>791.5</v>
      </c>
      <c r="F582" s="7">
        <f>IFERROR(__xludf.DUMMYFUNCTION("""COMPUTED_VALUE"""),1601918.0)</f>
        <v>1601918</v>
      </c>
      <c r="G582" s="7" t="str">
        <f>IFERROR(__xludf.DUMMYFUNCTION("""COMPUTED_VALUE"""),"ADANIENSOL.NS")</f>
        <v>ADANIENSOL.NS</v>
      </c>
      <c r="H582" s="8">
        <f t="shared" si="1"/>
        <v>0.008858581352</v>
      </c>
      <c r="I582" s="8">
        <f t="shared" si="2"/>
        <v>0.008858581352</v>
      </c>
      <c r="J582" s="7" t="str">
        <f t="shared" si="3"/>
        <v>Dec-2024</v>
      </c>
      <c r="K582" s="9">
        <f t="shared" si="4"/>
        <v>45627</v>
      </c>
      <c r="L582" s="7" t="str">
        <f t="shared" si="5"/>
        <v/>
      </c>
      <c r="M582" s="7" t="str">
        <f>IFERROR(__xludf.DUMMYFUNCTION("IFERROR(
  IF(
    F582 &gt;
    3*AVERAGE(
       FILTER($F$2:$F10491,
         $G$2:$G10491=G582,
         $A$2:$A10491&gt;=A582-20,
         $A$2:$A10491&lt;=A582
       )
    ),
    ""VOL_SPIKE_3X"",""""
  ),
"""")
"),"")</f>
        <v/>
      </c>
      <c r="N582" s="7" t="str">
        <f t="shared" si="6"/>
        <v/>
      </c>
      <c r="O582" s="7" t="str">
        <f t="shared" si="7"/>
        <v/>
      </c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>
        <f>IFERROR(__xludf.DUMMYFUNCTION("""COMPUTED_VALUE"""),45637.0)</f>
        <v>45637</v>
      </c>
      <c r="B583" s="6">
        <f>IFERROR(__xludf.DUMMYFUNCTION("""COMPUTED_VALUE"""),1171.0)</f>
        <v>1171</v>
      </c>
      <c r="C583" s="6">
        <f>IFERROR(__xludf.DUMMYFUNCTION("""COMPUTED_VALUE"""),1189.45)</f>
        <v>1189.45</v>
      </c>
      <c r="D583" s="6">
        <f>IFERROR(__xludf.DUMMYFUNCTION("""COMPUTED_VALUE"""),1143.0)</f>
        <v>1143</v>
      </c>
      <c r="E583" s="6">
        <f>IFERROR(__xludf.DUMMYFUNCTION("""COMPUTED_VALUE"""),1148.05)</f>
        <v>1148.05</v>
      </c>
      <c r="F583" s="7">
        <f>IFERROR(__xludf.DUMMYFUNCTION("""COMPUTED_VALUE"""),2666340.0)</f>
        <v>2666340</v>
      </c>
      <c r="G583" s="7" t="str">
        <f>IFERROR(__xludf.DUMMYFUNCTION("""COMPUTED_VALUE"""),"ADANIGREEN.NS")</f>
        <v>ADANIGREEN.NS</v>
      </c>
      <c r="H583" s="8">
        <f t="shared" si="1"/>
        <v>-0.01959863365</v>
      </c>
      <c r="I583" s="8">
        <f t="shared" si="2"/>
        <v>0.01959863365</v>
      </c>
      <c r="J583" s="7" t="str">
        <f t="shared" si="3"/>
        <v>Dec-2024</v>
      </c>
      <c r="K583" s="9">
        <f t="shared" si="4"/>
        <v>45627</v>
      </c>
      <c r="L583" s="7" t="str">
        <f t="shared" si="5"/>
        <v/>
      </c>
      <c r="M583" s="7" t="str">
        <f>IFERROR(__xludf.DUMMYFUNCTION("IFERROR(
  IF(
    F583 &gt;
    3*AVERAGE(
       FILTER($F$2:$F10491,
         $G$2:$G10491=G583,
         $A$2:$A10491&gt;=A583-20,
         $A$2:$A10491&lt;=A583
       )
    ),
    ""VOL_SPIKE_3X"",""""
  ),
"""")
"),"")</f>
        <v/>
      </c>
      <c r="N583" s="7" t="str">
        <f t="shared" si="6"/>
        <v/>
      </c>
      <c r="O583" s="7" t="str">
        <f t="shared" si="7"/>
        <v/>
      </c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>
        <f>IFERROR(__xludf.DUMMYFUNCTION("""COMPUTED_VALUE"""),45637.0)</f>
        <v>45637</v>
      </c>
      <c r="B584" s="6">
        <f>IFERROR(__xludf.DUMMYFUNCTION("""COMPUTED_VALUE"""),303.45)</f>
        <v>303.45</v>
      </c>
      <c r="C584" s="6">
        <f>IFERROR(__xludf.DUMMYFUNCTION("""COMPUTED_VALUE"""),308.95)</f>
        <v>308.95</v>
      </c>
      <c r="D584" s="6">
        <f>IFERROR(__xludf.DUMMYFUNCTION("""COMPUTED_VALUE"""),302.1)</f>
        <v>302.1</v>
      </c>
      <c r="E584" s="6">
        <f>IFERROR(__xludf.DUMMYFUNCTION("""COMPUTED_VALUE"""),307.45)</f>
        <v>307.45</v>
      </c>
      <c r="F584" s="7">
        <f>IFERROR(__xludf.DUMMYFUNCTION("""COMPUTED_VALUE"""),1.0867782E7)</f>
        <v>10867782</v>
      </c>
      <c r="G584" s="7" t="str">
        <f>IFERROR(__xludf.DUMMYFUNCTION("""COMPUTED_VALUE"""),"BPCL.NS")</f>
        <v>BPCL.NS</v>
      </c>
      <c r="H584" s="8">
        <f t="shared" si="1"/>
        <v>0.01318174329</v>
      </c>
      <c r="I584" s="8">
        <f t="shared" si="2"/>
        <v>0.01318174329</v>
      </c>
      <c r="J584" s="7" t="str">
        <f t="shared" si="3"/>
        <v>Dec-2024</v>
      </c>
      <c r="K584" s="9">
        <f t="shared" si="4"/>
        <v>45627</v>
      </c>
      <c r="L584" s="7" t="str">
        <f t="shared" si="5"/>
        <v/>
      </c>
      <c r="M584" s="7" t="str">
        <f>IFERROR(__xludf.DUMMYFUNCTION("IFERROR(
  IF(
    F584 &gt;
    3*AVERAGE(
       FILTER($F$2:$F10491,
         $G$2:$G10491=G584,
         $A$2:$A10491&gt;=A584-20,
         $A$2:$A10491&lt;=A584
       )
    ),
    ""VOL_SPIKE_3X"",""""
  ),
"""")
"),"")</f>
        <v/>
      </c>
      <c r="N584" s="7" t="str">
        <f t="shared" si="6"/>
        <v/>
      </c>
      <c r="O584" s="7" t="str">
        <f t="shared" si="7"/>
        <v/>
      </c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>
        <f>IFERROR(__xludf.DUMMYFUNCTION("""COMPUTED_VALUE"""),45637.0)</f>
        <v>45637</v>
      </c>
      <c r="B585" s="6">
        <f>IFERROR(__xludf.DUMMYFUNCTION("""COMPUTED_VALUE"""),416.0)</f>
        <v>416</v>
      </c>
      <c r="C585" s="6">
        <f>IFERROR(__xludf.DUMMYFUNCTION("""COMPUTED_VALUE"""),419.65)</f>
        <v>419.65</v>
      </c>
      <c r="D585" s="6">
        <f>IFERROR(__xludf.DUMMYFUNCTION("""COMPUTED_VALUE"""),415.55)</f>
        <v>415.55</v>
      </c>
      <c r="E585" s="6">
        <f>IFERROR(__xludf.DUMMYFUNCTION("""COMPUTED_VALUE"""),416.95)</f>
        <v>416.95</v>
      </c>
      <c r="F585" s="7">
        <f>IFERROR(__xludf.DUMMYFUNCTION("""COMPUTED_VALUE"""),5353413.0)</f>
        <v>5353413</v>
      </c>
      <c r="G585" s="7" t="str">
        <f>IFERROR(__xludf.DUMMYFUNCTION("""COMPUTED_VALUE"""),"COALINDIA.NS")</f>
        <v>COALINDIA.NS</v>
      </c>
      <c r="H585" s="8">
        <f t="shared" si="1"/>
        <v>0.002283653846</v>
      </c>
      <c r="I585" s="8">
        <f t="shared" si="2"/>
        <v>0.002283653846</v>
      </c>
      <c r="J585" s="7" t="str">
        <f t="shared" si="3"/>
        <v>Dec-2024</v>
      </c>
      <c r="K585" s="9">
        <f t="shared" si="4"/>
        <v>45627</v>
      </c>
      <c r="L585" s="7" t="str">
        <f t="shared" si="5"/>
        <v/>
      </c>
      <c r="M585" s="7" t="str">
        <f>IFERROR(__xludf.DUMMYFUNCTION("IFERROR(
  IF(
    F585 &gt;
    3*AVERAGE(
       FILTER($F$2:$F10491,
         $G$2:$G10491=G585,
         $A$2:$A10491&gt;=A585-20,
         $A$2:$A10491&lt;=A585
       )
    ),
    ""VOL_SPIKE_3X"",""""
  ),
"""")
"),"")</f>
        <v/>
      </c>
      <c r="N585" s="7" t="str">
        <f t="shared" si="6"/>
        <v/>
      </c>
      <c r="O585" s="7" t="str">
        <f t="shared" si="7"/>
        <v/>
      </c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>
        <f>IFERROR(__xludf.DUMMYFUNCTION("""COMPUTED_VALUE"""),45637.0)</f>
        <v>45637</v>
      </c>
      <c r="B586" s="6">
        <f>IFERROR(__xludf.DUMMYFUNCTION("""COMPUTED_VALUE"""),404.9)</f>
        <v>404.9</v>
      </c>
      <c r="C586" s="6">
        <f>IFERROR(__xludf.DUMMYFUNCTION("""COMPUTED_VALUE"""),412.35)</f>
        <v>412.35</v>
      </c>
      <c r="D586" s="6">
        <f>IFERROR(__xludf.DUMMYFUNCTION("""COMPUTED_VALUE"""),404.45)</f>
        <v>404.45</v>
      </c>
      <c r="E586" s="6">
        <f>IFERROR(__xludf.DUMMYFUNCTION("""COMPUTED_VALUE"""),410.1)</f>
        <v>410.1</v>
      </c>
      <c r="F586" s="7">
        <f>IFERROR(__xludf.DUMMYFUNCTION("""COMPUTED_VALUE"""),8783167.0)</f>
        <v>8783167</v>
      </c>
      <c r="G586" s="7" t="str">
        <f>IFERROR(__xludf.DUMMYFUNCTION("""COMPUTED_VALUE"""),"HINDPETRO.NS")</f>
        <v>HINDPETRO.NS</v>
      </c>
      <c r="H586" s="8">
        <f t="shared" si="1"/>
        <v>0.0128426772</v>
      </c>
      <c r="I586" s="8">
        <f t="shared" si="2"/>
        <v>0.0128426772</v>
      </c>
      <c r="J586" s="7" t="str">
        <f t="shared" si="3"/>
        <v>Dec-2024</v>
      </c>
      <c r="K586" s="9">
        <f t="shared" si="4"/>
        <v>45627</v>
      </c>
      <c r="L586" s="7" t="str">
        <f t="shared" si="5"/>
        <v/>
      </c>
      <c r="M586" s="7" t="str">
        <f>IFERROR(__xludf.DUMMYFUNCTION("IFERROR(
  IF(
    F586 &gt;
    3*AVERAGE(
       FILTER($F$2:$F10491,
         $G$2:$G10491=G586,
         $A$2:$A10491&gt;=A586-20,
         $A$2:$A10491&lt;=A586
       )
    ),
    ""VOL_SPIKE_3X"",""""
  ),
"""")
"),"")</f>
        <v/>
      </c>
      <c r="N586" s="7" t="str">
        <f t="shared" si="6"/>
        <v/>
      </c>
      <c r="O586" s="7" t="str">
        <f t="shared" si="7"/>
        <v/>
      </c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>
        <f>IFERROR(__xludf.DUMMYFUNCTION("""COMPUTED_VALUE"""),45637.0)</f>
        <v>45637</v>
      </c>
      <c r="B587" s="6">
        <f>IFERROR(__xludf.DUMMYFUNCTION("""COMPUTED_VALUE"""),143.49)</f>
        <v>143.49</v>
      </c>
      <c r="C587" s="6">
        <f>IFERROR(__xludf.DUMMYFUNCTION("""COMPUTED_VALUE"""),144.44)</f>
        <v>144.44</v>
      </c>
      <c r="D587" s="6">
        <f>IFERROR(__xludf.DUMMYFUNCTION("""COMPUTED_VALUE"""),142.94)</f>
        <v>142.94</v>
      </c>
      <c r="E587" s="6">
        <f>IFERROR(__xludf.DUMMYFUNCTION("""COMPUTED_VALUE"""),143.19)</f>
        <v>143.19</v>
      </c>
      <c r="F587" s="7">
        <f>IFERROR(__xludf.DUMMYFUNCTION("""COMPUTED_VALUE"""),9714837.0)</f>
        <v>9714837</v>
      </c>
      <c r="G587" s="7" t="str">
        <f>IFERROR(__xludf.DUMMYFUNCTION("""COMPUTED_VALUE"""),"IOC.NS")</f>
        <v>IOC.NS</v>
      </c>
      <c r="H587" s="8">
        <f t="shared" si="1"/>
        <v>-0.002090738031</v>
      </c>
      <c r="I587" s="8">
        <f t="shared" si="2"/>
        <v>0.002090738031</v>
      </c>
      <c r="J587" s="7" t="str">
        <f t="shared" si="3"/>
        <v>Dec-2024</v>
      </c>
      <c r="K587" s="9">
        <f t="shared" si="4"/>
        <v>45627</v>
      </c>
      <c r="L587" s="7" t="str">
        <f t="shared" si="5"/>
        <v/>
      </c>
      <c r="M587" s="7" t="str">
        <f>IFERROR(__xludf.DUMMYFUNCTION("IFERROR(
  IF(
    F587 &gt;
    3*AVERAGE(
       FILTER($F$2:$F10491,
         $G$2:$G10491=G587,
         $A$2:$A10491&gt;=A587-20,
         $A$2:$A10491&lt;=A587
       )
    ),
    ""VOL_SPIKE_3X"",""""
  ),
"""")
"),"")</f>
        <v/>
      </c>
      <c r="N587" s="7" t="str">
        <f t="shared" si="6"/>
        <v/>
      </c>
      <c r="O587" s="7" t="str">
        <f t="shared" si="7"/>
        <v/>
      </c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>
        <f>IFERROR(__xludf.DUMMYFUNCTION("""COMPUTED_VALUE"""),45637.0)</f>
        <v>45637</v>
      </c>
      <c r="B588" s="6">
        <f>IFERROR(__xludf.DUMMYFUNCTION("""COMPUTED_VALUE"""),369.25)</f>
        <v>369.25</v>
      </c>
      <c r="C588" s="6">
        <f>IFERROR(__xludf.DUMMYFUNCTION("""COMPUTED_VALUE"""),370.75)</f>
        <v>370.75</v>
      </c>
      <c r="D588" s="6">
        <f>IFERROR(__xludf.DUMMYFUNCTION("""COMPUTED_VALUE"""),364.7)</f>
        <v>364.7</v>
      </c>
      <c r="E588" s="6">
        <f>IFERROR(__xludf.DUMMYFUNCTION("""COMPUTED_VALUE"""),365.5)</f>
        <v>365.5</v>
      </c>
      <c r="F588" s="7">
        <f>IFERROR(__xludf.DUMMYFUNCTION("""COMPUTED_VALUE"""),9998662.0)</f>
        <v>9998662</v>
      </c>
      <c r="G588" s="7" t="str">
        <f>IFERROR(__xludf.DUMMYFUNCTION("""COMPUTED_VALUE"""),"NTPC.NS")</f>
        <v>NTPC.NS</v>
      </c>
      <c r="H588" s="8">
        <f t="shared" si="1"/>
        <v>-0.01015572106</v>
      </c>
      <c r="I588" s="8">
        <f t="shared" si="2"/>
        <v>0.01015572106</v>
      </c>
      <c r="J588" s="7" t="str">
        <f t="shared" si="3"/>
        <v>Dec-2024</v>
      </c>
      <c r="K588" s="9">
        <f t="shared" si="4"/>
        <v>45627</v>
      </c>
      <c r="L588" s="7" t="str">
        <f t="shared" si="5"/>
        <v/>
      </c>
      <c r="M588" s="7" t="str">
        <f>IFERROR(__xludf.DUMMYFUNCTION("IFERROR(
  IF(
    F588 &gt;
    3*AVERAGE(
       FILTER($F$2:$F10491,
         $G$2:$G10491=G588,
         $A$2:$A10491&gt;=A588-20,
         $A$2:$A10491&lt;=A588
       )
    ),
    ""VOL_SPIKE_3X"",""""
  ),
"""")
"),"")</f>
        <v/>
      </c>
      <c r="N588" s="7" t="str">
        <f t="shared" si="6"/>
        <v/>
      </c>
      <c r="O588" s="7" t="str">
        <f t="shared" si="7"/>
        <v/>
      </c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>
        <f>IFERROR(__xludf.DUMMYFUNCTION("""COMPUTED_VALUE"""),45637.0)</f>
        <v>45637</v>
      </c>
      <c r="B589" s="6">
        <f>IFERROR(__xludf.DUMMYFUNCTION("""COMPUTED_VALUE"""),257.5)</f>
        <v>257.5</v>
      </c>
      <c r="C589" s="6">
        <f>IFERROR(__xludf.DUMMYFUNCTION("""COMPUTED_VALUE"""),258.7)</f>
        <v>258.7</v>
      </c>
      <c r="D589" s="6">
        <f>IFERROR(__xludf.DUMMYFUNCTION("""COMPUTED_VALUE"""),255.65)</f>
        <v>255.65</v>
      </c>
      <c r="E589" s="6">
        <f>IFERROR(__xludf.DUMMYFUNCTION("""COMPUTED_VALUE"""),256.6)</f>
        <v>256.6</v>
      </c>
      <c r="F589" s="7">
        <f>IFERROR(__xludf.DUMMYFUNCTION("""COMPUTED_VALUE"""),5353032.0)</f>
        <v>5353032</v>
      </c>
      <c r="G589" s="7" t="str">
        <f>IFERROR(__xludf.DUMMYFUNCTION("""COMPUTED_VALUE"""),"ONGC.NS")</f>
        <v>ONGC.NS</v>
      </c>
      <c r="H589" s="8">
        <f t="shared" si="1"/>
        <v>-0.003495145631</v>
      </c>
      <c r="I589" s="8">
        <f t="shared" si="2"/>
        <v>0.003495145631</v>
      </c>
      <c r="J589" s="7" t="str">
        <f t="shared" si="3"/>
        <v>Dec-2024</v>
      </c>
      <c r="K589" s="9">
        <f t="shared" si="4"/>
        <v>45627</v>
      </c>
      <c r="L589" s="7" t="str">
        <f t="shared" si="5"/>
        <v/>
      </c>
      <c r="M589" s="7" t="str">
        <f>IFERROR(__xludf.DUMMYFUNCTION("IFERROR(
  IF(
    F589 &gt;
    3*AVERAGE(
       FILTER($F$2:$F10491,
         $G$2:$G10491=G589,
         $A$2:$A10491&gt;=A589-20,
         $A$2:$A10491&lt;=A589
       )
    ),
    ""VOL_SPIKE_3X"",""""
  ),
"""")
"),"")</f>
        <v/>
      </c>
      <c r="N589" s="7" t="str">
        <f t="shared" si="6"/>
        <v/>
      </c>
      <c r="O589" s="7" t="str">
        <f t="shared" si="7"/>
        <v/>
      </c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>
        <f>IFERROR(__xludf.DUMMYFUNCTION("""COMPUTED_VALUE"""),45637.0)</f>
        <v>45637</v>
      </c>
      <c r="B590" s="6">
        <f>IFERROR(__xludf.DUMMYFUNCTION("""COMPUTED_VALUE"""),327.25)</f>
        <v>327.25</v>
      </c>
      <c r="C590" s="6">
        <f>IFERROR(__xludf.DUMMYFUNCTION("""COMPUTED_VALUE"""),329.0)</f>
        <v>329</v>
      </c>
      <c r="D590" s="6">
        <f>IFERROR(__xludf.DUMMYFUNCTION("""COMPUTED_VALUE"""),326.85)</f>
        <v>326.85</v>
      </c>
      <c r="E590" s="6">
        <f>IFERROR(__xludf.DUMMYFUNCTION("""COMPUTED_VALUE"""),327.55)</f>
        <v>327.55</v>
      </c>
      <c r="F590" s="7">
        <f>IFERROR(__xludf.DUMMYFUNCTION("""COMPUTED_VALUE"""),5013051.0)</f>
        <v>5013051</v>
      </c>
      <c r="G590" s="7" t="str">
        <f>IFERROR(__xludf.DUMMYFUNCTION("""COMPUTED_VALUE"""),"POWERGRID.NS")</f>
        <v>POWERGRID.NS</v>
      </c>
      <c r="H590" s="8">
        <f t="shared" si="1"/>
        <v>0.0009167303285</v>
      </c>
      <c r="I590" s="8">
        <f t="shared" si="2"/>
        <v>0.0009167303285</v>
      </c>
      <c r="J590" s="7" t="str">
        <f t="shared" si="3"/>
        <v>Dec-2024</v>
      </c>
      <c r="K590" s="9">
        <f t="shared" si="4"/>
        <v>45627</v>
      </c>
      <c r="L590" s="7" t="str">
        <f t="shared" si="5"/>
        <v/>
      </c>
      <c r="M590" s="7" t="str">
        <f>IFERROR(__xludf.DUMMYFUNCTION("IFERROR(
  IF(
    F590 &gt;
    3*AVERAGE(
       FILTER($F$2:$F10491,
         $G$2:$G10491=G590,
         $A$2:$A10491&gt;=A590-20,
         $A$2:$A10491&lt;=A590
       )
    ),
    ""VOL_SPIKE_3X"",""""
  ),
"""")
"),"")</f>
        <v/>
      </c>
      <c r="N590" s="7" t="str">
        <f t="shared" si="6"/>
        <v/>
      </c>
      <c r="O590" s="7" t="str">
        <f t="shared" si="7"/>
        <v/>
      </c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>
        <f>IFERROR(__xludf.DUMMYFUNCTION("""COMPUTED_VALUE"""),45637.0)</f>
        <v>45637</v>
      </c>
      <c r="B591" s="6">
        <f>IFERROR(__xludf.DUMMYFUNCTION("""COMPUTED_VALUE"""),1285.0)</f>
        <v>1285</v>
      </c>
      <c r="C591" s="6">
        <f>IFERROR(__xludf.DUMMYFUNCTION("""COMPUTED_VALUE"""),1290.0)</f>
        <v>1290</v>
      </c>
      <c r="D591" s="6">
        <f>IFERROR(__xludf.DUMMYFUNCTION("""COMPUTED_VALUE"""),1276.05)</f>
        <v>1276.05</v>
      </c>
      <c r="E591" s="6">
        <f>IFERROR(__xludf.DUMMYFUNCTION("""COMPUTED_VALUE"""),1278.2)</f>
        <v>1278.2</v>
      </c>
      <c r="F591" s="7">
        <f>IFERROR(__xludf.DUMMYFUNCTION("""COMPUTED_VALUE"""),1.1724373E7)</f>
        <v>11724373</v>
      </c>
      <c r="G591" s="7" t="str">
        <f>IFERROR(__xludf.DUMMYFUNCTION("""COMPUTED_VALUE"""),"RELIANCE.NS")</f>
        <v>RELIANCE.NS</v>
      </c>
      <c r="H591" s="8">
        <f t="shared" si="1"/>
        <v>-0.005291828794</v>
      </c>
      <c r="I591" s="8">
        <f t="shared" si="2"/>
        <v>0.005291828794</v>
      </c>
      <c r="J591" s="7" t="str">
        <f t="shared" si="3"/>
        <v>Dec-2024</v>
      </c>
      <c r="K591" s="9">
        <f t="shared" si="4"/>
        <v>45627</v>
      </c>
      <c r="L591" s="7" t="str">
        <f t="shared" si="5"/>
        <v/>
      </c>
      <c r="M591" s="7" t="str">
        <f>IFERROR(__xludf.DUMMYFUNCTION("IFERROR(
  IF(
    F591 &gt;
    3*AVERAGE(
       FILTER($F$2:$F10491,
         $G$2:$G10491=G591,
         $A$2:$A10491&gt;=A591-20,
         $A$2:$A10491&lt;=A591
       )
    ),
    ""VOL_SPIKE_3X"",""""
  ),
"""")
"),"")</f>
        <v/>
      </c>
      <c r="N591" s="7" t="str">
        <f t="shared" si="6"/>
        <v/>
      </c>
      <c r="O591" s="7" t="str">
        <f t="shared" si="7"/>
        <v/>
      </c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>
        <f>IFERROR(__xludf.DUMMYFUNCTION("""COMPUTED_VALUE"""),45638.0)</f>
        <v>45638</v>
      </c>
      <c r="B592" s="6">
        <f>IFERROR(__xludf.DUMMYFUNCTION("""COMPUTED_VALUE"""),788.0)</f>
        <v>788</v>
      </c>
      <c r="C592" s="6">
        <f>IFERROR(__xludf.DUMMYFUNCTION("""COMPUTED_VALUE"""),832.8)</f>
        <v>832.8</v>
      </c>
      <c r="D592" s="6">
        <f>IFERROR(__xludf.DUMMYFUNCTION("""COMPUTED_VALUE"""),783.25)</f>
        <v>783.25</v>
      </c>
      <c r="E592" s="6">
        <f>IFERROR(__xludf.DUMMYFUNCTION("""COMPUTED_VALUE"""),818.15)</f>
        <v>818.15</v>
      </c>
      <c r="F592" s="7">
        <f>IFERROR(__xludf.DUMMYFUNCTION("""COMPUTED_VALUE"""),7753669.0)</f>
        <v>7753669</v>
      </c>
      <c r="G592" s="7" t="str">
        <f>IFERROR(__xludf.DUMMYFUNCTION("""COMPUTED_VALUE"""),"ADANIENSOL.NS")</f>
        <v>ADANIENSOL.NS</v>
      </c>
      <c r="H592" s="8">
        <f t="shared" si="1"/>
        <v>0.03826142132</v>
      </c>
      <c r="I592" s="8">
        <f t="shared" si="2"/>
        <v>0.03826142132</v>
      </c>
      <c r="J592" s="7" t="str">
        <f t="shared" si="3"/>
        <v>Dec-2024</v>
      </c>
      <c r="K592" s="9">
        <f t="shared" si="4"/>
        <v>45627</v>
      </c>
      <c r="L592" s="7" t="str">
        <f t="shared" si="5"/>
        <v/>
      </c>
      <c r="M592" s="7" t="str">
        <f>IFERROR(__xludf.DUMMYFUNCTION("IFERROR(
  IF(
    F592 &gt;
    3*AVERAGE(
       FILTER($F$2:$F10491,
         $G$2:$G10491=G592,
         $A$2:$A10491&gt;=A592-20,
         $A$2:$A10491&lt;=A592
       )
    ),
    ""VOL_SPIKE_3X"",""""
  ),
"""")
"),"")</f>
        <v/>
      </c>
      <c r="N592" s="7" t="str">
        <f t="shared" si="6"/>
        <v/>
      </c>
      <c r="O592" s="7" t="str">
        <f t="shared" si="7"/>
        <v/>
      </c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>
        <f>IFERROR(__xludf.DUMMYFUNCTION("""COMPUTED_VALUE"""),45638.0)</f>
        <v>45638</v>
      </c>
      <c r="B593" s="6">
        <f>IFERROR(__xludf.DUMMYFUNCTION("""COMPUTED_VALUE"""),1143.85)</f>
        <v>1143.85</v>
      </c>
      <c r="C593" s="6">
        <f>IFERROR(__xludf.DUMMYFUNCTION("""COMPUTED_VALUE"""),1249.0)</f>
        <v>1249</v>
      </c>
      <c r="D593" s="6">
        <f>IFERROR(__xludf.DUMMYFUNCTION("""COMPUTED_VALUE"""),1124.2)</f>
        <v>1124.2</v>
      </c>
      <c r="E593" s="6">
        <f>IFERROR(__xludf.DUMMYFUNCTION("""COMPUTED_VALUE"""),1217.95)</f>
        <v>1217.95</v>
      </c>
      <c r="F593" s="7">
        <f>IFERROR(__xludf.DUMMYFUNCTION("""COMPUTED_VALUE"""),1.0821668E7)</f>
        <v>10821668</v>
      </c>
      <c r="G593" s="7" t="str">
        <f>IFERROR(__xludf.DUMMYFUNCTION("""COMPUTED_VALUE"""),"ADANIGREEN.NS")</f>
        <v>ADANIGREEN.NS</v>
      </c>
      <c r="H593" s="8">
        <f t="shared" si="1"/>
        <v>0.06478122131</v>
      </c>
      <c r="I593" s="8">
        <f t="shared" si="2"/>
        <v>0.06478122131</v>
      </c>
      <c r="J593" s="7" t="str">
        <f t="shared" si="3"/>
        <v>Dec-2024</v>
      </c>
      <c r="K593" s="9">
        <f t="shared" si="4"/>
        <v>45627</v>
      </c>
      <c r="L593" s="7" t="str">
        <f t="shared" si="5"/>
        <v>PRICE_MOVE_5PCT+</v>
      </c>
      <c r="M593" s="7" t="str">
        <f>IFERROR(__xludf.DUMMYFUNCTION("IFERROR(
  IF(
    F593 &gt;
    3*AVERAGE(
       FILTER($F$2:$F10491,
         $G$2:$G10491=G593,
         $A$2:$A10491&gt;=A593-20,
         $A$2:$A10491&lt;=A593
       )
    ),
    ""VOL_SPIKE_3X"",""""
  ),
"""")
"),"")</f>
        <v/>
      </c>
      <c r="N593" s="7" t="str">
        <f t="shared" si="6"/>
        <v>PRICE_MOVE_5PCT+</v>
      </c>
      <c r="O593" s="7" t="str">
        <f t="shared" si="7"/>
        <v/>
      </c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>
        <f>IFERROR(__xludf.DUMMYFUNCTION("""COMPUTED_VALUE"""),45638.0)</f>
        <v>45638</v>
      </c>
      <c r="B594" s="6">
        <f>IFERROR(__xludf.DUMMYFUNCTION("""COMPUTED_VALUE"""),307.05)</f>
        <v>307.05</v>
      </c>
      <c r="C594" s="6">
        <f>IFERROR(__xludf.DUMMYFUNCTION("""COMPUTED_VALUE"""),307.45)</f>
        <v>307.45</v>
      </c>
      <c r="D594" s="6">
        <f>IFERROR(__xludf.DUMMYFUNCTION("""COMPUTED_VALUE"""),301.3)</f>
        <v>301.3</v>
      </c>
      <c r="E594" s="6">
        <f>IFERROR(__xludf.DUMMYFUNCTION("""COMPUTED_VALUE"""),302.15)</f>
        <v>302.15</v>
      </c>
      <c r="F594" s="7">
        <f>IFERROR(__xludf.DUMMYFUNCTION("""COMPUTED_VALUE"""),7454904.0)</f>
        <v>7454904</v>
      </c>
      <c r="G594" s="7" t="str">
        <f>IFERROR(__xludf.DUMMYFUNCTION("""COMPUTED_VALUE"""),"BPCL.NS")</f>
        <v>BPCL.NS</v>
      </c>
      <c r="H594" s="8">
        <f t="shared" si="1"/>
        <v>-0.01595831298</v>
      </c>
      <c r="I594" s="8">
        <f t="shared" si="2"/>
        <v>0.01595831298</v>
      </c>
      <c r="J594" s="7" t="str">
        <f t="shared" si="3"/>
        <v>Dec-2024</v>
      </c>
      <c r="K594" s="9">
        <f t="shared" si="4"/>
        <v>45627</v>
      </c>
      <c r="L594" s="7" t="str">
        <f t="shared" si="5"/>
        <v/>
      </c>
      <c r="M594" s="7" t="str">
        <f>IFERROR(__xludf.DUMMYFUNCTION("IFERROR(
  IF(
    F594 &gt;
    3*AVERAGE(
       FILTER($F$2:$F10491,
         $G$2:$G10491=G594,
         $A$2:$A10491&gt;=A594-20,
         $A$2:$A10491&lt;=A594
       )
    ),
    ""VOL_SPIKE_3X"",""""
  ),
"""")
"),"")</f>
        <v/>
      </c>
      <c r="N594" s="7" t="str">
        <f t="shared" si="6"/>
        <v/>
      </c>
      <c r="O594" s="7" t="str">
        <f t="shared" si="7"/>
        <v/>
      </c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>
        <f>IFERROR(__xludf.DUMMYFUNCTION("""COMPUTED_VALUE"""),45638.0)</f>
        <v>45638</v>
      </c>
      <c r="B595" s="6">
        <f>IFERROR(__xludf.DUMMYFUNCTION("""COMPUTED_VALUE"""),416.5)</f>
        <v>416.5</v>
      </c>
      <c r="C595" s="6">
        <f>IFERROR(__xludf.DUMMYFUNCTION("""COMPUTED_VALUE"""),417.85)</f>
        <v>417.85</v>
      </c>
      <c r="D595" s="6">
        <f>IFERROR(__xludf.DUMMYFUNCTION("""COMPUTED_VALUE"""),407.1)</f>
        <v>407.1</v>
      </c>
      <c r="E595" s="6">
        <f>IFERROR(__xludf.DUMMYFUNCTION("""COMPUTED_VALUE"""),409.1)</f>
        <v>409.1</v>
      </c>
      <c r="F595" s="7">
        <f>IFERROR(__xludf.DUMMYFUNCTION("""COMPUTED_VALUE"""),9409378.0)</f>
        <v>9409378</v>
      </c>
      <c r="G595" s="7" t="str">
        <f>IFERROR(__xludf.DUMMYFUNCTION("""COMPUTED_VALUE"""),"COALINDIA.NS")</f>
        <v>COALINDIA.NS</v>
      </c>
      <c r="H595" s="8">
        <f t="shared" si="1"/>
        <v>-0.01776710684</v>
      </c>
      <c r="I595" s="8">
        <f t="shared" si="2"/>
        <v>0.01776710684</v>
      </c>
      <c r="J595" s="7" t="str">
        <f t="shared" si="3"/>
        <v>Dec-2024</v>
      </c>
      <c r="K595" s="9">
        <f t="shared" si="4"/>
        <v>45627</v>
      </c>
      <c r="L595" s="7" t="str">
        <f t="shared" si="5"/>
        <v/>
      </c>
      <c r="M595" s="7" t="str">
        <f>IFERROR(__xludf.DUMMYFUNCTION("IFERROR(
  IF(
    F595 &gt;
    3*AVERAGE(
       FILTER($F$2:$F10491,
         $G$2:$G10491=G595,
         $A$2:$A10491&gt;=A595-20,
         $A$2:$A10491&lt;=A595
       )
    ),
    ""VOL_SPIKE_3X"",""""
  ),
"""")
"),"")</f>
        <v/>
      </c>
      <c r="N595" s="7" t="str">
        <f t="shared" si="6"/>
        <v/>
      </c>
      <c r="O595" s="7" t="str">
        <f t="shared" si="7"/>
        <v/>
      </c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>
        <f>IFERROR(__xludf.DUMMYFUNCTION("""COMPUTED_VALUE"""),45638.0)</f>
        <v>45638</v>
      </c>
      <c r="B596" s="6">
        <f>IFERROR(__xludf.DUMMYFUNCTION("""COMPUTED_VALUE"""),410.0)</f>
        <v>410</v>
      </c>
      <c r="C596" s="6">
        <f>IFERROR(__xludf.DUMMYFUNCTION("""COMPUTED_VALUE"""),414.0)</f>
        <v>414</v>
      </c>
      <c r="D596" s="6">
        <f>IFERROR(__xludf.DUMMYFUNCTION("""COMPUTED_VALUE"""),406.05)</f>
        <v>406.05</v>
      </c>
      <c r="E596" s="6">
        <f>IFERROR(__xludf.DUMMYFUNCTION("""COMPUTED_VALUE"""),411.7)</f>
        <v>411.7</v>
      </c>
      <c r="F596" s="7">
        <f>IFERROR(__xludf.DUMMYFUNCTION("""COMPUTED_VALUE"""),4832913.0)</f>
        <v>4832913</v>
      </c>
      <c r="G596" s="7" t="str">
        <f>IFERROR(__xludf.DUMMYFUNCTION("""COMPUTED_VALUE"""),"HINDPETRO.NS")</f>
        <v>HINDPETRO.NS</v>
      </c>
      <c r="H596" s="8">
        <f t="shared" si="1"/>
        <v>0.004146341463</v>
      </c>
      <c r="I596" s="8">
        <f t="shared" si="2"/>
        <v>0.004146341463</v>
      </c>
      <c r="J596" s="7" t="str">
        <f t="shared" si="3"/>
        <v>Dec-2024</v>
      </c>
      <c r="K596" s="9">
        <f t="shared" si="4"/>
        <v>45627</v>
      </c>
      <c r="L596" s="7" t="str">
        <f t="shared" si="5"/>
        <v/>
      </c>
      <c r="M596" s="7" t="str">
        <f>IFERROR(__xludf.DUMMYFUNCTION("IFERROR(
  IF(
    F596 &gt;
    3*AVERAGE(
       FILTER($F$2:$F10491,
         $G$2:$G10491=G596,
         $A$2:$A10491&gt;=A596-20,
         $A$2:$A10491&lt;=A596
       )
    ),
    ""VOL_SPIKE_3X"",""""
  ),
"""")
"),"")</f>
        <v/>
      </c>
      <c r="N596" s="7" t="str">
        <f t="shared" si="6"/>
        <v/>
      </c>
      <c r="O596" s="7" t="str">
        <f t="shared" si="7"/>
        <v/>
      </c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>
        <f>IFERROR(__xludf.DUMMYFUNCTION("""COMPUTED_VALUE"""),45638.0)</f>
        <v>45638</v>
      </c>
      <c r="B597" s="6">
        <f>IFERROR(__xludf.DUMMYFUNCTION("""COMPUTED_VALUE"""),142.25)</f>
        <v>142.25</v>
      </c>
      <c r="C597" s="6">
        <f>IFERROR(__xludf.DUMMYFUNCTION("""COMPUTED_VALUE"""),143.19)</f>
        <v>143.19</v>
      </c>
      <c r="D597" s="6">
        <f>IFERROR(__xludf.DUMMYFUNCTION("""COMPUTED_VALUE"""),140.87)</f>
        <v>140.87</v>
      </c>
      <c r="E597" s="6">
        <f>IFERROR(__xludf.DUMMYFUNCTION("""COMPUTED_VALUE"""),141.48)</f>
        <v>141.48</v>
      </c>
      <c r="F597" s="7">
        <f>IFERROR(__xludf.DUMMYFUNCTION("""COMPUTED_VALUE"""),1.4929334E7)</f>
        <v>14929334</v>
      </c>
      <c r="G597" s="7" t="str">
        <f>IFERROR(__xludf.DUMMYFUNCTION("""COMPUTED_VALUE"""),"IOC.NS")</f>
        <v>IOC.NS</v>
      </c>
      <c r="H597" s="8">
        <f t="shared" si="1"/>
        <v>-0.005413005272</v>
      </c>
      <c r="I597" s="8">
        <f t="shared" si="2"/>
        <v>0.005413005272</v>
      </c>
      <c r="J597" s="7" t="str">
        <f t="shared" si="3"/>
        <v>Dec-2024</v>
      </c>
      <c r="K597" s="9">
        <f t="shared" si="4"/>
        <v>45627</v>
      </c>
      <c r="L597" s="7" t="str">
        <f t="shared" si="5"/>
        <v/>
      </c>
      <c r="M597" s="7" t="str">
        <f>IFERROR(__xludf.DUMMYFUNCTION("IFERROR(
  IF(
    F597 &gt;
    3*AVERAGE(
       FILTER($F$2:$F10491,
         $G$2:$G10491=G597,
         $A$2:$A10491&gt;=A597-20,
         $A$2:$A10491&lt;=A597
       )
    ),
    ""VOL_SPIKE_3X"",""""
  ),
"""")
"),"")</f>
        <v/>
      </c>
      <c r="N597" s="7" t="str">
        <f t="shared" si="6"/>
        <v/>
      </c>
      <c r="O597" s="7" t="str">
        <f t="shared" si="7"/>
        <v/>
      </c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>
        <f>IFERROR(__xludf.DUMMYFUNCTION("""COMPUTED_VALUE"""),45638.0)</f>
        <v>45638</v>
      </c>
      <c r="B598" s="6">
        <f>IFERROR(__xludf.DUMMYFUNCTION("""COMPUTED_VALUE"""),366.0)</f>
        <v>366</v>
      </c>
      <c r="C598" s="6">
        <f>IFERROR(__xludf.DUMMYFUNCTION("""COMPUTED_VALUE"""),367.0)</f>
        <v>367</v>
      </c>
      <c r="D598" s="6">
        <f>IFERROR(__xludf.DUMMYFUNCTION("""COMPUTED_VALUE"""),353.0)</f>
        <v>353</v>
      </c>
      <c r="E598" s="6">
        <f>IFERROR(__xludf.DUMMYFUNCTION("""COMPUTED_VALUE"""),355.6)</f>
        <v>355.6</v>
      </c>
      <c r="F598" s="7">
        <f>IFERROR(__xludf.DUMMYFUNCTION("""COMPUTED_VALUE"""),2.2538216E7)</f>
        <v>22538216</v>
      </c>
      <c r="G598" s="7" t="str">
        <f>IFERROR(__xludf.DUMMYFUNCTION("""COMPUTED_VALUE"""),"NTPC.NS")</f>
        <v>NTPC.NS</v>
      </c>
      <c r="H598" s="8">
        <f t="shared" si="1"/>
        <v>-0.02841530055</v>
      </c>
      <c r="I598" s="8">
        <f t="shared" si="2"/>
        <v>0.02841530055</v>
      </c>
      <c r="J598" s="7" t="str">
        <f t="shared" si="3"/>
        <v>Dec-2024</v>
      </c>
      <c r="K598" s="9">
        <f t="shared" si="4"/>
        <v>45627</v>
      </c>
      <c r="L598" s="7" t="str">
        <f t="shared" si="5"/>
        <v/>
      </c>
      <c r="M598" s="7" t="str">
        <f>IFERROR(__xludf.DUMMYFUNCTION("IFERROR(
  IF(
    F598 &gt;
    3*AVERAGE(
       FILTER($F$2:$F10491,
         $G$2:$G10491=G598,
         $A$2:$A10491&gt;=A598-20,
         $A$2:$A10491&lt;=A598
       )
    ),
    ""VOL_SPIKE_3X"",""""
  ),
"""")
"),"")</f>
        <v/>
      </c>
      <c r="N598" s="7" t="str">
        <f t="shared" si="6"/>
        <v/>
      </c>
      <c r="O598" s="7" t="str">
        <f t="shared" si="7"/>
        <v/>
      </c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>
        <f>IFERROR(__xludf.DUMMYFUNCTION("""COMPUTED_VALUE"""),45638.0)</f>
        <v>45638</v>
      </c>
      <c r="B599" s="6">
        <f>IFERROR(__xludf.DUMMYFUNCTION("""COMPUTED_VALUE"""),258.0)</f>
        <v>258</v>
      </c>
      <c r="C599" s="6">
        <f>IFERROR(__xludf.DUMMYFUNCTION("""COMPUTED_VALUE"""),258.6)</f>
        <v>258.6</v>
      </c>
      <c r="D599" s="6">
        <f>IFERROR(__xludf.DUMMYFUNCTION("""COMPUTED_VALUE"""),253.6)</f>
        <v>253.6</v>
      </c>
      <c r="E599" s="6">
        <f>IFERROR(__xludf.DUMMYFUNCTION("""COMPUTED_VALUE"""),254.05)</f>
        <v>254.05</v>
      </c>
      <c r="F599" s="7">
        <f>IFERROR(__xludf.DUMMYFUNCTION("""COMPUTED_VALUE"""),7123877.0)</f>
        <v>7123877</v>
      </c>
      <c r="G599" s="7" t="str">
        <f>IFERROR(__xludf.DUMMYFUNCTION("""COMPUTED_VALUE"""),"ONGC.NS")</f>
        <v>ONGC.NS</v>
      </c>
      <c r="H599" s="8">
        <f t="shared" si="1"/>
        <v>-0.01531007752</v>
      </c>
      <c r="I599" s="8">
        <f t="shared" si="2"/>
        <v>0.01531007752</v>
      </c>
      <c r="J599" s="7" t="str">
        <f t="shared" si="3"/>
        <v>Dec-2024</v>
      </c>
      <c r="K599" s="9">
        <f t="shared" si="4"/>
        <v>45627</v>
      </c>
      <c r="L599" s="7" t="str">
        <f t="shared" si="5"/>
        <v/>
      </c>
      <c r="M599" s="7" t="str">
        <f>IFERROR(__xludf.DUMMYFUNCTION("IFERROR(
  IF(
    F599 &gt;
    3*AVERAGE(
       FILTER($F$2:$F10491,
         $G$2:$G10491=G599,
         $A$2:$A10491&gt;=A599-20,
         $A$2:$A10491&lt;=A599
       )
    ),
    ""VOL_SPIKE_3X"",""""
  ),
"""")
"),"")</f>
        <v/>
      </c>
      <c r="N599" s="7" t="str">
        <f t="shared" si="6"/>
        <v/>
      </c>
      <c r="O599" s="7" t="str">
        <f t="shared" si="7"/>
        <v/>
      </c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>
        <f>IFERROR(__xludf.DUMMYFUNCTION("""COMPUTED_VALUE"""),45638.0)</f>
        <v>45638</v>
      </c>
      <c r="B600" s="6">
        <f>IFERROR(__xludf.DUMMYFUNCTION("""COMPUTED_VALUE"""),328.0)</f>
        <v>328</v>
      </c>
      <c r="C600" s="6">
        <f>IFERROR(__xludf.DUMMYFUNCTION("""COMPUTED_VALUE"""),329.9)</f>
        <v>329.9</v>
      </c>
      <c r="D600" s="6">
        <f>IFERROR(__xludf.DUMMYFUNCTION("""COMPUTED_VALUE"""),325.85)</f>
        <v>325.85</v>
      </c>
      <c r="E600" s="6">
        <f>IFERROR(__xludf.DUMMYFUNCTION("""COMPUTED_VALUE"""),329.2)</f>
        <v>329.2</v>
      </c>
      <c r="F600" s="7">
        <f>IFERROR(__xludf.DUMMYFUNCTION("""COMPUTED_VALUE"""),1.0414162E7)</f>
        <v>10414162</v>
      </c>
      <c r="G600" s="7" t="str">
        <f>IFERROR(__xludf.DUMMYFUNCTION("""COMPUTED_VALUE"""),"POWERGRID.NS")</f>
        <v>POWERGRID.NS</v>
      </c>
      <c r="H600" s="8">
        <f t="shared" si="1"/>
        <v>0.003658536585</v>
      </c>
      <c r="I600" s="8">
        <f t="shared" si="2"/>
        <v>0.003658536585</v>
      </c>
      <c r="J600" s="7" t="str">
        <f t="shared" si="3"/>
        <v>Dec-2024</v>
      </c>
      <c r="K600" s="9">
        <f t="shared" si="4"/>
        <v>45627</v>
      </c>
      <c r="L600" s="7" t="str">
        <f t="shared" si="5"/>
        <v/>
      </c>
      <c r="M600" s="7" t="str">
        <f>IFERROR(__xludf.DUMMYFUNCTION("IFERROR(
  IF(
    F600 &gt;
    3*AVERAGE(
       FILTER($F$2:$F10491,
         $G$2:$G10491=G600,
         $A$2:$A10491&gt;=A600-20,
         $A$2:$A10491&lt;=A600
       )
    ),
    ""VOL_SPIKE_3X"",""""
  ),
"""")
"),"")</f>
        <v/>
      </c>
      <c r="N600" s="7" t="str">
        <f t="shared" si="6"/>
        <v/>
      </c>
      <c r="O600" s="7" t="str">
        <f t="shared" si="7"/>
        <v/>
      </c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>
        <f>IFERROR(__xludf.DUMMYFUNCTION("""COMPUTED_VALUE"""),45638.0)</f>
        <v>45638</v>
      </c>
      <c r="B601" s="6">
        <f>IFERROR(__xludf.DUMMYFUNCTION("""COMPUTED_VALUE"""),1270.0)</f>
        <v>1270</v>
      </c>
      <c r="C601" s="6">
        <f>IFERROR(__xludf.DUMMYFUNCTION("""COMPUTED_VALUE"""),1278.2)</f>
        <v>1278.2</v>
      </c>
      <c r="D601" s="6">
        <f>IFERROR(__xludf.DUMMYFUNCTION("""COMPUTED_VALUE"""),1260.6)</f>
        <v>1260.6</v>
      </c>
      <c r="E601" s="6">
        <f>IFERROR(__xludf.DUMMYFUNCTION("""COMPUTED_VALUE"""),1262.9)</f>
        <v>1262.9</v>
      </c>
      <c r="F601" s="7">
        <f>IFERROR(__xludf.DUMMYFUNCTION("""COMPUTED_VALUE"""),2.0906813E7)</f>
        <v>20906813</v>
      </c>
      <c r="G601" s="7" t="str">
        <f>IFERROR(__xludf.DUMMYFUNCTION("""COMPUTED_VALUE"""),"RELIANCE.NS")</f>
        <v>RELIANCE.NS</v>
      </c>
      <c r="H601" s="8">
        <f t="shared" si="1"/>
        <v>-0.005590551181</v>
      </c>
      <c r="I601" s="8">
        <f t="shared" si="2"/>
        <v>0.005590551181</v>
      </c>
      <c r="J601" s="7" t="str">
        <f t="shared" si="3"/>
        <v>Dec-2024</v>
      </c>
      <c r="K601" s="9">
        <f t="shared" si="4"/>
        <v>45627</v>
      </c>
      <c r="L601" s="7" t="str">
        <f t="shared" si="5"/>
        <v/>
      </c>
      <c r="M601" s="7" t="str">
        <f>IFERROR(__xludf.DUMMYFUNCTION("IFERROR(
  IF(
    F601 &gt;
    3*AVERAGE(
       FILTER($F$2:$F10491,
         $G$2:$G10491=G601,
         $A$2:$A10491&gt;=A601-20,
         $A$2:$A10491&lt;=A601
       )
    ),
    ""VOL_SPIKE_3X"",""""
  ),
"""")
"),"")</f>
        <v/>
      </c>
      <c r="N601" s="7" t="str">
        <f t="shared" si="6"/>
        <v/>
      </c>
      <c r="O601" s="7" t="str">
        <f t="shared" si="7"/>
        <v/>
      </c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>
        <f>IFERROR(__xludf.DUMMYFUNCTION("""COMPUTED_VALUE"""),45639.0)</f>
        <v>45639</v>
      </c>
      <c r="B602" s="6">
        <f>IFERROR(__xludf.DUMMYFUNCTION("""COMPUTED_VALUE"""),818.9)</f>
        <v>818.9</v>
      </c>
      <c r="C602" s="6">
        <f>IFERROR(__xludf.DUMMYFUNCTION("""COMPUTED_VALUE"""),837.5)</f>
        <v>837.5</v>
      </c>
      <c r="D602" s="6">
        <f>IFERROR(__xludf.DUMMYFUNCTION("""COMPUTED_VALUE"""),807.0)</f>
        <v>807</v>
      </c>
      <c r="E602" s="6">
        <f>IFERROR(__xludf.DUMMYFUNCTION("""COMPUTED_VALUE"""),832.4)</f>
        <v>832.4</v>
      </c>
      <c r="F602" s="7">
        <f>IFERROR(__xludf.DUMMYFUNCTION("""COMPUTED_VALUE"""),3750259.0)</f>
        <v>3750259</v>
      </c>
      <c r="G602" s="7" t="str">
        <f>IFERROR(__xludf.DUMMYFUNCTION("""COMPUTED_VALUE"""),"ADANIENSOL.NS")</f>
        <v>ADANIENSOL.NS</v>
      </c>
      <c r="H602" s="8">
        <f t="shared" si="1"/>
        <v>0.01648552937</v>
      </c>
      <c r="I602" s="8">
        <f t="shared" si="2"/>
        <v>0.01648552937</v>
      </c>
      <c r="J602" s="7" t="str">
        <f t="shared" si="3"/>
        <v>Dec-2024</v>
      </c>
      <c r="K602" s="9">
        <f t="shared" si="4"/>
        <v>45627</v>
      </c>
      <c r="L602" s="7" t="str">
        <f t="shared" si="5"/>
        <v/>
      </c>
      <c r="M602" s="7" t="str">
        <f>IFERROR(__xludf.DUMMYFUNCTION("IFERROR(
  IF(
    F602 &gt;
    3*AVERAGE(
       FILTER($F$2:$F10491,
         $G$2:$G10491=G602,
         $A$2:$A10491&gt;=A602-20,
         $A$2:$A10491&lt;=A602
       )
    ),
    ""VOL_SPIKE_3X"",""""
  ),
"""")
"),"")</f>
        <v/>
      </c>
      <c r="N602" s="7" t="str">
        <f t="shared" si="6"/>
        <v/>
      </c>
      <c r="O602" s="7" t="str">
        <f t="shared" si="7"/>
        <v/>
      </c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>
        <f>IFERROR(__xludf.DUMMYFUNCTION("""COMPUTED_VALUE"""),45639.0)</f>
        <v>45639</v>
      </c>
      <c r="B603" s="6">
        <f>IFERROR(__xludf.DUMMYFUNCTION("""COMPUTED_VALUE"""),1220.0)</f>
        <v>1220</v>
      </c>
      <c r="C603" s="6">
        <f>IFERROR(__xludf.DUMMYFUNCTION("""COMPUTED_VALUE"""),1252.3)</f>
        <v>1252.3</v>
      </c>
      <c r="D603" s="6">
        <f>IFERROR(__xludf.DUMMYFUNCTION("""COMPUTED_VALUE"""),1179.3)</f>
        <v>1179.3</v>
      </c>
      <c r="E603" s="6">
        <f>IFERROR(__xludf.DUMMYFUNCTION("""COMPUTED_VALUE"""),1198.4)</f>
        <v>1198.4</v>
      </c>
      <c r="F603" s="7">
        <f>IFERROR(__xludf.DUMMYFUNCTION("""COMPUTED_VALUE"""),6893497.0)</f>
        <v>6893497</v>
      </c>
      <c r="G603" s="7" t="str">
        <f>IFERROR(__xludf.DUMMYFUNCTION("""COMPUTED_VALUE"""),"ADANIGREEN.NS")</f>
        <v>ADANIGREEN.NS</v>
      </c>
      <c r="H603" s="8">
        <f t="shared" si="1"/>
        <v>-0.01770491803</v>
      </c>
      <c r="I603" s="8">
        <f t="shared" si="2"/>
        <v>0.01770491803</v>
      </c>
      <c r="J603" s="7" t="str">
        <f t="shared" si="3"/>
        <v>Dec-2024</v>
      </c>
      <c r="K603" s="9">
        <f t="shared" si="4"/>
        <v>45627</v>
      </c>
      <c r="L603" s="7" t="str">
        <f t="shared" si="5"/>
        <v/>
      </c>
      <c r="M603" s="7" t="str">
        <f>IFERROR(__xludf.DUMMYFUNCTION("IFERROR(
  IF(
    F603 &gt;
    3*AVERAGE(
       FILTER($F$2:$F10491,
         $G$2:$G10491=G603,
         $A$2:$A10491&gt;=A603-20,
         $A$2:$A10491&lt;=A603
       )
    ),
    ""VOL_SPIKE_3X"",""""
  ),
"""")
"),"")</f>
        <v/>
      </c>
      <c r="N603" s="7" t="str">
        <f t="shared" si="6"/>
        <v/>
      </c>
      <c r="O603" s="7" t="str">
        <f t="shared" si="7"/>
        <v/>
      </c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>
        <f>IFERROR(__xludf.DUMMYFUNCTION("""COMPUTED_VALUE"""),45639.0)</f>
        <v>45639</v>
      </c>
      <c r="B604" s="6">
        <f>IFERROR(__xludf.DUMMYFUNCTION("""COMPUTED_VALUE"""),302.0)</f>
        <v>302</v>
      </c>
      <c r="C604" s="6">
        <f>IFERROR(__xludf.DUMMYFUNCTION("""COMPUTED_VALUE"""),305.15)</f>
        <v>305.15</v>
      </c>
      <c r="D604" s="6">
        <f>IFERROR(__xludf.DUMMYFUNCTION("""COMPUTED_VALUE"""),296.0)</f>
        <v>296</v>
      </c>
      <c r="E604" s="6">
        <f>IFERROR(__xludf.DUMMYFUNCTION("""COMPUTED_VALUE"""),301.7)</f>
        <v>301.7</v>
      </c>
      <c r="F604" s="7">
        <f>IFERROR(__xludf.DUMMYFUNCTION("""COMPUTED_VALUE"""),7726611.0)</f>
        <v>7726611</v>
      </c>
      <c r="G604" s="7" t="str">
        <f>IFERROR(__xludf.DUMMYFUNCTION("""COMPUTED_VALUE"""),"BPCL.NS")</f>
        <v>BPCL.NS</v>
      </c>
      <c r="H604" s="8">
        <f t="shared" si="1"/>
        <v>-0.0009933774834</v>
      </c>
      <c r="I604" s="8">
        <f t="shared" si="2"/>
        <v>0.0009933774834</v>
      </c>
      <c r="J604" s="7" t="str">
        <f t="shared" si="3"/>
        <v>Dec-2024</v>
      </c>
      <c r="K604" s="9">
        <f t="shared" si="4"/>
        <v>45627</v>
      </c>
      <c r="L604" s="7" t="str">
        <f t="shared" si="5"/>
        <v/>
      </c>
      <c r="M604" s="7" t="str">
        <f>IFERROR(__xludf.DUMMYFUNCTION("IFERROR(
  IF(
    F604 &gt;
    3*AVERAGE(
       FILTER($F$2:$F10491,
         $G$2:$G10491=G604,
         $A$2:$A10491&gt;=A604-20,
         $A$2:$A10491&lt;=A604
       )
    ),
    ""VOL_SPIKE_3X"",""""
  ),
"""")
"),"")</f>
        <v/>
      </c>
      <c r="N604" s="7" t="str">
        <f t="shared" si="6"/>
        <v/>
      </c>
      <c r="O604" s="7" t="str">
        <f t="shared" si="7"/>
        <v/>
      </c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>
        <f>IFERROR(__xludf.DUMMYFUNCTION("""COMPUTED_VALUE"""),45639.0)</f>
        <v>45639</v>
      </c>
      <c r="B605" s="6">
        <f>IFERROR(__xludf.DUMMYFUNCTION("""COMPUTED_VALUE"""),409.1)</f>
        <v>409.1</v>
      </c>
      <c r="C605" s="6">
        <f>IFERROR(__xludf.DUMMYFUNCTION("""COMPUTED_VALUE"""),411.25)</f>
        <v>411.25</v>
      </c>
      <c r="D605" s="6">
        <f>IFERROR(__xludf.DUMMYFUNCTION("""COMPUTED_VALUE"""),402.0)</f>
        <v>402</v>
      </c>
      <c r="E605" s="6">
        <f>IFERROR(__xludf.DUMMYFUNCTION("""COMPUTED_VALUE"""),410.3)</f>
        <v>410.3</v>
      </c>
      <c r="F605" s="7">
        <f>IFERROR(__xludf.DUMMYFUNCTION("""COMPUTED_VALUE"""),9439175.0)</f>
        <v>9439175</v>
      </c>
      <c r="G605" s="7" t="str">
        <f>IFERROR(__xludf.DUMMYFUNCTION("""COMPUTED_VALUE"""),"COALINDIA.NS")</f>
        <v>COALINDIA.NS</v>
      </c>
      <c r="H605" s="8">
        <f t="shared" si="1"/>
        <v>0.00293326815</v>
      </c>
      <c r="I605" s="8">
        <f t="shared" si="2"/>
        <v>0.00293326815</v>
      </c>
      <c r="J605" s="7" t="str">
        <f t="shared" si="3"/>
        <v>Dec-2024</v>
      </c>
      <c r="K605" s="9">
        <f t="shared" si="4"/>
        <v>45627</v>
      </c>
      <c r="L605" s="7" t="str">
        <f t="shared" si="5"/>
        <v/>
      </c>
      <c r="M605" s="7" t="str">
        <f>IFERROR(__xludf.DUMMYFUNCTION("IFERROR(
  IF(
    F605 &gt;
    3*AVERAGE(
       FILTER($F$2:$F10491,
         $G$2:$G10491=G605,
         $A$2:$A10491&gt;=A605-20,
         $A$2:$A10491&lt;=A605
       )
    ),
    ""VOL_SPIKE_3X"",""""
  ),
"""")
"),"")</f>
        <v/>
      </c>
      <c r="N605" s="7" t="str">
        <f t="shared" si="6"/>
        <v/>
      </c>
      <c r="O605" s="7" t="str">
        <f t="shared" si="7"/>
        <v/>
      </c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>
        <f>IFERROR(__xludf.DUMMYFUNCTION("""COMPUTED_VALUE"""),45639.0)</f>
        <v>45639</v>
      </c>
      <c r="B606" s="6">
        <f>IFERROR(__xludf.DUMMYFUNCTION("""COMPUTED_VALUE"""),411.7)</f>
        <v>411.7</v>
      </c>
      <c r="C606" s="6">
        <f>IFERROR(__xludf.DUMMYFUNCTION("""COMPUTED_VALUE"""),418.05)</f>
        <v>418.05</v>
      </c>
      <c r="D606" s="6">
        <f>IFERROR(__xludf.DUMMYFUNCTION("""COMPUTED_VALUE"""),409.45)</f>
        <v>409.45</v>
      </c>
      <c r="E606" s="6">
        <f>IFERROR(__xludf.DUMMYFUNCTION("""COMPUTED_VALUE"""),415.05)</f>
        <v>415.05</v>
      </c>
      <c r="F606" s="7">
        <f>IFERROR(__xludf.DUMMYFUNCTION("""COMPUTED_VALUE"""),7106881.0)</f>
        <v>7106881</v>
      </c>
      <c r="G606" s="7" t="str">
        <f>IFERROR(__xludf.DUMMYFUNCTION("""COMPUTED_VALUE"""),"HINDPETRO.NS")</f>
        <v>HINDPETRO.NS</v>
      </c>
      <c r="H606" s="8">
        <f t="shared" si="1"/>
        <v>0.008136992956</v>
      </c>
      <c r="I606" s="8">
        <f t="shared" si="2"/>
        <v>0.008136992956</v>
      </c>
      <c r="J606" s="7" t="str">
        <f t="shared" si="3"/>
        <v>Dec-2024</v>
      </c>
      <c r="K606" s="9">
        <f t="shared" si="4"/>
        <v>45627</v>
      </c>
      <c r="L606" s="7" t="str">
        <f t="shared" si="5"/>
        <v/>
      </c>
      <c r="M606" s="7" t="str">
        <f>IFERROR(__xludf.DUMMYFUNCTION("IFERROR(
  IF(
    F606 &gt;
    3*AVERAGE(
       FILTER($F$2:$F10491,
         $G$2:$G10491=G606,
         $A$2:$A10491&gt;=A606-20,
         $A$2:$A10491&lt;=A606
       )
    ),
    ""VOL_SPIKE_3X"",""""
  ),
"""")
"),"")</f>
        <v/>
      </c>
      <c r="N606" s="7" t="str">
        <f t="shared" si="6"/>
        <v/>
      </c>
      <c r="O606" s="7" t="str">
        <f t="shared" si="7"/>
        <v/>
      </c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>
        <f>IFERROR(__xludf.DUMMYFUNCTION("""COMPUTED_VALUE"""),45639.0)</f>
        <v>45639</v>
      </c>
      <c r="B607" s="6">
        <f>IFERROR(__xludf.DUMMYFUNCTION("""COMPUTED_VALUE"""),144.74)</f>
        <v>144.74</v>
      </c>
      <c r="C607" s="6">
        <f>IFERROR(__xludf.DUMMYFUNCTION("""COMPUTED_VALUE"""),145.1)</f>
        <v>145.1</v>
      </c>
      <c r="D607" s="6">
        <f>IFERROR(__xludf.DUMMYFUNCTION("""COMPUTED_VALUE"""),140.88)</f>
        <v>140.88</v>
      </c>
      <c r="E607" s="6">
        <f>IFERROR(__xludf.DUMMYFUNCTION("""COMPUTED_VALUE"""),144.24)</f>
        <v>144.24</v>
      </c>
      <c r="F607" s="7">
        <f>IFERROR(__xludf.DUMMYFUNCTION("""COMPUTED_VALUE"""),3.6825429E7)</f>
        <v>36825429</v>
      </c>
      <c r="G607" s="7" t="str">
        <f>IFERROR(__xludf.DUMMYFUNCTION("""COMPUTED_VALUE"""),"IOC.NS")</f>
        <v>IOC.NS</v>
      </c>
      <c r="H607" s="8">
        <f t="shared" si="1"/>
        <v>-0.003454470084</v>
      </c>
      <c r="I607" s="8">
        <f t="shared" si="2"/>
        <v>0.003454470084</v>
      </c>
      <c r="J607" s="7" t="str">
        <f t="shared" si="3"/>
        <v>Dec-2024</v>
      </c>
      <c r="K607" s="9">
        <f t="shared" si="4"/>
        <v>45627</v>
      </c>
      <c r="L607" s="7" t="str">
        <f t="shared" si="5"/>
        <v/>
      </c>
      <c r="M607" s="7" t="str">
        <f>IFERROR(__xludf.DUMMYFUNCTION("IFERROR(
  IF(
    F607 &gt;
    3*AVERAGE(
       FILTER($F$2:$F10491,
         $G$2:$G10491=G607,
         $A$2:$A10491&gt;=A607-20,
         $A$2:$A10491&lt;=A607
       )
    ),
    ""VOL_SPIKE_3X"",""""
  ),
"""")
"),"")</f>
        <v/>
      </c>
      <c r="N607" s="7" t="str">
        <f t="shared" si="6"/>
        <v/>
      </c>
      <c r="O607" s="7" t="str">
        <f t="shared" si="7"/>
        <v/>
      </c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>
        <f>IFERROR(__xludf.DUMMYFUNCTION("""COMPUTED_VALUE"""),45639.0)</f>
        <v>45639</v>
      </c>
      <c r="B608" s="6">
        <f>IFERROR(__xludf.DUMMYFUNCTION("""COMPUTED_VALUE"""),355.75)</f>
        <v>355.75</v>
      </c>
      <c r="C608" s="6">
        <f>IFERROR(__xludf.DUMMYFUNCTION("""COMPUTED_VALUE"""),358.3)</f>
        <v>358.3</v>
      </c>
      <c r="D608" s="6">
        <f>IFERROR(__xludf.DUMMYFUNCTION("""COMPUTED_VALUE"""),348.05)</f>
        <v>348.05</v>
      </c>
      <c r="E608" s="6">
        <f>IFERROR(__xludf.DUMMYFUNCTION("""COMPUTED_VALUE"""),357.15)</f>
        <v>357.15</v>
      </c>
      <c r="F608" s="7">
        <f>IFERROR(__xludf.DUMMYFUNCTION("""COMPUTED_VALUE"""),1.4269143E7)</f>
        <v>14269143</v>
      </c>
      <c r="G608" s="7" t="str">
        <f>IFERROR(__xludf.DUMMYFUNCTION("""COMPUTED_VALUE"""),"NTPC.NS")</f>
        <v>NTPC.NS</v>
      </c>
      <c r="H608" s="8">
        <f t="shared" si="1"/>
        <v>0.003935347857</v>
      </c>
      <c r="I608" s="8">
        <f t="shared" si="2"/>
        <v>0.003935347857</v>
      </c>
      <c r="J608" s="7" t="str">
        <f t="shared" si="3"/>
        <v>Dec-2024</v>
      </c>
      <c r="K608" s="9">
        <f t="shared" si="4"/>
        <v>45627</v>
      </c>
      <c r="L608" s="7" t="str">
        <f t="shared" si="5"/>
        <v/>
      </c>
      <c r="M608" s="7" t="str">
        <f>IFERROR(__xludf.DUMMYFUNCTION("IFERROR(
  IF(
    F608 &gt;
    3*AVERAGE(
       FILTER($F$2:$F10491,
         $G$2:$G10491=G608,
         $A$2:$A10491&gt;=A608-20,
         $A$2:$A10491&lt;=A608
       )
    ),
    ""VOL_SPIKE_3X"",""""
  ),
"""")
"),"")</f>
        <v/>
      </c>
      <c r="N608" s="7" t="str">
        <f t="shared" si="6"/>
        <v/>
      </c>
      <c r="O608" s="7" t="str">
        <f t="shared" si="7"/>
        <v/>
      </c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>
        <f>IFERROR(__xludf.DUMMYFUNCTION("""COMPUTED_VALUE"""),45639.0)</f>
        <v>45639</v>
      </c>
      <c r="B609" s="6">
        <f>IFERROR(__xludf.DUMMYFUNCTION("""COMPUTED_VALUE"""),253.0)</f>
        <v>253</v>
      </c>
      <c r="C609" s="6">
        <f>IFERROR(__xludf.DUMMYFUNCTION("""COMPUTED_VALUE"""),256.8)</f>
        <v>256.8</v>
      </c>
      <c r="D609" s="6">
        <f>IFERROR(__xludf.DUMMYFUNCTION("""COMPUTED_VALUE"""),249.5)</f>
        <v>249.5</v>
      </c>
      <c r="E609" s="6">
        <f>IFERROR(__xludf.DUMMYFUNCTION("""COMPUTED_VALUE"""),254.25)</f>
        <v>254.25</v>
      </c>
      <c r="F609" s="7">
        <f>IFERROR(__xludf.DUMMYFUNCTION("""COMPUTED_VALUE"""),1.1143128E7)</f>
        <v>11143128</v>
      </c>
      <c r="G609" s="7" t="str">
        <f>IFERROR(__xludf.DUMMYFUNCTION("""COMPUTED_VALUE"""),"ONGC.NS")</f>
        <v>ONGC.NS</v>
      </c>
      <c r="H609" s="8">
        <f t="shared" si="1"/>
        <v>0.004940711462</v>
      </c>
      <c r="I609" s="8">
        <f t="shared" si="2"/>
        <v>0.004940711462</v>
      </c>
      <c r="J609" s="7" t="str">
        <f t="shared" si="3"/>
        <v>Dec-2024</v>
      </c>
      <c r="K609" s="9">
        <f t="shared" si="4"/>
        <v>45627</v>
      </c>
      <c r="L609" s="7" t="str">
        <f t="shared" si="5"/>
        <v/>
      </c>
      <c r="M609" s="7" t="str">
        <f>IFERROR(__xludf.DUMMYFUNCTION("IFERROR(
  IF(
    F609 &gt;
    3*AVERAGE(
       FILTER($F$2:$F10491,
         $G$2:$G10491=G609,
         $A$2:$A10491&gt;=A609-20,
         $A$2:$A10491&lt;=A609
       )
    ),
    ""VOL_SPIKE_3X"",""""
  ),
"""")
"),"")</f>
        <v/>
      </c>
      <c r="N609" s="7" t="str">
        <f t="shared" si="6"/>
        <v/>
      </c>
      <c r="O609" s="7" t="str">
        <f t="shared" si="7"/>
        <v/>
      </c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>
        <f>IFERROR(__xludf.DUMMYFUNCTION("""COMPUTED_VALUE"""),45639.0)</f>
        <v>45639</v>
      </c>
      <c r="B610" s="6">
        <f>IFERROR(__xludf.DUMMYFUNCTION("""COMPUTED_VALUE"""),330.65)</f>
        <v>330.65</v>
      </c>
      <c r="C610" s="6">
        <f>IFERROR(__xludf.DUMMYFUNCTION("""COMPUTED_VALUE"""),334.3)</f>
        <v>334.3</v>
      </c>
      <c r="D610" s="6">
        <f>IFERROR(__xludf.DUMMYFUNCTION("""COMPUTED_VALUE"""),325.05)</f>
        <v>325.05</v>
      </c>
      <c r="E610" s="6">
        <f>IFERROR(__xludf.DUMMYFUNCTION("""COMPUTED_VALUE"""),333.85)</f>
        <v>333.85</v>
      </c>
      <c r="F610" s="7">
        <f>IFERROR(__xludf.DUMMYFUNCTION("""COMPUTED_VALUE"""),1.4973536E7)</f>
        <v>14973536</v>
      </c>
      <c r="G610" s="7" t="str">
        <f>IFERROR(__xludf.DUMMYFUNCTION("""COMPUTED_VALUE"""),"POWERGRID.NS")</f>
        <v>POWERGRID.NS</v>
      </c>
      <c r="H610" s="8">
        <f t="shared" si="1"/>
        <v>0.009677907153</v>
      </c>
      <c r="I610" s="8">
        <f t="shared" si="2"/>
        <v>0.009677907153</v>
      </c>
      <c r="J610" s="7" t="str">
        <f t="shared" si="3"/>
        <v>Dec-2024</v>
      </c>
      <c r="K610" s="9">
        <f t="shared" si="4"/>
        <v>45627</v>
      </c>
      <c r="L610" s="7" t="str">
        <f t="shared" si="5"/>
        <v/>
      </c>
      <c r="M610" s="7" t="str">
        <f>IFERROR(__xludf.DUMMYFUNCTION("IFERROR(
  IF(
    F610 &gt;
    3*AVERAGE(
       FILTER($F$2:$F10491,
         $G$2:$G10491=G610,
         $A$2:$A10491&gt;=A610-20,
         $A$2:$A10491&lt;=A610
       )
    ),
    ""VOL_SPIKE_3X"",""""
  ),
"""")
"),"")</f>
        <v/>
      </c>
      <c r="N610" s="7" t="str">
        <f t="shared" si="6"/>
        <v/>
      </c>
      <c r="O610" s="7" t="str">
        <f t="shared" si="7"/>
        <v/>
      </c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>
        <f>IFERROR(__xludf.DUMMYFUNCTION("""COMPUTED_VALUE"""),45639.0)</f>
        <v>45639</v>
      </c>
      <c r="B611" s="6">
        <f>IFERROR(__xludf.DUMMYFUNCTION("""COMPUTED_VALUE"""),1260.0)</f>
        <v>1260</v>
      </c>
      <c r="C611" s="6">
        <f>IFERROR(__xludf.DUMMYFUNCTION("""COMPUTED_VALUE"""),1275.2)</f>
        <v>1275.2</v>
      </c>
      <c r="D611" s="6">
        <f>IFERROR(__xludf.DUMMYFUNCTION("""COMPUTED_VALUE"""),1239.6)</f>
        <v>1239.6</v>
      </c>
      <c r="E611" s="6">
        <f>IFERROR(__xludf.DUMMYFUNCTION("""COMPUTED_VALUE"""),1272.85)</f>
        <v>1272.85</v>
      </c>
      <c r="F611" s="7">
        <f>IFERROR(__xludf.DUMMYFUNCTION("""COMPUTED_VALUE"""),2.8630222E7)</f>
        <v>28630222</v>
      </c>
      <c r="G611" s="7" t="str">
        <f>IFERROR(__xludf.DUMMYFUNCTION("""COMPUTED_VALUE"""),"RELIANCE.NS")</f>
        <v>RELIANCE.NS</v>
      </c>
      <c r="H611" s="8">
        <f t="shared" si="1"/>
        <v>0.0101984127</v>
      </c>
      <c r="I611" s="8">
        <f t="shared" si="2"/>
        <v>0.0101984127</v>
      </c>
      <c r="J611" s="7" t="str">
        <f t="shared" si="3"/>
        <v>Dec-2024</v>
      </c>
      <c r="K611" s="9">
        <f t="shared" si="4"/>
        <v>45627</v>
      </c>
      <c r="L611" s="7" t="str">
        <f t="shared" si="5"/>
        <v/>
      </c>
      <c r="M611" s="7" t="str">
        <f>IFERROR(__xludf.DUMMYFUNCTION("IFERROR(
  IF(
    F611 &gt;
    3*AVERAGE(
       FILTER($F$2:$F10491,
         $G$2:$G10491=G611,
         $A$2:$A10491&gt;=A611-20,
         $A$2:$A10491&lt;=A611
       )
    ),
    ""VOL_SPIKE_3X"",""""
  ),
"""")
"),"")</f>
        <v/>
      </c>
      <c r="N611" s="7" t="str">
        <f t="shared" si="6"/>
        <v/>
      </c>
      <c r="O611" s="7" t="str">
        <f t="shared" si="7"/>
        <v/>
      </c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>
        <f>IFERROR(__xludf.DUMMYFUNCTION("""COMPUTED_VALUE"""),45642.0)</f>
        <v>45642</v>
      </c>
      <c r="B612" s="6">
        <f>IFERROR(__xludf.DUMMYFUNCTION("""COMPUTED_VALUE"""),830.0)</f>
        <v>830</v>
      </c>
      <c r="C612" s="6">
        <f>IFERROR(__xludf.DUMMYFUNCTION("""COMPUTED_VALUE"""),830.9)</f>
        <v>830.9</v>
      </c>
      <c r="D612" s="6">
        <f>IFERROR(__xludf.DUMMYFUNCTION("""COMPUTED_VALUE"""),809.0)</f>
        <v>809</v>
      </c>
      <c r="E612" s="6">
        <f>IFERROR(__xludf.DUMMYFUNCTION("""COMPUTED_VALUE"""),811.9)</f>
        <v>811.9</v>
      </c>
      <c r="F612" s="7">
        <f>IFERROR(__xludf.DUMMYFUNCTION("""COMPUTED_VALUE"""),1588379.0)</f>
        <v>1588379</v>
      </c>
      <c r="G612" s="7" t="str">
        <f>IFERROR(__xludf.DUMMYFUNCTION("""COMPUTED_VALUE"""),"ADANIENSOL.NS")</f>
        <v>ADANIENSOL.NS</v>
      </c>
      <c r="H612" s="8">
        <f t="shared" si="1"/>
        <v>-0.02180722892</v>
      </c>
      <c r="I612" s="8">
        <f t="shared" si="2"/>
        <v>0.02180722892</v>
      </c>
      <c r="J612" s="7" t="str">
        <f t="shared" si="3"/>
        <v>Dec-2024</v>
      </c>
      <c r="K612" s="9">
        <f t="shared" si="4"/>
        <v>45627</v>
      </c>
      <c r="L612" s="7" t="str">
        <f t="shared" si="5"/>
        <v/>
      </c>
      <c r="M612" s="7" t="str">
        <f>IFERROR(__xludf.DUMMYFUNCTION("IFERROR(
  IF(
    F612 &gt;
    3*AVERAGE(
       FILTER($F$2:$F10491,
         $G$2:$G10491=G612,
         $A$2:$A10491&gt;=A612-20,
         $A$2:$A10491&lt;=A612
       )
    ),
    ""VOL_SPIKE_3X"",""""
  ),
"""")
"),"")</f>
        <v/>
      </c>
      <c r="N612" s="7" t="str">
        <f t="shared" si="6"/>
        <v/>
      </c>
      <c r="O612" s="7" t="str">
        <f t="shared" si="7"/>
        <v/>
      </c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>
        <f>IFERROR(__xludf.DUMMYFUNCTION("""COMPUTED_VALUE"""),45642.0)</f>
        <v>45642</v>
      </c>
      <c r="B613" s="6">
        <f>IFERROR(__xludf.DUMMYFUNCTION("""COMPUTED_VALUE"""),1200.95)</f>
        <v>1200.95</v>
      </c>
      <c r="C613" s="6">
        <f>IFERROR(__xludf.DUMMYFUNCTION("""COMPUTED_VALUE"""),1210.5)</f>
        <v>1210.5</v>
      </c>
      <c r="D613" s="6">
        <f>IFERROR(__xludf.DUMMYFUNCTION("""COMPUTED_VALUE"""),1163.65)</f>
        <v>1163.65</v>
      </c>
      <c r="E613" s="6">
        <f>IFERROR(__xludf.DUMMYFUNCTION("""COMPUTED_VALUE"""),1168.05)</f>
        <v>1168.05</v>
      </c>
      <c r="F613" s="7">
        <f>IFERROR(__xludf.DUMMYFUNCTION("""COMPUTED_VALUE"""),2717545.0)</f>
        <v>2717545</v>
      </c>
      <c r="G613" s="7" t="str">
        <f>IFERROR(__xludf.DUMMYFUNCTION("""COMPUTED_VALUE"""),"ADANIGREEN.NS")</f>
        <v>ADANIGREEN.NS</v>
      </c>
      <c r="H613" s="8">
        <f t="shared" si="1"/>
        <v>-0.02739497897</v>
      </c>
      <c r="I613" s="8">
        <f t="shared" si="2"/>
        <v>0.02739497897</v>
      </c>
      <c r="J613" s="7" t="str">
        <f t="shared" si="3"/>
        <v>Dec-2024</v>
      </c>
      <c r="K613" s="9">
        <f t="shared" si="4"/>
        <v>45627</v>
      </c>
      <c r="L613" s="7" t="str">
        <f t="shared" si="5"/>
        <v/>
      </c>
      <c r="M613" s="7" t="str">
        <f>IFERROR(__xludf.DUMMYFUNCTION("IFERROR(
  IF(
    F613 &gt;
    3*AVERAGE(
       FILTER($F$2:$F10491,
         $G$2:$G10491=G613,
         $A$2:$A10491&gt;=A613-20,
         $A$2:$A10491&lt;=A613
       )
    ),
    ""VOL_SPIKE_3X"",""""
  ),
"""")
"),"")</f>
        <v/>
      </c>
      <c r="N613" s="7" t="str">
        <f t="shared" si="6"/>
        <v/>
      </c>
      <c r="O613" s="7" t="str">
        <f t="shared" si="7"/>
        <v/>
      </c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>
        <f>IFERROR(__xludf.DUMMYFUNCTION("""COMPUTED_VALUE"""),45642.0)</f>
        <v>45642</v>
      </c>
      <c r="B614" s="6">
        <f>IFERROR(__xludf.DUMMYFUNCTION("""COMPUTED_VALUE"""),300.95)</f>
        <v>300.95</v>
      </c>
      <c r="C614" s="6">
        <f>IFERROR(__xludf.DUMMYFUNCTION("""COMPUTED_VALUE"""),301.7)</f>
        <v>301.7</v>
      </c>
      <c r="D614" s="6">
        <f>IFERROR(__xludf.DUMMYFUNCTION("""COMPUTED_VALUE"""),295.8)</f>
        <v>295.8</v>
      </c>
      <c r="E614" s="6">
        <f>IFERROR(__xludf.DUMMYFUNCTION("""COMPUTED_VALUE"""),297.95)</f>
        <v>297.95</v>
      </c>
      <c r="F614" s="7">
        <f>IFERROR(__xludf.DUMMYFUNCTION("""COMPUTED_VALUE"""),8696443.0)</f>
        <v>8696443</v>
      </c>
      <c r="G614" s="7" t="str">
        <f>IFERROR(__xludf.DUMMYFUNCTION("""COMPUTED_VALUE"""),"BPCL.NS")</f>
        <v>BPCL.NS</v>
      </c>
      <c r="H614" s="8">
        <f t="shared" si="1"/>
        <v>-0.009968433295</v>
      </c>
      <c r="I614" s="8">
        <f t="shared" si="2"/>
        <v>0.009968433295</v>
      </c>
      <c r="J614" s="7" t="str">
        <f t="shared" si="3"/>
        <v>Dec-2024</v>
      </c>
      <c r="K614" s="9">
        <f t="shared" si="4"/>
        <v>45627</v>
      </c>
      <c r="L614" s="7" t="str">
        <f t="shared" si="5"/>
        <v/>
      </c>
      <c r="M614" s="7" t="str">
        <f>IFERROR(__xludf.DUMMYFUNCTION("IFERROR(
  IF(
    F614 &gt;
    3*AVERAGE(
       FILTER($F$2:$F10491,
         $G$2:$G10491=G614,
         $A$2:$A10491&gt;=A614-20,
         $A$2:$A10491&lt;=A614
       )
    ),
    ""VOL_SPIKE_3X"",""""
  ),
"""")
"),"")</f>
        <v/>
      </c>
      <c r="N614" s="7" t="str">
        <f t="shared" si="6"/>
        <v/>
      </c>
      <c r="O614" s="7" t="str">
        <f t="shared" si="7"/>
        <v/>
      </c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>
        <f>IFERROR(__xludf.DUMMYFUNCTION("""COMPUTED_VALUE"""),45642.0)</f>
        <v>45642</v>
      </c>
      <c r="B615" s="6">
        <f>IFERROR(__xludf.DUMMYFUNCTION("""COMPUTED_VALUE"""),410.5)</f>
        <v>410.5</v>
      </c>
      <c r="C615" s="6">
        <f>IFERROR(__xludf.DUMMYFUNCTION("""COMPUTED_VALUE"""),412.85)</f>
        <v>412.85</v>
      </c>
      <c r="D615" s="6">
        <f>IFERROR(__xludf.DUMMYFUNCTION("""COMPUTED_VALUE"""),406.5)</f>
        <v>406.5</v>
      </c>
      <c r="E615" s="6">
        <f>IFERROR(__xludf.DUMMYFUNCTION("""COMPUTED_VALUE"""),410.45)</f>
        <v>410.45</v>
      </c>
      <c r="F615" s="7">
        <f>IFERROR(__xludf.DUMMYFUNCTION("""COMPUTED_VALUE"""),5434635.0)</f>
        <v>5434635</v>
      </c>
      <c r="G615" s="7" t="str">
        <f>IFERROR(__xludf.DUMMYFUNCTION("""COMPUTED_VALUE"""),"COALINDIA.NS")</f>
        <v>COALINDIA.NS</v>
      </c>
      <c r="H615" s="8">
        <f t="shared" si="1"/>
        <v>-0.0001218026797</v>
      </c>
      <c r="I615" s="8">
        <f t="shared" si="2"/>
        <v>0.0001218026797</v>
      </c>
      <c r="J615" s="7" t="str">
        <f t="shared" si="3"/>
        <v>Dec-2024</v>
      </c>
      <c r="K615" s="9">
        <f t="shared" si="4"/>
        <v>45627</v>
      </c>
      <c r="L615" s="7" t="str">
        <f t="shared" si="5"/>
        <v/>
      </c>
      <c r="M615" s="7" t="str">
        <f>IFERROR(__xludf.DUMMYFUNCTION("IFERROR(
  IF(
    F615 &gt;
    3*AVERAGE(
       FILTER($F$2:$F10491,
         $G$2:$G10491=G615,
         $A$2:$A10491&gt;=A615-20,
         $A$2:$A10491&lt;=A615
       )
    ),
    ""VOL_SPIKE_3X"",""""
  ),
"""")
"),"")</f>
        <v/>
      </c>
      <c r="N615" s="7" t="str">
        <f t="shared" si="6"/>
        <v/>
      </c>
      <c r="O615" s="7" t="str">
        <f t="shared" si="7"/>
        <v/>
      </c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>
        <f>IFERROR(__xludf.DUMMYFUNCTION("""COMPUTED_VALUE"""),45642.0)</f>
        <v>45642</v>
      </c>
      <c r="B616" s="6">
        <f>IFERROR(__xludf.DUMMYFUNCTION("""COMPUTED_VALUE"""),414.9)</f>
        <v>414.9</v>
      </c>
      <c r="C616" s="6">
        <f>IFERROR(__xludf.DUMMYFUNCTION("""COMPUTED_VALUE"""),419.0)</f>
        <v>419</v>
      </c>
      <c r="D616" s="6">
        <f>IFERROR(__xludf.DUMMYFUNCTION("""COMPUTED_VALUE"""),400.3)</f>
        <v>400.3</v>
      </c>
      <c r="E616" s="6">
        <f>IFERROR(__xludf.DUMMYFUNCTION("""COMPUTED_VALUE"""),407.1)</f>
        <v>407.1</v>
      </c>
      <c r="F616" s="7">
        <f>IFERROR(__xludf.DUMMYFUNCTION("""COMPUTED_VALUE"""),7360302.0)</f>
        <v>7360302</v>
      </c>
      <c r="G616" s="7" t="str">
        <f>IFERROR(__xludf.DUMMYFUNCTION("""COMPUTED_VALUE"""),"HINDPETRO.NS")</f>
        <v>HINDPETRO.NS</v>
      </c>
      <c r="H616" s="8">
        <f t="shared" si="1"/>
        <v>-0.01879971077</v>
      </c>
      <c r="I616" s="8">
        <f t="shared" si="2"/>
        <v>0.01879971077</v>
      </c>
      <c r="J616" s="7" t="str">
        <f t="shared" si="3"/>
        <v>Dec-2024</v>
      </c>
      <c r="K616" s="9">
        <f t="shared" si="4"/>
        <v>45627</v>
      </c>
      <c r="L616" s="7" t="str">
        <f t="shared" si="5"/>
        <v/>
      </c>
      <c r="M616" s="7" t="str">
        <f>IFERROR(__xludf.DUMMYFUNCTION("IFERROR(
  IF(
    F616 &gt;
    3*AVERAGE(
       FILTER($F$2:$F10491,
         $G$2:$G10491=G616,
         $A$2:$A10491&gt;=A616-20,
         $A$2:$A10491&lt;=A616
       )
    ),
    ""VOL_SPIKE_3X"",""""
  ),
"""")
"),"")</f>
        <v/>
      </c>
      <c r="N616" s="7" t="str">
        <f t="shared" si="6"/>
        <v/>
      </c>
      <c r="O616" s="7" t="str">
        <f t="shared" si="7"/>
        <v/>
      </c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>
        <f>IFERROR(__xludf.DUMMYFUNCTION("""COMPUTED_VALUE"""),45642.0)</f>
        <v>45642</v>
      </c>
      <c r="B617" s="6">
        <f>IFERROR(__xludf.DUMMYFUNCTION("""COMPUTED_VALUE"""),144.32)</f>
        <v>144.32</v>
      </c>
      <c r="C617" s="6">
        <f>IFERROR(__xludf.DUMMYFUNCTION("""COMPUTED_VALUE"""),144.95)</f>
        <v>144.95</v>
      </c>
      <c r="D617" s="6">
        <f>IFERROR(__xludf.DUMMYFUNCTION("""COMPUTED_VALUE"""),142.2)</f>
        <v>142.2</v>
      </c>
      <c r="E617" s="6">
        <f>IFERROR(__xludf.DUMMYFUNCTION("""COMPUTED_VALUE"""),143.16)</f>
        <v>143.16</v>
      </c>
      <c r="F617" s="7">
        <f>IFERROR(__xludf.DUMMYFUNCTION("""COMPUTED_VALUE"""),1.2428446E7)</f>
        <v>12428446</v>
      </c>
      <c r="G617" s="7" t="str">
        <f>IFERROR(__xludf.DUMMYFUNCTION("""COMPUTED_VALUE"""),"IOC.NS")</f>
        <v>IOC.NS</v>
      </c>
      <c r="H617" s="8">
        <f t="shared" si="1"/>
        <v>-0.008037694013</v>
      </c>
      <c r="I617" s="8">
        <f t="shared" si="2"/>
        <v>0.008037694013</v>
      </c>
      <c r="J617" s="7" t="str">
        <f t="shared" si="3"/>
        <v>Dec-2024</v>
      </c>
      <c r="K617" s="9">
        <f t="shared" si="4"/>
        <v>45627</v>
      </c>
      <c r="L617" s="7" t="str">
        <f t="shared" si="5"/>
        <v/>
      </c>
      <c r="M617" s="7" t="str">
        <f>IFERROR(__xludf.DUMMYFUNCTION("IFERROR(
  IF(
    F617 &gt;
    3*AVERAGE(
       FILTER($F$2:$F10491,
         $G$2:$G10491=G617,
         $A$2:$A10491&gt;=A617-20,
         $A$2:$A10491&lt;=A617
       )
    ),
    ""VOL_SPIKE_3X"",""""
  ),
"""")
"),"")</f>
        <v/>
      </c>
      <c r="N617" s="7" t="str">
        <f t="shared" si="6"/>
        <v/>
      </c>
      <c r="O617" s="7" t="str">
        <f t="shared" si="7"/>
        <v/>
      </c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>
        <f>IFERROR(__xludf.DUMMYFUNCTION("""COMPUTED_VALUE"""),45642.0)</f>
        <v>45642</v>
      </c>
      <c r="B618" s="6">
        <f>IFERROR(__xludf.DUMMYFUNCTION("""COMPUTED_VALUE"""),357.15)</f>
        <v>357.15</v>
      </c>
      <c r="C618" s="6">
        <f>IFERROR(__xludf.DUMMYFUNCTION("""COMPUTED_VALUE"""),358.9)</f>
        <v>358.9</v>
      </c>
      <c r="D618" s="6">
        <f>IFERROR(__xludf.DUMMYFUNCTION("""COMPUTED_VALUE"""),351.7)</f>
        <v>351.7</v>
      </c>
      <c r="E618" s="6">
        <f>IFERROR(__xludf.DUMMYFUNCTION("""COMPUTED_VALUE"""),352.9)</f>
        <v>352.9</v>
      </c>
      <c r="F618" s="7">
        <f>IFERROR(__xludf.DUMMYFUNCTION("""COMPUTED_VALUE"""),1.2168143E7)</f>
        <v>12168143</v>
      </c>
      <c r="G618" s="7" t="str">
        <f>IFERROR(__xludf.DUMMYFUNCTION("""COMPUTED_VALUE"""),"NTPC.NS")</f>
        <v>NTPC.NS</v>
      </c>
      <c r="H618" s="8">
        <f t="shared" si="1"/>
        <v>-0.011899762</v>
      </c>
      <c r="I618" s="8">
        <f t="shared" si="2"/>
        <v>0.011899762</v>
      </c>
      <c r="J618" s="7" t="str">
        <f t="shared" si="3"/>
        <v>Dec-2024</v>
      </c>
      <c r="K618" s="9">
        <f t="shared" si="4"/>
        <v>45627</v>
      </c>
      <c r="L618" s="7" t="str">
        <f t="shared" si="5"/>
        <v/>
      </c>
      <c r="M618" s="7" t="str">
        <f>IFERROR(__xludf.DUMMYFUNCTION("IFERROR(
  IF(
    F618 &gt;
    3*AVERAGE(
       FILTER($F$2:$F10491,
         $G$2:$G10491=G618,
         $A$2:$A10491&gt;=A618-20,
         $A$2:$A10491&lt;=A618
       )
    ),
    ""VOL_SPIKE_3X"",""""
  ),
"""")
"),"")</f>
        <v/>
      </c>
      <c r="N618" s="7" t="str">
        <f t="shared" si="6"/>
        <v/>
      </c>
      <c r="O618" s="7" t="str">
        <f t="shared" si="7"/>
        <v/>
      </c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>
        <f>IFERROR(__xludf.DUMMYFUNCTION("""COMPUTED_VALUE"""),45642.0)</f>
        <v>45642</v>
      </c>
      <c r="B619" s="6">
        <f>IFERROR(__xludf.DUMMYFUNCTION("""COMPUTED_VALUE"""),254.0)</f>
        <v>254</v>
      </c>
      <c r="C619" s="6">
        <f>IFERROR(__xludf.DUMMYFUNCTION("""COMPUTED_VALUE"""),256.3)</f>
        <v>256.3</v>
      </c>
      <c r="D619" s="6">
        <f>IFERROR(__xludf.DUMMYFUNCTION("""COMPUTED_VALUE"""),251.2)</f>
        <v>251.2</v>
      </c>
      <c r="E619" s="6">
        <f>IFERROR(__xludf.DUMMYFUNCTION("""COMPUTED_VALUE"""),251.8)</f>
        <v>251.8</v>
      </c>
      <c r="F619" s="7">
        <f>IFERROR(__xludf.DUMMYFUNCTION("""COMPUTED_VALUE"""),7283872.0)</f>
        <v>7283872</v>
      </c>
      <c r="G619" s="7" t="str">
        <f>IFERROR(__xludf.DUMMYFUNCTION("""COMPUTED_VALUE"""),"ONGC.NS")</f>
        <v>ONGC.NS</v>
      </c>
      <c r="H619" s="8">
        <f t="shared" si="1"/>
        <v>-0.008661417323</v>
      </c>
      <c r="I619" s="8">
        <f t="shared" si="2"/>
        <v>0.008661417323</v>
      </c>
      <c r="J619" s="7" t="str">
        <f t="shared" si="3"/>
        <v>Dec-2024</v>
      </c>
      <c r="K619" s="9">
        <f t="shared" si="4"/>
        <v>45627</v>
      </c>
      <c r="L619" s="7" t="str">
        <f t="shared" si="5"/>
        <v/>
      </c>
      <c r="M619" s="7" t="str">
        <f>IFERROR(__xludf.DUMMYFUNCTION("IFERROR(
  IF(
    F619 &gt;
    3*AVERAGE(
       FILTER($F$2:$F10491,
         $G$2:$G10491=G619,
         $A$2:$A10491&gt;=A619-20,
         $A$2:$A10491&lt;=A619
       )
    ),
    ""VOL_SPIKE_3X"",""""
  ),
"""")
"),"")</f>
        <v/>
      </c>
      <c r="N619" s="7" t="str">
        <f t="shared" si="6"/>
        <v/>
      </c>
      <c r="O619" s="7" t="str">
        <f t="shared" si="7"/>
        <v/>
      </c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>
        <f>IFERROR(__xludf.DUMMYFUNCTION("""COMPUTED_VALUE"""),45642.0)</f>
        <v>45642</v>
      </c>
      <c r="B620" s="6">
        <f>IFERROR(__xludf.DUMMYFUNCTION("""COMPUTED_VALUE"""),333.85)</f>
        <v>333.85</v>
      </c>
      <c r="C620" s="6">
        <f>IFERROR(__xludf.DUMMYFUNCTION("""COMPUTED_VALUE"""),336.25)</f>
        <v>336.25</v>
      </c>
      <c r="D620" s="6">
        <f>IFERROR(__xludf.DUMMYFUNCTION("""COMPUTED_VALUE"""),331.6)</f>
        <v>331.6</v>
      </c>
      <c r="E620" s="6">
        <f>IFERROR(__xludf.DUMMYFUNCTION("""COMPUTED_VALUE"""),335.0)</f>
        <v>335</v>
      </c>
      <c r="F620" s="7">
        <f>IFERROR(__xludf.DUMMYFUNCTION("""COMPUTED_VALUE"""),1.2695136E7)</f>
        <v>12695136</v>
      </c>
      <c r="G620" s="7" t="str">
        <f>IFERROR(__xludf.DUMMYFUNCTION("""COMPUTED_VALUE"""),"POWERGRID.NS")</f>
        <v>POWERGRID.NS</v>
      </c>
      <c r="H620" s="8">
        <f t="shared" si="1"/>
        <v>0.003444660776</v>
      </c>
      <c r="I620" s="8">
        <f t="shared" si="2"/>
        <v>0.003444660776</v>
      </c>
      <c r="J620" s="7" t="str">
        <f t="shared" si="3"/>
        <v>Dec-2024</v>
      </c>
      <c r="K620" s="9">
        <f t="shared" si="4"/>
        <v>45627</v>
      </c>
      <c r="L620" s="7" t="str">
        <f t="shared" si="5"/>
        <v/>
      </c>
      <c r="M620" s="7" t="str">
        <f>IFERROR(__xludf.DUMMYFUNCTION("IFERROR(
  IF(
    F620 &gt;
    3*AVERAGE(
       FILTER($F$2:$F10491,
         $G$2:$G10491=G620,
         $A$2:$A10491&gt;=A620-20,
         $A$2:$A10491&lt;=A620
       )
    ),
    ""VOL_SPIKE_3X"",""""
  ),
"""")
"),"")</f>
        <v/>
      </c>
      <c r="N620" s="7" t="str">
        <f t="shared" si="6"/>
        <v/>
      </c>
      <c r="O620" s="7" t="str">
        <f t="shared" si="7"/>
        <v/>
      </c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>
        <f>IFERROR(__xludf.DUMMYFUNCTION("""COMPUTED_VALUE"""),45642.0)</f>
        <v>45642</v>
      </c>
      <c r="B621" s="6">
        <f>IFERROR(__xludf.DUMMYFUNCTION("""COMPUTED_VALUE"""),1275.0)</f>
        <v>1275</v>
      </c>
      <c r="C621" s="6">
        <f>IFERROR(__xludf.DUMMYFUNCTION("""COMPUTED_VALUE"""),1281.0)</f>
        <v>1281</v>
      </c>
      <c r="D621" s="6">
        <f>IFERROR(__xludf.DUMMYFUNCTION("""COMPUTED_VALUE"""),1266.55)</f>
        <v>1266.55</v>
      </c>
      <c r="E621" s="6">
        <f>IFERROR(__xludf.DUMMYFUNCTION("""COMPUTED_VALUE"""),1268.3)</f>
        <v>1268.3</v>
      </c>
      <c r="F621" s="7">
        <f>IFERROR(__xludf.DUMMYFUNCTION("""COMPUTED_VALUE"""),9486781.0)</f>
        <v>9486781</v>
      </c>
      <c r="G621" s="7" t="str">
        <f>IFERROR(__xludf.DUMMYFUNCTION("""COMPUTED_VALUE"""),"RELIANCE.NS")</f>
        <v>RELIANCE.NS</v>
      </c>
      <c r="H621" s="8">
        <f t="shared" si="1"/>
        <v>-0.005254901961</v>
      </c>
      <c r="I621" s="8">
        <f t="shared" si="2"/>
        <v>0.005254901961</v>
      </c>
      <c r="J621" s="7" t="str">
        <f t="shared" si="3"/>
        <v>Dec-2024</v>
      </c>
      <c r="K621" s="9">
        <f t="shared" si="4"/>
        <v>45627</v>
      </c>
      <c r="L621" s="7" t="str">
        <f t="shared" si="5"/>
        <v/>
      </c>
      <c r="M621" s="7" t="str">
        <f>IFERROR(__xludf.DUMMYFUNCTION("IFERROR(
  IF(
    F621 &gt;
    3*AVERAGE(
       FILTER($F$2:$F10491,
         $G$2:$G10491=G621,
         $A$2:$A10491&gt;=A621-20,
         $A$2:$A10491&lt;=A621
       )
    ),
    ""VOL_SPIKE_3X"",""""
  ),
"""")
"),"")</f>
        <v/>
      </c>
      <c r="N621" s="7" t="str">
        <f t="shared" si="6"/>
        <v/>
      </c>
      <c r="O621" s="7" t="str">
        <f t="shared" si="7"/>
        <v/>
      </c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>
        <f>IFERROR(__xludf.DUMMYFUNCTION("""COMPUTED_VALUE"""),45643.0)</f>
        <v>45643</v>
      </c>
      <c r="B622" s="6">
        <f>IFERROR(__xludf.DUMMYFUNCTION("""COMPUTED_VALUE"""),811.5)</f>
        <v>811.5</v>
      </c>
      <c r="C622" s="6">
        <f>IFERROR(__xludf.DUMMYFUNCTION("""COMPUTED_VALUE"""),825.5)</f>
        <v>825.5</v>
      </c>
      <c r="D622" s="6">
        <f>IFERROR(__xludf.DUMMYFUNCTION("""COMPUTED_VALUE"""),806.4)</f>
        <v>806.4</v>
      </c>
      <c r="E622" s="6">
        <f>IFERROR(__xludf.DUMMYFUNCTION("""COMPUTED_VALUE"""),813.35)</f>
        <v>813.35</v>
      </c>
      <c r="F622" s="7">
        <f>IFERROR(__xludf.DUMMYFUNCTION("""COMPUTED_VALUE"""),1352971.0)</f>
        <v>1352971</v>
      </c>
      <c r="G622" s="7" t="str">
        <f>IFERROR(__xludf.DUMMYFUNCTION("""COMPUTED_VALUE"""),"ADANIENSOL.NS")</f>
        <v>ADANIENSOL.NS</v>
      </c>
      <c r="H622" s="8">
        <f t="shared" si="1"/>
        <v>0.002279728897</v>
      </c>
      <c r="I622" s="8">
        <f t="shared" si="2"/>
        <v>0.002279728897</v>
      </c>
      <c r="J622" s="7" t="str">
        <f t="shared" si="3"/>
        <v>Dec-2024</v>
      </c>
      <c r="K622" s="9">
        <f t="shared" si="4"/>
        <v>45627</v>
      </c>
      <c r="L622" s="7" t="str">
        <f t="shared" si="5"/>
        <v/>
      </c>
      <c r="M622" s="7" t="str">
        <f>IFERROR(__xludf.DUMMYFUNCTION("IFERROR(
  IF(
    F622 &gt;
    3*AVERAGE(
       FILTER($F$2:$F10491,
         $G$2:$G10491=G622,
         $A$2:$A10491&gt;=A622-20,
         $A$2:$A10491&lt;=A622
       )
    ),
    ""VOL_SPIKE_3X"",""""
  ),
"""")
"),"")</f>
        <v/>
      </c>
      <c r="N622" s="7" t="str">
        <f t="shared" si="6"/>
        <v/>
      </c>
      <c r="O622" s="7" t="str">
        <f t="shared" si="7"/>
        <v/>
      </c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>
        <f>IFERROR(__xludf.DUMMYFUNCTION("""COMPUTED_VALUE"""),45643.0)</f>
        <v>45643</v>
      </c>
      <c r="B623" s="6">
        <f>IFERROR(__xludf.DUMMYFUNCTION("""COMPUTED_VALUE"""),1167.9)</f>
        <v>1167.9</v>
      </c>
      <c r="C623" s="6">
        <f>IFERROR(__xludf.DUMMYFUNCTION("""COMPUTED_VALUE"""),1178.95)</f>
        <v>1178.95</v>
      </c>
      <c r="D623" s="6">
        <f>IFERROR(__xludf.DUMMYFUNCTION("""COMPUTED_VALUE"""),1138.0)</f>
        <v>1138</v>
      </c>
      <c r="E623" s="6">
        <f>IFERROR(__xludf.DUMMYFUNCTION("""COMPUTED_VALUE"""),1143.25)</f>
        <v>1143.25</v>
      </c>
      <c r="F623" s="7">
        <f>IFERROR(__xludf.DUMMYFUNCTION("""COMPUTED_VALUE"""),2303877.0)</f>
        <v>2303877</v>
      </c>
      <c r="G623" s="7" t="str">
        <f>IFERROR(__xludf.DUMMYFUNCTION("""COMPUTED_VALUE"""),"ADANIGREEN.NS")</f>
        <v>ADANIGREEN.NS</v>
      </c>
      <c r="H623" s="8">
        <f t="shared" si="1"/>
        <v>-0.0211062591</v>
      </c>
      <c r="I623" s="8">
        <f t="shared" si="2"/>
        <v>0.0211062591</v>
      </c>
      <c r="J623" s="7" t="str">
        <f t="shared" si="3"/>
        <v>Dec-2024</v>
      </c>
      <c r="K623" s="9">
        <f t="shared" si="4"/>
        <v>45627</v>
      </c>
      <c r="L623" s="7" t="str">
        <f t="shared" si="5"/>
        <v/>
      </c>
      <c r="M623" s="7" t="str">
        <f>IFERROR(__xludf.DUMMYFUNCTION("IFERROR(
  IF(
    F623 &gt;
    3*AVERAGE(
       FILTER($F$2:$F10491,
         $G$2:$G10491=G623,
         $A$2:$A10491&gt;=A623-20,
         $A$2:$A10491&lt;=A623
       )
    ),
    ""VOL_SPIKE_3X"",""""
  ),
"""")
"),"")</f>
        <v/>
      </c>
      <c r="N623" s="7" t="str">
        <f t="shared" si="6"/>
        <v/>
      </c>
      <c r="O623" s="7" t="str">
        <f t="shared" si="7"/>
        <v/>
      </c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>
        <f>IFERROR(__xludf.DUMMYFUNCTION("""COMPUTED_VALUE"""),45643.0)</f>
        <v>45643</v>
      </c>
      <c r="B624" s="6">
        <f>IFERROR(__xludf.DUMMYFUNCTION("""COMPUTED_VALUE"""),299.85)</f>
        <v>299.85</v>
      </c>
      <c r="C624" s="6">
        <f>IFERROR(__xludf.DUMMYFUNCTION("""COMPUTED_VALUE"""),299.85)</f>
        <v>299.85</v>
      </c>
      <c r="D624" s="6">
        <f>IFERROR(__xludf.DUMMYFUNCTION("""COMPUTED_VALUE"""),292.1)</f>
        <v>292.1</v>
      </c>
      <c r="E624" s="6">
        <f>IFERROR(__xludf.DUMMYFUNCTION("""COMPUTED_VALUE"""),293.0)</f>
        <v>293</v>
      </c>
      <c r="F624" s="7">
        <f>IFERROR(__xludf.DUMMYFUNCTION("""COMPUTED_VALUE"""),8415828.0)</f>
        <v>8415828</v>
      </c>
      <c r="G624" s="7" t="str">
        <f>IFERROR(__xludf.DUMMYFUNCTION("""COMPUTED_VALUE"""),"BPCL.NS")</f>
        <v>BPCL.NS</v>
      </c>
      <c r="H624" s="8">
        <f t="shared" si="1"/>
        <v>-0.02284475571</v>
      </c>
      <c r="I624" s="8">
        <f t="shared" si="2"/>
        <v>0.02284475571</v>
      </c>
      <c r="J624" s="7" t="str">
        <f t="shared" si="3"/>
        <v>Dec-2024</v>
      </c>
      <c r="K624" s="9">
        <f t="shared" si="4"/>
        <v>45627</v>
      </c>
      <c r="L624" s="7" t="str">
        <f t="shared" si="5"/>
        <v/>
      </c>
      <c r="M624" s="7" t="str">
        <f>IFERROR(__xludf.DUMMYFUNCTION("IFERROR(
  IF(
    F624 &gt;
    3*AVERAGE(
       FILTER($F$2:$F10491,
         $G$2:$G10491=G624,
         $A$2:$A10491&gt;=A624-20,
         $A$2:$A10491&lt;=A624
       )
    ),
    ""VOL_SPIKE_3X"",""""
  ),
"""")
"),"")</f>
        <v/>
      </c>
      <c r="N624" s="7" t="str">
        <f t="shared" si="6"/>
        <v/>
      </c>
      <c r="O624" s="7" t="str">
        <f t="shared" si="7"/>
        <v/>
      </c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>
        <f>IFERROR(__xludf.DUMMYFUNCTION("""COMPUTED_VALUE"""),45643.0)</f>
        <v>45643</v>
      </c>
      <c r="B625" s="6">
        <f>IFERROR(__xludf.DUMMYFUNCTION("""COMPUTED_VALUE"""),410.45)</f>
        <v>410.45</v>
      </c>
      <c r="C625" s="6">
        <f>IFERROR(__xludf.DUMMYFUNCTION("""COMPUTED_VALUE"""),410.95)</f>
        <v>410.95</v>
      </c>
      <c r="D625" s="6">
        <f>IFERROR(__xludf.DUMMYFUNCTION("""COMPUTED_VALUE"""),402.0)</f>
        <v>402</v>
      </c>
      <c r="E625" s="6">
        <f>IFERROR(__xludf.DUMMYFUNCTION("""COMPUTED_VALUE"""),402.9)</f>
        <v>402.9</v>
      </c>
      <c r="F625" s="7">
        <f>IFERROR(__xludf.DUMMYFUNCTION("""COMPUTED_VALUE"""),5070262.0)</f>
        <v>5070262</v>
      </c>
      <c r="G625" s="7" t="str">
        <f>IFERROR(__xludf.DUMMYFUNCTION("""COMPUTED_VALUE"""),"COALINDIA.NS")</f>
        <v>COALINDIA.NS</v>
      </c>
      <c r="H625" s="8">
        <f t="shared" si="1"/>
        <v>-0.01839444512</v>
      </c>
      <c r="I625" s="8">
        <f t="shared" si="2"/>
        <v>0.01839444512</v>
      </c>
      <c r="J625" s="7" t="str">
        <f t="shared" si="3"/>
        <v>Dec-2024</v>
      </c>
      <c r="K625" s="9">
        <f t="shared" si="4"/>
        <v>45627</v>
      </c>
      <c r="L625" s="7" t="str">
        <f t="shared" si="5"/>
        <v/>
      </c>
      <c r="M625" s="7" t="str">
        <f>IFERROR(__xludf.DUMMYFUNCTION("IFERROR(
  IF(
    F625 &gt;
    3*AVERAGE(
       FILTER($F$2:$F10491,
         $G$2:$G10491=G625,
         $A$2:$A10491&gt;=A625-20,
         $A$2:$A10491&lt;=A625
       )
    ),
    ""VOL_SPIKE_3X"",""""
  ),
"""")
"),"")</f>
        <v/>
      </c>
      <c r="N625" s="7" t="str">
        <f t="shared" si="6"/>
        <v/>
      </c>
      <c r="O625" s="7" t="str">
        <f t="shared" si="7"/>
        <v/>
      </c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>
        <f>IFERROR(__xludf.DUMMYFUNCTION("""COMPUTED_VALUE"""),45643.0)</f>
        <v>45643</v>
      </c>
      <c r="B626" s="6">
        <f>IFERROR(__xludf.DUMMYFUNCTION("""COMPUTED_VALUE"""),408.0)</f>
        <v>408</v>
      </c>
      <c r="C626" s="6">
        <f>IFERROR(__xludf.DUMMYFUNCTION("""COMPUTED_VALUE"""),409.8)</f>
        <v>409.8</v>
      </c>
      <c r="D626" s="6">
        <f>IFERROR(__xludf.DUMMYFUNCTION("""COMPUTED_VALUE"""),404.6)</f>
        <v>404.6</v>
      </c>
      <c r="E626" s="6">
        <f>IFERROR(__xludf.DUMMYFUNCTION("""COMPUTED_VALUE"""),407.1)</f>
        <v>407.1</v>
      </c>
      <c r="F626" s="7">
        <f>IFERROR(__xludf.DUMMYFUNCTION("""COMPUTED_VALUE"""),3735357.0)</f>
        <v>3735357</v>
      </c>
      <c r="G626" s="7" t="str">
        <f>IFERROR(__xludf.DUMMYFUNCTION("""COMPUTED_VALUE"""),"HINDPETRO.NS")</f>
        <v>HINDPETRO.NS</v>
      </c>
      <c r="H626" s="8">
        <f t="shared" si="1"/>
        <v>-0.002205882353</v>
      </c>
      <c r="I626" s="8">
        <f t="shared" si="2"/>
        <v>0.002205882353</v>
      </c>
      <c r="J626" s="7" t="str">
        <f t="shared" si="3"/>
        <v>Dec-2024</v>
      </c>
      <c r="K626" s="9">
        <f t="shared" si="4"/>
        <v>45627</v>
      </c>
      <c r="L626" s="7" t="str">
        <f t="shared" si="5"/>
        <v/>
      </c>
      <c r="M626" s="7" t="str">
        <f>IFERROR(__xludf.DUMMYFUNCTION("IFERROR(
  IF(
    F626 &gt;
    3*AVERAGE(
       FILTER($F$2:$F10491,
         $G$2:$G10491=G626,
         $A$2:$A10491&gt;=A626-20,
         $A$2:$A10491&lt;=A626
       )
    ),
    ""VOL_SPIKE_3X"",""""
  ),
"""")
"),"")</f>
        <v/>
      </c>
      <c r="N626" s="7" t="str">
        <f t="shared" si="6"/>
        <v/>
      </c>
      <c r="O626" s="7" t="str">
        <f t="shared" si="7"/>
        <v/>
      </c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>
        <f>IFERROR(__xludf.DUMMYFUNCTION("""COMPUTED_VALUE"""),45643.0)</f>
        <v>45643</v>
      </c>
      <c r="B627" s="6">
        <f>IFERROR(__xludf.DUMMYFUNCTION("""COMPUTED_VALUE"""),143.0)</f>
        <v>143</v>
      </c>
      <c r="C627" s="6">
        <f>IFERROR(__xludf.DUMMYFUNCTION("""COMPUTED_VALUE"""),143.2)</f>
        <v>143.2</v>
      </c>
      <c r="D627" s="6">
        <f>IFERROR(__xludf.DUMMYFUNCTION("""COMPUTED_VALUE"""),140.0)</f>
        <v>140</v>
      </c>
      <c r="E627" s="6">
        <f>IFERROR(__xludf.DUMMYFUNCTION("""COMPUTED_VALUE"""),140.32)</f>
        <v>140.32</v>
      </c>
      <c r="F627" s="7">
        <f>IFERROR(__xludf.DUMMYFUNCTION("""COMPUTED_VALUE"""),1.1896291E7)</f>
        <v>11896291</v>
      </c>
      <c r="G627" s="7" t="str">
        <f>IFERROR(__xludf.DUMMYFUNCTION("""COMPUTED_VALUE"""),"IOC.NS")</f>
        <v>IOC.NS</v>
      </c>
      <c r="H627" s="8">
        <f t="shared" si="1"/>
        <v>-0.01874125874</v>
      </c>
      <c r="I627" s="8">
        <f t="shared" si="2"/>
        <v>0.01874125874</v>
      </c>
      <c r="J627" s="7" t="str">
        <f t="shared" si="3"/>
        <v>Dec-2024</v>
      </c>
      <c r="K627" s="9">
        <f t="shared" si="4"/>
        <v>45627</v>
      </c>
      <c r="L627" s="7" t="str">
        <f t="shared" si="5"/>
        <v/>
      </c>
      <c r="M627" s="7" t="str">
        <f>IFERROR(__xludf.DUMMYFUNCTION("IFERROR(
  IF(
    F627 &gt;
    3*AVERAGE(
       FILTER($F$2:$F10491,
         $G$2:$G10491=G627,
         $A$2:$A10491&gt;=A627-20,
         $A$2:$A10491&lt;=A627
       )
    ),
    ""VOL_SPIKE_3X"",""""
  ),
"""")
"),"")</f>
        <v/>
      </c>
      <c r="N627" s="7" t="str">
        <f t="shared" si="6"/>
        <v/>
      </c>
      <c r="O627" s="7" t="str">
        <f t="shared" si="7"/>
        <v/>
      </c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>
        <f>IFERROR(__xludf.DUMMYFUNCTION("""COMPUTED_VALUE"""),45643.0)</f>
        <v>45643</v>
      </c>
      <c r="B628" s="6">
        <f>IFERROR(__xludf.DUMMYFUNCTION("""COMPUTED_VALUE"""),352.0)</f>
        <v>352</v>
      </c>
      <c r="C628" s="6">
        <f>IFERROR(__xludf.DUMMYFUNCTION("""COMPUTED_VALUE"""),353.85)</f>
        <v>353.85</v>
      </c>
      <c r="D628" s="6">
        <f>IFERROR(__xludf.DUMMYFUNCTION("""COMPUTED_VALUE"""),347.25)</f>
        <v>347.25</v>
      </c>
      <c r="E628" s="6">
        <f>IFERROR(__xludf.DUMMYFUNCTION("""COMPUTED_VALUE"""),349.05)</f>
        <v>349.05</v>
      </c>
      <c r="F628" s="7">
        <f>IFERROR(__xludf.DUMMYFUNCTION("""COMPUTED_VALUE"""),1.5646176E7)</f>
        <v>15646176</v>
      </c>
      <c r="G628" s="7" t="str">
        <f>IFERROR(__xludf.DUMMYFUNCTION("""COMPUTED_VALUE"""),"NTPC.NS")</f>
        <v>NTPC.NS</v>
      </c>
      <c r="H628" s="8">
        <f t="shared" si="1"/>
        <v>-0.008380681818</v>
      </c>
      <c r="I628" s="8">
        <f t="shared" si="2"/>
        <v>0.008380681818</v>
      </c>
      <c r="J628" s="7" t="str">
        <f t="shared" si="3"/>
        <v>Dec-2024</v>
      </c>
      <c r="K628" s="9">
        <f t="shared" si="4"/>
        <v>45627</v>
      </c>
      <c r="L628" s="7" t="str">
        <f t="shared" si="5"/>
        <v/>
      </c>
      <c r="M628" s="7" t="str">
        <f>IFERROR(__xludf.DUMMYFUNCTION("IFERROR(
  IF(
    F628 &gt;
    3*AVERAGE(
       FILTER($F$2:$F10491,
         $G$2:$G10491=G628,
         $A$2:$A10491&gt;=A628-20,
         $A$2:$A10491&lt;=A628
       )
    ),
    ""VOL_SPIKE_3X"",""""
  ),
"""")
"),"")</f>
        <v/>
      </c>
      <c r="N628" s="7" t="str">
        <f t="shared" si="6"/>
        <v/>
      </c>
      <c r="O628" s="7" t="str">
        <f t="shared" si="7"/>
        <v/>
      </c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>
        <f>IFERROR(__xludf.DUMMYFUNCTION("""COMPUTED_VALUE"""),45643.0)</f>
        <v>45643</v>
      </c>
      <c r="B629" s="6">
        <f>IFERROR(__xludf.DUMMYFUNCTION("""COMPUTED_VALUE"""),251.75)</f>
        <v>251.75</v>
      </c>
      <c r="C629" s="6">
        <f>IFERROR(__xludf.DUMMYFUNCTION("""COMPUTED_VALUE"""),252.45)</f>
        <v>252.45</v>
      </c>
      <c r="D629" s="6">
        <f>IFERROR(__xludf.DUMMYFUNCTION("""COMPUTED_VALUE"""),246.5)</f>
        <v>246.5</v>
      </c>
      <c r="E629" s="6">
        <f>IFERROR(__xludf.DUMMYFUNCTION("""COMPUTED_VALUE"""),247.4)</f>
        <v>247.4</v>
      </c>
      <c r="F629" s="7">
        <f>IFERROR(__xludf.DUMMYFUNCTION("""COMPUTED_VALUE"""),1.0066884E7)</f>
        <v>10066884</v>
      </c>
      <c r="G629" s="7" t="str">
        <f>IFERROR(__xludf.DUMMYFUNCTION("""COMPUTED_VALUE"""),"ONGC.NS")</f>
        <v>ONGC.NS</v>
      </c>
      <c r="H629" s="8">
        <f t="shared" si="1"/>
        <v>-0.01727904667</v>
      </c>
      <c r="I629" s="8">
        <f t="shared" si="2"/>
        <v>0.01727904667</v>
      </c>
      <c r="J629" s="7" t="str">
        <f t="shared" si="3"/>
        <v>Dec-2024</v>
      </c>
      <c r="K629" s="9">
        <f t="shared" si="4"/>
        <v>45627</v>
      </c>
      <c r="L629" s="7" t="str">
        <f t="shared" si="5"/>
        <v/>
      </c>
      <c r="M629" s="7" t="str">
        <f>IFERROR(__xludf.DUMMYFUNCTION("IFERROR(
  IF(
    F629 &gt;
    3*AVERAGE(
       FILTER($F$2:$F10491,
         $G$2:$G10491=G629,
         $A$2:$A10491&gt;=A629-20,
         $A$2:$A10491&lt;=A629
       )
    ),
    ""VOL_SPIKE_3X"",""""
  ),
"""")
"),"")</f>
        <v/>
      </c>
      <c r="N629" s="7" t="str">
        <f t="shared" si="6"/>
        <v/>
      </c>
      <c r="O629" s="7" t="str">
        <f t="shared" si="7"/>
        <v/>
      </c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>
        <f>IFERROR(__xludf.DUMMYFUNCTION("""COMPUTED_VALUE"""),45643.0)</f>
        <v>45643</v>
      </c>
      <c r="B630" s="6">
        <f>IFERROR(__xludf.DUMMYFUNCTION("""COMPUTED_VALUE"""),332.5)</f>
        <v>332.5</v>
      </c>
      <c r="C630" s="6">
        <f>IFERROR(__xludf.DUMMYFUNCTION("""COMPUTED_VALUE"""),335.55)</f>
        <v>335.55</v>
      </c>
      <c r="D630" s="6">
        <f>IFERROR(__xludf.DUMMYFUNCTION("""COMPUTED_VALUE"""),328.0)</f>
        <v>328</v>
      </c>
      <c r="E630" s="6">
        <f>IFERROR(__xludf.DUMMYFUNCTION("""COMPUTED_VALUE"""),329.8)</f>
        <v>329.8</v>
      </c>
      <c r="F630" s="7">
        <f>IFERROR(__xludf.DUMMYFUNCTION("""COMPUTED_VALUE"""),1.7360248E7)</f>
        <v>17360248</v>
      </c>
      <c r="G630" s="7" t="str">
        <f>IFERROR(__xludf.DUMMYFUNCTION("""COMPUTED_VALUE"""),"POWERGRID.NS")</f>
        <v>POWERGRID.NS</v>
      </c>
      <c r="H630" s="8">
        <f t="shared" si="1"/>
        <v>-0.008120300752</v>
      </c>
      <c r="I630" s="8">
        <f t="shared" si="2"/>
        <v>0.008120300752</v>
      </c>
      <c r="J630" s="7" t="str">
        <f t="shared" si="3"/>
        <v>Dec-2024</v>
      </c>
      <c r="K630" s="9">
        <f t="shared" si="4"/>
        <v>45627</v>
      </c>
      <c r="L630" s="7" t="str">
        <f t="shared" si="5"/>
        <v/>
      </c>
      <c r="M630" s="7" t="str">
        <f>IFERROR(__xludf.DUMMYFUNCTION("IFERROR(
  IF(
    F630 &gt;
    3*AVERAGE(
       FILTER($F$2:$F10491,
         $G$2:$G10491=G630,
         $A$2:$A10491&gt;=A630-20,
         $A$2:$A10491&lt;=A630
       )
    ),
    ""VOL_SPIKE_3X"",""""
  ),
"""")
"),"")</f>
        <v/>
      </c>
      <c r="N630" s="7" t="str">
        <f t="shared" si="6"/>
        <v/>
      </c>
      <c r="O630" s="7" t="str">
        <f t="shared" si="7"/>
        <v/>
      </c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>
        <f>IFERROR(__xludf.DUMMYFUNCTION("""COMPUTED_VALUE"""),45643.0)</f>
        <v>45643</v>
      </c>
      <c r="B631" s="6">
        <f>IFERROR(__xludf.DUMMYFUNCTION("""COMPUTED_VALUE"""),1261.05)</f>
        <v>1261.05</v>
      </c>
      <c r="C631" s="6">
        <f>IFERROR(__xludf.DUMMYFUNCTION("""COMPUTED_VALUE"""),1263.9)</f>
        <v>1263.9</v>
      </c>
      <c r="D631" s="6">
        <f>IFERROR(__xludf.DUMMYFUNCTION("""COMPUTED_VALUE"""),1242.8)</f>
        <v>1242.8</v>
      </c>
      <c r="E631" s="6">
        <f>IFERROR(__xludf.DUMMYFUNCTION("""COMPUTED_VALUE"""),1245.3)</f>
        <v>1245.3</v>
      </c>
      <c r="F631" s="7">
        <f>IFERROR(__xludf.DUMMYFUNCTION("""COMPUTED_VALUE"""),1.7462791E7)</f>
        <v>17462791</v>
      </c>
      <c r="G631" s="7" t="str">
        <f>IFERROR(__xludf.DUMMYFUNCTION("""COMPUTED_VALUE"""),"RELIANCE.NS")</f>
        <v>RELIANCE.NS</v>
      </c>
      <c r="H631" s="8">
        <f t="shared" si="1"/>
        <v>-0.01248959201</v>
      </c>
      <c r="I631" s="8">
        <f t="shared" si="2"/>
        <v>0.01248959201</v>
      </c>
      <c r="J631" s="7" t="str">
        <f t="shared" si="3"/>
        <v>Dec-2024</v>
      </c>
      <c r="K631" s="9">
        <f t="shared" si="4"/>
        <v>45627</v>
      </c>
      <c r="L631" s="7" t="str">
        <f t="shared" si="5"/>
        <v/>
      </c>
      <c r="M631" s="7" t="str">
        <f>IFERROR(__xludf.DUMMYFUNCTION("IFERROR(
  IF(
    F631 &gt;
    3*AVERAGE(
       FILTER($F$2:$F10491,
         $G$2:$G10491=G631,
         $A$2:$A10491&gt;=A631-20,
         $A$2:$A10491&lt;=A631
       )
    ),
    ""VOL_SPIKE_3X"",""""
  ),
"""")
"),"")</f>
        <v/>
      </c>
      <c r="N631" s="7" t="str">
        <f t="shared" si="6"/>
        <v/>
      </c>
      <c r="O631" s="7" t="str">
        <f t="shared" si="7"/>
        <v/>
      </c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>
        <f>IFERROR(__xludf.DUMMYFUNCTION("""COMPUTED_VALUE"""),45644.0)</f>
        <v>45644</v>
      </c>
      <c r="B632" s="6">
        <f>IFERROR(__xludf.DUMMYFUNCTION("""COMPUTED_VALUE"""),815.9)</f>
        <v>815.9</v>
      </c>
      <c r="C632" s="6">
        <f>IFERROR(__xludf.DUMMYFUNCTION("""COMPUTED_VALUE"""),818.75)</f>
        <v>818.75</v>
      </c>
      <c r="D632" s="6">
        <f>IFERROR(__xludf.DUMMYFUNCTION("""COMPUTED_VALUE"""),790.2)</f>
        <v>790.2</v>
      </c>
      <c r="E632" s="6">
        <f>IFERROR(__xludf.DUMMYFUNCTION("""COMPUTED_VALUE"""),793.85)</f>
        <v>793.85</v>
      </c>
      <c r="F632" s="7">
        <f>IFERROR(__xludf.DUMMYFUNCTION("""COMPUTED_VALUE"""),1503369.0)</f>
        <v>1503369</v>
      </c>
      <c r="G632" s="7" t="str">
        <f>IFERROR(__xludf.DUMMYFUNCTION("""COMPUTED_VALUE"""),"ADANIENSOL.NS")</f>
        <v>ADANIENSOL.NS</v>
      </c>
      <c r="H632" s="8">
        <f t="shared" si="1"/>
        <v>-0.02702537076</v>
      </c>
      <c r="I632" s="8">
        <f t="shared" si="2"/>
        <v>0.02702537076</v>
      </c>
      <c r="J632" s="7" t="str">
        <f t="shared" si="3"/>
        <v>Dec-2024</v>
      </c>
      <c r="K632" s="9">
        <f t="shared" si="4"/>
        <v>45627</v>
      </c>
      <c r="L632" s="7" t="str">
        <f t="shared" si="5"/>
        <v/>
      </c>
      <c r="M632" s="7" t="str">
        <f>IFERROR(__xludf.DUMMYFUNCTION("IFERROR(
  IF(
    F632 &gt;
    3*AVERAGE(
       FILTER($F$2:$F10491,
         $G$2:$G10491=G632,
         $A$2:$A10491&gt;=A632-20,
         $A$2:$A10491&lt;=A632
       )
    ),
    ""VOL_SPIKE_3X"",""""
  ),
"""")
"),"")</f>
        <v/>
      </c>
      <c r="N632" s="7" t="str">
        <f t="shared" si="6"/>
        <v/>
      </c>
      <c r="O632" s="7" t="str">
        <f t="shared" si="7"/>
        <v/>
      </c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>
        <f>IFERROR(__xludf.DUMMYFUNCTION("""COMPUTED_VALUE"""),45644.0)</f>
        <v>45644</v>
      </c>
      <c r="B633" s="6">
        <f>IFERROR(__xludf.DUMMYFUNCTION("""COMPUTED_VALUE"""),1145.05)</f>
        <v>1145.05</v>
      </c>
      <c r="C633" s="6">
        <f>IFERROR(__xludf.DUMMYFUNCTION("""COMPUTED_VALUE"""),1150.0)</f>
        <v>1150</v>
      </c>
      <c r="D633" s="6">
        <f>IFERROR(__xludf.DUMMYFUNCTION("""COMPUTED_VALUE"""),1102.0)</f>
        <v>1102</v>
      </c>
      <c r="E633" s="6">
        <f>IFERROR(__xludf.DUMMYFUNCTION("""COMPUTED_VALUE"""),1105.5)</f>
        <v>1105.5</v>
      </c>
      <c r="F633" s="7">
        <f>IFERROR(__xludf.DUMMYFUNCTION("""COMPUTED_VALUE"""),2654966.0)</f>
        <v>2654966</v>
      </c>
      <c r="G633" s="7" t="str">
        <f>IFERROR(__xludf.DUMMYFUNCTION("""COMPUTED_VALUE"""),"ADANIGREEN.NS")</f>
        <v>ADANIGREEN.NS</v>
      </c>
      <c r="H633" s="8">
        <f t="shared" si="1"/>
        <v>-0.03453997642</v>
      </c>
      <c r="I633" s="8">
        <f t="shared" si="2"/>
        <v>0.03453997642</v>
      </c>
      <c r="J633" s="7" t="str">
        <f t="shared" si="3"/>
        <v>Dec-2024</v>
      </c>
      <c r="K633" s="9">
        <f t="shared" si="4"/>
        <v>45627</v>
      </c>
      <c r="L633" s="7" t="str">
        <f t="shared" si="5"/>
        <v/>
      </c>
      <c r="M633" s="7" t="str">
        <f>IFERROR(__xludf.DUMMYFUNCTION("IFERROR(
  IF(
    F633 &gt;
    3*AVERAGE(
       FILTER($F$2:$F10491,
         $G$2:$G10491=G633,
         $A$2:$A10491&gt;=A633-20,
         $A$2:$A10491&lt;=A633
       )
    ),
    ""VOL_SPIKE_3X"",""""
  ),
"""")
"),"")</f>
        <v/>
      </c>
      <c r="N633" s="7" t="str">
        <f t="shared" si="6"/>
        <v/>
      </c>
      <c r="O633" s="7" t="str">
        <f t="shared" si="7"/>
        <v/>
      </c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>
        <f>IFERROR(__xludf.DUMMYFUNCTION("""COMPUTED_VALUE"""),45644.0)</f>
        <v>45644</v>
      </c>
      <c r="B634" s="6">
        <f>IFERROR(__xludf.DUMMYFUNCTION("""COMPUTED_VALUE"""),291.75)</f>
        <v>291.75</v>
      </c>
      <c r="C634" s="6">
        <f>IFERROR(__xludf.DUMMYFUNCTION("""COMPUTED_VALUE"""),293.0)</f>
        <v>293</v>
      </c>
      <c r="D634" s="6">
        <f>IFERROR(__xludf.DUMMYFUNCTION("""COMPUTED_VALUE"""),287.65)</f>
        <v>287.65</v>
      </c>
      <c r="E634" s="6">
        <f>IFERROR(__xludf.DUMMYFUNCTION("""COMPUTED_VALUE"""),288.3)</f>
        <v>288.3</v>
      </c>
      <c r="F634" s="7">
        <f>IFERROR(__xludf.DUMMYFUNCTION("""COMPUTED_VALUE"""),6535229.0)</f>
        <v>6535229</v>
      </c>
      <c r="G634" s="7" t="str">
        <f>IFERROR(__xludf.DUMMYFUNCTION("""COMPUTED_VALUE"""),"BPCL.NS")</f>
        <v>BPCL.NS</v>
      </c>
      <c r="H634" s="8">
        <f t="shared" si="1"/>
        <v>-0.0118251928</v>
      </c>
      <c r="I634" s="8">
        <f t="shared" si="2"/>
        <v>0.0118251928</v>
      </c>
      <c r="J634" s="7" t="str">
        <f t="shared" si="3"/>
        <v>Dec-2024</v>
      </c>
      <c r="K634" s="9">
        <f t="shared" si="4"/>
        <v>45627</v>
      </c>
      <c r="L634" s="7" t="str">
        <f t="shared" si="5"/>
        <v/>
      </c>
      <c r="M634" s="7" t="str">
        <f>IFERROR(__xludf.DUMMYFUNCTION("IFERROR(
  IF(
    F634 &gt;
    3*AVERAGE(
       FILTER($F$2:$F10491,
         $G$2:$G10491=G634,
         $A$2:$A10491&gt;=A634-20,
         $A$2:$A10491&lt;=A634
       )
    ),
    ""VOL_SPIKE_3X"",""""
  ),
"""")
"),"")</f>
        <v/>
      </c>
      <c r="N634" s="7" t="str">
        <f t="shared" si="6"/>
        <v/>
      </c>
      <c r="O634" s="7" t="str">
        <f t="shared" si="7"/>
        <v/>
      </c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>
        <f>IFERROR(__xludf.DUMMYFUNCTION("""COMPUTED_VALUE"""),45644.0)</f>
        <v>45644</v>
      </c>
      <c r="B635" s="6">
        <f>IFERROR(__xludf.DUMMYFUNCTION("""COMPUTED_VALUE"""),403.5)</f>
        <v>403.5</v>
      </c>
      <c r="C635" s="6">
        <f>IFERROR(__xludf.DUMMYFUNCTION("""COMPUTED_VALUE"""),404.8)</f>
        <v>404.8</v>
      </c>
      <c r="D635" s="6">
        <f>IFERROR(__xludf.DUMMYFUNCTION("""COMPUTED_VALUE"""),394.55)</f>
        <v>394.55</v>
      </c>
      <c r="E635" s="6">
        <f>IFERROR(__xludf.DUMMYFUNCTION("""COMPUTED_VALUE"""),395.8)</f>
        <v>395.8</v>
      </c>
      <c r="F635" s="7">
        <f>IFERROR(__xludf.DUMMYFUNCTION("""COMPUTED_VALUE"""),7176597.0)</f>
        <v>7176597</v>
      </c>
      <c r="G635" s="7" t="str">
        <f>IFERROR(__xludf.DUMMYFUNCTION("""COMPUTED_VALUE"""),"COALINDIA.NS")</f>
        <v>COALINDIA.NS</v>
      </c>
      <c r="H635" s="8">
        <f t="shared" si="1"/>
        <v>-0.01908302354</v>
      </c>
      <c r="I635" s="8">
        <f t="shared" si="2"/>
        <v>0.01908302354</v>
      </c>
      <c r="J635" s="7" t="str">
        <f t="shared" si="3"/>
        <v>Dec-2024</v>
      </c>
      <c r="K635" s="9">
        <f t="shared" si="4"/>
        <v>45627</v>
      </c>
      <c r="L635" s="7" t="str">
        <f t="shared" si="5"/>
        <v/>
      </c>
      <c r="M635" s="7" t="str">
        <f>IFERROR(__xludf.DUMMYFUNCTION("IFERROR(
  IF(
    F635 &gt;
    3*AVERAGE(
       FILTER($F$2:$F10491,
         $G$2:$G10491=G635,
         $A$2:$A10491&gt;=A635-20,
         $A$2:$A10491&lt;=A635
       )
    ),
    ""VOL_SPIKE_3X"",""""
  ),
"""")
"),"")</f>
        <v/>
      </c>
      <c r="N635" s="7" t="str">
        <f t="shared" si="6"/>
        <v/>
      </c>
      <c r="O635" s="7" t="str">
        <f t="shared" si="7"/>
        <v/>
      </c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>
        <f>IFERROR(__xludf.DUMMYFUNCTION("""COMPUTED_VALUE"""),45644.0)</f>
        <v>45644</v>
      </c>
      <c r="B636" s="6">
        <f>IFERROR(__xludf.DUMMYFUNCTION("""COMPUTED_VALUE"""),406.0)</f>
        <v>406</v>
      </c>
      <c r="C636" s="6">
        <f>IFERROR(__xludf.DUMMYFUNCTION("""COMPUTED_VALUE"""),409.0)</f>
        <v>409</v>
      </c>
      <c r="D636" s="6">
        <f>IFERROR(__xludf.DUMMYFUNCTION("""COMPUTED_VALUE"""),396.95)</f>
        <v>396.95</v>
      </c>
      <c r="E636" s="6">
        <f>IFERROR(__xludf.DUMMYFUNCTION("""COMPUTED_VALUE"""),398.05)</f>
        <v>398.05</v>
      </c>
      <c r="F636" s="7">
        <f>IFERROR(__xludf.DUMMYFUNCTION("""COMPUTED_VALUE"""),4286929.0)</f>
        <v>4286929</v>
      </c>
      <c r="G636" s="7" t="str">
        <f>IFERROR(__xludf.DUMMYFUNCTION("""COMPUTED_VALUE"""),"HINDPETRO.NS")</f>
        <v>HINDPETRO.NS</v>
      </c>
      <c r="H636" s="8">
        <f t="shared" si="1"/>
        <v>-0.01958128079</v>
      </c>
      <c r="I636" s="8">
        <f t="shared" si="2"/>
        <v>0.01958128079</v>
      </c>
      <c r="J636" s="7" t="str">
        <f t="shared" si="3"/>
        <v>Dec-2024</v>
      </c>
      <c r="K636" s="9">
        <f t="shared" si="4"/>
        <v>45627</v>
      </c>
      <c r="L636" s="7" t="str">
        <f t="shared" si="5"/>
        <v/>
      </c>
      <c r="M636" s="7" t="str">
        <f>IFERROR(__xludf.DUMMYFUNCTION("IFERROR(
  IF(
    F636 &gt;
    3*AVERAGE(
       FILTER($F$2:$F10491,
         $G$2:$G10491=G636,
         $A$2:$A10491&gt;=A636-20,
         $A$2:$A10491&lt;=A636
       )
    ),
    ""VOL_SPIKE_3X"",""""
  ),
"""")
"),"")</f>
        <v/>
      </c>
      <c r="N636" s="7" t="str">
        <f t="shared" si="6"/>
        <v/>
      </c>
      <c r="O636" s="7" t="str">
        <f t="shared" si="7"/>
        <v/>
      </c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>
        <f>IFERROR(__xludf.DUMMYFUNCTION("""COMPUTED_VALUE"""),45644.0)</f>
        <v>45644</v>
      </c>
      <c r="B637" s="6">
        <f>IFERROR(__xludf.DUMMYFUNCTION("""COMPUTED_VALUE"""),139.15)</f>
        <v>139.15</v>
      </c>
      <c r="C637" s="6">
        <f>IFERROR(__xludf.DUMMYFUNCTION("""COMPUTED_VALUE"""),140.69)</f>
        <v>140.69</v>
      </c>
      <c r="D637" s="6">
        <f>IFERROR(__xludf.DUMMYFUNCTION("""COMPUTED_VALUE"""),136.33)</f>
        <v>136.33</v>
      </c>
      <c r="E637" s="6">
        <f>IFERROR(__xludf.DUMMYFUNCTION("""COMPUTED_VALUE"""),136.71)</f>
        <v>136.71</v>
      </c>
      <c r="F637" s="7">
        <f>IFERROR(__xludf.DUMMYFUNCTION("""COMPUTED_VALUE"""),1.2013629E7)</f>
        <v>12013629</v>
      </c>
      <c r="G637" s="7" t="str">
        <f>IFERROR(__xludf.DUMMYFUNCTION("""COMPUTED_VALUE"""),"IOC.NS")</f>
        <v>IOC.NS</v>
      </c>
      <c r="H637" s="8">
        <f t="shared" si="1"/>
        <v>-0.01753503414</v>
      </c>
      <c r="I637" s="8">
        <f t="shared" si="2"/>
        <v>0.01753503414</v>
      </c>
      <c r="J637" s="7" t="str">
        <f t="shared" si="3"/>
        <v>Dec-2024</v>
      </c>
      <c r="K637" s="9">
        <f t="shared" si="4"/>
        <v>45627</v>
      </c>
      <c r="L637" s="7" t="str">
        <f t="shared" si="5"/>
        <v/>
      </c>
      <c r="M637" s="7" t="str">
        <f>IFERROR(__xludf.DUMMYFUNCTION("IFERROR(
  IF(
    F637 &gt;
    3*AVERAGE(
       FILTER($F$2:$F10491,
         $G$2:$G10491=G637,
         $A$2:$A10491&gt;=A637-20,
         $A$2:$A10491&lt;=A637
       )
    ),
    ""VOL_SPIKE_3X"",""""
  ),
"""")
"),"")</f>
        <v/>
      </c>
      <c r="N637" s="7" t="str">
        <f t="shared" si="6"/>
        <v/>
      </c>
      <c r="O637" s="7" t="str">
        <f t="shared" si="7"/>
        <v/>
      </c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>
        <f>IFERROR(__xludf.DUMMYFUNCTION("""COMPUTED_VALUE"""),45644.0)</f>
        <v>45644</v>
      </c>
      <c r="B638" s="6">
        <f>IFERROR(__xludf.DUMMYFUNCTION("""COMPUTED_VALUE"""),349.55)</f>
        <v>349.55</v>
      </c>
      <c r="C638" s="6">
        <f>IFERROR(__xludf.DUMMYFUNCTION("""COMPUTED_VALUE"""),351.0)</f>
        <v>351</v>
      </c>
      <c r="D638" s="6">
        <f>IFERROR(__xludf.DUMMYFUNCTION("""COMPUTED_VALUE"""),340.0)</f>
        <v>340</v>
      </c>
      <c r="E638" s="6">
        <f>IFERROR(__xludf.DUMMYFUNCTION("""COMPUTED_VALUE"""),341.75)</f>
        <v>341.75</v>
      </c>
      <c r="F638" s="7">
        <f>IFERROR(__xludf.DUMMYFUNCTION("""COMPUTED_VALUE"""),1.4672392E7)</f>
        <v>14672392</v>
      </c>
      <c r="G638" s="7" t="str">
        <f>IFERROR(__xludf.DUMMYFUNCTION("""COMPUTED_VALUE"""),"NTPC.NS")</f>
        <v>NTPC.NS</v>
      </c>
      <c r="H638" s="8">
        <f t="shared" si="1"/>
        <v>-0.02231440423</v>
      </c>
      <c r="I638" s="8">
        <f t="shared" si="2"/>
        <v>0.02231440423</v>
      </c>
      <c r="J638" s="7" t="str">
        <f t="shared" si="3"/>
        <v>Dec-2024</v>
      </c>
      <c r="K638" s="9">
        <f t="shared" si="4"/>
        <v>45627</v>
      </c>
      <c r="L638" s="7" t="str">
        <f t="shared" si="5"/>
        <v/>
      </c>
      <c r="M638" s="7" t="str">
        <f>IFERROR(__xludf.DUMMYFUNCTION("IFERROR(
  IF(
    F638 &gt;
    3*AVERAGE(
       FILTER($F$2:$F10491,
         $G$2:$G10491=G638,
         $A$2:$A10491&gt;=A638-20,
         $A$2:$A10491&lt;=A638
       )
    ),
    ""VOL_SPIKE_3X"",""""
  ),
"""")
"),"")</f>
        <v/>
      </c>
      <c r="N638" s="7" t="str">
        <f t="shared" si="6"/>
        <v/>
      </c>
      <c r="O638" s="7" t="str">
        <f t="shared" si="7"/>
        <v/>
      </c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>
        <f>IFERROR(__xludf.DUMMYFUNCTION("""COMPUTED_VALUE"""),45644.0)</f>
        <v>45644</v>
      </c>
      <c r="B639" s="6">
        <f>IFERROR(__xludf.DUMMYFUNCTION("""COMPUTED_VALUE"""),247.4)</f>
        <v>247.4</v>
      </c>
      <c r="C639" s="6">
        <f>IFERROR(__xludf.DUMMYFUNCTION("""COMPUTED_VALUE"""),247.5)</f>
        <v>247.5</v>
      </c>
      <c r="D639" s="6">
        <f>IFERROR(__xludf.DUMMYFUNCTION("""COMPUTED_VALUE"""),243.4)</f>
        <v>243.4</v>
      </c>
      <c r="E639" s="6">
        <f>IFERROR(__xludf.DUMMYFUNCTION("""COMPUTED_VALUE"""),244.15)</f>
        <v>244.15</v>
      </c>
      <c r="F639" s="7">
        <f>IFERROR(__xludf.DUMMYFUNCTION("""COMPUTED_VALUE"""),8430930.0)</f>
        <v>8430930</v>
      </c>
      <c r="G639" s="7" t="str">
        <f>IFERROR(__xludf.DUMMYFUNCTION("""COMPUTED_VALUE"""),"ONGC.NS")</f>
        <v>ONGC.NS</v>
      </c>
      <c r="H639" s="8">
        <f t="shared" si="1"/>
        <v>-0.01313662086</v>
      </c>
      <c r="I639" s="8">
        <f t="shared" si="2"/>
        <v>0.01313662086</v>
      </c>
      <c r="J639" s="7" t="str">
        <f t="shared" si="3"/>
        <v>Dec-2024</v>
      </c>
      <c r="K639" s="9">
        <f t="shared" si="4"/>
        <v>45627</v>
      </c>
      <c r="L639" s="7" t="str">
        <f t="shared" si="5"/>
        <v/>
      </c>
      <c r="M639" s="7" t="str">
        <f>IFERROR(__xludf.DUMMYFUNCTION("IFERROR(
  IF(
    F639 &gt;
    3*AVERAGE(
       FILTER($F$2:$F10491,
         $G$2:$G10491=G639,
         $A$2:$A10491&gt;=A639-20,
         $A$2:$A10491&lt;=A639
       )
    ),
    ""VOL_SPIKE_3X"",""""
  ),
"""")
"),"")</f>
        <v/>
      </c>
      <c r="N639" s="7" t="str">
        <f t="shared" si="6"/>
        <v/>
      </c>
      <c r="O639" s="7" t="str">
        <f t="shared" si="7"/>
        <v/>
      </c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>
        <f>IFERROR(__xludf.DUMMYFUNCTION("""COMPUTED_VALUE"""),45644.0)</f>
        <v>45644</v>
      </c>
      <c r="B640" s="6">
        <f>IFERROR(__xludf.DUMMYFUNCTION("""COMPUTED_VALUE"""),328.0)</f>
        <v>328</v>
      </c>
      <c r="C640" s="6">
        <f>IFERROR(__xludf.DUMMYFUNCTION("""COMPUTED_VALUE"""),329.1)</f>
        <v>329.1</v>
      </c>
      <c r="D640" s="6">
        <f>IFERROR(__xludf.DUMMYFUNCTION("""COMPUTED_VALUE"""),320.65)</f>
        <v>320.65</v>
      </c>
      <c r="E640" s="6">
        <f>IFERROR(__xludf.DUMMYFUNCTION("""COMPUTED_VALUE"""),321.55)</f>
        <v>321.55</v>
      </c>
      <c r="F640" s="7">
        <f>IFERROR(__xludf.DUMMYFUNCTION("""COMPUTED_VALUE"""),1.5037099E7)</f>
        <v>15037099</v>
      </c>
      <c r="G640" s="7" t="str">
        <f>IFERROR(__xludf.DUMMYFUNCTION("""COMPUTED_VALUE"""),"POWERGRID.NS")</f>
        <v>POWERGRID.NS</v>
      </c>
      <c r="H640" s="8">
        <f t="shared" si="1"/>
        <v>-0.01966463415</v>
      </c>
      <c r="I640" s="8">
        <f t="shared" si="2"/>
        <v>0.01966463415</v>
      </c>
      <c r="J640" s="7" t="str">
        <f t="shared" si="3"/>
        <v>Dec-2024</v>
      </c>
      <c r="K640" s="9">
        <f t="shared" si="4"/>
        <v>45627</v>
      </c>
      <c r="L640" s="7" t="str">
        <f t="shared" si="5"/>
        <v/>
      </c>
      <c r="M640" s="7" t="str">
        <f>IFERROR(__xludf.DUMMYFUNCTION("IFERROR(
  IF(
    F640 &gt;
    3*AVERAGE(
       FILTER($F$2:$F10491,
         $G$2:$G10491=G640,
         $A$2:$A10491&gt;=A640-20,
         $A$2:$A10491&lt;=A640
       )
    ),
    ""VOL_SPIKE_3X"",""""
  ),
"""")
"),"")</f>
        <v/>
      </c>
      <c r="N640" s="7" t="str">
        <f t="shared" si="6"/>
        <v/>
      </c>
      <c r="O640" s="7" t="str">
        <f t="shared" si="7"/>
        <v/>
      </c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>
        <f>IFERROR(__xludf.DUMMYFUNCTION("""COMPUTED_VALUE"""),45644.0)</f>
        <v>45644</v>
      </c>
      <c r="B641" s="6">
        <f>IFERROR(__xludf.DUMMYFUNCTION("""COMPUTED_VALUE"""),1240.65)</f>
        <v>1240.65</v>
      </c>
      <c r="C641" s="6">
        <f>IFERROR(__xludf.DUMMYFUNCTION("""COMPUTED_VALUE"""),1259.95)</f>
        <v>1259.95</v>
      </c>
      <c r="D641" s="6">
        <f>IFERROR(__xludf.DUMMYFUNCTION("""COMPUTED_VALUE"""),1240.65)</f>
        <v>1240.65</v>
      </c>
      <c r="E641" s="6">
        <f>IFERROR(__xludf.DUMMYFUNCTION("""COMPUTED_VALUE"""),1253.25)</f>
        <v>1253.25</v>
      </c>
      <c r="F641" s="7">
        <f>IFERROR(__xludf.DUMMYFUNCTION("""COMPUTED_VALUE"""),1.2670179E7)</f>
        <v>12670179</v>
      </c>
      <c r="G641" s="7" t="str">
        <f>IFERROR(__xludf.DUMMYFUNCTION("""COMPUTED_VALUE"""),"RELIANCE.NS")</f>
        <v>RELIANCE.NS</v>
      </c>
      <c r="H641" s="8">
        <f t="shared" si="1"/>
        <v>0.01015596663</v>
      </c>
      <c r="I641" s="8">
        <f t="shared" si="2"/>
        <v>0.01015596663</v>
      </c>
      <c r="J641" s="7" t="str">
        <f t="shared" si="3"/>
        <v>Dec-2024</v>
      </c>
      <c r="K641" s="9">
        <f t="shared" si="4"/>
        <v>45627</v>
      </c>
      <c r="L641" s="7" t="str">
        <f t="shared" si="5"/>
        <v/>
      </c>
      <c r="M641" s="7" t="str">
        <f>IFERROR(__xludf.DUMMYFUNCTION("IFERROR(
  IF(
    F641 &gt;
    3*AVERAGE(
       FILTER($F$2:$F10491,
         $G$2:$G10491=G641,
         $A$2:$A10491&gt;=A641-20,
         $A$2:$A10491&lt;=A641
       )
    ),
    ""VOL_SPIKE_3X"",""""
  ),
"""")
"),"")</f>
        <v/>
      </c>
      <c r="N641" s="7" t="str">
        <f t="shared" si="6"/>
        <v/>
      </c>
      <c r="O641" s="7" t="str">
        <f t="shared" si="7"/>
        <v/>
      </c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>
        <f>IFERROR(__xludf.DUMMYFUNCTION("""COMPUTED_VALUE"""),45645.0)</f>
        <v>45645</v>
      </c>
      <c r="B642" s="6">
        <f>IFERROR(__xludf.DUMMYFUNCTION("""COMPUTED_VALUE"""),775.0)</f>
        <v>775</v>
      </c>
      <c r="C642" s="6">
        <f>IFERROR(__xludf.DUMMYFUNCTION("""COMPUTED_VALUE"""),799.5)</f>
        <v>799.5</v>
      </c>
      <c r="D642" s="6">
        <f>IFERROR(__xludf.DUMMYFUNCTION("""COMPUTED_VALUE"""),770.05)</f>
        <v>770.05</v>
      </c>
      <c r="E642" s="6">
        <f>IFERROR(__xludf.DUMMYFUNCTION("""COMPUTED_VALUE"""),796.0)</f>
        <v>796</v>
      </c>
      <c r="F642" s="7">
        <f>IFERROR(__xludf.DUMMYFUNCTION("""COMPUTED_VALUE"""),978345.0)</f>
        <v>978345</v>
      </c>
      <c r="G642" s="7" t="str">
        <f>IFERROR(__xludf.DUMMYFUNCTION("""COMPUTED_VALUE"""),"ADANIENSOL.NS")</f>
        <v>ADANIENSOL.NS</v>
      </c>
      <c r="H642" s="8">
        <f t="shared" si="1"/>
        <v>0.02709677419</v>
      </c>
      <c r="I642" s="8">
        <f t="shared" si="2"/>
        <v>0.02709677419</v>
      </c>
      <c r="J642" s="7" t="str">
        <f t="shared" si="3"/>
        <v>Dec-2024</v>
      </c>
      <c r="K642" s="9">
        <f t="shared" si="4"/>
        <v>45627</v>
      </c>
      <c r="L642" s="7" t="str">
        <f t="shared" si="5"/>
        <v/>
      </c>
      <c r="M642" s="7" t="str">
        <f>IFERROR(__xludf.DUMMYFUNCTION("IFERROR(
  IF(
    F642 &gt;
    3*AVERAGE(
       FILTER($F$2:$F10491,
         $G$2:$G10491=G642,
         $A$2:$A10491&gt;=A642-20,
         $A$2:$A10491&lt;=A642
       )
    ),
    ""VOL_SPIKE_3X"",""""
  ),
"""")
"),"")</f>
        <v/>
      </c>
      <c r="N642" s="7" t="str">
        <f t="shared" si="6"/>
        <v/>
      </c>
      <c r="O642" s="7" t="str">
        <f t="shared" si="7"/>
        <v/>
      </c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>
        <f>IFERROR(__xludf.DUMMYFUNCTION("""COMPUTED_VALUE"""),45645.0)</f>
        <v>45645</v>
      </c>
      <c r="B643" s="6">
        <f>IFERROR(__xludf.DUMMYFUNCTION("""COMPUTED_VALUE"""),1080.0)</f>
        <v>1080</v>
      </c>
      <c r="C643" s="6">
        <f>IFERROR(__xludf.DUMMYFUNCTION("""COMPUTED_VALUE"""),1103.55)</f>
        <v>1103.55</v>
      </c>
      <c r="D643" s="6">
        <f>IFERROR(__xludf.DUMMYFUNCTION("""COMPUTED_VALUE"""),1062.55)</f>
        <v>1062.55</v>
      </c>
      <c r="E643" s="6">
        <f>IFERROR(__xludf.DUMMYFUNCTION("""COMPUTED_VALUE"""),1073.65)</f>
        <v>1073.65</v>
      </c>
      <c r="F643" s="7">
        <f>IFERROR(__xludf.DUMMYFUNCTION("""COMPUTED_VALUE"""),2938214.0)</f>
        <v>2938214</v>
      </c>
      <c r="G643" s="7" t="str">
        <f>IFERROR(__xludf.DUMMYFUNCTION("""COMPUTED_VALUE"""),"ADANIGREEN.NS")</f>
        <v>ADANIGREEN.NS</v>
      </c>
      <c r="H643" s="8">
        <f t="shared" si="1"/>
        <v>-0.00587962963</v>
      </c>
      <c r="I643" s="8">
        <f t="shared" si="2"/>
        <v>0.00587962963</v>
      </c>
      <c r="J643" s="7" t="str">
        <f t="shared" si="3"/>
        <v>Dec-2024</v>
      </c>
      <c r="K643" s="9">
        <f t="shared" si="4"/>
        <v>45627</v>
      </c>
      <c r="L643" s="7" t="str">
        <f t="shared" si="5"/>
        <v/>
      </c>
      <c r="M643" s="7" t="str">
        <f>IFERROR(__xludf.DUMMYFUNCTION("IFERROR(
  IF(
    F643 &gt;
    3*AVERAGE(
       FILTER($F$2:$F10491,
         $G$2:$G10491=G643,
         $A$2:$A10491&gt;=A643-20,
         $A$2:$A10491&lt;=A643
       )
    ),
    ""VOL_SPIKE_3X"",""""
  ),
"""")
"),"")</f>
        <v/>
      </c>
      <c r="N643" s="7" t="str">
        <f t="shared" si="6"/>
        <v/>
      </c>
      <c r="O643" s="7" t="str">
        <f t="shared" si="7"/>
        <v/>
      </c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>
        <f>IFERROR(__xludf.DUMMYFUNCTION("""COMPUTED_VALUE"""),45645.0)</f>
        <v>45645</v>
      </c>
      <c r="B644" s="6">
        <f>IFERROR(__xludf.DUMMYFUNCTION("""COMPUTED_VALUE"""),282.05)</f>
        <v>282.05</v>
      </c>
      <c r="C644" s="6">
        <f>IFERROR(__xludf.DUMMYFUNCTION("""COMPUTED_VALUE"""),295.85)</f>
        <v>295.85</v>
      </c>
      <c r="D644" s="6">
        <f>IFERROR(__xludf.DUMMYFUNCTION("""COMPUTED_VALUE"""),282.05)</f>
        <v>282.05</v>
      </c>
      <c r="E644" s="6">
        <f>IFERROR(__xludf.DUMMYFUNCTION("""COMPUTED_VALUE"""),294.55)</f>
        <v>294.55</v>
      </c>
      <c r="F644" s="7">
        <f>IFERROR(__xludf.DUMMYFUNCTION("""COMPUTED_VALUE"""),1.1822064E7)</f>
        <v>11822064</v>
      </c>
      <c r="G644" s="7" t="str">
        <f>IFERROR(__xludf.DUMMYFUNCTION("""COMPUTED_VALUE"""),"BPCL.NS")</f>
        <v>BPCL.NS</v>
      </c>
      <c r="H644" s="8">
        <f t="shared" si="1"/>
        <v>0.04431838327</v>
      </c>
      <c r="I644" s="8">
        <f t="shared" si="2"/>
        <v>0.04431838327</v>
      </c>
      <c r="J644" s="7" t="str">
        <f t="shared" si="3"/>
        <v>Dec-2024</v>
      </c>
      <c r="K644" s="9">
        <f t="shared" si="4"/>
        <v>45627</v>
      </c>
      <c r="L644" s="7" t="str">
        <f t="shared" si="5"/>
        <v/>
      </c>
      <c r="M644" s="7" t="str">
        <f>IFERROR(__xludf.DUMMYFUNCTION("IFERROR(
  IF(
    F644 &gt;
    3*AVERAGE(
       FILTER($F$2:$F10491,
         $G$2:$G10491=G644,
         $A$2:$A10491&gt;=A644-20,
         $A$2:$A10491&lt;=A644
       )
    ),
    ""VOL_SPIKE_3X"",""""
  ),
"""")
"),"")</f>
        <v/>
      </c>
      <c r="N644" s="7" t="str">
        <f t="shared" si="6"/>
        <v/>
      </c>
      <c r="O644" s="7" t="str">
        <f t="shared" si="7"/>
        <v/>
      </c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>
        <f>IFERROR(__xludf.DUMMYFUNCTION("""COMPUTED_VALUE"""),45645.0)</f>
        <v>45645</v>
      </c>
      <c r="B645" s="6">
        <f>IFERROR(__xludf.DUMMYFUNCTION("""COMPUTED_VALUE"""),390.95)</f>
        <v>390.95</v>
      </c>
      <c r="C645" s="6">
        <f>IFERROR(__xludf.DUMMYFUNCTION("""COMPUTED_VALUE"""),394.5)</f>
        <v>394.5</v>
      </c>
      <c r="D645" s="6">
        <f>IFERROR(__xludf.DUMMYFUNCTION("""COMPUTED_VALUE"""),387.0)</f>
        <v>387</v>
      </c>
      <c r="E645" s="6">
        <f>IFERROR(__xludf.DUMMYFUNCTION("""COMPUTED_VALUE"""),391.95)</f>
        <v>391.95</v>
      </c>
      <c r="F645" s="7">
        <f>IFERROR(__xludf.DUMMYFUNCTION("""COMPUTED_VALUE"""),5745829.0)</f>
        <v>5745829</v>
      </c>
      <c r="G645" s="7" t="str">
        <f>IFERROR(__xludf.DUMMYFUNCTION("""COMPUTED_VALUE"""),"COALINDIA.NS")</f>
        <v>COALINDIA.NS</v>
      </c>
      <c r="H645" s="8">
        <f t="shared" si="1"/>
        <v>0.002557871851</v>
      </c>
      <c r="I645" s="8">
        <f t="shared" si="2"/>
        <v>0.002557871851</v>
      </c>
      <c r="J645" s="7" t="str">
        <f t="shared" si="3"/>
        <v>Dec-2024</v>
      </c>
      <c r="K645" s="9">
        <f t="shared" si="4"/>
        <v>45627</v>
      </c>
      <c r="L645" s="7" t="str">
        <f t="shared" si="5"/>
        <v/>
      </c>
      <c r="M645" s="7" t="str">
        <f>IFERROR(__xludf.DUMMYFUNCTION("IFERROR(
  IF(
    F645 &gt;
    3*AVERAGE(
       FILTER($F$2:$F10491,
         $G$2:$G10491=G645,
         $A$2:$A10491&gt;=A645-20,
         $A$2:$A10491&lt;=A645
       )
    ),
    ""VOL_SPIKE_3X"",""""
  ),
"""")
"),"")</f>
        <v/>
      </c>
      <c r="N645" s="7" t="str">
        <f t="shared" si="6"/>
        <v/>
      </c>
      <c r="O645" s="7" t="str">
        <f t="shared" si="7"/>
        <v/>
      </c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>
        <f>IFERROR(__xludf.DUMMYFUNCTION("""COMPUTED_VALUE"""),45645.0)</f>
        <v>45645</v>
      </c>
      <c r="B646" s="6">
        <f>IFERROR(__xludf.DUMMYFUNCTION("""COMPUTED_VALUE"""),392.0)</f>
        <v>392</v>
      </c>
      <c r="C646" s="6">
        <f>IFERROR(__xludf.DUMMYFUNCTION("""COMPUTED_VALUE"""),411.0)</f>
        <v>411</v>
      </c>
      <c r="D646" s="6">
        <f>IFERROR(__xludf.DUMMYFUNCTION("""COMPUTED_VALUE"""),388.85)</f>
        <v>388.85</v>
      </c>
      <c r="E646" s="6">
        <f>IFERROR(__xludf.DUMMYFUNCTION("""COMPUTED_VALUE"""),407.4)</f>
        <v>407.4</v>
      </c>
      <c r="F646" s="7">
        <f>IFERROR(__xludf.DUMMYFUNCTION("""COMPUTED_VALUE"""),7226543.0)</f>
        <v>7226543</v>
      </c>
      <c r="G646" s="7" t="str">
        <f>IFERROR(__xludf.DUMMYFUNCTION("""COMPUTED_VALUE"""),"HINDPETRO.NS")</f>
        <v>HINDPETRO.NS</v>
      </c>
      <c r="H646" s="8">
        <f t="shared" si="1"/>
        <v>0.03928571429</v>
      </c>
      <c r="I646" s="8">
        <f t="shared" si="2"/>
        <v>0.03928571429</v>
      </c>
      <c r="J646" s="7" t="str">
        <f t="shared" si="3"/>
        <v>Dec-2024</v>
      </c>
      <c r="K646" s="9">
        <f t="shared" si="4"/>
        <v>45627</v>
      </c>
      <c r="L646" s="7" t="str">
        <f t="shared" si="5"/>
        <v/>
      </c>
      <c r="M646" s="7" t="str">
        <f>IFERROR(__xludf.DUMMYFUNCTION("IFERROR(
  IF(
    F646 &gt;
    3*AVERAGE(
       FILTER($F$2:$F10491,
         $G$2:$G10491=G646,
         $A$2:$A10491&gt;=A646-20,
         $A$2:$A10491&lt;=A646
       )
    ),
    ""VOL_SPIKE_3X"",""""
  ),
"""")
"),"")</f>
        <v/>
      </c>
      <c r="N646" s="7" t="str">
        <f t="shared" si="6"/>
        <v/>
      </c>
      <c r="O646" s="7" t="str">
        <f t="shared" si="7"/>
        <v/>
      </c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>
        <f>IFERROR(__xludf.DUMMYFUNCTION("""COMPUTED_VALUE"""),45645.0)</f>
        <v>45645</v>
      </c>
      <c r="B647" s="6">
        <f>IFERROR(__xludf.DUMMYFUNCTION("""COMPUTED_VALUE"""),134.0)</f>
        <v>134</v>
      </c>
      <c r="C647" s="6">
        <f>IFERROR(__xludf.DUMMYFUNCTION("""COMPUTED_VALUE"""),140.3)</f>
        <v>140.3</v>
      </c>
      <c r="D647" s="6">
        <f>IFERROR(__xludf.DUMMYFUNCTION("""COMPUTED_VALUE"""),133.54)</f>
        <v>133.54</v>
      </c>
      <c r="E647" s="6">
        <f>IFERROR(__xludf.DUMMYFUNCTION("""COMPUTED_VALUE"""),139.62)</f>
        <v>139.62</v>
      </c>
      <c r="F647" s="7">
        <f>IFERROR(__xludf.DUMMYFUNCTION("""COMPUTED_VALUE"""),1.8879012E7)</f>
        <v>18879012</v>
      </c>
      <c r="G647" s="7" t="str">
        <f>IFERROR(__xludf.DUMMYFUNCTION("""COMPUTED_VALUE"""),"IOC.NS")</f>
        <v>IOC.NS</v>
      </c>
      <c r="H647" s="8">
        <f t="shared" si="1"/>
        <v>0.04194029851</v>
      </c>
      <c r="I647" s="8">
        <f t="shared" si="2"/>
        <v>0.04194029851</v>
      </c>
      <c r="J647" s="7" t="str">
        <f t="shared" si="3"/>
        <v>Dec-2024</v>
      </c>
      <c r="K647" s="9">
        <f t="shared" si="4"/>
        <v>45627</v>
      </c>
      <c r="L647" s="7" t="str">
        <f t="shared" si="5"/>
        <v/>
      </c>
      <c r="M647" s="7" t="str">
        <f>IFERROR(__xludf.DUMMYFUNCTION("IFERROR(
  IF(
    F647 &gt;
    3*AVERAGE(
       FILTER($F$2:$F10491,
         $G$2:$G10491=G647,
         $A$2:$A10491&gt;=A647-20,
         $A$2:$A10491&lt;=A647
       )
    ),
    ""VOL_SPIKE_3X"",""""
  ),
"""")
"),"")</f>
        <v/>
      </c>
      <c r="N647" s="7" t="str">
        <f t="shared" si="6"/>
        <v/>
      </c>
      <c r="O647" s="7" t="str">
        <f t="shared" si="7"/>
        <v/>
      </c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>
        <f>IFERROR(__xludf.DUMMYFUNCTION("""COMPUTED_VALUE"""),45645.0)</f>
        <v>45645</v>
      </c>
      <c r="B648" s="6">
        <f>IFERROR(__xludf.DUMMYFUNCTION("""COMPUTED_VALUE"""),337.0)</f>
        <v>337</v>
      </c>
      <c r="C648" s="6">
        <f>IFERROR(__xludf.DUMMYFUNCTION("""COMPUTED_VALUE"""),340.6)</f>
        <v>340.6</v>
      </c>
      <c r="D648" s="6">
        <f>IFERROR(__xludf.DUMMYFUNCTION("""COMPUTED_VALUE"""),335.05)</f>
        <v>335.05</v>
      </c>
      <c r="E648" s="6">
        <f>IFERROR(__xludf.DUMMYFUNCTION("""COMPUTED_VALUE"""),337.4)</f>
        <v>337.4</v>
      </c>
      <c r="F648" s="7">
        <f>IFERROR(__xludf.DUMMYFUNCTION("""COMPUTED_VALUE"""),1.4513129E7)</f>
        <v>14513129</v>
      </c>
      <c r="G648" s="7" t="str">
        <f>IFERROR(__xludf.DUMMYFUNCTION("""COMPUTED_VALUE"""),"NTPC.NS")</f>
        <v>NTPC.NS</v>
      </c>
      <c r="H648" s="8">
        <f t="shared" si="1"/>
        <v>0.00118694362</v>
      </c>
      <c r="I648" s="8">
        <f t="shared" si="2"/>
        <v>0.00118694362</v>
      </c>
      <c r="J648" s="7" t="str">
        <f t="shared" si="3"/>
        <v>Dec-2024</v>
      </c>
      <c r="K648" s="9">
        <f t="shared" si="4"/>
        <v>45627</v>
      </c>
      <c r="L648" s="7" t="str">
        <f t="shared" si="5"/>
        <v/>
      </c>
      <c r="M648" s="7" t="str">
        <f>IFERROR(__xludf.DUMMYFUNCTION("IFERROR(
  IF(
    F648 &gt;
    3*AVERAGE(
       FILTER($F$2:$F10491,
         $G$2:$G10491=G648,
         $A$2:$A10491&gt;=A648-20,
         $A$2:$A10491&lt;=A648
       )
    ),
    ""VOL_SPIKE_3X"",""""
  ),
"""")
"),"")</f>
        <v/>
      </c>
      <c r="N648" s="7" t="str">
        <f t="shared" si="6"/>
        <v/>
      </c>
      <c r="O648" s="7" t="str">
        <f t="shared" si="7"/>
        <v/>
      </c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>
        <f>IFERROR(__xludf.DUMMYFUNCTION("""COMPUTED_VALUE"""),45645.0)</f>
        <v>45645</v>
      </c>
      <c r="B649" s="6">
        <f>IFERROR(__xludf.DUMMYFUNCTION("""COMPUTED_VALUE"""),240.0)</f>
        <v>240</v>
      </c>
      <c r="C649" s="6">
        <f>IFERROR(__xludf.DUMMYFUNCTION("""COMPUTED_VALUE"""),243.95)</f>
        <v>243.95</v>
      </c>
      <c r="D649" s="6">
        <f>IFERROR(__xludf.DUMMYFUNCTION("""COMPUTED_VALUE"""),238.55)</f>
        <v>238.55</v>
      </c>
      <c r="E649" s="6">
        <f>IFERROR(__xludf.DUMMYFUNCTION("""COMPUTED_VALUE"""),241.85)</f>
        <v>241.85</v>
      </c>
      <c r="F649" s="7">
        <f>IFERROR(__xludf.DUMMYFUNCTION("""COMPUTED_VALUE"""),9518542.0)</f>
        <v>9518542</v>
      </c>
      <c r="G649" s="7" t="str">
        <f>IFERROR(__xludf.DUMMYFUNCTION("""COMPUTED_VALUE"""),"ONGC.NS")</f>
        <v>ONGC.NS</v>
      </c>
      <c r="H649" s="8">
        <f t="shared" si="1"/>
        <v>0.007708333333</v>
      </c>
      <c r="I649" s="8">
        <f t="shared" si="2"/>
        <v>0.007708333333</v>
      </c>
      <c r="J649" s="7" t="str">
        <f t="shared" si="3"/>
        <v>Dec-2024</v>
      </c>
      <c r="K649" s="9">
        <f t="shared" si="4"/>
        <v>45627</v>
      </c>
      <c r="L649" s="7" t="str">
        <f t="shared" si="5"/>
        <v/>
      </c>
      <c r="M649" s="7" t="str">
        <f>IFERROR(__xludf.DUMMYFUNCTION("IFERROR(
  IF(
    F649 &gt;
    3*AVERAGE(
       FILTER($F$2:$F10491,
         $G$2:$G10491=G649,
         $A$2:$A10491&gt;=A649-20,
         $A$2:$A10491&lt;=A649
       )
    ),
    ""VOL_SPIKE_3X"",""""
  ),
"""")
"),"")</f>
        <v/>
      </c>
      <c r="N649" s="7" t="str">
        <f t="shared" si="6"/>
        <v/>
      </c>
      <c r="O649" s="7" t="str">
        <f t="shared" si="7"/>
        <v/>
      </c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>
        <f>IFERROR(__xludf.DUMMYFUNCTION("""COMPUTED_VALUE"""),45645.0)</f>
        <v>45645</v>
      </c>
      <c r="B650" s="6">
        <f>IFERROR(__xludf.DUMMYFUNCTION("""COMPUTED_VALUE"""),318.0)</f>
        <v>318</v>
      </c>
      <c r="C650" s="6">
        <f>IFERROR(__xludf.DUMMYFUNCTION("""COMPUTED_VALUE"""),323.85)</f>
        <v>323.85</v>
      </c>
      <c r="D650" s="6">
        <f>IFERROR(__xludf.DUMMYFUNCTION("""COMPUTED_VALUE"""),316.85)</f>
        <v>316.85</v>
      </c>
      <c r="E650" s="6">
        <f>IFERROR(__xludf.DUMMYFUNCTION("""COMPUTED_VALUE"""),321.65)</f>
        <v>321.65</v>
      </c>
      <c r="F650" s="7">
        <f>IFERROR(__xludf.DUMMYFUNCTION("""COMPUTED_VALUE"""),1.0234715E7)</f>
        <v>10234715</v>
      </c>
      <c r="G650" s="7" t="str">
        <f>IFERROR(__xludf.DUMMYFUNCTION("""COMPUTED_VALUE"""),"POWERGRID.NS")</f>
        <v>POWERGRID.NS</v>
      </c>
      <c r="H650" s="8">
        <f t="shared" si="1"/>
        <v>0.01147798742</v>
      </c>
      <c r="I650" s="8">
        <f t="shared" si="2"/>
        <v>0.01147798742</v>
      </c>
      <c r="J650" s="7" t="str">
        <f t="shared" si="3"/>
        <v>Dec-2024</v>
      </c>
      <c r="K650" s="9">
        <f t="shared" si="4"/>
        <v>45627</v>
      </c>
      <c r="L650" s="7" t="str">
        <f t="shared" si="5"/>
        <v/>
      </c>
      <c r="M650" s="7" t="str">
        <f>IFERROR(__xludf.DUMMYFUNCTION("IFERROR(
  IF(
    F650 &gt;
    3*AVERAGE(
       FILTER($F$2:$F10491,
         $G$2:$G10491=G650,
         $A$2:$A10491&gt;=A650-20,
         $A$2:$A10491&lt;=A650
       )
    ),
    ""VOL_SPIKE_3X"",""""
  ),
"""")
"),"")</f>
        <v/>
      </c>
      <c r="N650" s="7" t="str">
        <f t="shared" si="6"/>
        <v/>
      </c>
      <c r="O650" s="7" t="str">
        <f t="shared" si="7"/>
        <v/>
      </c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>
        <f>IFERROR(__xludf.DUMMYFUNCTION("""COMPUTED_VALUE"""),45645.0)</f>
        <v>45645</v>
      </c>
      <c r="B651" s="6">
        <f>IFERROR(__xludf.DUMMYFUNCTION("""COMPUTED_VALUE"""),1239.0)</f>
        <v>1239</v>
      </c>
      <c r="C651" s="6">
        <f>IFERROR(__xludf.DUMMYFUNCTION("""COMPUTED_VALUE"""),1244.9)</f>
        <v>1244.9</v>
      </c>
      <c r="D651" s="6">
        <f>IFERROR(__xludf.DUMMYFUNCTION("""COMPUTED_VALUE"""),1229.0)</f>
        <v>1229</v>
      </c>
      <c r="E651" s="6">
        <f>IFERROR(__xludf.DUMMYFUNCTION("""COMPUTED_VALUE"""),1230.45)</f>
        <v>1230.45</v>
      </c>
      <c r="F651" s="7">
        <f>IFERROR(__xludf.DUMMYFUNCTION("""COMPUTED_VALUE"""),1.4244653E7)</f>
        <v>14244653</v>
      </c>
      <c r="G651" s="7" t="str">
        <f>IFERROR(__xludf.DUMMYFUNCTION("""COMPUTED_VALUE"""),"RELIANCE.NS")</f>
        <v>RELIANCE.NS</v>
      </c>
      <c r="H651" s="8">
        <f t="shared" si="1"/>
        <v>-0.006900726392</v>
      </c>
      <c r="I651" s="8">
        <f t="shared" si="2"/>
        <v>0.006900726392</v>
      </c>
      <c r="J651" s="7" t="str">
        <f t="shared" si="3"/>
        <v>Dec-2024</v>
      </c>
      <c r="K651" s="9">
        <f t="shared" si="4"/>
        <v>45627</v>
      </c>
      <c r="L651" s="7" t="str">
        <f t="shared" si="5"/>
        <v/>
      </c>
      <c r="M651" s="7" t="str">
        <f>IFERROR(__xludf.DUMMYFUNCTION("IFERROR(
  IF(
    F651 &gt;
    3*AVERAGE(
       FILTER($F$2:$F10491,
         $G$2:$G10491=G651,
         $A$2:$A10491&gt;=A651-20,
         $A$2:$A10491&lt;=A651
       )
    ),
    ""VOL_SPIKE_3X"",""""
  ),
"""")
"),"")</f>
        <v/>
      </c>
      <c r="N651" s="7" t="str">
        <f t="shared" si="6"/>
        <v/>
      </c>
      <c r="O651" s="7" t="str">
        <f t="shared" si="7"/>
        <v/>
      </c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>
        <f>IFERROR(__xludf.DUMMYFUNCTION("""COMPUTED_VALUE"""),45646.0)</f>
        <v>45646</v>
      </c>
      <c r="B652" s="6">
        <f>IFERROR(__xludf.DUMMYFUNCTION("""COMPUTED_VALUE"""),799.0)</f>
        <v>799</v>
      </c>
      <c r="C652" s="6">
        <f>IFERROR(__xludf.DUMMYFUNCTION("""COMPUTED_VALUE"""),812.6)</f>
        <v>812.6</v>
      </c>
      <c r="D652" s="6">
        <f>IFERROR(__xludf.DUMMYFUNCTION("""COMPUTED_VALUE"""),761.85)</f>
        <v>761.85</v>
      </c>
      <c r="E652" s="6">
        <f>IFERROR(__xludf.DUMMYFUNCTION("""COMPUTED_VALUE"""),767.55)</f>
        <v>767.55</v>
      </c>
      <c r="F652" s="7">
        <f>IFERROR(__xludf.DUMMYFUNCTION("""COMPUTED_VALUE"""),1799045.0)</f>
        <v>1799045</v>
      </c>
      <c r="G652" s="7" t="str">
        <f>IFERROR(__xludf.DUMMYFUNCTION("""COMPUTED_VALUE"""),"ADANIENSOL.NS")</f>
        <v>ADANIENSOL.NS</v>
      </c>
      <c r="H652" s="8">
        <f t="shared" si="1"/>
        <v>-0.03936170213</v>
      </c>
      <c r="I652" s="8">
        <f t="shared" si="2"/>
        <v>0.03936170213</v>
      </c>
      <c r="J652" s="7" t="str">
        <f t="shared" si="3"/>
        <v>Dec-2024</v>
      </c>
      <c r="K652" s="9">
        <f t="shared" si="4"/>
        <v>45627</v>
      </c>
      <c r="L652" s="7" t="str">
        <f t="shared" si="5"/>
        <v/>
      </c>
      <c r="M652" s="7" t="str">
        <f>IFERROR(__xludf.DUMMYFUNCTION("IFERROR(
  IF(
    F652 &gt;
    3*AVERAGE(
       FILTER($F$2:$F10491,
         $G$2:$G10491=G652,
         $A$2:$A10491&gt;=A652-20,
         $A$2:$A10491&lt;=A652
       )
    ),
    ""VOL_SPIKE_3X"",""""
  ),
"""")
"),"")</f>
        <v/>
      </c>
      <c r="N652" s="7" t="str">
        <f t="shared" si="6"/>
        <v/>
      </c>
      <c r="O652" s="7" t="str">
        <f t="shared" si="7"/>
        <v/>
      </c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>
        <f>IFERROR(__xludf.DUMMYFUNCTION("""COMPUTED_VALUE"""),45646.0)</f>
        <v>45646</v>
      </c>
      <c r="B653" s="6">
        <f>IFERROR(__xludf.DUMMYFUNCTION("""COMPUTED_VALUE"""),1074.9)</f>
        <v>1074.9</v>
      </c>
      <c r="C653" s="6">
        <f>IFERROR(__xludf.DUMMYFUNCTION("""COMPUTED_VALUE"""),1119.0)</f>
        <v>1119</v>
      </c>
      <c r="D653" s="6">
        <f>IFERROR(__xludf.DUMMYFUNCTION("""COMPUTED_VALUE"""),1015.1)</f>
        <v>1015.1</v>
      </c>
      <c r="E653" s="6">
        <f>IFERROR(__xludf.DUMMYFUNCTION("""COMPUTED_VALUE"""),1034.35)</f>
        <v>1034.35</v>
      </c>
      <c r="F653" s="7">
        <f>IFERROR(__xludf.DUMMYFUNCTION("""COMPUTED_VALUE"""),1.4340608E7)</f>
        <v>14340608</v>
      </c>
      <c r="G653" s="7" t="str">
        <f>IFERROR(__xludf.DUMMYFUNCTION("""COMPUTED_VALUE"""),"ADANIGREEN.NS")</f>
        <v>ADANIGREEN.NS</v>
      </c>
      <c r="H653" s="8">
        <f t="shared" si="1"/>
        <v>-0.03772443948</v>
      </c>
      <c r="I653" s="8">
        <f t="shared" si="2"/>
        <v>0.03772443948</v>
      </c>
      <c r="J653" s="7" t="str">
        <f t="shared" si="3"/>
        <v>Dec-2024</v>
      </c>
      <c r="K653" s="9">
        <f t="shared" si="4"/>
        <v>45627</v>
      </c>
      <c r="L653" s="7" t="str">
        <f t="shared" si="5"/>
        <v/>
      </c>
      <c r="M653" s="7" t="str">
        <f>IFERROR(__xludf.DUMMYFUNCTION("IFERROR(
  IF(
    F653 &gt;
    3*AVERAGE(
       FILTER($F$2:$F10491,
         $G$2:$G10491=G653,
         $A$2:$A10491&gt;=A653-20,
         $A$2:$A10491&lt;=A653
       )
    ),
    ""VOL_SPIKE_3X"",""""
  ),
"""")
"),"")</f>
        <v/>
      </c>
      <c r="N653" s="7" t="str">
        <f t="shared" si="6"/>
        <v/>
      </c>
      <c r="O653" s="7" t="str">
        <f t="shared" si="7"/>
        <v/>
      </c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>
        <f>IFERROR(__xludf.DUMMYFUNCTION("""COMPUTED_VALUE"""),45646.0)</f>
        <v>45646</v>
      </c>
      <c r="B654" s="6">
        <f>IFERROR(__xludf.DUMMYFUNCTION("""COMPUTED_VALUE"""),293.55)</f>
        <v>293.55</v>
      </c>
      <c r="C654" s="6">
        <f>IFERROR(__xludf.DUMMYFUNCTION("""COMPUTED_VALUE"""),299.2)</f>
        <v>299.2</v>
      </c>
      <c r="D654" s="6">
        <f>IFERROR(__xludf.DUMMYFUNCTION("""COMPUTED_VALUE"""),287.0)</f>
        <v>287</v>
      </c>
      <c r="E654" s="6">
        <f>IFERROR(__xludf.DUMMYFUNCTION("""COMPUTED_VALUE"""),289.05)</f>
        <v>289.05</v>
      </c>
      <c r="F654" s="7">
        <f>IFERROR(__xludf.DUMMYFUNCTION("""COMPUTED_VALUE"""),9979749.0)</f>
        <v>9979749</v>
      </c>
      <c r="G654" s="7" t="str">
        <f>IFERROR(__xludf.DUMMYFUNCTION("""COMPUTED_VALUE"""),"BPCL.NS")</f>
        <v>BPCL.NS</v>
      </c>
      <c r="H654" s="8">
        <f t="shared" si="1"/>
        <v>-0.0153295861</v>
      </c>
      <c r="I654" s="8">
        <f t="shared" si="2"/>
        <v>0.0153295861</v>
      </c>
      <c r="J654" s="7" t="str">
        <f t="shared" si="3"/>
        <v>Dec-2024</v>
      </c>
      <c r="K654" s="9">
        <f t="shared" si="4"/>
        <v>45627</v>
      </c>
      <c r="L654" s="7" t="str">
        <f t="shared" si="5"/>
        <v/>
      </c>
      <c r="M654" s="7" t="str">
        <f>IFERROR(__xludf.DUMMYFUNCTION("IFERROR(
  IF(
    F654 &gt;
    3*AVERAGE(
       FILTER($F$2:$F10491,
         $G$2:$G10491=G654,
         $A$2:$A10491&gt;=A654-20,
         $A$2:$A10491&lt;=A654
       )
    ),
    ""VOL_SPIKE_3X"",""""
  ),
"""")
"),"")</f>
        <v/>
      </c>
      <c r="N654" s="7" t="str">
        <f t="shared" si="6"/>
        <v/>
      </c>
      <c r="O654" s="7" t="str">
        <f t="shared" si="7"/>
        <v/>
      </c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>
        <f>IFERROR(__xludf.DUMMYFUNCTION("""COMPUTED_VALUE"""),45646.0)</f>
        <v>45646</v>
      </c>
      <c r="B655" s="6">
        <f>IFERROR(__xludf.DUMMYFUNCTION("""COMPUTED_VALUE"""),393.0)</f>
        <v>393</v>
      </c>
      <c r="C655" s="6">
        <f>IFERROR(__xludf.DUMMYFUNCTION("""COMPUTED_VALUE"""),393.7)</f>
        <v>393.7</v>
      </c>
      <c r="D655" s="6">
        <f>IFERROR(__xludf.DUMMYFUNCTION("""COMPUTED_VALUE"""),380.5)</f>
        <v>380.5</v>
      </c>
      <c r="E655" s="6">
        <f>IFERROR(__xludf.DUMMYFUNCTION("""COMPUTED_VALUE"""),382.0)</f>
        <v>382</v>
      </c>
      <c r="F655" s="7">
        <f>IFERROR(__xludf.DUMMYFUNCTION("""COMPUTED_VALUE"""),7923854.0)</f>
        <v>7923854</v>
      </c>
      <c r="G655" s="7" t="str">
        <f>IFERROR(__xludf.DUMMYFUNCTION("""COMPUTED_VALUE"""),"COALINDIA.NS")</f>
        <v>COALINDIA.NS</v>
      </c>
      <c r="H655" s="8">
        <f t="shared" si="1"/>
        <v>-0.02798982188</v>
      </c>
      <c r="I655" s="8">
        <f t="shared" si="2"/>
        <v>0.02798982188</v>
      </c>
      <c r="J655" s="7" t="str">
        <f t="shared" si="3"/>
        <v>Dec-2024</v>
      </c>
      <c r="K655" s="9">
        <f t="shared" si="4"/>
        <v>45627</v>
      </c>
      <c r="L655" s="7" t="str">
        <f t="shared" si="5"/>
        <v/>
      </c>
      <c r="M655" s="7" t="str">
        <f>IFERROR(__xludf.DUMMYFUNCTION("IFERROR(
  IF(
    F655 &gt;
    3*AVERAGE(
       FILTER($F$2:$F10491,
         $G$2:$G10491=G655,
         $A$2:$A10491&gt;=A655-20,
         $A$2:$A10491&lt;=A655
       )
    ),
    ""VOL_SPIKE_3X"",""""
  ),
"""")
"),"")</f>
        <v/>
      </c>
      <c r="N655" s="7" t="str">
        <f t="shared" si="6"/>
        <v/>
      </c>
      <c r="O655" s="7" t="str">
        <f t="shared" si="7"/>
        <v/>
      </c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>
        <f>IFERROR(__xludf.DUMMYFUNCTION("""COMPUTED_VALUE"""),45646.0)</f>
        <v>45646</v>
      </c>
      <c r="B656" s="6">
        <f>IFERROR(__xludf.DUMMYFUNCTION("""COMPUTED_VALUE"""),409.0)</f>
        <v>409</v>
      </c>
      <c r="C656" s="6">
        <f>IFERROR(__xludf.DUMMYFUNCTION("""COMPUTED_VALUE"""),413.5)</f>
        <v>413.5</v>
      </c>
      <c r="D656" s="6">
        <f>IFERROR(__xludf.DUMMYFUNCTION("""COMPUTED_VALUE"""),397.95)</f>
        <v>397.95</v>
      </c>
      <c r="E656" s="6">
        <f>IFERROR(__xludf.DUMMYFUNCTION("""COMPUTED_VALUE"""),399.5)</f>
        <v>399.5</v>
      </c>
      <c r="F656" s="7">
        <f>IFERROR(__xludf.DUMMYFUNCTION("""COMPUTED_VALUE"""),8035990.0)</f>
        <v>8035990</v>
      </c>
      <c r="G656" s="7" t="str">
        <f>IFERROR(__xludf.DUMMYFUNCTION("""COMPUTED_VALUE"""),"HINDPETRO.NS")</f>
        <v>HINDPETRO.NS</v>
      </c>
      <c r="H656" s="8">
        <f t="shared" si="1"/>
        <v>-0.02322738386</v>
      </c>
      <c r="I656" s="8">
        <f t="shared" si="2"/>
        <v>0.02322738386</v>
      </c>
      <c r="J656" s="7" t="str">
        <f t="shared" si="3"/>
        <v>Dec-2024</v>
      </c>
      <c r="K656" s="9">
        <f t="shared" si="4"/>
        <v>45627</v>
      </c>
      <c r="L656" s="7" t="str">
        <f t="shared" si="5"/>
        <v/>
      </c>
      <c r="M656" s="7" t="str">
        <f>IFERROR(__xludf.DUMMYFUNCTION("IFERROR(
  IF(
    F656 &gt;
    3*AVERAGE(
       FILTER($F$2:$F10491,
         $G$2:$G10491=G656,
         $A$2:$A10491&gt;=A656-20,
         $A$2:$A10491&lt;=A656
       )
    ),
    ""VOL_SPIKE_3X"",""""
  ),
"""")
"),"")</f>
        <v/>
      </c>
      <c r="N656" s="7" t="str">
        <f t="shared" si="6"/>
        <v/>
      </c>
      <c r="O656" s="7" t="str">
        <f t="shared" si="7"/>
        <v/>
      </c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>
        <f>IFERROR(__xludf.DUMMYFUNCTION("""COMPUTED_VALUE"""),45646.0)</f>
        <v>45646</v>
      </c>
      <c r="B657" s="6">
        <f>IFERROR(__xludf.DUMMYFUNCTION("""COMPUTED_VALUE"""),139.68)</f>
        <v>139.68</v>
      </c>
      <c r="C657" s="6">
        <f>IFERROR(__xludf.DUMMYFUNCTION("""COMPUTED_VALUE"""),141.65)</f>
        <v>141.65</v>
      </c>
      <c r="D657" s="6">
        <f>IFERROR(__xludf.DUMMYFUNCTION("""COMPUTED_VALUE"""),136.6)</f>
        <v>136.6</v>
      </c>
      <c r="E657" s="6">
        <f>IFERROR(__xludf.DUMMYFUNCTION("""COMPUTED_VALUE"""),137.08)</f>
        <v>137.08</v>
      </c>
      <c r="F657" s="7">
        <f>IFERROR(__xludf.DUMMYFUNCTION("""COMPUTED_VALUE"""),1.9545043E7)</f>
        <v>19545043</v>
      </c>
      <c r="G657" s="7" t="str">
        <f>IFERROR(__xludf.DUMMYFUNCTION("""COMPUTED_VALUE"""),"IOC.NS")</f>
        <v>IOC.NS</v>
      </c>
      <c r="H657" s="8">
        <f t="shared" si="1"/>
        <v>-0.0186139748</v>
      </c>
      <c r="I657" s="8">
        <f t="shared" si="2"/>
        <v>0.0186139748</v>
      </c>
      <c r="J657" s="7" t="str">
        <f t="shared" si="3"/>
        <v>Dec-2024</v>
      </c>
      <c r="K657" s="9">
        <f t="shared" si="4"/>
        <v>45627</v>
      </c>
      <c r="L657" s="7" t="str">
        <f t="shared" si="5"/>
        <v/>
      </c>
      <c r="M657" s="7" t="str">
        <f>IFERROR(__xludf.DUMMYFUNCTION("IFERROR(
  IF(
    F657 &gt;
    3*AVERAGE(
       FILTER($F$2:$F10491,
         $G$2:$G10491=G657,
         $A$2:$A10491&gt;=A657-20,
         $A$2:$A10491&lt;=A657
       )
    ),
    ""VOL_SPIKE_3X"",""""
  ),
"""")
"),"")</f>
        <v/>
      </c>
      <c r="N657" s="7" t="str">
        <f t="shared" si="6"/>
        <v/>
      </c>
      <c r="O657" s="7" t="str">
        <f t="shared" si="7"/>
        <v/>
      </c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>
        <f>IFERROR(__xludf.DUMMYFUNCTION("""COMPUTED_VALUE"""),45646.0)</f>
        <v>45646</v>
      </c>
      <c r="B658" s="6">
        <f>IFERROR(__xludf.DUMMYFUNCTION("""COMPUTED_VALUE"""),337.8)</f>
        <v>337.8</v>
      </c>
      <c r="C658" s="6">
        <f>IFERROR(__xludf.DUMMYFUNCTION("""COMPUTED_VALUE"""),343.9)</f>
        <v>343.9</v>
      </c>
      <c r="D658" s="6">
        <f>IFERROR(__xludf.DUMMYFUNCTION("""COMPUTED_VALUE"""),331.0)</f>
        <v>331</v>
      </c>
      <c r="E658" s="6">
        <f>IFERROR(__xludf.DUMMYFUNCTION("""COMPUTED_VALUE"""),333.25)</f>
        <v>333.25</v>
      </c>
      <c r="F658" s="7">
        <f>IFERROR(__xludf.DUMMYFUNCTION("""COMPUTED_VALUE"""),2.0375797E7)</f>
        <v>20375797</v>
      </c>
      <c r="G658" s="7" t="str">
        <f>IFERROR(__xludf.DUMMYFUNCTION("""COMPUTED_VALUE"""),"NTPC.NS")</f>
        <v>NTPC.NS</v>
      </c>
      <c r="H658" s="8">
        <f t="shared" si="1"/>
        <v>-0.01346950858</v>
      </c>
      <c r="I658" s="8">
        <f t="shared" si="2"/>
        <v>0.01346950858</v>
      </c>
      <c r="J658" s="7" t="str">
        <f t="shared" si="3"/>
        <v>Dec-2024</v>
      </c>
      <c r="K658" s="9">
        <f t="shared" si="4"/>
        <v>45627</v>
      </c>
      <c r="L658" s="7" t="str">
        <f t="shared" si="5"/>
        <v/>
      </c>
      <c r="M658" s="7" t="str">
        <f>IFERROR(__xludf.DUMMYFUNCTION("IFERROR(
  IF(
    F658 &gt;
    3*AVERAGE(
       FILTER($F$2:$F10491,
         $G$2:$G10491=G658,
         $A$2:$A10491&gt;=A658-20,
         $A$2:$A10491&lt;=A658
       )
    ),
    ""VOL_SPIKE_3X"",""""
  ),
"""")
"),"")</f>
        <v/>
      </c>
      <c r="N658" s="7" t="str">
        <f t="shared" si="6"/>
        <v/>
      </c>
      <c r="O658" s="7" t="str">
        <f t="shared" si="7"/>
        <v/>
      </c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>
        <f>IFERROR(__xludf.DUMMYFUNCTION("""COMPUTED_VALUE"""),45646.0)</f>
        <v>45646</v>
      </c>
      <c r="B659" s="6">
        <f>IFERROR(__xludf.DUMMYFUNCTION("""COMPUTED_VALUE"""),241.5)</f>
        <v>241.5</v>
      </c>
      <c r="C659" s="6">
        <f>IFERROR(__xludf.DUMMYFUNCTION("""COMPUTED_VALUE"""),244.15)</f>
        <v>244.15</v>
      </c>
      <c r="D659" s="6">
        <f>IFERROR(__xludf.DUMMYFUNCTION("""COMPUTED_VALUE"""),235.3)</f>
        <v>235.3</v>
      </c>
      <c r="E659" s="6">
        <f>IFERROR(__xludf.DUMMYFUNCTION("""COMPUTED_VALUE"""),237.1)</f>
        <v>237.1</v>
      </c>
      <c r="F659" s="7">
        <f>IFERROR(__xludf.DUMMYFUNCTION("""COMPUTED_VALUE"""),1.5556528E7)</f>
        <v>15556528</v>
      </c>
      <c r="G659" s="7" t="str">
        <f>IFERROR(__xludf.DUMMYFUNCTION("""COMPUTED_VALUE"""),"ONGC.NS")</f>
        <v>ONGC.NS</v>
      </c>
      <c r="H659" s="8">
        <f t="shared" si="1"/>
        <v>-0.0182194617</v>
      </c>
      <c r="I659" s="8">
        <f t="shared" si="2"/>
        <v>0.0182194617</v>
      </c>
      <c r="J659" s="7" t="str">
        <f t="shared" si="3"/>
        <v>Dec-2024</v>
      </c>
      <c r="K659" s="9">
        <f t="shared" si="4"/>
        <v>45627</v>
      </c>
      <c r="L659" s="7" t="str">
        <f t="shared" si="5"/>
        <v/>
      </c>
      <c r="M659" s="7" t="str">
        <f>IFERROR(__xludf.DUMMYFUNCTION("IFERROR(
  IF(
    F659 &gt;
    3*AVERAGE(
       FILTER($F$2:$F10491,
         $G$2:$G10491=G659,
         $A$2:$A10491&gt;=A659-20,
         $A$2:$A10491&lt;=A659
       )
    ),
    ""VOL_SPIKE_3X"",""""
  ),
"""")
"),"")</f>
        <v/>
      </c>
      <c r="N659" s="7" t="str">
        <f t="shared" si="6"/>
        <v/>
      </c>
      <c r="O659" s="7" t="str">
        <f t="shared" si="7"/>
        <v/>
      </c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>
        <f>IFERROR(__xludf.DUMMYFUNCTION("""COMPUTED_VALUE"""),45646.0)</f>
        <v>45646</v>
      </c>
      <c r="B660" s="6">
        <f>IFERROR(__xludf.DUMMYFUNCTION("""COMPUTED_VALUE"""),321.3)</f>
        <v>321.3</v>
      </c>
      <c r="C660" s="6">
        <f>IFERROR(__xludf.DUMMYFUNCTION("""COMPUTED_VALUE"""),325.6)</f>
        <v>325.6</v>
      </c>
      <c r="D660" s="6">
        <f>IFERROR(__xludf.DUMMYFUNCTION("""COMPUTED_VALUE"""),313.6)</f>
        <v>313.6</v>
      </c>
      <c r="E660" s="6">
        <f>IFERROR(__xludf.DUMMYFUNCTION("""COMPUTED_VALUE"""),315.8)</f>
        <v>315.8</v>
      </c>
      <c r="F660" s="7">
        <f>IFERROR(__xludf.DUMMYFUNCTION("""COMPUTED_VALUE"""),1.3973399E7)</f>
        <v>13973399</v>
      </c>
      <c r="G660" s="7" t="str">
        <f>IFERROR(__xludf.DUMMYFUNCTION("""COMPUTED_VALUE"""),"POWERGRID.NS")</f>
        <v>POWERGRID.NS</v>
      </c>
      <c r="H660" s="8">
        <f t="shared" si="1"/>
        <v>-0.01711795829</v>
      </c>
      <c r="I660" s="8">
        <f t="shared" si="2"/>
        <v>0.01711795829</v>
      </c>
      <c r="J660" s="7" t="str">
        <f t="shared" si="3"/>
        <v>Dec-2024</v>
      </c>
      <c r="K660" s="9">
        <f t="shared" si="4"/>
        <v>45627</v>
      </c>
      <c r="L660" s="7" t="str">
        <f t="shared" si="5"/>
        <v/>
      </c>
      <c r="M660" s="7" t="str">
        <f>IFERROR(__xludf.DUMMYFUNCTION("IFERROR(
  IF(
    F660 &gt;
    3*AVERAGE(
       FILTER($F$2:$F10491,
         $G$2:$G10491=G660,
         $A$2:$A10491&gt;=A660-20,
         $A$2:$A10491&lt;=A660
       )
    ),
    ""VOL_SPIKE_3X"",""""
  ),
"""")
"),"")</f>
        <v/>
      </c>
      <c r="N660" s="7" t="str">
        <f t="shared" si="6"/>
        <v/>
      </c>
      <c r="O660" s="7" t="str">
        <f t="shared" si="7"/>
        <v/>
      </c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>
        <f>IFERROR(__xludf.DUMMYFUNCTION("""COMPUTED_VALUE"""),45646.0)</f>
        <v>45646</v>
      </c>
      <c r="B661" s="6">
        <f>IFERROR(__xludf.DUMMYFUNCTION("""COMPUTED_VALUE"""),1224.0)</f>
        <v>1224</v>
      </c>
      <c r="C661" s="6">
        <f>IFERROR(__xludf.DUMMYFUNCTION("""COMPUTED_VALUE"""),1239.5)</f>
        <v>1239.5</v>
      </c>
      <c r="D661" s="6">
        <f>IFERROR(__xludf.DUMMYFUNCTION("""COMPUTED_VALUE"""),1201.5)</f>
        <v>1201.5</v>
      </c>
      <c r="E661" s="6">
        <f>IFERROR(__xludf.DUMMYFUNCTION("""COMPUTED_VALUE"""),1205.3)</f>
        <v>1205.3</v>
      </c>
      <c r="F661" s="7">
        <f>IFERROR(__xludf.DUMMYFUNCTION("""COMPUTED_VALUE"""),2.0312896E7)</f>
        <v>20312896</v>
      </c>
      <c r="G661" s="7" t="str">
        <f>IFERROR(__xludf.DUMMYFUNCTION("""COMPUTED_VALUE"""),"RELIANCE.NS")</f>
        <v>RELIANCE.NS</v>
      </c>
      <c r="H661" s="8">
        <f t="shared" si="1"/>
        <v>-0.01527777778</v>
      </c>
      <c r="I661" s="8">
        <f t="shared" si="2"/>
        <v>0.01527777778</v>
      </c>
      <c r="J661" s="7" t="str">
        <f t="shared" si="3"/>
        <v>Dec-2024</v>
      </c>
      <c r="K661" s="9">
        <f t="shared" si="4"/>
        <v>45627</v>
      </c>
      <c r="L661" s="7" t="str">
        <f t="shared" si="5"/>
        <v/>
      </c>
      <c r="M661" s="7" t="str">
        <f>IFERROR(__xludf.DUMMYFUNCTION("IFERROR(
  IF(
    F661 &gt;
    3*AVERAGE(
       FILTER($F$2:$F10491,
         $G$2:$G10491=G661,
         $A$2:$A10491&gt;=A661-20,
         $A$2:$A10491&lt;=A661
       )
    ),
    ""VOL_SPIKE_3X"",""""
  ),
"""")
"),"")</f>
        <v/>
      </c>
      <c r="N661" s="7" t="str">
        <f t="shared" si="6"/>
        <v/>
      </c>
      <c r="O661" s="7" t="str">
        <f t="shared" si="7"/>
        <v/>
      </c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>
        <f>IFERROR(__xludf.DUMMYFUNCTION("""COMPUTED_VALUE"""),45649.0)</f>
        <v>45649</v>
      </c>
      <c r="B662" s="6">
        <f>IFERROR(__xludf.DUMMYFUNCTION("""COMPUTED_VALUE"""),781.35)</f>
        <v>781.35</v>
      </c>
      <c r="C662" s="6">
        <f>IFERROR(__xludf.DUMMYFUNCTION("""COMPUTED_VALUE"""),783.85)</f>
        <v>783.85</v>
      </c>
      <c r="D662" s="6">
        <f>IFERROR(__xludf.DUMMYFUNCTION("""COMPUTED_VALUE"""),765.3)</f>
        <v>765.3</v>
      </c>
      <c r="E662" s="6">
        <f>IFERROR(__xludf.DUMMYFUNCTION("""COMPUTED_VALUE"""),773.3)</f>
        <v>773.3</v>
      </c>
      <c r="F662" s="7">
        <f>IFERROR(__xludf.DUMMYFUNCTION("""COMPUTED_VALUE"""),971855.0)</f>
        <v>971855</v>
      </c>
      <c r="G662" s="7" t="str">
        <f>IFERROR(__xludf.DUMMYFUNCTION("""COMPUTED_VALUE"""),"ADANIENSOL.NS")</f>
        <v>ADANIENSOL.NS</v>
      </c>
      <c r="H662" s="8">
        <f t="shared" si="1"/>
        <v>-0.01030268126</v>
      </c>
      <c r="I662" s="8">
        <f t="shared" si="2"/>
        <v>0.01030268126</v>
      </c>
      <c r="J662" s="7" t="str">
        <f t="shared" si="3"/>
        <v>Dec-2024</v>
      </c>
      <c r="K662" s="9">
        <f t="shared" si="4"/>
        <v>45627</v>
      </c>
      <c r="L662" s="7" t="str">
        <f t="shared" si="5"/>
        <v/>
      </c>
      <c r="M662" s="7" t="str">
        <f>IFERROR(__xludf.DUMMYFUNCTION("IFERROR(
  IF(
    F662 &gt;
    3*AVERAGE(
       FILTER($F$2:$F10491,
         $G$2:$G10491=G662,
         $A$2:$A10491&gt;=A662-20,
         $A$2:$A10491&lt;=A662
       )
    ),
    ""VOL_SPIKE_3X"",""""
  ),
"""")
"),"")</f>
        <v/>
      </c>
      <c r="N662" s="7" t="str">
        <f t="shared" si="6"/>
        <v/>
      </c>
      <c r="O662" s="7" t="str">
        <f t="shared" si="7"/>
        <v/>
      </c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>
        <f>IFERROR(__xludf.DUMMYFUNCTION("""COMPUTED_VALUE"""),45649.0)</f>
        <v>45649</v>
      </c>
      <c r="B663" s="6">
        <f>IFERROR(__xludf.DUMMYFUNCTION("""COMPUTED_VALUE"""),1049.7)</f>
        <v>1049.7</v>
      </c>
      <c r="C663" s="6">
        <f>IFERROR(__xludf.DUMMYFUNCTION("""COMPUTED_VALUE"""),1057.95)</f>
        <v>1057.95</v>
      </c>
      <c r="D663" s="6">
        <f>IFERROR(__xludf.DUMMYFUNCTION("""COMPUTED_VALUE"""),1023.6)</f>
        <v>1023.6</v>
      </c>
      <c r="E663" s="6">
        <f>IFERROR(__xludf.DUMMYFUNCTION("""COMPUTED_VALUE"""),1034.65)</f>
        <v>1034.65</v>
      </c>
      <c r="F663" s="7">
        <f>IFERROR(__xludf.DUMMYFUNCTION("""COMPUTED_VALUE"""),2775914.0)</f>
        <v>2775914</v>
      </c>
      <c r="G663" s="7" t="str">
        <f>IFERROR(__xludf.DUMMYFUNCTION("""COMPUTED_VALUE"""),"ADANIGREEN.NS")</f>
        <v>ADANIGREEN.NS</v>
      </c>
      <c r="H663" s="8">
        <f t="shared" si="1"/>
        <v>-0.01433742974</v>
      </c>
      <c r="I663" s="8">
        <f t="shared" si="2"/>
        <v>0.01433742974</v>
      </c>
      <c r="J663" s="7" t="str">
        <f t="shared" si="3"/>
        <v>Dec-2024</v>
      </c>
      <c r="K663" s="9">
        <f t="shared" si="4"/>
        <v>45627</v>
      </c>
      <c r="L663" s="7" t="str">
        <f t="shared" si="5"/>
        <v/>
      </c>
      <c r="M663" s="7" t="str">
        <f>IFERROR(__xludf.DUMMYFUNCTION("IFERROR(
  IF(
    F663 &gt;
    3*AVERAGE(
       FILTER($F$2:$F10491,
         $G$2:$G10491=G663,
         $A$2:$A10491&gt;=A663-20,
         $A$2:$A10491&lt;=A663
       )
    ),
    ""VOL_SPIKE_3X"",""""
  ),
"""")
"),"")</f>
        <v/>
      </c>
      <c r="N663" s="7" t="str">
        <f t="shared" si="6"/>
        <v/>
      </c>
      <c r="O663" s="7" t="str">
        <f t="shared" si="7"/>
        <v/>
      </c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>
        <f>IFERROR(__xludf.DUMMYFUNCTION("""COMPUTED_VALUE"""),45649.0)</f>
        <v>45649</v>
      </c>
      <c r="B664" s="6">
        <f>IFERROR(__xludf.DUMMYFUNCTION("""COMPUTED_VALUE"""),292.0)</f>
        <v>292</v>
      </c>
      <c r="C664" s="6">
        <f>IFERROR(__xludf.DUMMYFUNCTION("""COMPUTED_VALUE"""),294.9)</f>
        <v>294.9</v>
      </c>
      <c r="D664" s="6">
        <f>IFERROR(__xludf.DUMMYFUNCTION("""COMPUTED_VALUE"""),288.0)</f>
        <v>288</v>
      </c>
      <c r="E664" s="6">
        <f>IFERROR(__xludf.DUMMYFUNCTION("""COMPUTED_VALUE"""),289.1)</f>
        <v>289.1</v>
      </c>
      <c r="F664" s="7">
        <f>IFERROR(__xludf.DUMMYFUNCTION("""COMPUTED_VALUE"""),6819725.0)</f>
        <v>6819725</v>
      </c>
      <c r="G664" s="7" t="str">
        <f>IFERROR(__xludf.DUMMYFUNCTION("""COMPUTED_VALUE"""),"BPCL.NS")</f>
        <v>BPCL.NS</v>
      </c>
      <c r="H664" s="8">
        <f t="shared" si="1"/>
        <v>-0.009931506849</v>
      </c>
      <c r="I664" s="8">
        <f t="shared" si="2"/>
        <v>0.009931506849</v>
      </c>
      <c r="J664" s="7" t="str">
        <f t="shared" si="3"/>
        <v>Dec-2024</v>
      </c>
      <c r="K664" s="9">
        <f t="shared" si="4"/>
        <v>45627</v>
      </c>
      <c r="L664" s="7" t="str">
        <f t="shared" si="5"/>
        <v/>
      </c>
      <c r="M664" s="7" t="str">
        <f>IFERROR(__xludf.DUMMYFUNCTION("IFERROR(
  IF(
    F664 &gt;
    3*AVERAGE(
       FILTER($F$2:$F10491,
         $G$2:$G10491=G664,
         $A$2:$A10491&gt;=A664-20,
         $A$2:$A10491&lt;=A664
       )
    ),
    ""VOL_SPIKE_3X"",""""
  ),
"""")
"),"")</f>
        <v/>
      </c>
      <c r="N664" s="7" t="str">
        <f t="shared" si="6"/>
        <v/>
      </c>
      <c r="O664" s="7" t="str">
        <f t="shared" si="7"/>
        <v/>
      </c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>
        <f>IFERROR(__xludf.DUMMYFUNCTION("""COMPUTED_VALUE"""),45649.0)</f>
        <v>45649</v>
      </c>
      <c r="B665" s="6">
        <f>IFERROR(__xludf.DUMMYFUNCTION("""COMPUTED_VALUE"""),386.0)</f>
        <v>386</v>
      </c>
      <c r="C665" s="6">
        <f>IFERROR(__xludf.DUMMYFUNCTION("""COMPUTED_VALUE"""),388.6)</f>
        <v>388.6</v>
      </c>
      <c r="D665" s="6">
        <f>IFERROR(__xludf.DUMMYFUNCTION("""COMPUTED_VALUE"""),382.4)</f>
        <v>382.4</v>
      </c>
      <c r="E665" s="6">
        <f>IFERROR(__xludf.DUMMYFUNCTION("""COMPUTED_VALUE"""),382.95)</f>
        <v>382.95</v>
      </c>
      <c r="F665" s="7">
        <f>IFERROR(__xludf.DUMMYFUNCTION("""COMPUTED_VALUE"""),5163415.0)</f>
        <v>5163415</v>
      </c>
      <c r="G665" s="7" t="str">
        <f>IFERROR(__xludf.DUMMYFUNCTION("""COMPUTED_VALUE"""),"COALINDIA.NS")</f>
        <v>COALINDIA.NS</v>
      </c>
      <c r="H665" s="8">
        <f t="shared" si="1"/>
        <v>-0.007901554404</v>
      </c>
      <c r="I665" s="8">
        <f t="shared" si="2"/>
        <v>0.007901554404</v>
      </c>
      <c r="J665" s="7" t="str">
        <f t="shared" si="3"/>
        <v>Dec-2024</v>
      </c>
      <c r="K665" s="9">
        <f t="shared" si="4"/>
        <v>45627</v>
      </c>
      <c r="L665" s="7" t="str">
        <f t="shared" si="5"/>
        <v/>
      </c>
      <c r="M665" s="7" t="str">
        <f>IFERROR(__xludf.DUMMYFUNCTION("IFERROR(
  IF(
    F665 &gt;
    3*AVERAGE(
       FILTER($F$2:$F10491,
         $G$2:$G10491=G665,
         $A$2:$A10491&gt;=A665-20,
         $A$2:$A10491&lt;=A665
       )
    ),
    ""VOL_SPIKE_3X"",""""
  ),
"""")
"),"")</f>
        <v/>
      </c>
      <c r="N665" s="7" t="str">
        <f t="shared" si="6"/>
        <v/>
      </c>
      <c r="O665" s="7" t="str">
        <f t="shared" si="7"/>
        <v/>
      </c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>
        <f>IFERROR(__xludf.DUMMYFUNCTION("""COMPUTED_VALUE"""),45649.0)</f>
        <v>45649</v>
      </c>
      <c r="B666" s="6">
        <f>IFERROR(__xludf.DUMMYFUNCTION("""COMPUTED_VALUE"""),400.05)</f>
        <v>400.05</v>
      </c>
      <c r="C666" s="6">
        <f>IFERROR(__xludf.DUMMYFUNCTION("""COMPUTED_VALUE"""),411.45)</f>
        <v>411.45</v>
      </c>
      <c r="D666" s="6">
        <f>IFERROR(__xludf.DUMMYFUNCTION("""COMPUTED_VALUE"""),399.3)</f>
        <v>399.3</v>
      </c>
      <c r="E666" s="6">
        <f>IFERROR(__xludf.DUMMYFUNCTION("""COMPUTED_VALUE"""),403.6)</f>
        <v>403.6</v>
      </c>
      <c r="F666" s="7">
        <f>IFERROR(__xludf.DUMMYFUNCTION("""COMPUTED_VALUE"""),3951645.0)</f>
        <v>3951645</v>
      </c>
      <c r="G666" s="7" t="str">
        <f>IFERROR(__xludf.DUMMYFUNCTION("""COMPUTED_VALUE"""),"HINDPETRO.NS")</f>
        <v>HINDPETRO.NS</v>
      </c>
      <c r="H666" s="8">
        <f t="shared" si="1"/>
        <v>0.008873890764</v>
      </c>
      <c r="I666" s="8">
        <f t="shared" si="2"/>
        <v>0.008873890764</v>
      </c>
      <c r="J666" s="7" t="str">
        <f t="shared" si="3"/>
        <v>Dec-2024</v>
      </c>
      <c r="K666" s="9">
        <f t="shared" si="4"/>
        <v>45627</v>
      </c>
      <c r="L666" s="7" t="str">
        <f t="shared" si="5"/>
        <v/>
      </c>
      <c r="M666" s="7" t="str">
        <f>IFERROR(__xludf.DUMMYFUNCTION("IFERROR(
  IF(
    F666 &gt;
    3*AVERAGE(
       FILTER($F$2:$F10491,
         $G$2:$G10491=G666,
         $A$2:$A10491&gt;=A666-20,
         $A$2:$A10491&lt;=A666
       )
    ),
    ""VOL_SPIKE_3X"",""""
  ),
"""")
"),"")</f>
        <v/>
      </c>
      <c r="N666" s="7" t="str">
        <f t="shared" si="6"/>
        <v/>
      </c>
      <c r="O666" s="7" t="str">
        <f t="shared" si="7"/>
        <v/>
      </c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>
        <f>IFERROR(__xludf.DUMMYFUNCTION("""COMPUTED_VALUE"""),45649.0)</f>
        <v>45649</v>
      </c>
      <c r="B667" s="6">
        <f>IFERROR(__xludf.DUMMYFUNCTION("""COMPUTED_VALUE"""),138.08)</f>
        <v>138.08</v>
      </c>
      <c r="C667" s="6">
        <f>IFERROR(__xludf.DUMMYFUNCTION("""COMPUTED_VALUE"""),139.8)</f>
        <v>139.8</v>
      </c>
      <c r="D667" s="6">
        <f>IFERROR(__xludf.DUMMYFUNCTION("""COMPUTED_VALUE"""),137.27)</f>
        <v>137.27</v>
      </c>
      <c r="E667" s="6">
        <f>IFERROR(__xludf.DUMMYFUNCTION("""COMPUTED_VALUE"""),137.78)</f>
        <v>137.78</v>
      </c>
      <c r="F667" s="7">
        <f>IFERROR(__xludf.DUMMYFUNCTION("""COMPUTED_VALUE"""),1.2517478E7)</f>
        <v>12517478</v>
      </c>
      <c r="G667" s="7" t="str">
        <f>IFERROR(__xludf.DUMMYFUNCTION("""COMPUTED_VALUE"""),"IOC.NS")</f>
        <v>IOC.NS</v>
      </c>
      <c r="H667" s="8">
        <f t="shared" si="1"/>
        <v>-0.002172653534</v>
      </c>
      <c r="I667" s="8">
        <f t="shared" si="2"/>
        <v>0.002172653534</v>
      </c>
      <c r="J667" s="7" t="str">
        <f t="shared" si="3"/>
        <v>Dec-2024</v>
      </c>
      <c r="K667" s="9">
        <f t="shared" si="4"/>
        <v>45627</v>
      </c>
      <c r="L667" s="7" t="str">
        <f t="shared" si="5"/>
        <v/>
      </c>
      <c r="M667" s="7" t="str">
        <f>IFERROR(__xludf.DUMMYFUNCTION("IFERROR(
  IF(
    F667 &gt;
    3*AVERAGE(
       FILTER($F$2:$F10491,
         $G$2:$G10491=G667,
         $A$2:$A10491&gt;=A667-20,
         $A$2:$A10491&lt;=A667
       )
    ),
    ""VOL_SPIKE_3X"",""""
  ),
"""")
"),"")</f>
        <v/>
      </c>
      <c r="N667" s="7" t="str">
        <f t="shared" si="6"/>
        <v/>
      </c>
      <c r="O667" s="7" t="str">
        <f t="shared" si="7"/>
        <v/>
      </c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>
        <f>IFERROR(__xludf.DUMMYFUNCTION("""COMPUTED_VALUE"""),45649.0)</f>
        <v>45649</v>
      </c>
      <c r="B668" s="6">
        <f>IFERROR(__xludf.DUMMYFUNCTION("""COMPUTED_VALUE"""),335.9)</f>
        <v>335.9</v>
      </c>
      <c r="C668" s="6">
        <f>IFERROR(__xludf.DUMMYFUNCTION("""COMPUTED_VALUE"""),338.25)</f>
        <v>338.25</v>
      </c>
      <c r="D668" s="6">
        <f>IFERROR(__xludf.DUMMYFUNCTION("""COMPUTED_VALUE"""),330.5)</f>
        <v>330.5</v>
      </c>
      <c r="E668" s="6">
        <f>IFERROR(__xludf.DUMMYFUNCTION("""COMPUTED_VALUE"""),333.65)</f>
        <v>333.65</v>
      </c>
      <c r="F668" s="7">
        <f>IFERROR(__xludf.DUMMYFUNCTION("""COMPUTED_VALUE"""),8884187.0)</f>
        <v>8884187</v>
      </c>
      <c r="G668" s="7" t="str">
        <f>IFERROR(__xludf.DUMMYFUNCTION("""COMPUTED_VALUE"""),"NTPC.NS")</f>
        <v>NTPC.NS</v>
      </c>
      <c r="H668" s="8">
        <f t="shared" si="1"/>
        <v>-0.006698422149</v>
      </c>
      <c r="I668" s="8">
        <f t="shared" si="2"/>
        <v>0.006698422149</v>
      </c>
      <c r="J668" s="7" t="str">
        <f t="shared" si="3"/>
        <v>Dec-2024</v>
      </c>
      <c r="K668" s="9">
        <f t="shared" si="4"/>
        <v>45627</v>
      </c>
      <c r="L668" s="7" t="str">
        <f t="shared" si="5"/>
        <v/>
      </c>
      <c r="M668" s="7" t="str">
        <f>IFERROR(__xludf.DUMMYFUNCTION("IFERROR(
  IF(
    F668 &gt;
    3*AVERAGE(
       FILTER($F$2:$F10491,
         $G$2:$G10491=G668,
         $A$2:$A10491&gt;=A668-20,
         $A$2:$A10491&lt;=A668
       )
    ),
    ""VOL_SPIKE_3X"",""""
  ),
"""")
"),"")</f>
        <v/>
      </c>
      <c r="N668" s="7" t="str">
        <f t="shared" si="6"/>
        <v/>
      </c>
      <c r="O668" s="7" t="str">
        <f t="shared" si="7"/>
        <v/>
      </c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>
        <f>IFERROR(__xludf.DUMMYFUNCTION("""COMPUTED_VALUE"""),45649.0)</f>
        <v>45649</v>
      </c>
      <c r="B669" s="6">
        <f>IFERROR(__xludf.DUMMYFUNCTION("""COMPUTED_VALUE"""),238.25)</f>
        <v>238.25</v>
      </c>
      <c r="C669" s="6">
        <f>IFERROR(__xludf.DUMMYFUNCTION("""COMPUTED_VALUE"""),242.3)</f>
        <v>242.3</v>
      </c>
      <c r="D669" s="6">
        <f>IFERROR(__xludf.DUMMYFUNCTION("""COMPUTED_VALUE"""),236.85)</f>
        <v>236.85</v>
      </c>
      <c r="E669" s="6">
        <f>IFERROR(__xludf.DUMMYFUNCTION("""COMPUTED_VALUE"""),240.85)</f>
        <v>240.85</v>
      </c>
      <c r="F669" s="7">
        <f>IFERROR(__xludf.DUMMYFUNCTION("""COMPUTED_VALUE"""),7722901.0)</f>
        <v>7722901</v>
      </c>
      <c r="G669" s="7" t="str">
        <f>IFERROR(__xludf.DUMMYFUNCTION("""COMPUTED_VALUE"""),"ONGC.NS")</f>
        <v>ONGC.NS</v>
      </c>
      <c r="H669" s="8">
        <f t="shared" si="1"/>
        <v>0.01091290661</v>
      </c>
      <c r="I669" s="8">
        <f t="shared" si="2"/>
        <v>0.01091290661</v>
      </c>
      <c r="J669" s="7" t="str">
        <f t="shared" si="3"/>
        <v>Dec-2024</v>
      </c>
      <c r="K669" s="9">
        <f t="shared" si="4"/>
        <v>45627</v>
      </c>
      <c r="L669" s="7" t="str">
        <f t="shared" si="5"/>
        <v/>
      </c>
      <c r="M669" s="7" t="str">
        <f>IFERROR(__xludf.DUMMYFUNCTION("IFERROR(
  IF(
    F669 &gt;
    3*AVERAGE(
       FILTER($F$2:$F10491,
         $G$2:$G10491=G669,
         $A$2:$A10491&gt;=A669-20,
         $A$2:$A10491&lt;=A669
       )
    ),
    ""VOL_SPIKE_3X"",""""
  ),
"""")
"),"")</f>
        <v/>
      </c>
      <c r="N669" s="7" t="str">
        <f t="shared" si="6"/>
        <v/>
      </c>
      <c r="O669" s="7" t="str">
        <f t="shared" si="7"/>
        <v/>
      </c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>
        <f>IFERROR(__xludf.DUMMYFUNCTION("""COMPUTED_VALUE"""),45649.0)</f>
        <v>45649</v>
      </c>
      <c r="B670" s="6">
        <f>IFERROR(__xludf.DUMMYFUNCTION("""COMPUTED_VALUE"""),318.0)</f>
        <v>318</v>
      </c>
      <c r="C670" s="6">
        <f>IFERROR(__xludf.DUMMYFUNCTION("""COMPUTED_VALUE"""),318.3)</f>
        <v>318.3</v>
      </c>
      <c r="D670" s="6">
        <f>IFERROR(__xludf.DUMMYFUNCTION("""COMPUTED_VALUE"""),311.55)</f>
        <v>311.55</v>
      </c>
      <c r="E670" s="6">
        <f>IFERROR(__xludf.DUMMYFUNCTION("""COMPUTED_VALUE"""),315.3)</f>
        <v>315.3</v>
      </c>
      <c r="F670" s="7">
        <f>IFERROR(__xludf.DUMMYFUNCTION("""COMPUTED_VALUE"""),5984169.0)</f>
        <v>5984169</v>
      </c>
      <c r="G670" s="7" t="str">
        <f>IFERROR(__xludf.DUMMYFUNCTION("""COMPUTED_VALUE"""),"POWERGRID.NS")</f>
        <v>POWERGRID.NS</v>
      </c>
      <c r="H670" s="8">
        <f t="shared" si="1"/>
        <v>-0.008490566038</v>
      </c>
      <c r="I670" s="8">
        <f t="shared" si="2"/>
        <v>0.008490566038</v>
      </c>
      <c r="J670" s="7" t="str">
        <f t="shared" si="3"/>
        <v>Dec-2024</v>
      </c>
      <c r="K670" s="9">
        <f t="shared" si="4"/>
        <v>45627</v>
      </c>
      <c r="L670" s="7" t="str">
        <f t="shared" si="5"/>
        <v/>
      </c>
      <c r="M670" s="7" t="str">
        <f>IFERROR(__xludf.DUMMYFUNCTION("IFERROR(
  IF(
    F670 &gt;
    3*AVERAGE(
       FILTER($F$2:$F10491,
         $G$2:$G10491=G670,
         $A$2:$A10491&gt;=A670-20,
         $A$2:$A10491&lt;=A670
       )
    ),
    ""VOL_SPIKE_3X"",""""
  ),
"""")
"),"")</f>
        <v/>
      </c>
      <c r="N670" s="7" t="str">
        <f t="shared" si="6"/>
        <v/>
      </c>
      <c r="O670" s="7" t="str">
        <f t="shared" si="7"/>
        <v/>
      </c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>
        <f>IFERROR(__xludf.DUMMYFUNCTION("""COMPUTED_VALUE"""),45649.0)</f>
        <v>45649</v>
      </c>
      <c r="B671" s="6">
        <f>IFERROR(__xludf.DUMMYFUNCTION("""COMPUTED_VALUE"""),1215.0)</f>
        <v>1215</v>
      </c>
      <c r="C671" s="6">
        <f>IFERROR(__xludf.DUMMYFUNCTION("""COMPUTED_VALUE"""),1227.2)</f>
        <v>1227.2</v>
      </c>
      <c r="D671" s="6">
        <f>IFERROR(__xludf.DUMMYFUNCTION("""COMPUTED_VALUE"""),1213.2)</f>
        <v>1213.2</v>
      </c>
      <c r="E671" s="6">
        <f>IFERROR(__xludf.DUMMYFUNCTION("""COMPUTED_VALUE"""),1222.3)</f>
        <v>1222.3</v>
      </c>
      <c r="F671" s="7">
        <f>IFERROR(__xludf.DUMMYFUNCTION("""COMPUTED_VALUE"""),1.0052824E7)</f>
        <v>10052824</v>
      </c>
      <c r="G671" s="7" t="str">
        <f>IFERROR(__xludf.DUMMYFUNCTION("""COMPUTED_VALUE"""),"RELIANCE.NS")</f>
        <v>RELIANCE.NS</v>
      </c>
      <c r="H671" s="8">
        <f t="shared" si="1"/>
        <v>0.006008230453</v>
      </c>
      <c r="I671" s="8">
        <f t="shared" si="2"/>
        <v>0.006008230453</v>
      </c>
      <c r="J671" s="7" t="str">
        <f t="shared" si="3"/>
        <v>Dec-2024</v>
      </c>
      <c r="K671" s="9">
        <f t="shared" si="4"/>
        <v>45627</v>
      </c>
      <c r="L671" s="7" t="str">
        <f t="shared" si="5"/>
        <v/>
      </c>
      <c r="M671" s="7" t="str">
        <f>IFERROR(__xludf.DUMMYFUNCTION("IFERROR(
  IF(
    F671 &gt;
    3*AVERAGE(
       FILTER($F$2:$F10491,
         $G$2:$G10491=G671,
         $A$2:$A10491&gt;=A671-20,
         $A$2:$A10491&lt;=A671
       )
    ),
    ""VOL_SPIKE_3X"",""""
  ),
"""")
"),"")</f>
        <v/>
      </c>
      <c r="N671" s="7" t="str">
        <f t="shared" si="6"/>
        <v/>
      </c>
      <c r="O671" s="7" t="str">
        <f t="shared" si="7"/>
        <v/>
      </c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>
        <f>IFERROR(__xludf.DUMMYFUNCTION("""COMPUTED_VALUE"""),45650.0)</f>
        <v>45650</v>
      </c>
      <c r="B672" s="6">
        <f>IFERROR(__xludf.DUMMYFUNCTION("""COMPUTED_VALUE"""),775.0)</f>
        <v>775</v>
      </c>
      <c r="C672" s="6">
        <f>IFERROR(__xludf.DUMMYFUNCTION("""COMPUTED_VALUE"""),789.95)</f>
        <v>789.95</v>
      </c>
      <c r="D672" s="6">
        <f>IFERROR(__xludf.DUMMYFUNCTION("""COMPUTED_VALUE"""),766.05)</f>
        <v>766.05</v>
      </c>
      <c r="E672" s="6">
        <f>IFERROR(__xludf.DUMMYFUNCTION("""COMPUTED_VALUE"""),771.3)</f>
        <v>771.3</v>
      </c>
      <c r="F672" s="7">
        <f>IFERROR(__xludf.DUMMYFUNCTION("""COMPUTED_VALUE"""),986887.0)</f>
        <v>986887</v>
      </c>
      <c r="G672" s="7" t="str">
        <f>IFERROR(__xludf.DUMMYFUNCTION("""COMPUTED_VALUE"""),"ADANIENSOL.NS")</f>
        <v>ADANIENSOL.NS</v>
      </c>
      <c r="H672" s="8">
        <f t="shared" si="1"/>
        <v>-0.004774193548</v>
      </c>
      <c r="I672" s="8">
        <f t="shared" si="2"/>
        <v>0.004774193548</v>
      </c>
      <c r="J672" s="7" t="str">
        <f t="shared" si="3"/>
        <v>Dec-2024</v>
      </c>
      <c r="K672" s="9">
        <f t="shared" si="4"/>
        <v>45627</v>
      </c>
      <c r="L672" s="7" t="str">
        <f t="shared" si="5"/>
        <v/>
      </c>
      <c r="M672" s="7" t="str">
        <f>IFERROR(__xludf.DUMMYFUNCTION("IFERROR(
  IF(
    F672 &gt;
    3*AVERAGE(
       FILTER($F$2:$F10491,
         $G$2:$G10491=G672,
         $A$2:$A10491&gt;=A672-20,
         $A$2:$A10491&lt;=A672
       )
    ),
    ""VOL_SPIKE_3X"",""""
  ),
"""")
"),"")</f>
        <v/>
      </c>
      <c r="N672" s="7" t="str">
        <f t="shared" si="6"/>
        <v/>
      </c>
      <c r="O672" s="7" t="str">
        <f t="shared" si="7"/>
        <v/>
      </c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>
        <f>IFERROR(__xludf.DUMMYFUNCTION("""COMPUTED_VALUE"""),45650.0)</f>
        <v>45650</v>
      </c>
      <c r="B673" s="6">
        <f>IFERROR(__xludf.DUMMYFUNCTION("""COMPUTED_VALUE"""),1035.6)</f>
        <v>1035.6</v>
      </c>
      <c r="C673" s="6">
        <f>IFERROR(__xludf.DUMMYFUNCTION("""COMPUTED_VALUE"""),1059.05)</f>
        <v>1059.05</v>
      </c>
      <c r="D673" s="6">
        <f>IFERROR(__xludf.DUMMYFUNCTION("""COMPUTED_VALUE"""),1020.0)</f>
        <v>1020</v>
      </c>
      <c r="E673" s="6">
        <f>IFERROR(__xludf.DUMMYFUNCTION("""COMPUTED_VALUE"""),1031.05)</f>
        <v>1031.05</v>
      </c>
      <c r="F673" s="7">
        <f>IFERROR(__xludf.DUMMYFUNCTION("""COMPUTED_VALUE"""),2494981.0)</f>
        <v>2494981</v>
      </c>
      <c r="G673" s="7" t="str">
        <f>IFERROR(__xludf.DUMMYFUNCTION("""COMPUTED_VALUE"""),"ADANIGREEN.NS")</f>
        <v>ADANIGREEN.NS</v>
      </c>
      <c r="H673" s="8">
        <f t="shared" si="1"/>
        <v>-0.004393588258</v>
      </c>
      <c r="I673" s="8">
        <f t="shared" si="2"/>
        <v>0.004393588258</v>
      </c>
      <c r="J673" s="7" t="str">
        <f t="shared" si="3"/>
        <v>Dec-2024</v>
      </c>
      <c r="K673" s="9">
        <f t="shared" si="4"/>
        <v>45627</v>
      </c>
      <c r="L673" s="7" t="str">
        <f t="shared" si="5"/>
        <v/>
      </c>
      <c r="M673" s="7" t="str">
        <f>IFERROR(__xludf.DUMMYFUNCTION("IFERROR(
  IF(
    F673 &gt;
    3*AVERAGE(
       FILTER($F$2:$F10491,
         $G$2:$G10491=G673,
         $A$2:$A10491&gt;=A673-20,
         $A$2:$A10491&lt;=A673
       )
    ),
    ""VOL_SPIKE_3X"",""""
  ),
"""")
"),"")</f>
        <v/>
      </c>
      <c r="N673" s="7" t="str">
        <f t="shared" si="6"/>
        <v/>
      </c>
      <c r="O673" s="7" t="str">
        <f t="shared" si="7"/>
        <v/>
      </c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>
        <f>IFERROR(__xludf.DUMMYFUNCTION("""COMPUTED_VALUE"""),45650.0)</f>
        <v>45650</v>
      </c>
      <c r="B674" s="6">
        <f>IFERROR(__xludf.DUMMYFUNCTION("""COMPUTED_VALUE"""),289.95)</f>
        <v>289.95</v>
      </c>
      <c r="C674" s="6">
        <f>IFERROR(__xludf.DUMMYFUNCTION("""COMPUTED_VALUE"""),295.45)</f>
        <v>295.45</v>
      </c>
      <c r="D674" s="6">
        <f>IFERROR(__xludf.DUMMYFUNCTION("""COMPUTED_VALUE"""),287.35)</f>
        <v>287.35</v>
      </c>
      <c r="E674" s="6">
        <f>IFERROR(__xludf.DUMMYFUNCTION("""COMPUTED_VALUE"""),292.0)</f>
        <v>292</v>
      </c>
      <c r="F674" s="7">
        <f>IFERROR(__xludf.DUMMYFUNCTION("""COMPUTED_VALUE"""),7937629.0)</f>
        <v>7937629</v>
      </c>
      <c r="G674" s="7" t="str">
        <f>IFERROR(__xludf.DUMMYFUNCTION("""COMPUTED_VALUE"""),"BPCL.NS")</f>
        <v>BPCL.NS</v>
      </c>
      <c r="H674" s="8">
        <f t="shared" si="1"/>
        <v>0.007070184515</v>
      </c>
      <c r="I674" s="8">
        <f t="shared" si="2"/>
        <v>0.007070184515</v>
      </c>
      <c r="J674" s="7" t="str">
        <f t="shared" si="3"/>
        <v>Dec-2024</v>
      </c>
      <c r="K674" s="9">
        <f t="shared" si="4"/>
        <v>45627</v>
      </c>
      <c r="L674" s="7" t="str">
        <f t="shared" si="5"/>
        <v/>
      </c>
      <c r="M674" s="7" t="str">
        <f>IFERROR(__xludf.DUMMYFUNCTION("IFERROR(
  IF(
    F674 &gt;
    3*AVERAGE(
       FILTER($F$2:$F10491,
         $G$2:$G10491=G674,
         $A$2:$A10491&gt;=A674-20,
         $A$2:$A10491&lt;=A674
       )
    ),
    ""VOL_SPIKE_3X"",""""
  ),
"""")
"),"")</f>
        <v/>
      </c>
      <c r="N674" s="7" t="str">
        <f t="shared" si="6"/>
        <v/>
      </c>
      <c r="O674" s="7" t="str">
        <f t="shared" si="7"/>
        <v/>
      </c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>
        <f>IFERROR(__xludf.DUMMYFUNCTION("""COMPUTED_VALUE"""),45650.0)</f>
        <v>45650</v>
      </c>
      <c r="B675" s="6">
        <f>IFERROR(__xludf.DUMMYFUNCTION("""COMPUTED_VALUE"""),384.85)</f>
        <v>384.85</v>
      </c>
      <c r="C675" s="6">
        <f>IFERROR(__xludf.DUMMYFUNCTION("""COMPUTED_VALUE"""),386.75)</f>
        <v>386.75</v>
      </c>
      <c r="D675" s="6">
        <f>IFERROR(__xludf.DUMMYFUNCTION("""COMPUTED_VALUE"""),381.4)</f>
        <v>381.4</v>
      </c>
      <c r="E675" s="6">
        <f>IFERROR(__xludf.DUMMYFUNCTION("""COMPUTED_VALUE"""),384.5)</f>
        <v>384.5</v>
      </c>
      <c r="F675" s="7">
        <f>IFERROR(__xludf.DUMMYFUNCTION("""COMPUTED_VALUE"""),4242999.0)</f>
        <v>4242999</v>
      </c>
      <c r="G675" s="7" t="str">
        <f>IFERROR(__xludf.DUMMYFUNCTION("""COMPUTED_VALUE"""),"COALINDIA.NS")</f>
        <v>COALINDIA.NS</v>
      </c>
      <c r="H675" s="8">
        <f t="shared" si="1"/>
        <v>-0.0009094452384</v>
      </c>
      <c r="I675" s="8">
        <f t="shared" si="2"/>
        <v>0.0009094452384</v>
      </c>
      <c r="J675" s="7" t="str">
        <f t="shared" si="3"/>
        <v>Dec-2024</v>
      </c>
      <c r="K675" s="9">
        <f t="shared" si="4"/>
        <v>45627</v>
      </c>
      <c r="L675" s="7" t="str">
        <f t="shared" si="5"/>
        <v/>
      </c>
      <c r="M675" s="7" t="str">
        <f>IFERROR(__xludf.DUMMYFUNCTION("IFERROR(
  IF(
    F675 &gt;
    3*AVERAGE(
       FILTER($F$2:$F10491,
         $G$2:$G10491=G675,
         $A$2:$A10491&gt;=A675-20,
         $A$2:$A10491&lt;=A675
       )
    ),
    ""VOL_SPIKE_3X"",""""
  ),
"""")
"),"")</f>
        <v/>
      </c>
      <c r="N675" s="7" t="str">
        <f t="shared" si="6"/>
        <v/>
      </c>
      <c r="O675" s="7" t="str">
        <f t="shared" si="7"/>
        <v/>
      </c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>
        <f>IFERROR(__xludf.DUMMYFUNCTION("""COMPUTED_VALUE"""),45650.0)</f>
        <v>45650</v>
      </c>
      <c r="B676" s="6">
        <f>IFERROR(__xludf.DUMMYFUNCTION("""COMPUTED_VALUE"""),404.0)</f>
        <v>404</v>
      </c>
      <c r="C676" s="6">
        <f>IFERROR(__xludf.DUMMYFUNCTION("""COMPUTED_VALUE"""),417.95)</f>
        <v>417.95</v>
      </c>
      <c r="D676" s="6">
        <f>IFERROR(__xludf.DUMMYFUNCTION("""COMPUTED_VALUE"""),401.6)</f>
        <v>401.6</v>
      </c>
      <c r="E676" s="6">
        <f>IFERROR(__xludf.DUMMYFUNCTION("""COMPUTED_VALUE"""),412.85)</f>
        <v>412.85</v>
      </c>
      <c r="F676" s="7">
        <f>IFERROR(__xludf.DUMMYFUNCTION("""COMPUTED_VALUE"""),6334203.0)</f>
        <v>6334203</v>
      </c>
      <c r="G676" s="7" t="str">
        <f>IFERROR(__xludf.DUMMYFUNCTION("""COMPUTED_VALUE"""),"HINDPETRO.NS")</f>
        <v>HINDPETRO.NS</v>
      </c>
      <c r="H676" s="8">
        <f t="shared" si="1"/>
        <v>0.02190594059</v>
      </c>
      <c r="I676" s="8">
        <f t="shared" si="2"/>
        <v>0.02190594059</v>
      </c>
      <c r="J676" s="7" t="str">
        <f t="shared" si="3"/>
        <v>Dec-2024</v>
      </c>
      <c r="K676" s="9">
        <f t="shared" si="4"/>
        <v>45627</v>
      </c>
      <c r="L676" s="7" t="str">
        <f t="shared" si="5"/>
        <v/>
      </c>
      <c r="M676" s="7" t="str">
        <f>IFERROR(__xludf.DUMMYFUNCTION("IFERROR(
  IF(
    F676 &gt;
    3*AVERAGE(
       FILTER($F$2:$F10491,
         $G$2:$G10491=G676,
         $A$2:$A10491&gt;=A676-20,
         $A$2:$A10491&lt;=A676
       )
    ),
    ""VOL_SPIKE_3X"",""""
  ),
"""")
"),"")</f>
        <v/>
      </c>
      <c r="N676" s="7" t="str">
        <f t="shared" si="6"/>
        <v/>
      </c>
      <c r="O676" s="7" t="str">
        <f t="shared" si="7"/>
        <v/>
      </c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>
        <f>IFERROR(__xludf.DUMMYFUNCTION("""COMPUTED_VALUE"""),45650.0)</f>
        <v>45650</v>
      </c>
      <c r="B677" s="6">
        <f>IFERROR(__xludf.DUMMYFUNCTION("""COMPUTED_VALUE"""),137.91)</f>
        <v>137.91</v>
      </c>
      <c r="C677" s="6">
        <f>IFERROR(__xludf.DUMMYFUNCTION("""COMPUTED_VALUE"""),139.46)</f>
        <v>139.46</v>
      </c>
      <c r="D677" s="6">
        <f>IFERROR(__xludf.DUMMYFUNCTION("""COMPUTED_VALUE"""),137.41)</f>
        <v>137.41</v>
      </c>
      <c r="E677" s="6">
        <f>IFERROR(__xludf.DUMMYFUNCTION("""COMPUTED_VALUE"""),138.27)</f>
        <v>138.27</v>
      </c>
      <c r="F677" s="7">
        <f>IFERROR(__xludf.DUMMYFUNCTION("""COMPUTED_VALUE"""),7802858.0)</f>
        <v>7802858</v>
      </c>
      <c r="G677" s="7" t="str">
        <f>IFERROR(__xludf.DUMMYFUNCTION("""COMPUTED_VALUE"""),"IOC.NS")</f>
        <v>IOC.NS</v>
      </c>
      <c r="H677" s="8">
        <f t="shared" si="1"/>
        <v>0.002610398086</v>
      </c>
      <c r="I677" s="8">
        <f t="shared" si="2"/>
        <v>0.002610398086</v>
      </c>
      <c r="J677" s="7" t="str">
        <f t="shared" si="3"/>
        <v>Dec-2024</v>
      </c>
      <c r="K677" s="9">
        <f t="shared" si="4"/>
        <v>45627</v>
      </c>
      <c r="L677" s="7" t="str">
        <f t="shared" si="5"/>
        <v/>
      </c>
      <c r="M677" s="7" t="str">
        <f>IFERROR(__xludf.DUMMYFUNCTION("IFERROR(
  IF(
    F677 &gt;
    3*AVERAGE(
       FILTER($F$2:$F10491,
         $G$2:$G10491=G677,
         $A$2:$A10491&gt;=A677-20,
         $A$2:$A10491&lt;=A677
       )
    ),
    ""VOL_SPIKE_3X"",""""
  ),
"""")
"),"")</f>
        <v/>
      </c>
      <c r="N677" s="7" t="str">
        <f t="shared" si="6"/>
        <v/>
      </c>
      <c r="O677" s="7" t="str">
        <f t="shared" si="7"/>
        <v/>
      </c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>
        <f>IFERROR(__xludf.DUMMYFUNCTION("""COMPUTED_VALUE"""),45650.0)</f>
        <v>45650</v>
      </c>
      <c r="B678" s="6">
        <f>IFERROR(__xludf.DUMMYFUNCTION("""COMPUTED_VALUE"""),335.1)</f>
        <v>335.1</v>
      </c>
      <c r="C678" s="6">
        <f>IFERROR(__xludf.DUMMYFUNCTION("""COMPUTED_VALUE"""),336.85)</f>
        <v>336.85</v>
      </c>
      <c r="D678" s="6">
        <f>IFERROR(__xludf.DUMMYFUNCTION("""COMPUTED_VALUE"""),331.75)</f>
        <v>331.75</v>
      </c>
      <c r="E678" s="6">
        <f>IFERROR(__xludf.DUMMYFUNCTION("""COMPUTED_VALUE"""),335.3)</f>
        <v>335.3</v>
      </c>
      <c r="F678" s="7">
        <f>IFERROR(__xludf.DUMMYFUNCTION("""COMPUTED_VALUE"""),7755462.0)</f>
        <v>7755462</v>
      </c>
      <c r="G678" s="7" t="str">
        <f>IFERROR(__xludf.DUMMYFUNCTION("""COMPUTED_VALUE"""),"NTPC.NS")</f>
        <v>NTPC.NS</v>
      </c>
      <c r="H678" s="8">
        <f t="shared" si="1"/>
        <v>0.0005968367651</v>
      </c>
      <c r="I678" s="8">
        <f t="shared" si="2"/>
        <v>0.0005968367651</v>
      </c>
      <c r="J678" s="7" t="str">
        <f t="shared" si="3"/>
        <v>Dec-2024</v>
      </c>
      <c r="K678" s="9">
        <f t="shared" si="4"/>
        <v>45627</v>
      </c>
      <c r="L678" s="7" t="str">
        <f t="shared" si="5"/>
        <v/>
      </c>
      <c r="M678" s="7" t="str">
        <f>IFERROR(__xludf.DUMMYFUNCTION("IFERROR(
  IF(
    F678 &gt;
    3*AVERAGE(
       FILTER($F$2:$F10491,
         $G$2:$G10491=G678,
         $A$2:$A10491&gt;=A678-20,
         $A$2:$A10491&lt;=A678
       )
    ),
    ""VOL_SPIKE_3X"",""""
  ),
"""")
"),"")</f>
        <v/>
      </c>
      <c r="N678" s="7" t="str">
        <f t="shared" si="6"/>
        <v/>
      </c>
      <c r="O678" s="7" t="str">
        <f t="shared" si="7"/>
        <v/>
      </c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>
        <f>IFERROR(__xludf.DUMMYFUNCTION("""COMPUTED_VALUE"""),45650.0)</f>
        <v>45650</v>
      </c>
      <c r="B679" s="6">
        <f>IFERROR(__xludf.DUMMYFUNCTION("""COMPUTED_VALUE"""),241.0)</f>
        <v>241</v>
      </c>
      <c r="C679" s="6">
        <f>IFERROR(__xludf.DUMMYFUNCTION("""COMPUTED_VALUE"""),243.25)</f>
        <v>243.25</v>
      </c>
      <c r="D679" s="6">
        <f>IFERROR(__xludf.DUMMYFUNCTION("""COMPUTED_VALUE"""),238.6)</f>
        <v>238.6</v>
      </c>
      <c r="E679" s="6">
        <f>IFERROR(__xludf.DUMMYFUNCTION("""COMPUTED_VALUE"""),238.95)</f>
        <v>238.95</v>
      </c>
      <c r="F679" s="7">
        <f>IFERROR(__xludf.DUMMYFUNCTION("""COMPUTED_VALUE"""),3577400.0)</f>
        <v>3577400</v>
      </c>
      <c r="G679" s="7" t="str">
        <f>IFERROR(__xludf.DUMMYFUNCTION("""COMPUTED_VALUE"""),"ONGC.NS")</f>
        <v>ONGC.NS</v>
      </c>
      <c r="H679" s="8">
        <f t="shared" si="1"/>
        <v>-0.008506224066</v>
      </c>
      <c r="I679" s="8">
        <f t="shared" si="2"/>
        <v>0.008506224066</v>
      </c>
      <c r="J679" s="7" t="str">
        <f t="shared" si="3"/>
        <v>Dec-2024</v>
      </c>
      <c r="K679" s="9">
        <f t="shared" si="4"/>
        <v>45627</v>
      </c>
      <c r="L679" s="7" t="str">
        <f t="shared" si="5"/>
        <v/>
      </c>
      <c r="M679" s="7" t="str">
        <f>IFERROR(__xludf.DUMMYFUNCTION("IFERROR(
  IF(
    F679 &gt;
    3*AVERAGE(
       FILTER($F$2:$F10491,
         $G$2:$G10491=G679,
         $A$2:$A10491&gt;=A679-20,
         $A$2:$A10491&lt;=A679
       )
    ),
    ""VOL_SPIKE_3X"",""""
  ),
"""")
"),"")</f>
        <v/>
      </c>
      <c r="N679" s="7" t="str">
        <f t="shared" si="6"/>
        <v/>
      </c>
      <c r="O679" s="7" t="str">
        <f t="shared" si="7"/>
        <v/>
      </c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>
        <f>IFERROR(__xludf.DUMMYFUNCTION("""COMPUTED_VALUE"""),45650.0)</f>
        <v>45650</v>
      </c>
      <c r="B680" s="6">
        <f>IFERROR(__xludf.DUMMYFUNCTION("""COMPUTED_VALUE"""),314.1)</f>
        <v>314.1</v>
      </c>
      <c r="C680" s="6">
        <f>IFERROR(__xludf.DUMMYFUNCTION("""COMPUTED_VALUE"""),316.65)</f>
        <v>316.65</v>
      </c>
      <c r="D680" s="6">
        <f>IFERROR(__xludf.DUMMYFUNCTION("""COMPUTED_VALUE"""),308.75)</f>
        <v>308.75</v>
      </c>
      <c r="E680" s="6">
        <f>IFERROR(__xludf.DUMMYFUNCTION("""COMPUTED_VALUE"""),310.1)</f>
        <v>310.1</v>
      </c>
      <c r="F680" s="7">
        <f>IFERROR(__xludf.DUMMYFUNCTION("""COMPUTED_VALUE"""),4833589.0)</f>
        <v>4833589</v>
      </c>
      <c r="G680" s="7" t="str">
        <f>IFERROR(__xludf.DUMMYFUNCTION("""COMPUTED_VALUE"""),"POWERGRID.NS")</f>
        <v>POWERGRID.NS</v>
      </c>
      <c r="H680" s="8">
        <f t="shared" si="1"/>
        <v>-0.01273479784</v>
      </c>
      <c r="I680" s="8">
        <f t="shared" si="2"/>
        <v>0.01273479784</v>
      </c>
      <c r="J680" s="7" t="str">
        <f t="shared" si="3"/>
        <v>Dec-2024</v>
      </c>
      <c r="K680" s="9">
        <f t="shared" si="4"/>
        <v>45627</v>
      </c>
      <c r="L680" s="7" t="str">
        <f t="shared" si="5"/>
        <v/>
      </c>
      <c r="M680" s="7" t="str">
        <f>IFERROR(__xludf.DUMMYFUNCTION("IFERROR(
  IF(
    F680 &gt;
    3*AVERAGE(
       FILTER($F$2:$F10491,
         $G$2:$G10491=G680,
         $A$2:$A10491&gt;=A680-20,
         $A$2:$A10491&lt;=A680
       )
    ),
    ""VOL_SPIKE_3X"",""""
  ),
"""")
"),"")</f>
        <v/>
      </c>
      <c r="N680" s="7" t="str">
        <f t="shared" si="6"/>
        <v/>
      </c>
      <c r="O680" s="7" t="str">
        <f t="shared" si="7"/>
        <v/>
      </c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>
        <f>IFERROR(__xludf.DUMMYFUNCTION("""COMPUTED_VALUE"""),45650.0)</f>
        <v>45650</v>
      </c>
      <c r="B681" s="6">
        <f>IFERROR(__xludf.DUMMYFUNCTION("""COMPUTED_VALUE"""),1222.3)</f>
        <v>1222.3</v>
      </c>
      <c r="C681" s="6">
        <f>IFERROR(__xludf.DUMMYFUNCTION("""COMPUTED_VALUE"""),1233.55)</f>
        <v>1233.55</v>
      </c>
      <c r="D681" s="6">
        <f>IFERROR(__xludf.DUMMYFUNCTION("""COMPUTED_VALUE"""),1221.0)</f>
        <v>1221</v>
      </c>
      <c r="E681" s="6">
        <f>IFERROR(__xludf.DUMMYFUNCTION("""COMPUTED_VALUE"""),1222.75)</f>
        <v>1222.75</v>
      </c>
      <c r="F681" s="7">
        <f>IFERROR(__xludf.DUMMYFUNCTION("""COMPUTED_VALUE"""),6734917.0)</f>
        <v>6734917</v>
      </c>
      <c r="G681" s="7" t="str">
        <f>IFERROR(__xludf.DUMMYFUNCTION("""COMPUTED_VALUE"""),"RELIANCE.NS")</f>
        <v>RELIANCE.NS</v>
      </c>
      <c r="H681" s="8">
        <f t="shared" si="1"/>
        <v>0.0003681583899</v>
      </c>
      <c r="I681" s="8">
        <f t="shared" si="2"/>
        <v>0.0003681583899</v>
      </c>
      <c r="J681" s="7" t="str">
        <f t="shared" si="3"/>
        <v>Dec-2024</v>
      </c>
      <c r="K681" s="9">
        <f t="shared" si="4"/>
        <v>45627</v>
      </c>
      <c r="L681" s="7" t="str">
        <f t="shared" si="5"/>
        <v/>
      </c>
      <c r="M681" s="7" t="str">
        <f>IFERROR(__xludf.DUMMYFUNCTION("IFERROR(
  IF(
    F681 &gt;
    3*AVERAGE(
       FILTER($F$2:$F10491,
         $G$2:$G10491=G681,
         $A$2:$A10491&gt;=A681-20,
         $A$2:$A10491&lt;=A681
       )
    ),
    ""VOL_SPIKE_3X"",""""
  ),
"""")
"),"")</f>
        <v/>
      </c>
      <c r="N681" s="7" t="str">
        <f t="shared" si="6"/>
        <v/>
      </c>
      <c r="O681" s="7" t="str">
        <f t="shared" si="7"/>
        <v/>
      </c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>
        <f>IFERROR(__xludf.DUMMYFUNCTION("""COMPUTED_VALUE"""),45652.0)</f>
        <v>45652</v>
      </c>
      <c r="B682" s="6">
        <f>IFERROR(__xludf.DUMMYFUNCTION("""COMPUTED_VALUE"""),773.1)</f>
        <v>773.1</v>
      </c>
      <c r="C682" s="6">
        <f>IFERROR(__xludf.DUMMYFUNCTION("""COMPUTED_VALUE"""),800.8)</f>
        <v>800.8</v>
      </c>
      <c r="D682" s="6">
        <f>IFERROR(__xludf.DUMMYFUNCTION("""COMPUTED_VALUE"""),769.0)</f>
        <v>769</v>
      </c>
      <c r="E682" s="6">
        <f>IFERROR(__xludf.DUMMYFUNCTION("""COMPUTED_VALUE"""),792.3)</f>
        <v>792.3</v>
      </c>
      <c r="F682" s="7">
        <f>IFERROR(__xludf.DUMMYFUNCTION("""COMPUTED_VALUE"""),1941859.0)</f>
        <v>1941859</v>
      </c>
      <c r="G682" s="7" t="str">
        <f>IFERROR(__xludf.DUMMYFUNCTION("""COMPUTED_VALUE"""),"ADANIENSOL.NS")</f>
        <v>ADANIENSOL.NS</v>
      </c>
      <c r="H682" s="8">
        <f t="shared" si="1"/>
        <v>0.02483507955</v>
      </c>
      <c r="I682" s="8">
        <f t="shared" si="2"/>
        <v>0.02483507955</v>
      </c>
      <c r="J682" s="7" t="str">
        <f t="shared" si="3"/>
        <v>Dec-2024</v>
      </c>
      <c r="K682" s="9">
        <f t="shared" si="4"/>
        <v>45627</v>
      </c>
      <c r="L682" s="7" t="str">
        <f t="shared" si="5"/>
        <v/>
      </c>
      <c r="M682" s="7" t="str">
        <f>IFERROR(__xludf.DUMMYFUNCTION("IFERROR(
  IF(
    F682 &gt;
    3*AVERAGE(
       FILTER($F$2:$F10491,
         $G$2:$G10491=G682,
         $A$2:$A10491&gt;=A682-20,
         $A$2:$A10491&lt;=A682
       )
    ),
    ""VOL_SPIKE_3X"",""""
  ),
"""")
"),"")</f>
        <v/>
      </c>
      <c r="N682" s="7" t="str">
        <f t="shared" si="6"/>
        <v/>
      </c>
      <c r="O682" s="7" t="str">
        <f t="shared" si="7"/>
        <v/>
      </c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>
        <f>IFERROR(__xludf.DUMMYFUNCTION("""COMPUTED_VALUE"""),45652.0)</f>
        <v>45652</v>
      </c>
      <c r="B683" s="6">
        <f>IFERROR(__xludf.DUMMYFUNCTION("""COMPUTED_VALUE"""),1030.25)</f>
        <v>1030.25</v>
      </c>
      <c r="C683" s="6">
        <f>IFERROR(__xludf.DUMMYFUNCTION("""COMPUTED_VALUE"""),1082.2)</f>
        <v>1082.2</v>
      </c>
      <c r="D683" s="6">
        <f>IFERROR(__xludf.DUMMYFUNCTION("""COMPUTED_VALUE"""),1023.0)</f>
        <v>1023</v>
      </c>
      <c r="E683" s="6">
        <f>IFERROR(__xludf.DUMMYFUNCTION("""COMPUTED_VALUE"""),1064.25)</f>
        <v>1064.25</v>
      </c>
      <c r="F683" s="7">
        <f>IFERROR(__xludf.DUMMYFUNCTION("""COMPUTED_VALUE"""),5614636.0)</f>
        <v>5614636</v>
      </c>
      <c r="G683" s="7" t="str">
        <f>IFERROR(__xludf.DUMMYFUNCTION("""COMPUTED_VALUE"""),"ADANIGREEN.NS")</f>
        <v>ADANIGREEN.NS</v>
      </c>
      <c r="H683" s="8">
        <f t="shared" si="1"/>
        <v>0.03300169862</v>
      </c>
      <c r="I683" s="8">
        <f t="shared" si="2"/>
        <v>0.03300169862</v>
      </c>
      <c r="J683" s="7" t="str">
        <f t="shared" si="3"/>
        <v>Dec-2024</v>
      </c>
      <c r="K683" s="9">
        <f t="shared" si="4"/>
        <v>45627</v>
      </c>
      <c r="L683" s="7" t="str">
        <f t="shared" si="5"/>
        <v/>
      </c>
      <c r="M683" s="7" t="str">
        <f>IFERROR(__xludf.DUMMYFUNCTION("IFERROR(
  IF(
    F683 &gt;
    3*AVERAGE(
       FILTER($F$2:$F10491,
         $G$2:$G10491=G683,
         $A$2:$A10491&gt;=A683-20,
         $A$2:$A10491&lt;=A683
       )
    ),
    ""VOL_SPIKE_3X"",""""
  ),
"""")
"),"")</f>
        <v/>
      </c>
      <c r="N683" s="7" t="str">
        <f t="shared" si="6"/>
        <v/>
      </c>
      <c r="O683" s="7" t="str">
        <f t="shared" si="7"/>
        <v/>
      </c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>
        <f>IFERROR(__xludf.DUMMYFUNCTION("""COMPUTED_VALUE"""),45652.0)</f>
        <v>45652</v>
      </c>
      <c r="B684" s="6">
        <f>IFERROR(__xludf.DUMMYFUNCTION("""COMPUTED_VALUE"""),294.85)</f>
        <v>294.85</v>
      </c>
      <c r="C684" s="6">
        <f>IFERROR(__xludf.DUMMYFUNCTION("""COMPUTED_VALUE"""),299.3)</f>
        <v>299.3</v>
      </c>
      <c r="D684" s="6">
        <f>IFERROR(__xludf.DUMMYFUNCTION("""COMPUTED_VALUE"""),292.55)</f>
        <v>292.55</v>
      </c>
      <c r="E684" s="6">
        <f>IFERROR(__xludf.DUMMYFUNCTION("""COMPUTED_VALUE"""),295.6)</f>
        <v>295.6</v>
      </c>
      <c r="F684" s="7">
        <f>IFERROR(__xludf.DUMMYFUNCTION("""COMPUTED_VALUE"""),1.1310555E7)</f>
        <v>11310555</v>
      </c>
      <c r="G684" s="7" t="str">
        <f>IFERROR(__xludf.DUMMYFUNCTION("""COMPUTED_VALUE"""),"BPCL.NS")</f>
        <v>BPCL.NS</v>
      </c>
      <c r="H684" s="8">
        <f t="shared" si="1"/>
        <v>0.002543666271</v>
      </c>
      <c r="I684" s="8">
        <f t="shared" si="2"/>
        <v>0.002543666271</v>
      </c>
      <c r="J684" s="7" t="str">
        <f t="shared" si="3"/>
        <v>Dec-2024</v>
      </c>
      <c r="K684" s="9">
        <f t="shared" si="4"/>
        <v>45627</v>
      </c>
      <c r="L684" s="7" t="str">
        <f t="shared" si="5"/>
        <v/>
      </c>
      <c r="M684" s="7" t="str">
        <f>IFERROR(__xludf.DUMMYFUNCTION("IFERROR(
  IF(
    F684 &gt;
    3*AVERAGE(
       FILTER($F$2:$F10491,
         $G$2:$G10491=G684,
         $A$2:$A10491&gt;=A684-20,
         $A$2:$A10491&lt;=A684
       )
    ),
    ""VOL_SPIKE_3X"",""""
  ),
"""")
"),"")</f>
        <v/>
      </c>
      <c r="N684" s="7" t="str">
        <f t="shared" si="6"/>
        <v/>
      </c>
      <c r="O684" s="7" t="str">
        <f t="shared" si="7"/>
        <v/>
      </c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>
        <f>IFERROR(__xludf.DUMMYFUNCTION("""COMPUTED_VALUE"""),45652.0)</f>
        <v>45652</v>
      </c>
      <c r="B685" s="6">
        <f>IFERROR(__xludf.DUMMYFUNCTION("""COMPUTED_VALUE"""),386.4)</f>
        <v>386.4</v>
      </c>
      <c r="C685" s="6">
        <f>IFERROR(__xludf.DUMMYFUNCTION("""COMPUTED_VALUE"""),390.3)</f>
        <v>390.3</v>
      </c>
      <c r="D685" s="6">
        <f>IFERROR(__xludf.DUMMYFUNCTION("""COMPUTED_VALUE"""),385.05)</f>
        <v>385.05</v>
      </c>
      <c r="E685" s="6">
        <f>IFERROR(__xludf.DUMMYFUNCTION("""COMPUTED_VALUE"""),386.6)</f>
        <v>386.6</v>
      </c>
      <c r="F685" s="7">
        <f>IFERROR(__xludf.DUMMYFUNCTION("""COMPUTED_VALUE"""),4190081.0)</f>
        <v>4190081</v>
      </c>
      <c r="G685" s="7" t="str">
        <f>IFERROR(__xludf.DUMMYFUNCTION("""COMPUTED_VALUE"""),"COALINDIA.NS")</f>
        <v>COALINDIA.NS</v>
      </c>
      <c r="H685" s="8">
        <f t="shared" si="1"/>
        <v>0.0005175983437</v>
      </c>
      <c r="I685" s="8">
        <f t="shared" si="2"/>
        <v>0.0005175983437</v>
      </c>
      <c r="J685" s="7" t="str">
        <f t="shared" si="3"/>
        <v>Dec-2024</v>
      </c>
      <c r="K685" s="9">
        <f t="shared" si="4"/>
        <v>45627</v>
      </c>
      <c r="L685" s="7" t="str">
        <f t="shared" si="5"/>
        <v/>
      </c>
      <c r="M685" s="7" t="str">
        <f>IFERROR(__xludf.DUMMYFUNCTION("IFERROR(
  IF(
    F685 &gt;
    3*AVERAGE(
       FILTER($F$2:$F10491,
         $G$2:$G10491=G685,
         $A$2:$A10491&gt;=A685-20,
         $A$2:$A10491&lt;=A685
       )
    ),
    ""VOL_SPIKE_3X"",""""
  ),
"""")
"),"")</f>
        <v/>
      </c>
      <c r="N685" s="7" t="str">
        <f t="shared" si="6"/>
        <v/>
      </c>
      <c r="O685" s="7" t="str">
        <f t="shared" si="7"/>
        <v/>
      </c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>
        <f>IFERROR(__xludf.DUMMYFUNCTION("""COMPUTED_VALUE"""),45652.0)</f>
        <v>45652</v>
      </c>
      <c r="B686" s="6">
        <f>IFERROR(__xludf.DUMMYFUNCTION("""COMPUTED_VALUE"""),412.85)</f>
        <v>412.85</v>
      </c>
      <c r="C686" s="6">
        <f>IFERROR(__xludf.DUMMYFUNCTION("""COMPUTED_VALUE"""),421.5)</f>
        <v>421.5</v>
      </c>
      <c r="D686" s="6">
        <f>IFERROR(__xludf.DUMMYFUNCTION("""COMPUTED_VALUE"""),408.8)</f>
        <v>408.8</v>
      </c>
      <c r="E686" s="6">
        <f>IFERROR(__xludf.DUMMYFUNCTION("""COMPUTED_VALUE"""),419.3)</f>
        <v>419.3</v>
      </c>
      <c r="F686" s="7">
        <f>IFERROR(__xludf.DUMMYFUNCTION("""COMPUTED_VALUE"""),6201557.0)</f>
        <v>6201557</v>
      </c>
      <c r="G686" s="7" t="str">
        <f>IFERROR(__xludf.DUMMYFUNCTION("""COMPUTED_VALUE"""),"HINDPETRO.NS")</f>
        <v>HINDPETRO.NS</v>
      </c>
      <c r="H686" s="8">
        <f t="shared" si="1"/>
        <v>0.01562310767</v>
      </c>
      <c r="I686" s="8">
        <f t="shared" si="2"/>
        <v>0.01562310767</v>
      </c>
      <c r="J686" s="7" t="str">
        <f t="shared" si="3"/>
        <v>Dec-2024</v>
      </c>
      <c r="K686" s="9">
        <f t="shared" si="4"/>
        <v>45627</v>
      </c>
      <c r="L686" s="7" t="str">
        <f t="shared" si="5"/>
        <v/>
      </c>
      <c r="M686" s="7" t="str">
        <f>IFERROR(__xludf.DUMMYFUNCTION("IFERROR(
  IF(
    F686 &gt;
    3*AVERAGE(
       FILTER($F$2:$F10491,
         $G$2:$G10491=G686,
         $A$2:$A10491&gt;=A686-20,
         $A$2:$A10491&lt;=A686
       )
    ),
    ""VOL_SPIKE_3X"",""""
  ),
"""")
"),"")</f>
        <v/>
      </c>
      <c r="N686" s="7" t="str">
        <f t="shared" si="6"/>
        <v/>
      </c>
      <c r="O686" s="7" t="str">
        <f t="shared" si="7"/>
        <v/>
      </c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>
        <f>IFERROR(__xludf.DUMMYFUNCTION("""COMPUTED_VALUE"""),45652.0)</f>
        <v>45652</v>
      </c>
      <c r="B687" s="6">
        <f>IFERROR(__xludf.DUMMYFUNCTION("""COMPUTED_VALUE"""),138.3)</f>
        <v>138.3</v>
      </c>
      <c r="C687" s="6">
        <f>IFERROR(__xludf.DUMMYFUNCTION("""COMPUTED_VALUE"""),139.62)</f>
        <v>139.62</v>
      </c>
      <c r="D687" s="6">
        <f>IFERROR(__xludf.DUMMYFUNCTION("""COMPUTED_VALUE"""),137.11)</f>
        <v>137.11</v>
      </c>
      <c r="E687" s="6">
        <f>IFERROR(__xludf.DUMMYFUNCTION("""COMPUTED_VALUE"""),137.85)</f>
        <v>137.85</v>
      </c>
      <c r="F687" s="7">
        <f>IFERROR(__xludf.DUMMYFUNCTION("""COMPUTED_VALUE"""),8620779.0)</f>
        <v>8620779</v>
      </c>
      <c r="G687" s="7" t="str">
        <f>IFERROR(__xludf.DUMMYFUNCTION("""COMPUTED_VALUE"""),"IOC.NS")</f>
        <v>IOC.NS</v>
      </c>
      <c r="H687" s="8">
        <f t="shared" si="1"/>
        <v>-0.003253796095</v>
      </c>
      <c r="I687" s="8">
        <f t="shared" si="2"/>
        <v>0.003253796095</v>
      </c>
      <c r="J687" s="7" t="str">
        <f t="shared" si="3"/>
        <v>Dec-2024</v>
      </c>
      <c r="K687" s="9">
        <f t="shared" si="4"/>
        <v>45627</v>
      </c>
      <c r="L687" s="7" t="str">
        <f t="shared" si="5"/>
        <v/>
      </c>
      <c r="M687" s="7" t="str">
        <f>IFERROR(__xludf.DUMMYFUNCTION("IFERROR(
  IF(
    F687 &gt;
    3*AVERAGE(
       FILTER($F$2:$F10491,
         $G$2:$G10491=G687,
         $A$2:$A10491&gt;=A687-20,
         $A$2:$A10491&lt;=A687
       )
    ),
    ""VOL_SPIKE_3X"",""""
  ),
"""")
"),"")</f>
        <v/>
      </c>
      <c r="N687" s="7" t="str">
        <f t="shared" si="6"/>
        <v/>
      </c>
      <c r="O687" s="7" t="str">
        <f t="shared" si="7"/>
        <v/>
      </c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>
        <f>IFERROR(__xludf.DUMMYFUNCTION("""COMPUTED_VALUE"""),45652.0)</f>
        <v>45652</v>
      </c>
      <c r="B688" s="6">
        <f>IFERROR(__xludf.DUMMYFUNCTION("""COMPUTED_VALUE"""),335.3)</f>
        <v>335.3</v>
      </c>
      <c r="C688" s="6">
        <f>IFERROR(__xludf.DUMMYFUNCTION("""COMPUTED_VALUE"""),337.4)</f>
        <v>337.4</v>
      </c>
      <c r="D688" s="6">
        <f>IFERROR(__xludf.DUMMYFUNCTION("""COMPUTED_VALUE"""),332.25)</f>
        <v>332.25</v>
      </c>
      <c r="E688" s="6">
        <f>IFERROR(__xludf.DUMMYFUNCTION("""COMPUTED_VALUE"""),334.65)</f>
        <v>334.65</v>
      </c>
      <c r="F688" s="7">
        <f>IFERROR(__xludf.DUMMYFUNCTION("""COMPUTED_VALUE"""),9030212.0)</f>
        <v>9030212</v>
      </c>
      <c r="G688" s="7" t="str">
        <f>IFERROR(__xludf.DUMMYFUNCTION("""COMPUTED_VALUE"""),"NTPC.NS")</f>
        <v>NTPC.NS</v>
      </c>
      <c r="H688" s="8">
        <f t="shared" si="1"/>
        <v>-0.001938562481</v>
      </c>
      <c r="I688" s="8">
        <f t="shared" si="2"/>
        <v>0.001938562481</v>
      </c>
      <c r="J688" s="7" t="str">
        <f t="shared" si="3"/>
        <v>Dec-2024</v>
      </c>
      <c r="K688" s="9">
        <f t="shared" si="4"/>
        <v>45627</v>
      </c>
      <c r="L688" s="7" t="str">
        <f t="shared" si="5"/>
        <v/>
      </c>
      <c r="M688" s="7" t="str">
        <f>IFERROR(__xludf.DUMMYFUNCTION("IFERROR(
  IF(
    F688 &gt;
    3*AVERAGE(
       FILTER($F$2:$F10491,
         $G$2:$G10491=G688,
         $A$2:$A10491&gt;=A688-20,
         $A$2:$A10491&lt;=A688
       )
    ),
    ""VOL_SPIKE_3X"",""""
  ),
"""")
"),"")</f>
        <v/>
      </c>
      <c r="N688" s="7" t="str">
        <f t="shared" si="6"/>
        <v/>
      </c>
      <c r="O688" s="7" t="str">
        <f t="shared" si="7"/>
        <v/>
      </c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>
        <f>IFERROR(__xludf.DUMMYFUNCTION("""COMPUTED_VALUE"""),45652.0)</f>
        <v>45652</v>
      </c>
      <c r="B689" s="6">
        <f>IFERROR(__xludf.DUMMYFUNCTION("""COMPUTED_VALUE"""),240.0)</f>
        <v>240</v>
      </c>
      <c r="C689" s="6">
        <f>IFERROR(__xludf.DUMMYFUNCTION("""COMPUTED_VALUE"""),242.0)</f>
        <v>242</v>
      </c>
      <c r="D689" s="6">
        <f>IFERROR(__xludf.DUMMYFUNCTION("""COMPUTED_VALUE"""),239.0)</f>
        <v>239</v>
      </c>
      <c r="E689" s="6">
        <f>IFERROR(__xludf.DUMMYFUNCTION("""COMPUTED_VALUE"""),240.25)</f>
        <v>240.25</v>
      </c>
      <c r="F689" s="7">
        <f>IFERROR(__xludf.DUMMYFUNCTION("""COMPUTED_VALUE"""),6330006.0)</f>
        <v>6330006</v>
      </c>
      <c r="G689" s="7" t="str">
        <f>IFERROR(__xludf.DUMMYFUNCTION("""COMPUTED_VALUE"""),"ONGC.NS")</f>
        <v>ONGC.NS</v>
      </c>
      <c r="H689" s="8">
        <f t="shared" si="1"/>
        <v>0.001041666667</v>
      </c>
      <c r="I689" s="8">
        <f t="shared" si="2"/>
        <v>0.001041666667</v>
      </c>
      <c r="J689" s="7" t="str">
        <f t="shared" si="3"/>
        <v>Dec-2024</v>
      </c>
      <c r="K689" s="9">
        <f t="shared" si="4"/>
        <v>45627</v>
      </c>
      <c r="L689" s="7" t="str">
        <f t="shared" si="5"/>
        <v/>
      </c>
      <c r="M689" s="7" t="str">
        <f>IFERROR(__xludf.DUMMYFUNCTION("IFERROR(
  IF(
    F689 &gt;
    3*AVERAGE(
       FILTER($F$2:$F10491,
         $G$2:$G10491=G689,
         $A$2:$A10491&gt;=A689-20,
         $A$2:$A10491&lt;=A689
       )
    ),
    ""VOL_SPIKE_3X"",""""
  ),
"""")
"),"")</f>
        <v/>
      </c>
      <c r="N689" s="7" t="str">
        <f t="shared" si="6"/>
        <v/>
      </c>
      <c r="O689" s="7" t="str">
        <f t="shared" si="7"/>
        <v/>
      </c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>
        <f>IFERROR(__xludf.DUMMYFUNCTION("""COMPUTED_VALUE"""),45652.0)</f>
        <v>45652</v>
      </c>
      <c r="B690" s="6">
        <f>IFERROR(__xludf.DUMMYFUNCTION("""COMPUTED_VALUE"""),310.1)</f>
        <v>310.1</v>
      </c>
      <c r="C690" s="6">
        <f>IFERROR(__xludf.DUMMYFUNCTION("""COMPUTED_VALUE"""),313.1)</f>
        <v>313.1</v>
      </c>
      <c r="D690" s="6">
        <f>IFERROR(__xludf.DUMMYFUNCTION("""COMPUTED_VALUE"""),308.75)</f>
        <v>308.75</v>
      </c>
      <c r="E690" s="6">
        <f>IFERROR(__xludf.DUMMYFUNCTION("""COMPUTED_VALUE"""),310.3)</f>
        <v>310.3</v>
      </c>
      <c r="F690" s="7">
        <f>IFERROR(__xludf.DUMMYFUNCTION("""COMPUTED_VALUE"""),3775101.0)</f>
        <v>3775101</v>
      </c>
      <c r="G690" s="7" t="str">
        <f>IFERROR(__xludf.DUMMYFUNCTION("""COMPUTED_VALUE"""),"POWERGRID.NS")</f>
        <v>POWERGRID.NS</v>
      </c>
      <c r="H690" s="8">
        <f t="shared" si="1"/>
        <v>0.0006449532409</v>
      </c>
      <c r="I690" s="8">
        <f t="shared" si="2"/>
        <v>0.0006449532409</v>
      </c>
      <c r="J690" s="7" t="str">
        <f t="shared" si="3"/>
        <v>Dec-2024</v>
      </c>
      <c r="K690" s="9">
        <f t="shared" si="4"/>
        <v>45627</v>
      </c>
      <c r="L690" s="7" t="str">
        <f t="shared" si="5"/>
        <v/>
      </c>
      <c r="M690" s="7" t="str">
        <f>IFERROR(__xludf.DUMMYFUNCTION("IFERROR(
  IF(
    F690 &gt;
    3*AVERAGE(
       FILTER($F$2:$F10491,
         $G$2:$G10491=G690,
         $A$2:$A10491&gt;=A690-20,
         $A$2:$A10491&lt;=A690
       )
    ),
    ""VOL_SPIKE_3X"",""""
  ),
"""")
"),"")</f>
        <v/>
      </c>
      <c r="N690" s="7" t="str">
        <f t="shared" si="6"/>
        <v/>
      </c>
      <c r="O690" s="7" t="str">
        <f t="shared" si="7"/>
        <v/>
      </c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>
        <f>IFERROR(__xludf.DUMMYFUNCTION("""COMPUTED_VALUE"""),45652.0)</f>
        <v>45652</v>
      </c>
      <c r="B691" s="6">
        <f>IFERROR(__xludf.DUMMYFUNCTION("""COMPUTED_VALUE"""),1224.25)</f>
        <v>1224.25</v>
      </c>
      <c r="C691" s="6">
        <f>IFERROR(__xludf.DUMMYFUNCTION("""COMPUTED_VALUE"""),1227.7)</f>
        <v>1227.7</v>
      </c>
      <c r="D691" s="6">
        <f>IFERROR(__xludf.DUMMYFUNCTION("""COMPUTED_VALUE"""),1214.25)</f>
        <v>1214.25</v>
      </c>
      <c r="E691" s="6">
        <f>IFERROR(__xludf.DUMMYFUNCTION("""COMPUTED_VALUE"""),1216.55)</f>
        <v>1216.55</v>
      </c>
      <c r="F691" s="7">
        <f>IFERROR(__xludf.DUMMYFUNCTION("""COMPUTED_VALUE"""),1.0016178E7)</f>
        <v>10016178</v>
      </c>
      <c r="G691" s="7" t="str">
        <f>IFERROR(__xludf.DUMMYFUNCTION("""COMPUTED_VALUE"""),"RELIANCE.NS")</f>
        <v>RELIANCE.NS</v>
      </c>
      <c r="H691" s="8">
        <f t="shared" si="1"/>
        <v>-0.00628956504</v>
      </c>
      <c r="I691" s="8">
        <f t="shared" si="2"/>
        <v>0.00628956504</v>
      </c>
      <c r="J691" s="7" t="str">
        <f t="shared" si="3"/>
        <v>Dec-2024</v>
      </c>
      <c r="K691" s="9">
        <f t="shared" si="4"/>
        <v>45627</v>
      </c>
      <c r="L691" s="7" t="str">
        <f t="shared" si="5"/>
        <v/>
      </c>
      <c r="M691" s="7" t="str">
        <f>IFERROR(__xludf.DUMMYFUNCTION("IFERROR(
  IF(
    F691 &gt;
    3*AVERAGE(
       FILTER($F$2:$F10491,
         $G$2:$G10491=G691,
         $A$2:$A10491&gt;=A691-20,
         $A$2:$A10491&lt;=A691
       )
    ),
    ""VOL_SPIKE_3X"",""""
  ),
"""")
"),"")</f>
        <v/>
      </c>
      <c r="N691" s="7" t="str">
        <f t="shared" si="6"/>
        <v/>
      </c>
      <c r="O691" s="7" t="str">
        <f t="shared" si="7"/>
        <v/>
      </c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>
        <f>IFERROR(__xludf.DUMMYFUNCTION("""COMPUTED_VALUE"""),45653.0)</f>
        <v>45653</v>
      </c>
      <c r="B692" s="6">
        <f>IFERROR(__xludf.DUMMYFUNCTION("""COMPUTED_VALUE"""),798.95)</f>
        <v>798.95</v>
      </c>
      <c r="C692" s="6">
        <f>IFERROR(__xludf.DUMMYFUNCTION("""COMPUTED_VALUE"""),814.95)</f>
        <v>814.95</v>
      </c>
      <c r="D692" s="6">
        <f>IFERROR(__xludf.DUMMYFUNCTION("""COMPUTED_VALUE"""),791.0)</f>
        <v>791</v>
      </c>
      <c r="E692" s="6">
        <f>IFERROR(__xludf.DUMMYFUNCTION("""COMPUTED_VALUE"""),805.95)</f>
        <v>805.95</v>
      </c>
      <c r="F692" s="7">
        <f>IFERROR(__xludf.DUMMYFUNCTION("""COMPUTED_VALUE"""),1699411.0)</f>
        <v>1699411</v>
      </c>
      <c r="G692" s="7" t="str">
        <f>IFERROR(__xludf.DUMMYFUNCTION("""COMPUTED_VALUE"""),"ADANIENSOL.NS")</f>
        <v>ADANIENSOL.NS</v>
      </c>
      <c r="H692" s="8">
        <f t="shared" si="1"/>
        <v>0.008761499468</v>
      </c>
      <c r="I692" s="8">
        <f t="shared" si="2"/>
        <v>0.008761499468</v>
      </c>
      <c r="J692" s="7" t="str">
        <f t="shared" si="3"/>
        <v>Dec-2024</v>
      </c>
      <c r="K692" s="9">
        <f t="shared" si="4"/>
        <v>45627</v>
      </c>
      <c r="L692" s="7" t="str">
        <f t="shared" si="5"/>
        <v/>
      </c>
      <c r="M692" s="7" t="str">
        <f>IFERROR(__xludf.DUMMYFUNCTION("IFERROR(
  IF(
    F692 &gt;
    3*AVERAGE(
       FILTER($F$2:$F10491,
         $G$2:$G10491=G692,
         $A$2:$A10491&gt;=A692-20,
         $A$2:$A10491&lt;=A692
       )
    ),
    ""VOL_SPIKE_3X"",""""
  ),
"""")
"),"")</f>
        <v/>
      </c>
      <c r="N692" s="7" t="str">
        <f t="shared" si="6"/>
        <v/>
      </c>
      <c r="O692" s="7" t="str">
        <f t="shared" si="7"/>
        <v/>
      </c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>
        <f>IFERROR(__xludf.DUMMYFUNCTION("""COMPUTED_VALUE"""),45653.0)</f>
        <v>45653</v>
      </c>
      <c r="B693" s="6">
        <f>IFERROR(__xludf.DUMMYFUNCTION("""COMPUTED_VALUE"""),1065.0)</f>
        <v>1065</v>
      </c>
      <c r="C693" s="6">
        <f>IFERROR(__xludf.DUMMYFUNCTION("""COMPUTED_VALUE"""),1076.65)</f>
        <v>1076.65</v>
      </c>
      <c r="D693" s="6">
        <f>IFERROR(__xludf.DUMMYFUNCTION("""COMPUTED_VALUE"""),1044.25)</f>
        <v>1044.25</v>
      </c>
      <c r="E693" s="6">
        <f>IFERROR(__xludf.DUMMYFUNCTION("""COMPUTED_VALUE"""),1054.0)</f>
        <v>1054</v>
      </c>
      <c r="F693" s="7">
        <f>IFERROR(__xludf.DUMMYFUNCTION("""COMPUTED_VALUE"""),2871766.0)</f>
        <v>2871766</v>
      </c>
      <c r="G693" s="7" t="str">
        <f>IFERROR(__xludf.DUMMYFUNCTION("""COMPUTED_VALUE"""),"ADANIGREEN.NS")</f>
        <v>ADANIGREEN.NS</v>
      </c>
      <c r="H693" s="8">
        <f t="shared" si="1"/>
        <v>-0.0103286385</v>
      </c>
      <c r="I693" s="8">
        <f t="shared" si="2"/>
        <v>0.0103286385</v>
      </c>
      <c r="J693" s="7" t="str">
        <f t="shared" si="3"/>
        <v>Dec-2024</v>
      </c>
      <c r="K693" s="9">
        <f t="shared" si="4"/>
        <v>45627</v>
      </c>
      <c r="L693" s="7" t="str">
        <f t="shared" si="5"/>
        <v/>
      </c>
      <c r="M693" s="7" t="str">
        <f>IFERROR(__xludf.DUMMYFUNCTION("IFERROR(
  IF(
    F693 &gt;
    3*AVERAGE(
       FILTER($F$2:$F10491,
         $G$2:$G10491=G693,
         $A$2:$A10491&gt;=A693-20,
         $A$2:$A10491&lt;=A693
       )
    ),
    ""VOL_SPIKE_3X"",""""
  ),
"""")
"),"")</f>
        <v/>
      </c>
      <c r="N693" s="7" t="str">
        <f t="shared" si="6"/>
        <v/>
      </c>
      <c r="O693" s="7" t="str">
        <f t="shared" si="7"/>
        <v/>
      </c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>
        <f>IFERROR(__xludf.DUMMYFUNCTION("""COMPUTED_VALUE"""),45653.0)</f>
        <v>45653</v>
      </c>
      <c r="B694" s="6">
        <f>IFERROR(__xludf.DUMMYFUNCTION("""COMPUTED_VALUE"""),295.05)</f>
        <v>295.05</v>
      </c>
      <c r="C694" s="6">
        <f>IFERROR(__xludf.DUMMYFUNCTION("""COMPUTED_VALUE"""),297.4)</f>
        <v>297.4</v>
      </c>
      <c r="D694" s="6">
        <f>IFERROR(__xludf.DUMMYFUNCTION("""COMPUTED_VALUE"""),292.5)</f>
        <v>292.5</v>
      </c>
      <c r="E694" s="6">
        <f>IFERROR(__xludf.DUMMYFUNCTION("""COMPUTED_VALUE"""),293.55)</f>
        <v>293.55</v>
      </c>
      <c r="F694" s="7">
        <f>IFERROR(__xludf.DUMMYFUNCTION("""COMPUTED_VALUE"""),3708404.0)</f>
        <v>3708404</v>
      </c>
      <c r="G694" s="7" t="str">
        <f>IFERROR(__xludf.DUMMYFUNCTION("""COMPUTED_VALUE"""),"BPCL.NS")</f>
        <v>BPCL.NS</v>
      </c>
      <c r="H694" s="8">
        <f t="shared" si="1"/>
        <v>-0.005083884087</v>
      </c>
      <c r="I694" s="8">
        <f t="shared" si="2"/>
        <v>0.005083884087</v>
      </c>
      <c r="J694" s="7" t="str">
        <f t="shared" si="3"/>
        <v>Dec-2024</v>
      </c>
      <c r="K694" s="9">
        <f t="shared" si="4"/>
        <v>45627</v>
      </c>
      <c r="L694" s="7" t="str">
        <f t="shared" si="5"/>
        <v/>
      </c>
      <c r="M694" s="7" t="str">
        <f>IFERROR(__xludf.DUMMYFUNCTION("IFERROR(
  IF(
    F694 &gt;
    3*AVERAGE(
       FILTER($F$2:$F10491,
         $G$2:$G10491=G694,
         $A$2:$A10491&gt;=A694-20,
         $A$2:$A10491&lt;=A694
       )
    ),
    ""VOL_SPIKE_3X"",""""
  ),
"""")
"),"")</f>
        <v/>
      </c>
      <c r="N694" s="7" t="str">
        <f t="shared" si="6"/>
        <v/>
      </c>
      <c r="O694" s="7" t="str">
        <f t="shared" si="7"/>
        <v/>
      </c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>
        <f>IFERROR(__xludf.DUMMYFUNCTION("""COMPUTED_VALUE"""),45653.0)</f>
        <v>45653</v>
      </c>
      <c r="B695" s="6">
        <f>IFERROR(__xludf.DUMMYFUNCTION("""COMPUTED_VALUE"""),387.5)</f>
        <v>387.5</v>
      </c>
      <c r="C695" s="6">
        <f>IFERROR(__xludf.DUMMYFUNCTION("""COMPUTED_VALUE"""),388.45)</f>
        <v>388.45</v>
      </c>
      <c r="D695" s="6">
        <f>IFERROR(__xludf.DUMMYFUNCTION("""COMPUTED_VALUE"""),379.55)</f>
        <v>379.55</v>
      </c>
      <c r="E695" s="6">
        <f>IFERROR(__xludf.DUMMYFUNCTION("""COMPUTED_VALUE"""),380.5)</f>
        <v>380.5</v>
      </c>
      <c r="F695" s="7">
        <f>IFERROR(__xludf.DUMMYFUNCTION("""COMPUTED_VALUE"""),5909271.0)</f>
        <v>5909271</v>
      </c>
      <c r="G695" s="7" t="str">
        <f>IFERROR(__xludf.DUMMYFUNCTION("""COMPUTED_VALUE"""),"COALINDIA.NS")</f>
        <v>COALINDIA.NS</v>
      </c>
      <c r="H695" s="8">
        <f t="shared" si="1"/>
        <v>-0.01806451613</v>
      </c>
      <c r="I695" s="8">
        <f t="shared" si="2"/>
        <v>0.01806451613</v>
      </c>
      <c r="J695" s="7" t="str">
        <f t="shared" si="3"/>
        <v>Dec-2024</v>
      </c>
      <c r="K695" s="9">
        <f t="shared" si="4"/>
        <v>45627</v>
      </c>
      <c r="L695" s="7" t="str">
        <f t="shared" si="5"/>
        <v/>
      </c>
      <c r="M695" s="7" t="str">
        <f>IFERROR(__xludf.DUMMYFUNCTION("IFERROR(
  IF(
    F695 &gt;
    3*AVERAGE(
       FILTER($F$2:$F10491,
         $G$2:$G10491=G695,
         $A$2:$A10491&gt;=A695-20,
         $A$2:$A10491&lt;=A695
       )
    ),
    ""VOL_SPIKE_3X"",""""
  ),
"""")
"),"")</f>
        <v/>
      </c>
      <c r="N695" s="7" t="str">
        <f t="shared" si="6"/>
        <v/>
      </c>
      <c r="O695" s="7" t="str">
        <f t="shared" si="7"/>
        <v/>
      </c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>
        <f>IFERROR(__xludf.DUMMYFUNCTION("""COMPUTED_VALUE"""),45653.0)</f>
        <v>45653</v>
      </c>
      <c r="B696" s="6">
        <f>IFERROR(__xludf.DUMMYFUNCTION("""COMPUTED_VALUE"""),420.4)</f>
        <v>420.4</v>
      </c>
      <c r="C696" s="6">
        <f>IFERROR(__xludf.DUMMYFUNCTION("""COMPUTED_VALUE"""),420.4)</f>
        <v>420.4</v>
      </c>
      <c r="D696" s="6">
        <f>IFERROR(__xludf.DUMMYFUNCTION("""COMPUTED_VALUE"""),409.1)</f>
        <v>409.1</v>
      </c>
      <c r="E696" s="6">
        <f>IFERROR(__xludf.DUMMYFUNCTION("""COMPUTED_VALUE"""),410.7)</f>
        <v>410.7</v>
      </c>
      <c r="F696" s="7">
        <f>IFERROR(__xludf.DUMMYFUNCTION("""COMPUTED_VALUE"""),3440755.0)</f>
        <v>3440755</v>
      </c>
      <c r="G696" s="7" t="str">
        <f>IFERROR(__xludf.DUMMYFUNCTION("""COMPUTED_VALUE"""),"HINDPETRO.NS")</f>
        <v>HINDPETRO.NS</v>
      </c>
      <c r="H696" s="8">
        <f t="shared" si="1"/>
        <v>-0.02307326356</v>
      </c>
      <c r="I696" s="8">
        <f t="shared" si="2"/>
        <v>0.02307326356</v>
      </c>
      <c r="J696" s="7" t="str">
        <f t="shared" si="3"/>
        <v>Dec-2024</v>
      </c>
      <c r="K696" s="9">
        <f t="shared" si="4"/>
        <v>45627</v>
      </c>
      <c r="L696" s="7" t="str">
        <f t="shared" si="5"/>
        <v/>
      </c>
      <c r="M696" s="7" t="str">
        <f>IFERROR(__xludf.DUMMYFUNCTION("IFERROR(
  IF(
    F696 &gt;
    3*AVERAGE(
       FILTER($F$2:$F10491,
         $G$2:$G10491=G696,
         $A$2:$A10491&gt;=A696-20,
         $A$2:$A10491&lt;=A696
       )
    ),
    ""VOL_SPIKE_3X"",""""
  ),
"""")
"),"")</f>
        <v/>
      </c>
      <c r="N696" s="7" t="str">
        <f t="shared" si="6"/>
        <v/>
      </c>
      <c r="O696" s="7" t="str">
        <f t="shared" si="7"/>
        <v/>
      </c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>
        <f>IFERROR(__xludf.DUMMYFUNCTION("""COMPUTED_VALUE"""),45653.0)</f>
        <v>45653</v>
      </c>
      <c r="B697" s="6">
        <f>IFERROR(__xludf.DUMMYFUNCTION("""COMPUTED_VALUE"""),138.05)</f>
        <v>138.05</v>
      </c>
      <c r="C697" s="6">
        <f>IFERROR(__xludf.DUMMYFUNCTION("""COMPUTED_VALUE"""),138.79)</f>
        <v>138.79</v>
      </c>
      <c r="D697" s="6">
        <f>IFERROR(__xludf.DUMMYFUNCTION("""COMPUTED_VALUE"""),136.1)</f>
        <v>136.1</v>
      </c>
      <c r="E697" s="6">
        <f>IFERROR(__xludf.DUMMYFUNCTION("""COMPUTED_VALUE"""),136.25)</f>
        <v>136.25</v>
      </c>
      <c r="F697" s="7">
        <f>IFERROR(__xludf.DUMMYFUNCTION("""COMPUTED_VALUE"""),6146307.0)</f>
        <v>6146307</v>
      </c>
      <c r="G697" s="7" t="str">
        <f>IFERROR(__xludf.DUMMYFUNCTION("""COMPUTED_VALUE"""),"IOC.NS")</f>
        <v>IOC.NS</v>
      </c>
      <c r="H697" s="8">
        <f t="shared" si="1"/>
        <v>-0.01303875407</v>
      </c>
      <c r="I697" s="8">
        <f t="shared" si="2"/>
        <v>0.01303875407</v>
      </c>
      <c r="J697" s="7" t="str">
        <f t="shared" si="3"/>
        <v>Dec-2024</v>
      </c>
      <c r="K697" s="9">
        <f t="shared" si="4"/>
        <v>45627</v>
      </c>
      <c r="L697" s="7" t="str">
        <f t="shared" si="5"/>
        <v/>
      </c>
      <c r="M697" s="7" t="str">
        <f>IFERROR(__xludf.DUMMYFUNCTION("IFERROR(
  IF(
    F697 &gt;
    3*AVERAGE(
       FILTER($F$2:$F10491,
         $G$2:$G10491=G697,
         $A$2:$A10491&gt;=A697-20,
         $A$2:$A10491&lt;=A697
       )
    ),
    ""VOL_SPIKE_3X"",""""
  ),
"""")
"),"")</f>
        <v/>
      </c>
      <c r="N697" s="7" t="str">
        <f t="shared" si="6"/>
        <v/>
      </c>
      <c r="O697" s="7" t="str">
        <f t="shared" si="7"/>
        <v/>
      </c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>
        <f>IFERROR(__xludf.DUMMYFUNCTION("""COMPUTED_VALUE"""),45653.0)</f>
        <v>45653</v>
      </c>
      <c r="B698" s="6">
        <f>IFERROR(__xludf.DUMMYFUNCTION("""COMPUTED_VALUE"""),336.65)</f>
        <v>336.65</v>
      </c>
      <c r="C698" s="6">
        <f>IFERROR(__xludf.DUMMYFUNCTION("""COMPUTED_VALUE"""),340.0)</f>
        <v>340</v>
      </c>
      <c r="D698" s="6">
        <f>IFERROR(__xludf.DUMMYFUNCTION("""COMPUTED_VALUE"""),334.2)</f>
        <v>334.2</v>
      </c>
      <c r="E698" s="6">
        <f>IFERROR(__xludf.DUMMYFUNCTION("""COMPUTED_VALUE"""),335.0)</f>
        <v>335</v>
      </c>
      <c r="F698" s="7">
        <f>IFERROR(__xludf.DUMMYFUNCTION("""COMPUTED_VALUE"""),9090597.0)</f>
        <v>9090597</v>
      </c>
      <c r="G698" s="7" t="str">
        <f>IFERROR(__xludf.DUMMYFUNCTION("""COMPUTED_VALUE"""),"NTPC.NS")</f>
        <v>NTPC.NS</v>
      </c>
      <c r="H698" s="8">
        <f t="shared" si="1"/>
        <v>-0.004901232734</v>
      </c>
      <c r="I698" s="8">
        <f t="shared" si="2"/>
        <v>0.004901232734</v>
      </c>
      <c r="J698" s="7" t="str">
        <f t="shared" si="3"/>
        <v>Dec-2024</v>
      </c>
      <c r="K698" s="9">
        <f t="shared" si="4"/>
        <v>45627</v>
      </c>
      <c r="L698" s="7" t="str">
        <f t="shared" si="5"/>
        <v/>
      </c>
      <c r="M698" s="7" t="str">
        <f>IFERROR(__xludf.DUMMYFUNCTION("IFERROR(
  IF(
    F698 &gt;
    3*AVERAGE(
       FILTER($F$2:$F10491,
         $G$2:$G10491=G698,
         $A$2:$A10491&gt;=A698-20,
         $A$2:$A10491&lt;=A698
       )
    ),
    ""VOL_SPIKE_3X"",""""
  ),
"""")
"),"")</f>
        <v/>
      </c>
      <c r="N698" s="7" t="str">
        <f t="shared" si="6"/>
        <v/>
      </c>
      <c r="O698" s="7" t="str">
        <f t="shared" si="7"/>
        <v/>
      </c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>
        <f>IFERROR(__xludf.DUMMYFUNCTION("""COMPUTED_VALUE"""),45653.0)</f>
        <v>45653</v>
      </c>
      <c r="B699" s="6">
        <f>IFERROR(__xludf.DUMMYFUNCTION("""COMPUTED_VALUE"""),240.0)</f>
        <v>240</v>
      </c>
      <c r="C699" s="6">
        <f>IFERROR(__xludf.DUMMYFUNCTION("""COMPUTED_VALUE"""),241.0)</f>
        <v>241</v>
      </c>
      <c r="D699" s="6">
        <f>IFERROR(__xludf.DUMMYFUNCTION("""COMPUTED_VALUE"""),236.3)</f>
        <v>236.3</v>
      </c>
      <c r="E699" s="6">
        <f>IFERROR(__xludf.DUMMYFUNCTION("""COMPUTED_VALUE"""),236.9)</f>
        <v>236.9</v>
      </c>
      <c r="F699" s="7">
        <f>IFERROR(__xludf.DUMMYFUNCTION("""COMPUTED_VALUE"""),6487888.0)</f>
        <v>6487888</v>
      </c>
      <c r="G699" s="7" t="str">
        <f>IFERROR(__xludf.DUMMYFUNCTION("""COMPUTED_VALUE"""),"ONGC.NS")</f>
        <v>ONGC.NS</v>
      </c>
      <c r="H699" s="8">
        <f t="shared" si="1"/>
        <v>-0.01291666667</v>
      </c>
      <c r="I699" s="8">
        <f t="shared" si="2"/>
        <v>0.01291666667</v>
      </c>
      <c r="J699" s="7" t="str">
        <f t="shared" si="3"/>
        <v>Dec-2024</v>
      </c>
      <c r="K699" s="9">
        <f t="shared" si="4"/>
        <v>45627</v>
      </c>
      <c r="L699" s="7" t="str">
        <f t="shared" si="5"/>
        <v/>
      </c>
      <c r="M699" s="7" t="str">
        <f>IFERROR(__xludf.DUMMYFUNCTION("IFERROR(
  IF(
    F699 &gt;
    3*AVERAGE(
       FILTER($F$2:$F10491,
         $G$2:$G10491=G699,
         $A$2:$A10491&gt;=A699-20,
         $A$2:$A10491&lt;=A699
       )
    ),
    ""VOL_SPIKE_3X"",""""
  ),
"""")
"),"")</f>
        <v/>
      </c>
      <c r="N699" s="7" t="str">
        <f t="shared" si="6"/>
        <v/>
      </c>
      <c r="O699" s="7" t="str">
        <f t="shared" si="7"/>
        <v/>
      </c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>
        <f>IFERROR(__xludf.DUMMYFUNCTION("""COMPUTED_VALUE"""),45653.0)</f>
        <v>45653</v>
      </c>
      <c r="B700" s="6">
        <f>IFERROR(__xludf.DUMMYFUNCTION("""COMPUTED_VALUE"""),310.75)</f>
        <v>310.75</v>
      </c>
      <c r="C700" s="6">
        <f>IFERROR(__xludf.DUMMYFUNCTION("""COMPUTED_VALUE"""),312.3)</f>
        <v>312.3</v>
      </c>
      <c r="D700" s="6">
        <f>IFERROR(__xludf.DUMMYFUNCTION("""COMPUTED_VALUE"""),308.8)</f>
        <v>308.8</v>
      </c>
      <c r="E700" s="6">
        <f>IFERROR(__xludf.DUMMYFUNCTION("""COMPUTED_VALUE"""),309.4)</f>
        <v>309.4</v>
      </c>
      <c r="F700" s="7">
        <f>IFERROR(__xludf.DUMMYFUNCTION("""COMPUTED_VALUE"""),3981693.0)</f>
        <v>3981693</v>
      </c>
      <c r="G700" s="7" t="str">
        <f>IFERROR(__xludf.DUMMYFUNCTION("""COMPUTED_VALUE"""),"POWERGRID.NS")</f>
        <v>POWERGRID.NS</v>
      </c>
      <c r="H700" s="8">
        <f t="shared" si="1"/>
        <v>-0.004344328238</v>
      </c>
      <c r="I700" s="8">
        <f t="shared" si="2"/>
        <v>0.004344328238</v>
      </c>
      <c r="J700" s="7" t="str">
        <f t="shared" si="3"/>
        <v>Dec-2024</v>
      </c>
      <c r="K700" s="9">
        <f t="shared" si="4"/>
        <v>45627</v>
      </c>
      <c r="L700" s="7" t="str">
        <f t="shared" si="5"/>
        <v/>
      </c>
      <c r="M700" s="7" t="str">
        <f>IFERROR(__xludf.DUMMYFUNCTION("IFERROR(
  IF(
    F700 &gt;
    3*AVERAGE(
       FILTER($F$2:$F10491,
         $G$2:$G10491=G700,
         $A$2:$A10491&gt;=A700-20,
         $A$2:$A10491&lt;=A700
       )
    ),
    ""VOL_SPIKE_3X"",""""
  ),
"""")
"),"")</f>
        <v/>
      </c>
      <c r="N700" s="7" t="str">
        <f t="shared" si="6"/>
        <v/>
      </c>
      <c r="O700" s="7" t="str">
        <f t="shared" si="7"/>
        <v/>
      </c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>
        <f>IFERROR(__xludf.DUMMYFUNCTION("""COMPUTED_VALUE"""),45653.0)</f>
        <v>45653</v>
      </c>
      <c r="B701" s="6">
        <f>IFERROR(__xludf.DUMMYFUNCTION("""COMPUTED_VALUE"""),1218.3)</f>
        <v>1218.3</v>
      </c>
      <c r="C701" s="6">
        <f>IFERROR(__xludf.DUMMYFUNCTION("""COMPUTED_VALUE"""),1227.9)</f>
        <v>1227.9</v>
      </c>
      <c r="D701" s="6">
        <f>IFERROR(__xludf.DUMMYFUNCTION("""COMPUTED_VALUE"""),1217.0)</f>
        <v>1217</v>
      </c>
      <c r="E701" s="6">
        <f>IFERROR(__xludf.DUMMYFUNCTION("""COMPUTED_VALUE"""),1221.05)</f>
        <v>1221.05</v>
      </c>
      <c r="F701" s="7">
        <f>IFERROR(__xludf.DUMMYFUNCTION("""COMPUTED_VALUE"""),7000397.0)</f>
        <v>7000397</v>
      </c>
      <c r="G701" s="7" t="str">
        <f>IFERROR(__xludf.DUMMYFUNCTION("""COMPUTED_VALUE"""),"RELIANCE.NS")</f>
        <v>RELIANCE.NS</v>
      </c>
      <c r="H701" s="8">
        <f t="shared" si="1"/>
        <v>0.0022572437</v>
      </c>
      <c r="I701" s="8">
        <f t="shared" si="2"/>
        <v>0.0022572437</v>
      </c>
      <c r="J701" s="7" t="str">
        <f t="shared" si="3"/>
        <v>Dec-2024</v>
      </c>
      <c r="K701" s="9">
        <f t="shared" si="4"/>
        <v>45627</v>
      </c>
      <c r="L701" s="7" t="str">
        <f t="shared" si="5"/>
        <v/>
      </c>
      <c r="M701" s="7" t="str">
        <f>IFERROR(__xludf.DUMMYFUNCTION("IFERROR(
  IF(
    F701 &gt;
    3*AVERAGE(
       FILTER($F$2:$F10491,
         $G$2:$G10491=G701,
         $A$2:$A10491&gt;=A701-20,
         $A$2:$A10491&lt;=A701
       )
    ),
    ""VOL_SPIKE_3X"",""""
  ),
"""")
"),"")</f>
        <v/>
      </c>
      <c r="N701" s="7" t="str">
        <f t="shared" si="6"/>
        <v/>
      </c>
      <c r="O701" s="7" t="str">
        <f t="shared" si="7"/>
        <v/>
      </c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>
        <f>IFERROR(__xludf.DUMMYFUNCTION("""COMPUTED_VALUE"""),45656.0)</f>
        <v>45656</v>
      </c>
      <c r="B702" s="6">
        <f>IFERROR(__xludf.DUMMYFUNCTION("""COMPUTED_VALUE"""),808.55)</f>
        <v>808.55</v>
      </c>
      <c r="C702" s="6">
        <f>IFERROR(__xludf.DUMMYFUNCTION("""COMPUTED_VALUE"""),830.5)</f>
        <v>830.5</v>
      </c>
      <c r="D702" s="6">
        <f>IFERROR(__xludf.DUMMYFUNCTION("""COMPUTED_VALUE"""),805.25)</f>
        <v>805.25</v>
      </c>
      <c r="E702" s="6">
        <f>IFERROR(__xludf.DUMMYFUNCTION("""COMPUTED_VALUE"""),826.25)</f>
        <v>826.25</v>
      </c>
      <c r="F702" s="7">
        <f>IFERROR(__xludf.DUMMYFUNCTION("""COMPUTED_VALUE"""),5993093.0)</f>
        <v>5993093</v>
      </c>
      <c r="G702" s="7" t="str">
        <f>IFERROR(__xludf.DUMMYFUNCTION("""COMPUTED_VALUE"""),"ADANIENSOL.NS")</f>
        <v>ADANIENSOL.NS</v>
      </c>
      <c r="H702" s="8">
        <f t="shared" si="1"/>
        <v>0.02189103952</v>
      </c>
      <c r="I702" s="8">
        <f t="shared" si="2"/>
        <v>0.02189103952</v>
      </c>
      <c r="J702" s="7" t="str">
        <f t="shared" si="3"/>
        <v>Dec-2024</v>
      </c>
      <c r="K702" s="9">
        <f t="shared" si="4"/>
        <v>45627</v>
      </c>
      <c r="L702" s="7" t="str">
        <f t="shared" si="5"/>
        <v/>
      </c>
      <c r="M702" s="7" t="str">
        <f>IFERROR(__xludf.DUMMYFUNCTION("IFERROR(
  IF(
    F702 &gt;
    3*AVERAGE(
       FILTER($F$2:$F10491,
         $G$2:$G10491=G702,
         $A$2:$A10491&gt;=A702-20,
         $A$2:$A10491&lt;=A702
       )
    ),
    ""VOL_SPIKE_3X"",""""
  ),
"""")
"),"")</f>
        <v/>
      </c>
      <c r="N702" s="7" t="str">
        <f t="shared" si="6"/>
        <v/>
      </c>
      <c r="O702" s="7" t="str">
        <f t="shared" si="7"/>
        <v/>
      </c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>
        <f>IFERROR(__xludf.DUMMYFUNCTION("""COMPUTED_VALUE"""),45656.0)</f>
        <v>45656</v>
      </c>
      <c r="B703" s="6">
        <f>IFERROR(__xludf.DUMMYFUNCTION("""COMPUTED_VALUE"""),1060.0)</f>
        <v>1060</v>
      </c>
      <c r="C703" s="6">
        <f>IFERROR(__xludf.DUMMYFUNCTION("""COMPUTED_VALUE"""),1113.7)</f>
        <v>1113.7</v>
      </c>
      <c r="D703" s="6">
        <f>IFERROR(__xludf.DUMMYFUNCTION("""COMPUTED_VALUE"""),1042.0)</f>
        <v>1042</v>
      </c>
      <c r="E703" s="6">
        <f>IFERROR(__xludf.DUMMYFUNCTION("""COMPUTED_VALUE"""),1075.65)</f>
        <v>1075.65</v>
      </c>
      <c r="F703" s="7">
        <f>IFERROR(__xludf.DUMMYFUNCTION("""COMPUTED_VALUE"""),6974681.0)</f>
        <v>6974681</v>
      </c>
      <c r="G703" s="7" t="str">
        <f>IFERROR(__xludf.DUMMYFUNCTION("""COMPUTED_VALUE"""),"ADANIGREEN.NS")</f>
        <v>ADANIGREEN.NS</v>
      </c>
      <c r="H703" s="8">
        <f t="shared" si="1"/>
        <v>0.01476415094</v>
      </c>
      <c r="I703" s="8">
        <f t="shared" si="2"/>
        <v>0.01476415094</v>
      </c>
      <c r="J703" s="7" t="str">
        <f t="shared" si="3"/>
        <v>Dec-2024</v>
      </c>
      <c r="K703" s="9">
        <f t="shared" si="4"/>
        <v>45627</v>
      </c>
      <c r="L703" s="7" t="str">
        <f t="shared" si="5"/>
        <v/>
      </c>
      <c r="M703" s="7" t="str">
        <f>IFERROR(__xludf.DUMMYFUNCTION("IFERROR(
  IF(
    F703 &gt;
    3*AVERAGE(
       FILTER($F$2:$F10491,
         $G$2:$G10491=G703,
         $A$2:$A10491&gt;=A703-20,
         $A$2:$A10491&lt;=A703
       )
    ),
    ""VOL_SPIKE_3X"",""""
  ),
"""")
"),"")</f>
        <v/>
      </c>
      <c r="N703" s="7" t="str">
        <f t="shared" si="6"/>
        <v/>
      </c>
      <c r="O703" s="7" t="str">
        <f t="shared" si="7"/>
        <v/>
      </c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>
        <f>IFERROR(__xludf.DUMMYFUNCTION("""COMPUTED_VALUE"""),45656.0)</f>
        <v>45656</v>
      </c>
      <c r="B704" s="6">
        <f>IFERROR(__xludf.DUMMYFUNCTION("""COMPUTED_VALUE"""),293.55)</f>
        <v>293.55</v>
      </c>
      <c r="C704" s="6">
        <f>IFERROR(__xludf.DUMMYFUNCTION("""COMPUTED_VALUE"""),295.25)</f>
        <v>295.25</v>
      </c>
      <c r="D704" s="6">
        <f>IFERROR(__xludf.DUMMYFUNCTION("""COMPUTED_VALUE"""),289.75)</f>
        <v>289.75</v>
      </c>
      <c r="E704" s="6">
        <f>IFERROR(__xludf.DUMMYFUNCTION("""COMPUTED_VALUE"""),293.3)</f>
        <v>293.3</v>
      </c>
      <c r="F704" s="7">
        <f>IFERROR(__xludf.DUMMYFUNCTION("""COMPUTED_VALUE"""),8236910.0)</f>
        <v>8236910</v>
      </c>
      <c r="G704" s="7" t="str">
        <f>IFERROR(__xludf.DUMMYFUNCTION("""COMPUTED_VALUE"""),"BPCL.NS")</f>
        <v>BPCL.NS</v>
      </c>
      <c r="H704" s="8">
        <f t="shared" si="1"/>
        <v>-0.0008516436723</v>
      </c>
      <c r="I704" s="8">
        <f t="shared" si="2"/>
        <v>0.0008516436723</v>
      </c>
      <c r="J704" s="7" t="str">
        <f t="shared" si="3"/>
        <v>Dec-2024</v>
      </c>
      <c r="K704" s="9">
        <f t="shared" si="4"/>
        <v>45627</v>
      </c>
      <c r="L704" s="7" t="str">
        <f t="shared" si="5"/>
        <v/>
      </c>
      <c r="M704" s="7" t="str">
        <f>IFERROR(__xludf.DUMMYFUNCTION("IFERROR(
  IF(
    F704 &gt;
    3*AVERAGE(
       FILTER($F$2:$F10491,
         $G$2:$G10491=G704,
         $A$2:$A10491&gt;=A704-20,
         $A$2:$A10491&lt;=A704
       )
    ),
    ""VOL_SPIKE_3X"",""""
  ),
"""")
"),"")</f>
        <v/>
      </c>
      <c r="N704" s="7" t="str">
        <f t="shared" si="6"/>
        <v/>
      </c>
      <c r="O704" s="7" t="str">
        <f t="shared" si="7"/>
        <v/>
      </c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>
        <f>IFERROR(__xludf.DUMMYFUNCTION("""COMPUTED_VALUE"""),45656.0)</f>
        <v>45656</v>
      </c>
      <c r="B705" s="6">
        <f>IFERROR(__xludf.DUMMYFUNCTION("""COMPUTED_VALUE"""),380.5)</f>
        <v>380.5</v>
      </c>
      <c r="C705" s="6">
        <f>IFERROR(__xludf.DUMMYFUNCTION("""COMPUTED_VALUE"""),382.3)</f>
        <v>382.3</v>
      </c>
      <c r="D705" s="6">
        <f>IFERROR(__xludf.DUMMYFUNCTION("""COMPUTED_VALUE"""),375.7)</f>
        <v>375.7</v>
      </c>
      <c r="E705" s="6">
        <f>IFERROR(__xludf.DUMMYFUNCTION("""COMPUTED_VALUE"""),377.9)</f>
        <v>377.9</v>
      </c>
      <c r="F705" s="7">
        <f>IFERROR(__xludf.DUMMYFUNCTION("""COMPUTED_VALUE"""),2.2328728E7)</f>
        <v>22328728</v>
      </c>
      <c r="G705" s="7" t="str">
        <f>IFERROR(__xludf.DUMMYFUNCTION("""COMPUTED_VALUE"""),"COALINDIA.NS")</f>
        <v>COALINDIA.NS</v>
      </c>
      <c r="H705" s="8">
        <f t="shared" si="1"/>
        <v>-0.006833114323</v>
      </c>
      <c r="I705" s="8">
        <f t="shared" si="2"/>
        <v>0.006833114323</v>
      </c>
      <c r="J705" s="7" t="str">
        <f t="shared" si="3"/>
        <v>Dec-2024</v>
      </c>
      <c r="K705" s="9">
        <f t="shared" si="4"/>
        <v>45627</v>
      </c>
      <c r="L705" s="7" t="str">
        <f t="shared" si="5"/>
        <v/>
      </c>
      <c r="M705" s="7" t="str">
        <f>IFERROR(__xludf.DUMMYFUNCTION("IFERROR(
  IF(
    F705 &gt;
    3*AVERAGE(
       FILTER($F$2:$F10491,
         $G$2:$G10491=G705,
         $A$2:$A10491&gt;=A705-20,
         $A$2:$A10491&lt;=A705
       )
    ),
    ""VOL_SPIKE_3X"",""""
  ),
"""")
"),"VOL_SPIKE_3X")</f>
        <v>VOL_SPIKE_3X</v>
      </c>
      <c r="N705" s="7" t="str">
        <f t="shared" si="6"/>
        <v>VOL_SPIKE_3X</v>
      </c>
      <c r="O705" s="7" t="str">
        <f t="shared" si="7"/>
        <v/>
      </c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>
        <f>IFERROR(__xludf.DUMMYFUNCTION("""COMPUTED_VALUE"""),45656.0)</f>
        <v>45656</v>
      </c>
      <c r="B706" s="6">
        <f>IFERROR(__xludf.DUMMYFUNCTION("""COMPUTED_VALUE"""),409.0)</f>
        <v>409</v>
      </c>
      <c r="C706" s="6">
        <f>IFERROR(__xludf.DUMMYFUNCTION("""COMPUTED_VALUE"""),410.4)</f>
        <v>410.4</v>
      </c>
      <c r="D706" s="6">
        <f>IFERROR(__xludf.DUMMYFUNCTION("""COMPUTED_VALUE"""),400.9)</f>
        <v>400.9</v>
      </c>
      <c r="E706" s="6">
        <f>IFERROR(__xludf.DUMMYFUNCTION("""COMPUTED_VALUE"""),405.8)</f>
        <v>405.8</v>
      </c>
      <c r="F706" s="7">
        <f>IFERROR(__xludf.DUMMYFUNCTION("""COMPUTED_VALUE"""),6858610.0)</f>
        <v>6858610</v>
      </c>
      <c r="G706" s="7" t="str">
        <f>IFERROR(__xludf.DUMMYFUNCTION("""COMPUTED_VALUE"""),"HINDPETRO.NS")</f>
        <v>HINDPETRO.NS</v>
      </c>
      <c r="H706" s="8">
        <f t="shared" si="1"/>
        <v>-0.00782396088</v>
      </c>
      <c r="I706" s="8">
        <f t="shared" si="2"/>
        <v>0.00782396088</v>
      </c>
      <c r="J706" s="7" t="str">
        <f t="shared" si="3"/>
        <v>Dec-2024</v>
      </c>
      <c r="K706" s="9">
        <f t="shared" si="4"/>
        <v>45627</v>
      </c>
      <c r="L706" s="7" t="str">
        <f t="shared" si="5"/>
        <v/>
      </c>
      <c r="M706" s="7" t="str">
        <f>IFERROR(__xludf.DUMMYFUNCTION("IFERROR(
  IF(
    F706 &gt;
    3*AVERAGE(
       FILTER($F$2:$F10491,
         $G$2:$G10491=G706,
         $A$2:$A10491&gt;=A706-20,
         $A$2:$A10491&lt;=A706
       )
    ),
    ""VOL_SPIKE_3X"",""""
  ),
"""")
"),"")</f>
        <v/>
      </c>
      <c r="N706" s="7" t="str">
        <f t="shared" si="6"/>
        <v/>
      </c>
      <c r="O706" s="7" t="str">
        <f t="shared" si="7"/>
        <v/>
      </c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>
        <f>IFERROR(__xludf.DUMMYFUNCTION("""COMPUTED_VALUE"""),45656.0)</f>
        <v>45656</v>
      </c>
      <c r="B707" s="6">
        <f>IFERROR(__xludf.DUMMYFUNCTION("""COMPUTED_VALUE"""),136.25)</f>
        <v>136.25</v>
      </c>
      <c r="C707" s="6">
        <f>IFERROR(__xludf.DUMMYFUNCTION("""COMPUTED_VALUE"""),136.83)</f>
        <v>136.83</v>
      </c>
      <c r="D707" s="6">
        <f>IFERROR(__xludf.DUMMYFUNCTION("""COMPUTED_VALUE"""),134.1)</f>
        <v>134.1</v>
      </c>
      <c r="E707" s="6">
        <f>IFERROR(__xludf.DUMMYFUNCTION("""COMPUTED_VALUE"""),134.61)</f>
        <v>134.61</v>
      </c>
      <c r="F707" s="7">
        <f>IFERROR(__xludf.DUMMYFUNCTION("""COMPUTED_VALUE"""),2.922952E7)</f>
        <v>29229520</v>
      </c>
      <c r="G707" s="7" t="str">
        <f>IFERROR(__xludf.DUMMYFUNCTION("""COMPUTED_VALUE"""),"IOC.NS")</f>
        <v>IOC.NS</v>
      </c>
      <c r="H707" s="8">
        <f t="shared" si="1"/>
        <v>-0.01203669725</v>
      </c>
      <c r="I707" s="8">
        <f t="shared" si="2"/>
        <v>0.01203669725</v>
      </c>
      <c r="J707" s="7" t="str">
        <f t="shared" si="3"/>
        <v>Dec-2024</v>
      </c>
      <c r="K707" s="9">
        <f t="shared" si="4"/>
        <v>45627</v>
      </c>
      <c r="L707" s="7" t="str">
        <f t="shared" si="5"/>
        <v/>
      </c>
      <c r="M707" s="7" t="str">
        <f>IFERROR(__xludf.DUMMYFUNCTION("IFERROR(
  IF(
    F707 &gt;
    3*AVERAGE(
       FILTER($F$2:$F10491,
         $G$2:$G10491=G707,
         $A$2:$A10491&gt;=A707-20,
         $A$2:$A10491&lt;=A707
       )
    ),
    ""VOL_SPIKE_3X"",""""
  ),
"""")
"),"")</f>
        <v/>
      </c>
      <c r="N707" s="7" t="str">
        <f t="shared" si="6"/>
        <v/>
      </c>
      <c r="O707" s="7" t="str">
        <f t="shared" si="7"/>
        <v/>
      </c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>
        <f>IFERROR(__xludf.DUMMYFUNCTION("""COMPUTED_VALUE"""),45656.0)</f>
        <v>45656</v>
      </c>
      <c r="B708" s="6">
        <f>IFERROR(__xludf.DUMMYFUNCTION("""COMPUTED_VALUE"""),335.0)</f>
        <v>335</v>
      </c>
      <c r="C708" s="6">
        <f>IFERROR(__xludf.DUMMYFUNCTION("""COMPUTED_VALUE"""),336.8)</f>
        <v>336.8</v>
      </c>
      <c r="D708" s="6">
        <f>IFERROR(__xludf.DUMMYFUNCTION("""COMPUTED_VALUE"""),327.4)</f>
        <v>327.4</v>
      </c>
      <c r="E708" s="6">
        <f>IFERROR(__xludf.DUMMYFUNCTION("""COMPUTED_VALUE"""),331.4)</f>
        <v>331.4</v>
      </c>
      <c r="F708" s="7">
        <f>IFERROR(__xludf.DUMMYFUNCTION("""COMPUTED_VALUE"""),3.6657549E7)</f>
        <v>36657549</v>
      </c>
      <c r="G708" s="7" t="str">
        <f>IFERROR(__xludf.DUMMYFUNCTION("""COMPUTED_VALUE"""),"NTPC.NS")</f>
        <v>NTPC.NS</v>
      </c>
      <c r="H708" s="8">
        <f t="shared" si="1"/>
        <v>-0.01074626866</v>
      </c>
      <c r="I708" s="8">
        <f t="shared" si="2"/>
        <v>0.01074626866</v>
      </c>
      <c r="J708" s="7" t="str">
        <f t="shared" si="3"/>
        <v>Dec-2024</v>
      </c>
      <c r="K708" s="9">
        <f t="shared" si="4"/>
        <v>45627</v>
      </c>
      <c r="L708" s="7" t="str">
        <f t="shared" si="5"/>
        <v/>
      </c>
      <c r="M708" s="7" t="str">
        <f>IFERROR(__xludf.DUMMYFUNCTION("IFERROR(
  IF(
    F708 &gt;
    3*AVERAGE(
       FILTER($F$2:$F10491,
         $G$2:$G10491=G708,
         $A$2:$A10491&gt;=A708-20,
         $A$2:$A10491&lt;=A708
       )
    ),
    ""VOL_SPIKE_3X"",""""
  ),
"""")
"),"")</f>
        <v/>
      </c>
      <c r="N708" s="7" t="str">
        <f t="shared" si="6"/>
        <v/>
      </c>
      <c r="O708" s="7" t="str">
        <f t="shared" si="7"/>
        <v/>
      </c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>
        <f>IFERROR(__xludf.DUMMYFUNCTION("""COMPUTED_VALUE"""),45656.0)</f>
        <v>45656</v>
      </c>
      <c r="B709" s="6">
        <f>IFERROR(__xludf.DUMMYFUNCTION("""COMPUTED_VALUE"""),236.05)</f>
        <v>236.05</v>
      </c>
      <c r="C709" s="6">
        <f>IFERROR(__xludf.DUMMYFUNCTION("""COMPUTED_VALUE"""),237.0)</f>
        <v>237</v>
      </c>
      <c r="D709" s="6">
        <f>IFERROR(__xludf.DUMMYFUNCTION("""COMPUTED_VALUE"""),231.15)</f>
        <v>231.15</v>
      </c>
      <c r="E709" s="6">
        <f>IFERROR(__xludf.DUMMYFUNCTION("""COMPUTED_VALUE"""),232.65)</f>
        <v>232.65</v>
      </c>
      <c r="F709" s="7">
        <f>IFERROR(__xludf.DUMMYFUNCTION("""COMPUTED_VALUE"""),1.9401112E7)</f>
        <v>19401112</v>
      </c>
      <c r="G709" s="7" t="str">
        <f>IFERROR(__xludf.DUMMYFUNCTION("""COMPUTED_VALUE"""),"ONGC.NS")</f>
        <v>ONGC.NS</v>
      </c>
      <c r="H709" s="8">
        <f t="shared" si="1"/>
        <v>-0.01440372802</v>
      </c>
      <c r="I709" s="8">
        <f t="shared" si="2"/>
        <v>0.01440372802</v>
      </c>
      <c r="J709" s="7" t="str">
        <f t="shared" si="3"/>
        <v>Dec-2024</v>
      </c>
      <c r="K709" s="9">
        <f t="shared" si="4"/>
        <v>45627</v>
      </c>
      <c r="L709" s="7" t="str">
        <f t="shared" si="5"/>
        <v/>
      </c>
      <c r="M709" s="7" t="str">
        <f>IFERROR(__xludf.DUMMYFUNCTION("IFERROR(
  IF(
    F709 &gt;
    3*AVERAGE(
       FILTER($F$2:$F10491,
         $G$2:$G10491=G709,
         $A$2:$A10491&gt;=A709-20,
         $A$2:$A10491&lt;=A709
       )
    ),
    ""VOL_SPIKE_3X"",""""
  ),
"""")
"),"")</f>
        <v/>
      </c>
      <c r="N709" s="7" t="str">
        <f t="shared" si="6"/>
        <v/>
      </c>
      <c r="O709" s="7" t="str">
        <f t="shared" si="7"/>
        <v/>
      </c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>
        <f>IFERROR(__xludf.DUMMYFUNCTION("""COMPUTED_VALUE"""),45656.0)</f>
        <v>45656</v>
      </c>
      <c r="B710" s="6">
        <f>IFERROR(__xludf.DUMMYFUNCTION("""COMPUTED_VALUE"""),309.0)</f>
        <v>309</v>
      </c>
      <c r="C710" s="6">
        <f>IFERROR(__xludf.DUMMYFUNCTION("""COMPUTED_VALUE"""),312.0)</f>
        <v>312</v>
      </c>
      <c r="D710" s="6">
        <f>IFERROR(__xludf.DUMMYFUNCTION("""COMPUTED_VALUE"""),306.3)</f>
        <v>306.3</v>
      </c>
      <c r="E710" s="6">
        <f>IFERROR(__xludf.DUMMYFUNCTION("""COMPUTED_VALUE"""),307.55)</f>
        <v>307.55</v>
      </c>
      <c r="F710" s="7">
        <f>IFERROR(__xludf.DUMMYFUNCTION("""COMPUTED_VALUE"""),1.2489142E7)</f>
        <v>12489142</v>
      </c>
      <c r="G710" s="7" t="str">
        <f>IFERROR(__xludf.DUMMYFUNCTION("""COMPUTED_VALUE"""),"POWERGRID.NS")</f>
        <v>POWERGRID.NS</v>
      </c>
      <c r="H710" s="8">
        <f t="shared" si="1"/>
        <v>-0.004692556634</v>
      </c>
      <c r="I710" s="8">
        <f t="shared" si="2"/>
        <v>0.004692556634</v>
      </c>
      <c r="J710" s="7" t="str">
        <f t="shared" si="3"/>
        <v>Dec-2024</v>
      </c>
      <c r="K710" s="9">
        <f t="shared" si="4"/>
        <v>45627</v>
      </c>
      <c r="L710" s="7" t="str">
        <f t="shared" si="5"/>
        <v/>
      </c>
      <c r="M710" s="7" t="str">
        <f>IFERROR(__xludf.DUMMYFUNCTION("IFERROR(
  IF(
    F710 &gt;
    3*AVERAGE(
       FILTER($F$2:$F10491,
         $G$2:$G10491=G710,
         $A$2:$A10491&gt;=A710-20,
         $A$2:$A10491&lt;=A710
       )
    ),
    ""VOL_SPIKE_3X"",""""
  ),
"""")
"),"")</f>
        <v/>
      </c>
      <c r="N710" s="7" t="str">
        <f t="shared" si="6"/>
        <v/>
      </c>
      <c r="O710" s="7" t="str">
        <f t="shared" si="7"/>
        <v/>
      </c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>
        <f>IFERROR(__xludf.DUMMYFUNCTION("""COMPUTED_VALUE"""),45656.0)</f>
        <v>45656</v>
      </c>
      <c r="B711" s="6">
        <f>IFERROR(__xludf.DUMMYFUNCTION("""COMPUTED_VALUE"""),1216.4)</f>
        <v>1216.4</v>
      </c>
      <c r="C711" s="6">
        <f>IFERROR(__xludf.DUMMYFUNCTION("""COMPUTED_VALUE"""),1223.2)</f>
        <v>1223.2</v>
      </c>
      <c r="D711" s="6">
        <f>IFERROR(__xludf.DUMMYFUNCTION("""COMPUTED_VALUE"""),1208.1)</f>
        <v>1208.1</v>
      </c>
      <c r="E711" s="6">
        <f>IFERROR(__xludf.DUMMYFUNCTION("""COMPUTED_VALUE"""),1210.7)</f>
        <v>1210.7</v>
      </c>
      <c r="F711" s="7">
        <f>IFERROR(__xludf.DUMMYFUNCTION("""COMPUTED_VALUE"""),8818766.0)</f>
        <v>8818766</v>
      </c>
      <c r="G711" s="7" t="str">
        <f>IFERROR(__xludf.DUMMYFUNCTION("""COMPUTED_VALUE"""),"RELIANCE.NS")</f>
        <v>RELIANCE.NS</v>
      </c>
      <c r="H711" s="8">
        <f t="shared" si="1"/>
        <v>-0.004685958566</v>
      </c>
      <c r="I711" s="8">
        <f t="shared" si="2"/>
        <v>0.004685958566</v>
      </c>
      <c r="J711" s="7" t="str">
        <f t="shared" si="3"/>
        <v>Dec-2024</v>
      </c>
      <c r="K711" s="9">
        <f t="shared" si="4"/>
        <v>45627</v>
      </c>
      <c r="L711" s="7" t="str">
        <f t="shared" si="5"/>
        <v/>
      </c>
      <c r="M711" s="7" t="str">
        <f>IFERROR(__xludf.DUMMYFUNCTION("IFERROR(
  IF(
    F711 &gt;
    3*AVERAGE(
       FILTER($F$2:$F10491,
         $G$2:$G10491=G711,
         $A$2:$A10491&gt;=A711-20,
         $A$2:$A10491&lt;=A711
       )
    ),
    ""VOL_SPIKE_3X"",""""
  ),
"""")
"),"")</f>
        <v/>
      </c>
      <c r="N711" s="7" t="str">
        <f t="shared" si="6"/>
        <v/>
      </c>
      <c r="O711" s="7" t="str">
        <f t="shared" si="7"/>
        <v/>
      </c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>
        <f>IFERROR(__xludf.DUMMYFUNCTION("""COMPUTED_VALUE"""),45657.0)</f>
        <v>45657</v>
      </c>
      <c r="B712" s="6">
        <f>IFERROR(__xludf.DUMMYFUNCTION("""COMPUTED_VALUE"""),818.4)</f>
        <v>818.4</v>
      </c>
      <c r="C712" s="6">
        <f>IFERROR(__xludf.DUMMYFUNCTION("""COMPUTED_VALUE"""),820.0)</f>
        <v>820</v>
      </c>
      <c r="D712" s="6">
        <f>IFERROR(__xludf.DUMMYFUNCTION("""COMPUTED_VALUE"""),800.0)</f>
        <v>800</v>
      </c>
      <c r="E712" s="6">
        <f>IFERROR(__xludf.DUMMYFUNCTION("""COMPUTED_VALUE"""),806.2)</f>
        <v>806.2</v>
      </c>
      <c r="F712" s="7">
        <f>IFERROR(__xludf.DUMMYFUNCTION("""COMPUTED_VALUE"""),1187100.0)</f>
        <v>1187100</v>
      </c>
      <c r="G712" s="7" t="str">
        <f>IFERROR(__xludf.DUMMYFUNCTION("""COMPUTED_VALUE"""),"ADANIENSOL.NS")</f>
        <v>ADANIENSOL.NS</v>
      </c>
      <c r="H712" s="8">
        <f t="shared" si="1"/>
        <v>-0.01490713587</v>
      </c>
      <c r="I712" s="8">
        <f t="shared" si="2"/>
        <v>0.01490713587</v>
      </c>
      <c r="J712" s="7" t="str">
        <f t="shared" si="3"/>
        <v>Dec-2024</v>
      </c>
      <c r="K712" s="9">
        <f t="shared" si="4"/>
        <v>45627</v>
      </c>
      <c r="L712" s="7" t="str">
        <f t="shared" si="5"/>
        <v/>
      </c>
      <c r="M712" s="7" t="str">
        <f>IFERROR(__xludf.DUMMYFUNCTION("IFERROR(
  IF(
    F712 &gt;
    3*AVERAGE(
       FILTER($F$2:$F10491,
         $G$2:$G10491=G712,
         $A$2:$A10491&gt;=A712-20,
         $A$2:$A10491&lt;=A712
       )
    ),
    ""VOL_SPIKE_3X"",""""
  ),
"""")
"),"")</f>
        <v/>
      </c>
      <c r="N712" s="7" t="str">
        <f t="shared" si="6"/>
        <v/>
      </c>
      <c r="O712" s="7" t="str">
        <f t="shared" si="7"/>
        <v/>
      </c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>
        <f>IFERROR(__xludf.DUMMYFUNCTION("""COMPUTED_VALUE"""),45657.0)</f>
        <v>45657</v>
      </c>
      <c r="B713" s="6">
        <f>IFERROR(__xludf.DUMMYFUNCTION("""COMPUTED_VALUE"""),1070.95)</f>
        <v>1070.95</v>
      </c>
      <c r="C713" s="6">
        <f>IFERROR(__xludf.DUMMYFUNCTION("""COMPUTED_VALUE"""),1070.95)</f>
        <v>1070.95</v>
      </c>
      <c r="D713" s="6">
        <f>IFERROR(__xludf.DUMMYFUNCTION("""COMPUTED_VALUE"""),1029.0)</f>
        <v>1029</v>
      </c>
      <c r="E713" s="6">
        <f>IFERROR(__xludf.DUMMYFUNCTION("""COMPUTED_VALUE"""),1040.7)</f>
        <v>1040.7</v>
      </c>
      <c r="F713" s="7">
        <f>IFERROR(__xludf.DUMMYFUNCTION("""COMPUTED_VALUE"""),2589661.0)</f>
        <v>2589661</v>
      </c>
      <c r="G713" s="7" t="str">
        <f>IFERROR(__xludf.DUMMYFUNCTION("""COMPUTED_VALUE"""),"ADANIGREEN.NS")</f>
        <v>ADANIGREEN.NS</v>
      </c>
      <c r="H713" s="8">
        <f t="shared" si="1"/>
        <v>-0.02824594986</v>
      </c>
      <c r="I713" s="8">
        <f t="shared" si="2"/>
        <v>0.02824594986</v>
      </c>
      <c r="J713" s="7" t="str">
        <f t="shared" si="3"/>
        <v>Dec-2024</v>
      </c>
      <c r="K713" s="9">
        <f t="shared" si="4"/>
        <v>45627</v>
      </c>
      <c r="L713" s="7" t="str">
        <f t="shared" si="5"/>
        <v/>
      </c>
      <c r="M713" s="7" t="str">
        <f>IFERROR(__xludf.DUMMYFUNCTION("IFERROR(
  IF(
    F713 &gt;
    3*AVERAGE(
       FILTER($F$2:$F10491,
         $G$2:$G10491=G713,
         $A$2:$A10491&gt;=A713-20,
         $A$2:$A10491&lt;=A713
       )
    ),
    ""VOL_SPIKE_3X"",""""
  ),
"""")
"),"")</f>
        <v/>
      </c>
      <c r="N713" s="7" t="str">
        <f t="shared" si="6"/>
        <v/>
      </c>
      <c r="O713" s="7" t="str">
        <f t="shared" si="7"/>
        <v/>
      </c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>
        <f>IFERROR(__xludf.DUMMYFUNCTION("""COMPUTED_VALUE"""),45657.0)</f>
        <v>45657</v>
      </c>
      <c r="B714" s="6">
        <f>IFERROR(__xludf.DUMMYFUNCTION("""COMPUTED_VALUE"""),291.45)</f>
        <v>291.45</v>
      </c>
      <c r="C714" s="6">
        <f>IFERROR(__xludf.DUMMYFUNCTION("""COMPUTED_VALUE"""),294.4)</f>
        <v>294.4</v>
      </c>
      <c r="D714" s="6">
        <f>IFERROR(__xludf.DUMMYFUNCTION("""COMPUTED_VALUE"""),290.8)</f>
        <v>290.8</v>
      </c>
      <c r="E714" s="6">
        <f>IFERROR(__xludf.DUMMYFUNCTION("""COMPUTED_VALUE"""),292.45)</f>
        <v>292.45</v>
      </c>
      <c r="F714" s="7">
        <f>IFERROR(__xludf.DUMMYFUNCTION("""COMPUTED_VALUE"""),4161509.0)</f>
        <v>4161509</v>
      </c>
      <c r="G714" s="7" t="str">
        <f>IFERROR(__xludf.DUMMYFUNCTION("""COMPUTED_VALUE"""),"BPCL.NS")</f>
        <v>BPCL.NS</v>
      </c>
      <c r="H714" s="8">
        <f t="shared" si="1"/>
        <v>0.003431120261</v>
      </c>
      <c r="I714" s="8">
        <f t="shared" si="2"/>
        <v>0.003431120261</v>
      </c>
      <c r="J714" s="7" t="str">
        <f t="shared" si="3"/>
        <v>Dec-2024</v>
      </c>
      <c r="K714" s="9">
        <f t="shared" si="4"/>
        <v>45627</v>
      </c>
      <c r="L714" s="7" t="str">
        <f t="shared" si="5"/>
        <v/>
      </c>
      <c r="M714" s="7" t="str">
        <f>IFERROR(__xludf.DUMMYFUNCTION("IFERROR(
  IF(
    F714 &gt;
    3*AVERAGE(
       FILTER($F$2:$F10491,
         $G$2:$G10491=G714,
         $A$2:$A10491&gt;=A714-20,
         $A$2:$A10491&lt;=A714
       )
    ),
    ""VOL_SPIKE_3X"",""""
  ),
"""")
"),"")</f>
        <v/>
      </c>
      <c r="N714" s="7" t="str">
        <f t="shared" si="6"/>
        <v/>
      </c>
      <c r="O714" s="7" t="str">
        <f t="shared" si="7"/>
        <v/>
      </c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>
        <f>IFERROR(__xludf.DUMMYFUNCTION("""COMPUTED_VALUE"""),45657.0)</f>
        <v>45657</v>
      </c>
      <c r="B715" s="6">
        <f>IFERROR(__xludf.DUMMYFUNCTION("""COMPUTED_VALUE"""),377.9)</f>
        <v>377.9</v>
      </c>
      <c r="C715" s="6">
        <f>IFERROR(__xludf.DUMMYFUNCTION("""COMPUTED_VALUE"""),384.7)</f>
        <v>384.7</v>
      </c>
      <c r="D715" s="6">
        <f>IFERROR(__xludf.DUMMYFUNCTION("""COMPUTED_VALUE"""),376.1)</f>
        <v>376.1</v>
      </c>
      <c r="E715" s="6">
        <f>IFERROR(__xludf.DUMMYFUNCTION("""COMPUTED_VALUE"""),384.15)</f>
        <v>384.15</v>
      </c>
      <c r="F715" s="7">
        <f>IFERROR(__xludf.DUMMYFUNCTION("""COMPUTED_VALUE"""),7686615.0)</f>
        <v>7686615</v>
      </c>
      <c r="G715" s="7" t="str">
        <f>IFERROR(__xludf.DUMMYFUNCTION("""COMPUTED_VALUE"""),"COALINDIA.NS")</f>
        <v>COALINDIA.NS</v>
      </c>
      <c r="H715" s="8">
        <f t="shared" si="1"/>
        <v>0.01653876687</v>
      </c>
      <c r="I715" s="8">
        <f t="shared" si="2"/>
        <v>0.01653876687</v>
      </c>
      <c r="J715" s="7" t="str">
        <f t="shared" si="3"/>
        <v>Dec-2024</v>
      </c>
      <c r="K715" s="9">
        <f t="shared" si="4"/>
        <v>45627</v>
      </c>
      <c r="L715" s="7" t="str">
        <f t="shared" si="5"/>
        <v/>
      </c>
      <c r="M715" s="7" t="str">
        <f>IFERROR(__xludf.DUMMYFUNCTION("IFERROR(
  IF(
    F715 &gt;
    3*AVERAGE(
       FILTER($F$2:$F10491,
         $G$2:$G10491=G715,
         $A$2:$A10491&gt;=A715-20,
         $A$2:$A10491&lt;=A715
       )
    ),
    ""VOL_SPIKE_3X"",""""
  ),
"""")
"),"")</f>
        <v/>
      </c>
      <c r="N715" s="7" t="str">
        <f t="shared" si="6"/>
        <v/>
      </c>
      <c r="O715" s="7" t="str">
        <f t="shared" si="7"/>
        <v/>
      </c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>
        <f>IFERROR(__xludf.DUMMYFUNCTION("""COMPUTED_VALUE"""),45657.0)</f>
        <v>45657</v>
      </c>
      <c r="B716" s="6">
        <f>IFERROR(__xludf.DUMMYFUNCTION("""COMPUTED_VALUE"""),405.8)</f>
        <v>405.8</v>
      </c>
      <c r="C716" s="6">
        <f>IFERROR(__xludf.DUMMYFUNCTION("""COMPUTED_VALUE"""),410.6)</f>
        <v>410.6</v>
      </c>
      <c r="D716" s="6">
        <f>IFERROR(__xludf.DUMMYFUNCTION("""COMPUTED_VALUE"""),402.65)</f>
        <v>402.65</v>
      </c>
      <c r="E716" s="6">
        <f>IFERROR(__xludf.DUMMYFUNCTION("""COMPUTED_VALUE"""),408.75)</f>
        <v>408.75</v>
      </c>
      <c r="F716" s="7">
        <f>IFERROR(__xludf.DUMMYFUNCTION("""COMPUTED_VALUE"""),3103194.0)</f>
        <v>3103194</v>
      </c>
      <c r="G716" s="7" t="str">
        <f>IFERROR(__xludf.DUMMYFUNCTION("""COMPUTED_VALUE"""),"HINDPETRO.NS")</f>
        <v>HINDPETRO.NS</v>
      </c>
      <c r="H716" s="8">
        <f t="shared" si="1"/>
        <v>0.007269590931</v>
      </c>
      <c r="I716" s="8">
        <f t="shared" si="2"/>
        <v>0.007269590931</v>
      </c>
      <c r="J716" s="7" t="str">
        <f t="shared" si="3"/>
        <v>Dec-2024</v>
      </c>
      <c r="K716" s="9">
        <f t="shared" si="4"/>
        <v>45627</v>
      </c>
      <c r="L716" s="7" t="str">
        <f t="shared" si="5"/>
        <v/>
      </c>
      <c r="M716" s="7" t="str">
        <f>IFERROR(__xludf.DUMMYFUNCTION("IFERROR(
  IF(
    F716 &gt;
    3*AVERAGE(
       FILTER($F$2:$F10491,
         $G$2:$G10491=G716,
         $A$2:$A10491&gt;=A716-20,
         $A$2:$A10491&lt;=A716
       )
    ),
    ""VOL_SPIKE_3X"",""""
  ),
"""")
"),"")</f>
        <v/>
      </c>
      <c r="N716" s="7" t="str">
        <f t="shared" si="6"/>
        <v/>
      </c>
      <c r="O716" s="7" t="str">
        <f t="shared" si="7"/>
        <v/>
      </c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>
        <f>IFERROR(__xludf.DUMMYFUNCTION("""COMPUTED_VALUE"""),45657.0)</f>
        <v>45657</v>
      </c>
      <c r="B717" s="6">
        <f>IFERROR(__xludf.DUMMYFUNCTION("""COMPUTED_VALUE"""),134.52)</f>
        <v>134.52</v>
      </c>
      <c r="C717" s="6">
        <f>IFERROR(__xludf.DUMMYFUNCTION("""COMPUTED_VALUE"""),137.24)</f>
        <v>137.24</v>
      </c>
      <c r="D717" s="6">
        <f>IFERROR(__xludf.DUMMYFUNCTION("""COMPUTED_VALUE"""),134.22)</f>
        <v>134.22</v>
      </c>
      <c r="E717" s="6">
        <f>IFERROR(__xludf.DUMMYFUNCTION("""COMPUTED_VALUE"""),136.41)</f>
        <v>136.41</v>
      </c>
      <c r="F717" s="7">
        <f>IFERROR(__xludf.DUMMYFUNCTION("""COMPUTED_VALUE"""),8243910.0)</f>
        <v>8243910</v>
      </c>
      <c r="G717" s="7" t="str">
        <f>IFERROR(__xludf.DUMMYFUNCTION("""COMPUTED_VALUE"""),"IOC.NS")</f>
        <v>IOC.NS</v>
      </c>
      <c r="H717" s="8">
        <f t="shared" si="1"/>
        <v>0.0140499554</v>
      </c>
      <c r="I717" s="8">
        <f t="shared" si="2"/>
        <v>0.0140499554</v>
      </c>
      <c r="J717" s="7" t="str">
        <f t="shared" si="3"/>
        <v>Dec-2024</v>
      </c>
      <c r="K717" s="9">
        <f t="shared" si="4"/>
        <v>45627</v>
      </c>
      <c r="L717" s="7" t="str">
        <f t="shared" si="5"/>
        <v/>
      </c>
      <c r="M717" s="7" t="str">
        <f>IFERROR(__xludf.DUMMYFUNCTION("IFERROR(
  IF(
    F717 &gt;
    3*AVERAGE(
       FILTER($F$2:$F10491,
         $G$2:$G10491=G717,
         $A$2:$A10491&gt;=A717-20,
         $A$2:$A10491&lt;=A717
       )
    ),
    ""VOL_SPIKE_3X"",""""
  ),
"""")
"),"")</f>
        <v/>
      </c>
      <c r="N717" s="7" t="str">
        <f t="shared" si="6"/>
        <v/>
      </c>
      <c r="O717" s="7" t="str">
        <f t="shared" si="7"/>
        <v/>
      </c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>
        <f>IFERROR(__xludf.DUMMYFUNCTION("""COMPUTED_VALUE"""),45657.0)</f>
        <v>45657</v>
      </c>
      <c r="B718" s="6">
        <f>IFERROR(__xludf.DUMMYFUNCTION("""COMPUTED_VALUE"""),330.1)</f>
        <v>330.1</v>
      </c>
      <c r="C718" s="6">
        <f>IFERROR(__xludf.DUMMYFUNCTION("""COMPUTED_VALUE"""),334.6)</f>
        <v>334.6</v>
      </c>
      <c r="D718" s="6">
        <f>IFERROR(__xludf.DUMMYFUNCTION("""COMPUTED_VALUE"""),326.2)</f>
        <v>326.2</v>
      </c>
      <c r="E718" s="6">
        <f>IFERROR(__xludf.DUMMYFUNCTION("""COMPUTED_VALUE"""),333.35)</f>
        <v>333.35</v>
      </c>
      <c r="F718" s="7">
        <f>IFERROR(__xludf.DUMMYFUNCTION("""COMPUTED_VALUE"""),8580998.0)</f>
        <v>8580998</v>
      </c>
      <c r="G718" s="7" t="str">
        <f>IFERROR(__xludf.DUMMYFUNCTION("""COMPUTED_VALUE"""),"NTPC.NS")</f>
        <v>NTPC.NS</v>
      </c>
      <c r="H718" s="8">
        <f t="shared" si="1"/>
        <v>0.009845501363</v>
      </c>
      <c r="I718" s="8">
        <f t="shared" si="2"/>
        <v>0.009845501363</v>
      </c>
      <c r="J718" s="7" t="str">
        <f t="shared" si="3"/>
        <v>Dec-2024</v>
      </c>
      <c r="K718" s="9">
        <f t="shared" si="4"/>
        <v>45627</v>
      </c>
      <c r="L718" s="7" t="str">
        <f t="shared" si="5"/>
        <v/>
      </c>
      <c r="M718" s="7" t="str">
        <f>IFERROR(__xludf.DUMMYFUNCTION("IFERROR(
  IF(
    F718 &gt;
    3*AVERAGE(
       FILTER($F$2:$F10491,
         $G$2:$G10491=G718,
         $A$2:$A10491&gt;=A718-20,
         $A$2:$A10491&lt;=A718
       )
    ),
    ""VOL_SPIKE_3X"",""""
  ),
"""")
"),"")</f>
        <v/>
      </c>
      <c r="N718" s="7" t="str">
        <f t="shared" si="6"/>
        <v/>
      </c>
      <c r="O718" s="7" t="str">
        <f t="shared" si="7"/>
        <v/>
      </c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>
        <f>IFERROR(__xludf.DUMMYFUNCTION("""COMPUTED_VALUE"""),45657.0)</f>
        <v>45657</v>
      </c>
      <c r="B719" s="6">
        <f>IFERROR(__xludf.DUMMYFUNCTION("""COMPUTED_VALUE"""),232.65)</f>
        <v>232.65</v>
      </c>
      <c r="C719" s="6">
        <f>IFERROR(__xludf.DUMMYFUNCTION("""COMPUTED_VALUE"""),239.9)</f>
        <v>239.9</v>
      </c>
      <c r="D719" s="6">
        <f>IFERROR(__xludf.DUMMYFUNCTION("""COMPUTED_VALUE"""),232.35)</f>
        <v>232.35</v>
      </c>
      <c r="E719" s="6">
        <f>IFERROR(__xludf.DUMMYFUNCTION("""COMPUTED_VALUE"""),239.25)</f>
        <v>239.25</v>
      </c>
      <c r="F719" s="7">
        <f>IFERROR(__xludf.DUMMYFUNCTION("""COMPUTED_VALUE"""),1.2004845E7)</f>
        <v>12004845</v>
      </c>
      <c r="G719" s="7" t="str">
        <f>IFERROR(__xludf.DUMMYFUNCTION("""COMPUTED_VALUE"""),"ONGC.NS")</f>
        <v>ONGC.NS</v>
      </c>
      <c r="H719" s="8">
        <f t="shared" si="1"/>
        <v>0.02836879433</v>
      </c>
      <c r="I719" s="8">
        <f t="shared" si="2"/>
        <v>0.02836879433</v>
      </c>
      <c r="J719" s="7" t="str">
        <f t="shared" si="3"/>
        <v>Dec-2024</v>
      </c>
      <c r="K719" s="9">
        <f t="shared" si="4"/>
        <v>45627</v>
      </c>
      <c r="L719" s="7" t="str">
        <f t="shared" si="5"/>
        <v/>
      </c>
      <c r="M719" s="7" t="str">
        <f>IFERROR(__xludf.DUMMYFUNCTION("IFERROR(
  IF(
    F719 &gt;
    3*AVERAGE(
       FILTER($F$2:$F10491,
         $G$2:$G10491=G719,
         $A$2:$A10491&gt;=A719-20,
         $A$2:$A10491&lt;=A719
       )
    ),
    ""VOL_SPIKE_3X"",""""
  ),
"""")
"),"")</f>
        <v/>
      </c>
      <c r="N719" s="7" t="str">
        <f t="shared" si="6"/>
        <v/>
      </c>
      <c r="O719" s="7" t="str">
        <f t="shared" si="7"/>
        <v/>
      </c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>
        <f>IFERROR(__xludf.DUMMYFUNCTION("""COMPUTED_VALUE"""),45657.0)</f>
        <v>45657</v>
      </c>
      <c r="B720" s="6">
        <f>IFERROR(__xludf.DUMMYFUNCTION("""COMPUTED_VALUE"""),307.35)</f>
        <v>307.35</v>
      </c>
      <c r="C720" s="6">
        <f>IFERROR(__xludf.DUMMYFUNCTION("""COMPUTED_VALUE"""),309.75)</f>
        <v>309.75</v>
      </c>
      <c r="D720" s="6">
        <f>IFERROR(__xludf.DUMMYFUNCTION("""COMPUTED_VALUE"""),305.15)</f>
        <v>305.15</v>
      </c>
      <c r="E720" s="6">
        <f>IFERROR(__xludf.DUMMYFUNCTION("""COMPUTED_VALUE"""),308.7)</f>
        <v>308.7</v>
      </c>
      <c r="F720" s="7">
        <f>IFERROR(__xludf.DUMMYFUNCTION("""COMPUTED_VALUE"""),8402716.0)</f>
        <v>8402716</v>
      </c>
      <c r="G720" s="7" t="str">
        <f>IFERROR(__xludf.DUMMYFUNCTION("""COMPUTED_VALUE"""),"POWERGRID.NS")</f>
        <v>POWERGRID.NS</v>
      </c>
      <c r="H720" s="8">
        <f t="shared" si="1"/>
        <v>0.00439238653</v>
      </c>
      <c r="I720" s="8">
        <f t="shared" si="2"/>
        <v>0.00439238653</v>
      </c>
      <c r="J720" s="7" t="str">
        <f t="shared" si="3"/>
        <v>Dec-2024</v>
      </c>
      <c r="K720" s="9">
        <f t="shared" si="4"/>
        <v>45627</v>
      </c>
      <c r="L720" s="7" t="str">
        <f t="shared" si="5"/>
        <v/>
      </c>
      <c r="M720" s="7" t="str">
        <f>IFERROR(__xludf.DUMMYFUNCTION("IFERROR(
  IF(
    F720 &gt;
    3*AVERAGE(
       FILTER($F$2:$F10491,
         $G$2:$G10491=G720,
         $A$2:$A10491&gt;=A720-20,
         $A$2:$A10491&lt;=A720
       )
    ),
    ""VOL_SPIKE_3X"",""""
  ),
"""")
"),"")</f>
        <v/>
      </c>
      <c r="N720" s="7" t="str">
        <f t="shared" si="6"/>
        <v/>
      </c>
      <c r="O720" s="7" t="str">
        <f t="shared" si="7"/>
        <v/>
      </c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>
        <f>IFERROR(__xludf.DUMMYFUNCTION("""COMPUTED_VALUE"""),45657.0)</f>
        <v>45657</v>
      </c>
      <c r="B721" s="6">
        <f>IFERROR(__xludf.DUMMYFUNCTION("""COMPUTED_VALUE"""),1208.0)</f>
        <v>1208</v>
      </c>
      <c r="C721" s="6">
        <f>IFERROR(__xludf.DUMMYFUNCTION("""COMPUTED_VALUE"""),1219.1)</f>
        <v>1219.1</v>
      </c>
      <c r="D721" s="6">
        <f>IFERROR(__xludf.DUMMYFUNCTION("""COMPUTED_VALUE"""),1206.15)</f>
        <v>1206.15</v>
      </c>
      <c r="E721" s="6">
        <f>IFERROR(__xludf.DUMMYFUNCTION("""COMPUTED_VALUE"""),1215.45)</f>
        <v>1215.45</v>
      </c>
      <c r="F721" s="7">
        <f>IFERROR(__xludf.DUMMYFUNCTION("""COMPUTED_VALUE"""),6405475.0)</f>
        <v>6405475</v>
      </c>
      <c r="G721" s="7" t="str">
        <f>IFERROR(__xludf.DUMMYFUNCTION("""COMPUTED_VALUE"""),"RELIANCE.NS")</f>
        <v>RELIANCE.NS</v>
      </c>
      <c r="H721" s="8">
        <f t="shared" si="1"/>
        <v>0.006167218543</v>
      </c>
      <c r="I721" s="8">
        <f t="shared" si="2"/>
        <v>0.006167218543</v>
      </c>
      <c r="J721" s="7" t="str">
        <f t="shared" si="3"/>
        <v>Dec-2024</v>
      </c>
      <c r="K721" s="9">
        <f t="shared" si="4"/>
        <v>45627</v>
      </c>
      <c r="L721" s="7" t="str">
        <f t="shared" si="5"/>
        <v/>
      </c>
      <c r="M721" s="7" t="str">
        <f>IFERROR(__xludf.DUMMYFUNCTION("IFERROR(
  IF(
    F721 &gt;
    3*AVERAGE(
       FILTER($F$2:$F10491,
         $G$2:$G10491=G721,
         $A$2:$A10491&gt;=A721-20,
         $A$2:$A10491&lt;=A721
       )
    ),
    ""VOL_SPIKE_3X"",""""
  ),
"""")
"),"")</f>
        <v/>
      </c>
      <c r="N721" s="7" t="str">
        <f t="shared" si="6"/>
        <v/>
      </c>
      <c r="O721" s="7" t="str">
        <f t="shared" si="7"/>
        <v/>
      </c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>
        <f>IFERROR(__xludf.DUMMYFUNCTION("""COMPUTED_VALUE"""),45658.0)</f>
        <v>45658</v>
      </c>
      <c r="B722" s="6">
        <f>IFERROR(__xludf.DUMMYFUNCTION("""COMPUTED_VALUE"""),808.8)</f>
        <v>808.8</v>
      </c>
      <c r="C722" s="6">
        <f>IFERROR(__xludf.DUMMYFUNCTION("""COMPUTED_VALUE"""),819.9)</f>
        <v>819.9</v>
      </c>
      <c r="D722" s="6">
        <f>IFERROR(__xludf.DUMMYFUNCTION("""COMPUTED_VALUE"""),800.95)</f>
        <v>800.95</v>
      </c>
      <c r="E722" s="6">
        <f>IFERROR(__xludf.DUMMYFUNCTION("""COMPUTED_VALUE"""),805.45)</f>
        <v>805.45</v>
      </c>
      <c r="F722" s="7">
        <f>IFERROR(__xludf.DUMMYFUNCTION("""COMPUTED_VALUE"""),1104434.0)</f>
        <v>1104434</v>
      </c>
      <c r="G722" s="7" t="str">
        <f>IFERROR(__xludf.DUMMYFUNCTION("""COMPUTED_VALUE"""),"ADANIENSOL.NS")</f>
        <v>ADANIENSOL.NS</v>
      </c>
      <c r="H722" s="8">
        <f t="shared" si="1"/>
        <v>-0.004141938675</v>
      </c>
      <c r="I722" s="8">
        <f t="shared" si="2"/>
        <v>0.004141938675</v>
      </c>
      <c r="J722" s="7" t="str">
        <f t="shared" si="3"/>
        <v>Jan-2025</v>
      </c>
      <c r="K722" s="9">
        <f t="shared" si="4"/>
        <v>45658</v>
      </c>
      <c r="L722" s="7" t="str">
        <f t="shared" si="5"/>
        <v/>
      </c>
      <c r="M722" s="7" t="str">
        <f>IFERROR(__xludf.DUMMYFUNCTION("IFERROR(
  IF(
    F722 &gt;
    3*AVERAGE(
       FILTER($F$2:$F10491,
         $G$2:$G10491=G722,
         $A$2:$A10491&gt;=A722-20,
         $A$2:$A10491&lt;=A722
       )
    ),
    ""VOL_SPIKE_3X"",""""
  ),
"""")
"),"")</f>
        <v/>
      </c>
      <c r="N722" s="7" t="str">
        <f t="shared" si="6"/>
        <v/>
      </c>
      <c r="O722" s="7" t="str">
        <f t="shared" si="7"/>
        <v/>
      </c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>
        <f>IFERROR(__xludf.DUMMYFUNCTION("""COMPUTED_VALUE"""),45658.0)</f>
        <v>45658</v>
      </c>
      <c r="B723" s="6">
        <f>IFERROR(__xludf.DUMMYFUNCTION("""COMPUTED_VALUE"""),1040.7)</f>
        <v>1040.7</v>
      </c>
      <c r="C723" s="6">
        <f>IFERROR(__xludf.DUMMYFUNCTION("""COMPUTED_VALUE"""),1060.0)</f>
        <v>1060</v>
      </c>
      <c r="D723" s="6">
        <f>IFERROR(__xludf.DUMMYFUNCTION("""COMPUTED_VALUE"""),1038.95)</f>
        <v>1038.95</v>
      </c>
      <c r="E723" s="6">
        <f>IFERROR(__xludf.DUMMYFUNCTION("""COMPUTED_VALUE"""),1046.4)</f>
        <v>1046.4</v>
      </c>
      <c r="F723" s="7">
        <f>IFERROR(__xludf.DUMMYFUNCTION("""COMPUTED_VALUE"""),1560588.0)</f>
        <v>1560588</v>
      </c>
      <c r="G723" s="7" t="str">
        <f>IFERROR(__xludf.DUMMYFUNCTION("""COMPUTED_VALUE"""),"ADANIGREEN.NS")</f>
        <v>ADANIGREEN.NS</v>
      </c>
      <c r="H723" s="8">
        <f t="shared" si="1"/>
        <v>0.005477082733</v>
      </c>
      <c r="I723" s="8">
        <f t="shared" si="2"/>
        <v>0.005477082733</v>
      </c>
      <c r="J723" s="7" t="str">
        <f t="shared" si="3"/>
        <v>Jan-2025</v>
      </c>
      <c r="K723" s="9">
        <f t="shared" si="4"/>
        <v>45658</v>
      </c>
      <c r="L723" s="7" t="str">
        <f t="shared" si="5"/>
        <v/>
      </c>
      <c r="M723" s="7" t="str">
        <f>IFERROR(__xludf.DUMMYFUNCTION("IFERROR(
  IF(
    F723 &gt;
    3*AVERAGE(
       FILTER($F$2:$F10491,
         $G$2:$G10491=G723,
         $A$2:$A10491&gt;=A723-20,
         $A$2:$A10491&lt;=A723
       )
    ),
    ""VOL_SPIKE_3X"",""""
  ),
"""")
"),"")</f>
        <v/>
      </c>
      <c r="N723" s="7" t="str">
        <f t="shared" si="6"/>
        <v/>
      </c>
      <c r="O723" s="7" t="str">
        <f t="shared" si="7"/>
        <v/>
      </c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>
        <f>IFERROR(__xludf.DUMMYFUNCTION("""COMPUTED_VALUE"""),45658.0)</f>
        <v>45658</v>
      </c>
      <c r="B724" s="6">
        <f>IFERROR(__xludf.DUMMYFUNCTION("""COMPUTED_VALUE"""),292.3)</f>
        <v>292.3</v>
      </c>
      <c r="C724" s="6">
        <f>IFERROR(__xludf.DUMMYFUNCTION("""COMPUTED_VALUE"""),295.9)</f>
        <v>295.9</v>
      </c>
      <c r="D724" s="6">
        <f>IFERROR(__xludf.DUMMYFUNCTION("""COMPUTED_VALUE"""),290.3)</f>
        <v>290.3</v>
      </c>
      <c r="E724" s="6">
        <f>IFERROR(__xludf.DUMMYFUNCTION("""COMPUTED_VALUE"""),295.3)</f>
        <v>295.3</v>
      </c>
      <c r="F724" s="7">
        <f>IFERROR(__xludf.DUMMYFUNCTION("""COMPUTED_VALUE"""),3545200.0)</f>
        <v>3545200</v>
      </c>
      <c r="G724" s="7" t="str">
        <f>IFERROR(__xludf.DUMMYFUNCTION("""COMPUTED_VALUE"""),"BPCL.NS")</f>
        <v>BPCL.NS</v>
      </c>
      <c r="H724" s="8">
        <f t="shared" si="1"/>
        <v>0.01026342798</v>
      </c>
      <c r="I724" s="8">
        <f t="shared" si="2"/>
        <v>0.01026342798</v>
      </c>
      <c r="J724" s="7" t="str">
        <f t="shared" si="3"/>
        <v>Jan-2025</v>
      </c>
      <c r="K724" s="9">
        <f t="shared" si="4"/>
        <v>45658</v>
      </c>
      <c r="L724" s="7" t="str">
        <f t="shared" si="5"/>
        <v/>
      </c>
      <c r="M724" s="7" t="str">
        <f>IFERROR(__xludf.DUMMYFUNCTION("IFERROR(
  IF(
    F724 &gt;
    3*AVERAGE(
       FILTER($F$2:$F10491,
         $G$2:$G10491=G724,
         $A$2:$A10491&gt;=A724-20,
         $A$2:$A10491&lt;=A724
       )
    ),
    ""VOL_SPIKE_3X"",""""
  ),
"""")
"),"")</f>
        <v/>
      </c>
      <c r="N724" s="7" t="str">
        <f t="shared" si="6"/>
        <v/>
      </c>
      <c r="O724" s="7" t="str">
        <f t="shared" si="7"/>
        <v/>
      </c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>
        <f>IFERROR(__xludf.DUMMYFUNCTION("""COMPUTED_VALUE"""),45658.0)</f>
        <v>45658</v>
      </c>
      <c r="B725" s="6">
        <f>IFERROR(__xludf.DUMMYFUNCTION("""COMPUTED_VALUE"""),383.55)</f>
        <v>383.55</v>
      </c>
      <c r="C725" s="6">
        <f>IFERROR(__xludf.DUMMYFUNCTION("""COMPUTED_VALUE"""),388.15)</f>
        <v>388.15</v>
      </c>
      <c r="D725" s="6">
        <f>IFERROR(__xludf.DUMMYFUNCTION("""COMPUTED_VALUE"""),382.5)</f>
        <v>382.5</v>
      </c>
      <c r="E725" s="6">
        <f>IFERROR(__xludf.DUMMYFUNCTION("""COMPUTED_VALUE"""),386.4)</f>
        <v>386.4</v>
      </c>
      <c r="F725" s="7">
        <f>IFERROR(__xludf.DUMMYFUNCTION("""COMPUTED_VALUE"""),3584876.0)</f>
        <v>3584876</v>
      </c>
      <c r="G725" s="7" t="str">
        <f>IFERROR(__xludf.DUMMYFUNCTION("""COMPUTED_VALUE"""),"COALINDIA.NS")</f>
        <v>COALINDIA.NS</v>
      </c>
      <c r="H725" s="8">
        <f t="shared" si="1"/>
        <v>0.007430582714</v>
      </c>
      <c r="I725" s="8">
        <f t="shared" si="2"/>
        <v>0.007430582714</v>
      </c>
      <c r="J725" s="7" t="str">
        <f t="shared" si="3"/>
        <v>Jan-2025</v>
      </c>
      <c r="K725" s="9">
        <f t="shared" si="4"/>
        <v>45658</v>
      </c>
      <c r="L725" s="7" t="str">
        <f t="shared" si="5"/>
        <v/>
      </c>
      <c r="M725" s="7" t="str">
        <f>IFERROR(__xludf.DUMMYFUNCTION("IFERROR(
  IF(
    F725 &gt;
    3*AVERAGE(
       FILTER($F$2:$F10491,
         $G$2:$G10491=G725,
         $A$2:$A10491&gt;=A725-20,
         $A$2:$A10491&lt;=A725
       )
    ),
    ""VOL_SPIKE_3X"",""""
  ),
"""")
"),"")</f>
        <v/>
      </c>
      <c r="N725" s="7" t="str">
        <f t="shared" si="6"/>
        <v/>
      </c>
      <c r="O725" s="7" t="str">
        <f t="shared" si="7"/>
        <v/>
      </c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>
        <f>IFERROR(__xludf.DUMMYFUNCTION("""COMPUTED_VALUE"""),45658.0)</f>
        <v>45658</v>
      </c>
      <c r="B726" s="6">
        <f>IFERROR(__xludf.DUMMYFUNCTION("""COMPUTED_VALUE"""),410.0)</f>
        <v>410</v>
      </c>
      <c r="C726" s="6">
        <f>IFERROR(__xludf.DUMMYFUNCTION("""COMPUTED_VALUE"""),414.0)</f>
        <v>414</v>
      </c>
      <c r="D726" s="6">
        <f>IFERROR(__xludf.DUMMYFUNCTION("""COMPUTED_VALUE"""),404.7)</f>
        <v>404.7</v>
      </c>
      <c r="E726" s="6">
        <f>IFERROR(__xludf.DUMMYFUNCTION("""COMPUTED_VALUE"""),412.35)</f>
        <v>412.35</v>
      </c>
      <c r="F726" s="7">
        <f>IFERROR(__xludf.DUMMYFUNCTION("""COMPUTED_VALUE"""),2185656.0)</f>
        <v>2185656</v>
      </c>
      <c r="G726" s="7" t="str">
        <f>IFERROR(__xludf.DUMMYFUNCTION("""COMPUTED_VALUE"""),"HINDPETRO.NS")</f>
        <v>HINDPETRO.NS</v>
      </c>
      <c r="H726" s="8">
        <f t="shared" si="1"/>
        <v>0.005731707317</v>
      </c>
      <c r="I726" s="8">
        <f t="shared" si="2"/>
        <v>0.005731707317</v>
      </c>
      <c r="J726" s="7" t="str">
        <f t="shared" si="3"/>
        <v>Jan-2025</v>
      </c>
      <c r="K726" s="9">
        <f t="shared" si="4"/>
        <v>45658</v>
      </c>
      <c r="L726" s="7" t="str">
        <f t="shared" si="5"/>
        <v/>
      </c>
      <c r="M726" s="7" t="str">
        <f>IFERROR(__xludf.DUMMYFUNCTION("IFERROR(
  IF(
    F726 &gt;
    3*AVERAGE(
       FILTER($F$2:$F10491,
         $G$2:$G10491=G726,
         $A$2:$A10491&gt;=A726-20,
         $A$2:$A10491&lt;=A726
       )
    ),
    ""VOL_SPIKE_3X"",""""
  ),
"""")
"),"")</f>
        <v/>
      </c>
      <c r="N726" s="7" t="str">
        <f t="shared" si="6"/>
        <v/>
      </c>
      <c r="O726" s="7" t="str">
        <f t="shared" si="7"/>
        <v/>
      </c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>
        <f>IFERROR(__xludf.DUMMYFUNCTION("""COMPUTED_VALUE"""),45658.0)</f>
        <v>45658</v>
      </c>
      <c r="B727" s="6">
        <f>IFERROR(__xludf.DUMMYFUNCTION("""COMPUTED_VALUE"""),135.8)</f>
        <v>135.8</v>
      </c>
      <c r="C727" s="6">
        <f>IFERROR(__xludf.DUMMYFUNCTION("""COMPUTED_VALUE"""),137.36)</f>
        <v>137.36</v>
      </c>
      <c r="D727" s="6">
        <f>IFERROR(__xludf.DUMMYFUNCTION("""COMPUTED_VALUE"""),135.7)</f>
        <v>135.7</v>
      </c>
      <c r="E727" s="6">
        <f>IFERROR(__xludf.DUMMYFUNCTION("""COMPUTED_VALUE"""),137.04)</f>
        <v>137.04</v>
      </c>
      <c r="F727" s="7">
        <f>IFERROR(__xludf.DUMMYFUNCTION("""COMPUTED_VALUE"""),4144374.0)</f>
        <v>4144374</v>
      </c>
      <c r="G727" s="7" t="str">
        <f>IFERROR(__xludf.DUMMYFUNCTION("""COMPUTED_VALUE"""),"IOC.NS")</f>
        <v>IOC.NS</v>
      </c>
      <c r="H727" s="8">
        <f t="shared" si="1"/>
        <v>0.00913107511</v>
      </c>
      <c r="I727" s="8">
        <f t="shared" si="2"/>
        <v>0.00913107511</v>
      </c>
      <c r="J727" s="7" t="str">
        <f t="shared" si="3"/>
        <v>Jan-2025</v>
      </c>
      <c r="K727" s="9">
        <f t="shared" si="4"/>
        <v>45658</v>
      </c>
      <c r="L727" s="7" t="str">
        <f t="shared" si="5"/>
        <v/>
      </c>
      <c r="M727" s="7" t="str">
        <f>IFERROR(__xludf.DUMMYFUNCTION("IFERROR(
  IF(
    F727 &gt;
    3*AVERAGE(
       FILTER($F$2:$F10491,
         $G$2:$G10491=G727,
         $A$2:$A10491&gt;=A727-20,
         $A$2:$A10491&lt;=A727
       )
    ),
    ""VOL_SPIKE_3X"",""""
  ),
"""")
"),"")</f>
        <v/>
      </c>
      <c r="N727" s="7" t="str">
        <f t="shared" si="6"/>
        <v/>
      </c>
      <c r="O727" s="7" t="str">
        <f t="shared" si="7"/>
        <v/>
      </c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>
        <f>IFERROR(__xludf.DUMMYFUNCTION("""COMPUTED_VALUE"""),45658.0)</f>
        <v>45658</v>
      </c>
      <c r="B728" s="6">
        <f>IFERROR(__xludf.DUMMYFUNCTION("""COMPUTED_VALUE"""),333.0)</f>
        <v>333</v>
      </c>
      <c r="C728" s="6">
        <f>IFERROR(__xludf.DUMMYFUNCTION("""COMPUTED_VALUE"""),334.65)</f>
        <v>334.65</v>
      </c>
      <c r="D728" s="6">
        <f>IFERROR(__xludf.DUMMYFUNCTION("""COMPUTED_VALUE"""),328.8)</f>
        <v>328.8</v>
      </c>
      <c r="E728" s="6">
        <f>IFERROR(__xludf.DUMMYFUNCTION("""COMPUTED_VALUE"""),333.65)</f>
        <v>333.65</v>
      </c>
      <c r="F728" s="7">
        <f>IFERROR(__xludf.DUMMYFUNCTION("""COMPUTED_VALUE"""),7843971.0)</f>
        <v>7843971</v>
      </c>
      <c r="G728" s="7" t="str">
        <f>IFERROR(__xludf.DUMMYFUNCTION("""COMPUTED_VALUE"""),"NTPC.NS")</f>
        <v>NTPC.NS</v>
      </c>
      <c r="H728" s="8">
        <f t="shared" si="1"/>
        <v>0.001951951952</v>
      </c>
      <c r="I728" s="8">
        <f t="shared" si="2"/>
        <v>0.001951951952</v>
      </c>
      <c r="J728" s="7" t="str">
        <f t="shared" si="3"/>
        <v>Jan-2025</v>
      </c>
      <c r="K728" s="9">
        <f t="shared" si="4"/>
        <v>45658</v>
      </c>
      <c r="L728" s="7" t="str">
        <f t="shared" si="5"/>
        <v/>
      </c>
      <c r="M728" s="7" t="str">
        <f>IFERROR(__xludf.DUMMYFUNCTION("IFERROR(
  IF(
    F728 &gt;
    3*AVERAGE(
       FILTER($F$2:$F10491,
         $G$2:$G10491=G728,
         $A$2:$A10491&gt;=A728-20,
         $A$2:$A10491&lt;=A728
       )
    ),
    ""VOL_SPIKE_3X"",""""
  ),
"""")
"),"")</f>
        <v/>
      </c>
      <c r="N728" s="7" t="str">
        <f t="shared" si="6"/>
        <v/>
      </c>
      <c r="O728" s="7" t="str">
        <f t="shared" si="7"/>
        <v/>
      </c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>
        <f>IFERROR(__xludf.DUMMYFUNCTION("""COMPUTED_VALUE"""),45658.0)</f>
        <v>45658</v>
      </c>
      <c r="B729" s="6">
        <f>IFERROR(__xludf.DUMMYFUNCTION("""COMPUTED_VALUE"""),237.81)</f>
        <v>237.81</v>
      </c>
      <c r="C729" s="6">
        <f>IFERROR(__xludf.DUMMYFUNCTION("""COMPUTED_VALUE"""),239.24)</f>
        <v>239.24</v>
      </c>
      <c r="D729" s="6">
        <f>IFERROR(__xludf.DUMMYFUNCTION("""COMPUTED_VALUE"""),236.35)</f>
        <v>236.35</v>
      </c>
      <c r="E729" s="6">
        <f>IFERROR(__xludf.DUMMYFUNCTION("""COMPUTED_VALUE"""),236.95)</f>
        <v>236.95</v>
      </c>
      <c r="F729" s="7">
        <f>IFERROR(__xludf.DUMMYFUNCTION("""COMPUTED_VALUE"""),9418453.0)</f>
        <v>9418453</v>
      </c>
      <c r="G729" s="7" t="str">
        <f>IFERROR(__xludf.DUMMYFUNCTION("""COMPUTED_VALUE"""),"ONGC.NS")</f>
        <v>ONGC.NS</v>
      </c>
      <c r="H729" s="8">
        <f t="shared" si="1"/>
        <v>-0.003616332366</v>
      </c>
      <c r="I729" s="8">
        <f t="shared" si="2"/>
        <v>0.003616332366</v>
      </c>
      <c r="J729" s="7" t="str">
        <f t="shared" si="3"/>
        <v>Jan-2025</v>
      </c>
      <c r="K729" s="9">
        <f t="shared" si="4"/>
        <v>45658</v>
      </c>
      <c r="L729" s="7" t="str">
        <f t="shared" si="5"/>
        <v/>
      </c>
      <c r="M729" s="7" t="str">
        <f>IFERROR(__xludf.DUMMYFUNCTION("IFERROR(
  IF(
    F729 &gt;
    3*AVERAGE(
       FILTER($F$2:$F10491,
         $G$2:$G10491=G729,
         $A$2:$A10491&gt;=A729-20,
         $A$2:$A10491&lt;=A729
       )
    ),
    ""VOL_SPIKE_3X"",""""
  ),
"""")
"),"")</f>
        <v/>
      </c>
      <c r="N729" s="7" t="str">
        <f t="shared" si="6"/>
        <v/>
      </c>
      <c r="O729" s="7" t="str">
        <f t="shared" si="7"/>
        <v/>
      </c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>
        <f>IFERROR(__xludf.DUMMYFUNCTION("""COMPUTED_VALUE"""),45658.0)</f>
        <v>45658</v>
      </c>
      <c r="B730" s="6">
        <f>IFERROR(__xludf.DUMMYFUNCTION("""COMPUTED_VALUE"""),308.7)</f>
        <v>308.7</v>
      </c>
      <c r="C730" s="6">
        <f>IFERROR(__xludf.DUMMYFUNCTION("""COMPUTED_VALUE"""),311.35)</f>
        <v>311.35</v>
      </c>
      <c r="D730" s="6">
        <f>IFERROR(__xludf.DUMMYFUNCTION("""COMPUTED_VALUE"""),305.9)</f>
        <v>305.9</v>
      </c>
      <c r="E730" s="6">
        <f>IFERROR(__xludf.DUMMYFUNCTION("""COMPUTED_VALUE"""),310.4)</f>
        <v>310.4</v>
      </c>
      <c r="F730" s="7">
        <f>IFERROR(__xludf.DUMMYFUNCTION("""COMPUTED_VALUE"""),4239498.0)</f>
        <v>4239498</v>
      </c>
      <c r="G730" s="7" t="str">
        <f>IFERROR(__xludf.DUMMYFUNCTION("""COMPUTED_VALUE"""),"POWERGRID.NS")</f>
        <v>POWERGRID.NS</v>
      </c>
      <c r="H730" s="8">
        <f t="shared" si="1"/>
        <v>0.005506964691</v>
      </c>
      <c r="I730" s="8">
        <f t="shared" si="2"/>
        <v>0.005506964691</v>
      </c>
      <c r="J730" s="7" t="str">
        <f t="shared" si="3"/>
        <v>Jan-2025</v>
      </c>
      <c r="K730" s="9">
        <f t="shared" si="4"/>
        <v>45658</v>
      </c>
      <c r="L730" s="7" t="str">
        <f t="shared" si="5"/>
        <v/>
      </c>
      <c r="M730" s="7" t="str">
        <f>IFERROR(__xludf.DUMMYFUNCTION("IFERROR(
  IF(
    F730 &gt;
    3*AVERAGE(
       FILTER($F$2:$F10491,
         $G$2:$G10491=G730,
         $A$2:$A10491&gt;=A730-20,
         $A$2:$A10491&lt;=A730
       )
    ),
    ""VOL_SPIKE_3X"",""""
  ),
"""")
"),"")</f>
        <v/>
      </c>
      <c r="N730" s="7" t="str">
        <f t="shared" si="6"/>
        <v/>
      </c>
      <c r="O730" s="7" t="str">
        <f t="shared" si="7"/>
        <v/>
      </c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>
        <f>IFERROR(__xludf.DUMMYFUNCTION("""COMPUTED_VALUE"""),45658.0)</f>
        <v>45658</v>
      </c>
      <c r="B731" s="6">
        <f>IFERROR(__xludf.DUMMYFUNCTION("""COMPUTED_VALUE"""),1214.85)</f>
        <v>1214.85</v>
      </c>
      <c r="C731" s="6">
        <f>IFERROR(__xludf.DUMMYFUNCTION("""COMPUTED_VALUE"""),1226.3)</f>
        <v>1226.3</v>
      </c>
      <c r="D731" s="6">
        <f>IFERROR(__xludf.DUMMYFUNCTION("""COMPUTED_VALUE"""),1211.6)</f>
        <v>1211.6</v>
      </c>
      <c r="E731" s="6">
        <f>IFERROR(__xludf.DUMMYFUNCTION("""COMPUTED_VALUE"""),1221.25)</f>
        <v>1221.25</v>
      </c>
      <c r="F731" s="7">
        <f>IFERROR(__xludf.DUMMYFUNCTION("""COMPUTED_VALUE"""),5892590.0)</f>
        <v>5892590</v>
      </c>
      <c r="G731" s="7" t="str">
        <f>IFERROR(__xludf.DUMMYFUNCTION("""COMPUTED_VALUE"""),"RELIANCE.NS")</f>
        <v>RELIANCE.NS</v>
      </c>
      <c r="H731" s="8">
        <f t="shared" si="1"/>
        <v>0.0052681401</v>
      </c>
      <c r="I731" s="8">
        <f t="shared" si="2"/>
        <v>0.0052681401</v>
      </c>
      <c r="J731" s="7" t="str">
        <f t="shared" si="3"/>
        <v>Jan-2025</v>
      </c>
      <c r="K731" s="9">
        <f t="shared" si="4"/>
        <v>45658</v>
      </c>
      <c r="L731" s="7" t="str">
        <f t="shared" si="5"/>
        <v/>
      </c>
      <c r="M731" s="7" t="str">
        <f>IFERROR(__xludf.DUMMYFUNCTION("IFERROR(
  IF(
    F731 &gt;
    3*AVERAGE(
       FILTER($F$2:$F10491,
         $G$2:$G10491=G731,
         $A$2:$A10491&gt;=A731-20,
         $A$2:$A10491&lt;=A731
       )
    ),
    ""VOL_SPIKE_3X"",""""
  ),
"""")
"),"")</f>
        <v/>
      </c>
      <c r="N731" s="7" t="str">
        <f t="shared" si="6"/>
        <v/>
      </c>
      <c r="O731" s="7" t="str">
        <f t="shared" si="7"/>
        <v/>
      </c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>
        <f>IFERROR(__xludf.DUMMYFUNCTION("""COMPUTED_VALUE"""),45659.0)</f>
        <v>45659</v>
      </c>
      <c r="B732" s="6">
        <f>IFERROR(__xludf.DUMMYFUNCTION("""COMPUTED_VALUE"""),808.0)</f>
        <v>808</v>
      </c>
      <c r="C732" s="6">
        <f>IFERROR(__xludf.DUMMYFUNCTION("""COMPUTED_VALUE"""),810.85)</f>
        <v>810.85</v>
      </c>
      <c r="D732" s="6">
        <f>IFERROR(__xludf.DUMMYFUNCTION("""COMPUTED_VALUE"""),793.5)</f>
        <v>793.5</v>
      </c>
      <c r="E732" s="6">
        <f>IFERROR(__xludf.DUMMYFUNCTION("""COMPUTED_VALUE"""),809.05)</f>
        <v>809.05</v>
      </c>
      <c r="F732" s="7">
        <f>IFERROR(__xludf.DUMMYFUNCTION("""COMPUTED_VALUE"""),877729.0)</f>
        <v>877729</v>
      </c>
      <c r="G732" s="7" t="str">
        <f>IFERROR(__xludf.DUMMYFUNCTION("""COMPUTED_VALUE"""),"ADANIENSOL.NS")</f>
        <v>ADANIENSOL.NS</v>
      </c>
      <c r="H732" s="8">
        <f t="shared" si="1"/>
        <v>0.00129950495</v>
      </c>
      <c r="I732" s="8">
        <f t="shared" si="2"/>
        <v>0.00129950495</v>
      </c>
      <c r="J732" s="7" t="str">
        <f t="shared" si="3"/>
        <v>Jan-2025</v>
      </c>
      <c r="K732" s="9">
        <f t="shared" si="4"/>
        <v>45658</v>
      </c>
      <c r="L732" s="7" t="str">
        <f t="shared" si="5"/>
        <v/>
      </c>
      <c r="M732" s="7" t="str">
        <f>IFERROR(__xludf.DUMMYFUNCTION("IFERROR(
  IF(
    F732 &gt;
    3*AVERAGE(
       FILTER($F$2:$F10491,
         $G$2:$G10491=G732,
         $A$2:$A10491&gt;=A732-20,
         $A$2:$A10491&lt;=A732
       )
    ),
    ""VOL_SPIKE_3X"",""""
  ),
"""")
"),"")</f>
        <v/>
      </c>
      <c r="N732" s="7" t="str">
        <f t="shared" si="6"/>
        <v/>
      </c>
      <c r="O732" s="7" t="str">
        <f t="shared" si="7"/>
        <v/>
      </c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>
        <f>IFERROR(__xludf.DUMMYFUNCTION("""COMPUTED_VALUE"""),45659.0)</f>
        <v>45659</v>
      </c>
      <c r="B733" s="6">
        <f>IFERROR(__xludf.DUMMYFUNCTION("""COMPUTED_VALUE"""),1048.0)</f>
        <v>1048</v>
      </c>
      <c r="C733" s="6">
        <f>IFERROR(__xludf.DUMMYFUNCTION("""COMPUTED_VALUE"""),1055.9)</f>
        <v>1055.9</v>
      </c>
      <c r="D733" s="6">
        <f>IFERROR(__xludf.DUMMYFUNCTION("""COMPUTED_VALUE"""),1035.0)</f>
        <v>1035</v>
      </c>
      <c r="E733" s="6">
        <f>IFERROR(__xludf.DUMMYFUNCTION("""COMPUTED_VALUE"""),1046.5)</f>
        <v>1046.5</v>
      </c>
      <c r="F733" s="7">
        <f>IFERROR(__xludf.DUMMYFUNCTION("""COMPUTED_VALUE"""),1415783.0)</f>
        <v>1415783</v>
      </c>
      <c r="G733" s="7" t="str">
        <f>IFERROR(__xludf.DUMMYFUNCTION("""COMPUTED_VALUE"""),"ADANIGREEN.NS")</f>
        <v>ADANIGREEN.NS</v>
      </c>
      <c r="H733" s="8">
        <f t="shared" si="1"/>
        <v>-0.00143129771</v>
      </c>
      <c r="I733" s="8">
        <f t="shared" si="2"/>
        <v>0.00143129771</v>
      </c>
      <c r="J733" s="7" t="str">
        <f t="shared" si="3"/>
        <v>Jan-2025</v>
      </c>
      <c r="K733" s="9">
        <f t="shared" si="4"/>
        <v>45658</v>
      </c>
      <c r="L733" s="7" t="str">
        <f t="shared" si="5"/>
        <v/>
      </c>
      <c r="M733" s="7" t="str">
        <f>IFERROR(__xludf.DUMMYFUNCTION("IFERROR(
  IF(
    F733 &gt;
    3*AVERAGE(
       FILTER($F$2:$F10491,
         $G$2:$G10491=G733,
         $A$2:$A10491&gt;=A733-20,
         $A$2:$A10491&lt;=A733
       )
    ),
    ""VOL_SPIKE_3X"",""""
  ),
"""")
"),"")</f>
        <v/>
      </c>
      <c r="N733" s="7" t="str">
        <f t="shared" si="6"/>
        <v/>
      </c>
      <c r="O733" s="7" t="str">
        <f t="shared" si="7"/>
        <v/>
      </c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>
        <f>IFERROR(__xludf.DUMMYFUNCTION("""COMPUTED_VALUE"""),45659.0)</f>
        <v>45659</v>
      </c>
      <c r="B734" s="6">
        <f>IFERROR(__xludf.DUMMYFUNCTION("""COMPUTED_VALUE"""),295.3)</f>
        <v>295.3</v>
      </c>
      <c r="C734" s="6">
        <f>IFERROR(__xludf.DUMMYFUNCTION("""COMPUTED_VALUE"""),297.7)</f>
        <v>297.7</v>
      </c>
      <c r="D734" s="6">
        <f>IFERROR(__xludf.DUMMYFUNCTION("""COMPUTED_VALUE"""),291.8)</f>
        <v>291.8</v>
      </c>
      <c r="E734" s="6">
        <f>IFERROR(__xludf.DUMMYFUNCTION("""COMPUTED_VALUE"""),296.9)</f>
        <v>296.9</v>
      </c>
      <c r="F734" s="7">
        <f>IFERROR(__xludf.DUMMYFUNCTION("""COMPUTED_VALUE"""),6846413.0)</f>
        <v>6846413</v>
      </c>
      <c r="G734" s="7" t="str">
        <f>IFERROR(__xludf.DUMMYFUNCTION("""COMPUTED_VALUE"""),"BPCL.NS")</f>
        <v>BPCL.NS</v>
      </c>
      <c r="H734" s="8">
        <f t="shared" si="1"/>
        <v>0.005418218761</v>
      </c>
      <c r="I734" s="8">
        <f t="shared" si="2"/>
        <v>0.005418218761</v>
      </c>
      <c r="J734" s="7" t="str">
        <f t="shared" si="3"/>
        <v>Jan-2025</v>
      </c>
      <c r="K734" s="9">
        <f t="shared" si="4"/>
        <v>45658</v>
      </c>
      <c r="L734" s="7" t="str">
        <f t="shared" si="5"/>
        <v/>
      </c>
      <c r="M734" s="7" t="str">
        <f>IFERROR(__xludf.DUMMYFUNCTION("IFERROR(
  IF(
    F734 &gt;
    3*AVERAGE(
       FILTER($F$2:$F10491,
         $G$2:$G10491=G734,
         $A$2:$A10491&gt;=A734-20,
         $A$2:$A10491&lt;=A734
       )
    ),
    ""VOL_SPIKE_3X"",""""
  ),
"""")
"),"")</f>
        <v/>
      </c>
      <c r="N734" s="7" t="str">
        <f t="shared" si="6"/>
        <v/>
      </c>
      <c r="O734" s="7" t="str">
        <f t="shared" si="7"/>
        <v/>
      </c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>
        <f>IFERROR(__xludf.DUMMYFUNCTION("""COMPUTED_VALUE"""),45659.0)</f>
        <v>45659</v>
      </c>
      <c r="B735" s="6">
        <f>IFERROR(__xludf.DUMMYFUNCTION("""COMPUTED_VALUE"""),388.4)</f>
        <v>388.4</v>
      </c>
      <c r="C735" s="6">
        <f>IFERROR(__xludf.DUMMYFUNCTION("""COMPUTED_VALUE"""),393.95)</f>
        <v>393.95</v>
      </c>
      <c r="D735" s="6">
        <f>IFERROR(__xludf.DUMMYFUNCTION("""COMPUTED_VALUE"""),384.05)</f>
        <v>384.05</v>
      </c>
      <c r="E735" s="6">
        <f>IFERROR(__xludf.DUMMYFUNCTION("""COMPUTED_VALUE"""),392.95)</f>
        <v>392.95</v>
      </c>
      <c r="F735" s="7">
        <f>IFERROR(__xludf.DUMMYFUNCTION("""COMPUTED_VALUE"""),7538972.0)</f>
        <v>7538972</v>
      </c>
      <c r="G735" s="7" t="str">
        <f>IFERROR(__xludf.DUMMYFUNCTION("""COMPUTED_VALUE"""),"COALINDIA.NS")</f>
        <v>COALINDIA.NS</v>
      </c>
      <c r="H735" s="8">
        <f t="shared" si="1"/>
        <v>0.01171472709</v>
      </c>
      <c r="I735" s="8">
        <f t="shared" si="2"/>
        <v>0.01171472709</v>
      </c>
      <c r="J735" s="7" t="str">
        <f t="shared" si="3"/>
        <v>Jan-2025</v>
      </c>
      <c r="K735" s="9">
        <f t="shared" si="4"/>
        <v>45658</v>
      </c>
      <c r="L735" s="7" t="str">
        <f t="shared" si="5"/>
        <v/>
      </c>
      <c r="M735" s="7" t="str">
        <f>IFERROR(__xludf.DUMMYFUNCTION("IFERROR(
  IF(
    F735 &gt;
    3*AVERAGE(
       FILTER($F$2:$F10491,
         $G$2:$G10491=G735,
         $A$2:$A10491&gt;=A735-20,
         $A$2:$A10491&lt;=A735
       )
    ),
    ""VOL_SPIKE_3X"",""""
  ),
"""")
"),"")</f>
        <v/>
      </c>
      <c r="N735" s="7" t="str">
        <f t="shared" si="6"/>
        <v/>
      </c>
      <c r="O735" s="7" t="str">
        <f t="shared" si="7"/>
        <v/>
      </c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>
        <f>IFERROR(__xludf.DUMMYFUNCTION("""COMPUTED_VALUE"""),45659.0)</f>
        <v>45659</v>
      </c>
      <c r="B736" s="6">
        <f>IFERROR(__xludf.DUMMYFUNCTION("""COMPUTED_VALUE"""),412.25)</f>
        <v>412.25</v>
      </c>
      <c r="C736" s="6">
        <f>IFERROR(__xludf.DUMMYFUNCTION("""COMPUTED_VALUE"""),415.8)</f>
        <v>415.8</v>
      </c>
      <c r="D736" s="6">
        <f>IFERROR(__xludf.DUMMYFUNCTION("""COMPUTED_VALUE"""),404.5)</f>
        <v>404.5</v>
      </c>
      <c r="E736" s="6">
        <f>IFERROR(__xludf.DUMMYFUNCTION("""COMPUTED_VALUE"""),412.7)</f>
        <v>412.7</v>
      </c>
      <c r="F736" s="7">
        <f>IFERROR(__xludf.DUMMYFUNCTION("""COMPUTED_VALUE"""),2391474.0)</f>
        <v>2391474</v>
      </c>
      <c r="G736" s="7" t="str">
        <f>IFERROR(__xludf.DUMMYFUNCTION("""COMPUTED_VALUE"""),"HINDPETRO.NS")</f>
        <v>HINDPETRO.NS</v>
      </c>
      <c r="H736" s="8">
        <f t="shared" si="1"/>
        <v>0.001091570649</v>
      </c>
      <c r="I736" s="8">
        <f t="shared" si="2"/>
        <v>0.001091570649</v>
      </c>
      <c r="J736" s="7" t="str">
        <f t="shared" si="3"/>
        <v>Jan-2025</v>
      </c>
      <c r="K736" s="9">
        <f t="shared" si="4"/>
        <v>45658</v>
      </c>
      <c r="L736" s="7" t="str">
        <f t="shared" si="5"/>
        <v/>
      </c>
      <c r="M736" s="7" t="str">
        <f>IFERROR(__xludf.DUMMYFUNCTION("IFERROR(
  IF(
    F736 &gt;
    3*AVERAGE(
       FILTER($F$2:$F10491,
         $G$2:$G10491=G736,
         $A$2:$A10491&gt;=A736-20,
         $A$2:$A10491&lt;=A736
       )
    ),
    ""VOL_SPIKE_3X"",""""
  ),
"""")
"),"")</f>
        <v/>
      </c>
      <c r="N736" s="7" t="str">
        <f t="shared" si="6"/>
        <v/>
      </c>
      <c r="O736" s="7" t="str">
        <f t="shared" si="7"/>
        <v/>
      </c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>
        <f>IFERROR(__xludf.DUMMYFUNCTION("""COMPUTED_VALUE"""),45659.0)</f>
        <v>45659</v>
      </c>
      <c r="B737" s="6">
        <f>IFERROR(__xludf.DUMMYFUNCTION("""COMPUTED_VALUE"""),136.41)</f>
        <v>136.41</v>
      </c>
      <c r="C737" s="6">
        <f>IFERROR(__xludf.DUMMYFUNCTION("""COMPUTED_VALUE"""),138.21)</f>
        <v>138.21</v>
      </c>
      <c r="D737" s="6">
        <f>IFERROR(__xludf.DUMMYFUNCTION("""COMPUTED_VALUE"""),135.65)</f>
        <v>135.65</v>
      </c>
      <c r="E737" s="6">
        <f>IFERROR(__xludf.DUMMYFUNCTION("""COMPUTED_VALUE"""),137.96)</f>
        <v>137.96</v>
      </c>
      <c r="F737" s="7">
        <f>IFERROR(__xludf.DUMMYFUNCTION("""COMPUTED_VALUE"""),1.0625223E7)</f>
        <v>10625223</v>
      </c>
      <c r="G737" s="7" t="str">
        <f>IFERROR(__xludf.DUMMYFUNCTION("""COMPUTED_VALUE"""),"IOC.NS")</f>
        <v>IOC.NS</v>
      </c>
      <c r="H737" s="8">
        <f t="shared" si="1"/>
        <v>0.01136280331</v>
      </c>
      <c r="I737" s="8">
        <f t="shared" si="2"/>
        <v>0.01136280331</v>
      </c>
      <c r="J737" s="7" t="str">
        <f t="shared" si="3"/>
        <v>Jan-2025</v>
      </c>
      <c r="K737" s="9">
        <f t="shared" si="4"/>
        <v>45658</v>
      </c>
      <c r="L737" s="7" t="str">
        <f t="shared" si="5"/>
        <v/>
      </c>
      <c r="M737" s="7" t="str">
        <f>IFERROR(__xludf.DUMMYFUNCTION("IFERROR(
  IF(
    F737 &gt;
    3*AVERAGE(
       FILTER($F$2:$F10491,
         $G$2:$G10491=G737,
         $A$2:$A10491&gt;=A737-20,
         $A$2:$A10491&lt;=A737
       )
    ),
    ""VOL_SPIKE_3X"",""""
  ),
"""")
"),"")</f>
        <v/>
      </c>
      <c r="N737" s="7" t="str">
        <f t="shared" si="6"/>
        <v/>
      </c>
      <c r="O737" s="7" t="str">
        <f t="shared" si="7"/>
        <v/>
      </c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>
        <f>IFERROR(__xludf.DUMMYFUNCTION("""COMPUTED_VALUE"""),45659.0)</f>
        <v>45659</v>
      </c>
      <c r="B738" s="6">
        <f>IFERROR(__xludf.DUMMYFUNCTION("""COMPUTED_VALUE"""),333.65)</f>
        <v>333.65</v>
      </c>
      <c r="C738" s="6">
        <f>IFERROR(__xludf.DUMMYFUNCTION("""COMPUTED_VALUE"""),338.6)</f>
        <v>338.6</v>
      </c>
      <c r="D738" s="6">
        <f>IFERROR(__xludf.DUMMYFUNCTION("""COMPUTED_VALUE"""),330.0)</f>
        <v>330</v>
      </c>
      <c r="E738" s="6">
        <f>IFERROR(__xludf.DUMMYFUNCTION("""COMPUTED_VALUE"""),338.0)</f>
        <v>338</v>
      </c>
      <c r="F738" s="7">
        <f>IFERROR(__xludf.DUMMYFUNCTION("""COMPUTED_VALUE"""),1.6543382E7)</f>
        <v>16543382</v>
      </c>
      <c r="G738" s="7" t="str">
        <f>IFERROR(__xludf.DUMMYFUNCTION("""COMPUTED_VALUE"""),"NTPC.NS")</f>
        <v>NTPC.NS</v>
      </c>
      <c r="H738" s="8">
        <f t="shared" si="1"/>
        <v>0.01303761427</v>
      </c>
      <c r="I738" s="8">
        <f t="shared" si="2"/>
        <v>0.01303761427</v>
      </c>
      <c r="J738" s="7" t="str">
        <f t="shared" si="3"/>
        <v>Jan-2025</v>
      </c>
      <c r="K738" s="9">
        <f t="shared" si="4"/>
        <v>45658</v>
      </c>
      <c r="L738" s="7" t="str">
        <f t="shared" si="5"/>
        <v/>
      </c>
      <c r="M738" s="7" t="str">
        <f>IFERROR(__xludf.DUMMYFUNCTION("IFERROR(
  IF(
    F738 &gt;
    3*AVERAGE(
       FILTER($F$2:$F10491,
         $G$2:$G10491=G738,
         $A$2:$A10491&gt;=A738-20,
         $A$2:$A10491&lt;=A738
       )
    ),
    ""VOL_SPIKE_3X"",""""
  ),
"""")
"),"")</f>
        <v/>
      </c>
      <c r="N738" s="7" t="str">
        <f t="shared" si="6"/>
        <v/>
      </c>
      <c r="O738" s="7" t="str">
        <f t="shared" si="7"/>
        <v/>
      </c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>
        <f>IFERROR(__xludf.DUMMYFUNCTION("""COMPUTED_VALUE"""),45659.0)</f>
        <v>45659</v>
      </c>
      <c r="B739" s="6">
        <f>IFERROR(__xludf.DUMMYFUNCTION("""COMPUTED_VALUE"""),237.05)</f>
        <v>237.05</v>
      </c>
      <c r="C739" s="6">
        <f>IFERROR(__xludf.DUMMYFUNCTION("""COMPUTED_VALUE"""),246.78)</f>
        <v>246.78</v>
      </c>
      <c r="D739" s="6">
        <f>IFERROR(__xludf.DUMMYFUNCTION("""COMPUTED_VALUE"""),237.0)</f>
        <v>237</v>
      </c>
      <c r="E739" s="6">
        <f>IFERROR(__xludf.DUMMYFUNCTION("""COMPUTED_VALUE"""),246.07)</f>
        <v>246.07</v>
      </c>
      <c r="F739" s="7">
        <f>IFERROR(__xludf.DUMMYFUNCTION("""COMPUTED_VALUE"""),1.974581E7)</f>
        <v>19745810</v>
      </c>
      <c r="G739" s="7" t="str">
        <f>IFERROR(__xludf.DUMMYFUNCTION("""COMPUTED_VALUE"""),"ONGC.NS")</f>
        <v>ONGC.NS</v>
      </c>
      <c r="H739" s="8">
        <f t="shared" si="1"/>
        <v>0.03805104408</v>
      </c>
      <c r="I739" s="8">
        <f t="shared" si="2"/>
        <v>0.03805104408</v>
      </c>
      <c r="J739" s="7" t="str">
        <f t="shared" si="3"/>
        <v>Jan-2025</v>
      </c>
      <c r="K739" s="9">
        <f t="shared" si="4"/>
        <v>45658</v>
      </c>
      <c r="L739" s="7" t="str">
        <f t="shared" si="5"/>
        <v/>
      </c>
      <c r="M739" s="7" t="str">
        <f>IFERROR(__xludf.DUMMYFUNCTION("IFERROR(
  IF(
    F739 &gt;
    3*AVERAGE(
       FILTER($F$2:$F10491,
         $G$2:$G10491=G739,
         $A$2:$A10491&gt;=A739-20,
         $A$2:$A10491&lt;=A739
       )
    ),
    ""VOL_SPIKE_3X"",""""
  ),
"""")
"),"")</f>
        <v/>
      </c>
      <c r="N739" s="7" t="str">
        <f t="shared" si="6"/>
        <v/>
      </c>
      <c r="O739" s="7" t="str">
        <f t="shared" si="7"/>
        <v/>
      </c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>
        <f>IFERROR(__xludf.DUMMYFUNCTION("""COMPUTED_VALUE"""),45659.0)</f>
        <v>45659</v>
      </c>
      <c r="B740" s="6">
        <f>IFERROR(__xludf.DUMMYFUNCTION("""COMPUTED_VALUE"""),309.85)</f>
        <v>309.85</v>
      </c>
      <c r="C740" s="6">
        <f>IFERROR(__xludf.DUMMYFUNCTION("""COMPUTED_VALUE"""),317.2)</f>
        <v>317.2</v>
      </c>
      <c r="D740" s="6">
        <f>IFERROR(__xludf.DUMMYFUNCTION("""COMPUTED_VALUE"""),308.75)</f>
        <v>308.75</v>
      </c>
      <c r="E740" s="6">
        <f>IFERROR(__xludf.DUMMYFUNCTION("""COMPUTED_VALUE"""),315.15)</f>
        <v>315.15</v>
      </c>
      <c r="F740" s="7">
        <f>IFERROR(__xludf.DUMMYFUNCTION("""COMPUTED_VALUE"""),1.0766571E7)</f>
        <v>10766571</v>
      </c>
      <c r="G740" s="7" t="str">
        <f>IFERROR(__xludf.DUMMYFUNCTION("""COMPUTED_VALUE"""),"POWERGRID.NS")</f>
        <v>POWERGRID.NS</v>
      </c>
      <c r="H740" s="8">
        <f t="shared" si="1"/>
        <v>0.01710505083</v>
      </c>
      <c r="I740" s="8">
        <f t="shared" si="2"/>
        <v>0.01710505083</v>
      </c>
      <c r="J740" s="7" t="str">
        <f t="shared" si="3"/>
        <v>Jan-2025</v>
      </c>
      <c r="K740" s="9">
        <f t="shared" si="4"/>
        <v>45658</v>
      </c>
      <c r="L740" s="7" t="str">
        <f t="shared" si="5"/>
        <v/>
      </c>
      <c r="M740" s="7" t="str">
        <f>IFERROR(__xludf.DUMMYFUNCTION("IFERROR(
  IF(
    F740 &gt;
    3*AVERAGE(
       FILTER($F$2:$F10491,
         $G$2:$G10491=G740,
         $A$2:$A10491&gt;=A740-20,
         $A$2:$A10491&lt;=A740
       )
    ),
    ""VOL_SPIKE_3X"",""""
  ),
"""")
"),"")</f>
        <v/>
      </c>
      <c r="N740" s="7" t="str">
        <f t="shared" si="6"/>
        <v/>
      </c>
      <c r="O740" s="7" t="str">
        <f t="shared" si="7"/>
        <v/>
      </c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>
        <f>IFERROR(__xludf.DUMMYFUNCTION("""COMPUTED_VALUE"""),45659.0)</f>
        <v>45659</v>
      </c>
      <c r="B741" s="6">
        <f>IFERROR(__xludf.DUMMYFUNCTION("""COMPUTED_VALUE"""),1221.25)</f>
        <v>1221.25</v>
      </c>
      <c r="C741" s="6">
        <f>IFERROR(__xludf.DUMMYFUNCTION("""COMPUTED_VALUE"""),1244.45)</f>
        <v>1244.45</v>
      </c>
      <c r="D741" s="6">
        <f>IFERROR(__xludf.DUMMYFUNCTION("""COMPUTED_VALUE"""),1220.0)</f>
        <v>1220</v>
      </c>
      <c r="E741" s="6">
        <f>IFERROR(__xludf.DUMMYFUNCTION("""COMPUTED_VALUE"""),1241.8)</f>
        <v>1241.8</v>
      </c>
      <c r="F741" s="7">
        <f>IFERROR(__xludf.DUMMYFUNCTION("""COMPUTED_VALUE"""),1.5486276E7)</f>
        <v>15486276</v>
      </c>
      <c r="G741" s="7" t="str">
        <f>IFERROR(__xludf.DUMMYFUNCTION("""COMPUTED_VALUE"""),"RELIANCE.NS")</f>
        <v>RELIANCE.NS</v>
      </c>
      <c r="H741" s="8">
        <f t="shared" si="1"/>
        <v>0.01682702149</v>
      </c>
      <c r="I741" s="8">
        <f t="shared" si="2"/>
        <v>0.01682702149</v>
      </c>
      <c r="J741" s="7" t="str">
        <f t="shared" si="3"/>
        <v>Jan-2025</v>
      </c>
      <c r="K741" s="9">
        <f t="shared" si="4"/>
        <v>45658</v>
      </c>
      <c r="L741" s="7" t="str">
        <f t="shared" si="5"/>
        <v/>
      </c>
      <c r="M741" s="7" t="str">
        <f>IFERROR(__xludf.DUMMYFUNCTION("IFERROR(
  IF(
    F741 &gt;
    3*AVERAGE(
       FILTER($F$2:$F10491,
         $G$2:$G10491=G741,
         $A$2:$A10491&gt;=A741-20,
         $A$2:$A10491&lt;=A741
       )
    ),
    ""VOL_SPIKE_3X"",""""
  ),
"""")
"),"")</f>
        <v/>
      </c>
      <c r="N741" s="7" t="str">
        <f t="shared" si="6"/>
        <v/>
      </c>
      <c r="O741" s="7" t="str">
        <f t="shared" si="7"/>
        <v/>
      </c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>
        <f>IFERROR(__xludf.DUMMYFUNCTION("""COMPUTED_VALUE"""),45660.0)</f>
        <v>45660</v>
      </c>
      <c r="B742" s="6">
        <f>IFERROR(__xludf.DUMMYFUNCTION("""COMPUTED_VALUE"""),810.85)</f>
        <v>810.85</v>
      </c>
      <c r="C742" s="6">
        <f>IFERROR(__xludf.DUMMYFUNCTION("""COMPUTED_VALUE"""),831.0)</f>
        <v>831</v>
      </c>
      <c r="D742" s="6">
        <f>IFERROR(__xludf.DUMMYFUNCTION("""COMPUTED_VALUE"""),810.0)</f>
        <v>810</v>
      </c>
      <c r="E742" s="6">
        <f>IFERROR(__xludf.DUMMYFUNCTION("""COMPUTED_VALUE"""),821.25)</f>
        <v>821.25</v>
      </c>
      <c r="F742" s="7">
        <f>IFERROR(__xludf.DUMMYFUNCTION("""COMPUTED_VALUE"""),2550810.0)</f>
        <v>2550810</v>
      </c>
      <c r="G742" s="7" t="str">
        <f>IFERROR(__xludf.DUMMYFUNCTION("""COMPUTED_VALUE"""),"ADANIENSOL.NS")</f>
        <v>ADANIENSOL.NS</v>
      </c>
      <c r="H742" s="8">
        <f t="shared" si="1"/>
        <v>0.01282604674</v>
      </c>
      <c r="I742" s="8">
        <f t="shared" si="2"/>
        <v>0.01282604674</v>
      </c>
      <c r="J742" s="7" t="str">
        <f t="shared" si="3"/>
        <v>Jan-2025</v>
      </c>
      <c r="K742" s="9">
        <f t="shared" si="4"/>
        <v>45658</v>
      </c>
      <c r="L742" s="7" t="str">
        <f t="shared" si="5"/>
        <v/>
      </c>
      <c r="M742" s="7" t="str">
        <f>IFERROR(__xludf.DUMMYFUNCTION("IFERROR(
  IF(
    F742 &gt;
    3*AVERAGE(
       FILTER($F$2:$F10491,
         $G$2:$G10491=G742,
         $A$2:$A10491&gt;=A742-20,
         $A$2:$A10491&lt;=A742
       )
    ),
    ""VOL_SPIKE_3X"",""""
  ),
"""")
"),"")</f>
        <v/>
      </c>
      <c r="N742" s="7" t="str">
        <f t="shared" si="6"/>
        <v/>
      </c>
      <c r="O742" s="7" t="str">
        <f t="shared" si="7"/>
        <v/>
      </c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>
        <f>IFERROR(__xludf.DUMMYFUNCTION("""COMPUTED_VALUE"""),45660.0)</f>
        <v>45660</v>
      </c>
      <c r="B743" s="6">
        <f>IFERROR(__xludf.DUMMYFUNCTION("""COMPUTED_VALUE"""),1049.65)</f>
        <v>1049.65</v>
      </c>
      <c r="C743" s="6">
        <f>IFERROR(__xludf.DUMMYFUNCTION("""COMPUTED_VALUE"""),1069.9)</f>
        <v>1069.9</v>
      </c>
      <c r="D743" s="6">
        <f>IFERROR(__xludf.DUMMYFUNCTION("""COMPUTED_VALUE"""),1036.0)</f>
        <v>1036</v>
      </c>
      <c r="E743" s="6">
        <f>IFERROR(__xludf.DUMMYFUNCTION("""COMPUTED_VALUE"""),1038.25)</f>
        <v>1038.25</v>
      </c>
      <c r="F743" s="7">
        <f>IFERROR(__xludf.DUMMYFUNCTION("""COMPUTED_VALUE"""),2143236.0)</f>
        <v>2143236</v>
      </c>
      <c r="G743" s="7" t="str">
        <f>IFERROR(__xludf.DUMMYFUNCTION("""COMPUTED_VALUE"""),"ADANIGREEN.NS")</f>
        <v>ADANIGREEN.NS</v>
      </c>
      <c r="H743" s="8">
        <f t="shared" si="1"/>
        <v>-0.01086076311</v>
      </c>
      <c r="I743" s="8">
        <f t="shared" si="2"/>
        <v>0.01086076311</v>
      </c>
      <c r="J743" s="7" t="str">
        <f t="shared" si="3"/>
        <v>Jan-2025</v>
      </c>
      <c r="K743" s="9">
        <f t="shared" si="4"/>
        <v>45658</v>
      </c>
      <c r="L743" s="7" t="str">
        <f t="shared" si="5"/>
        <v/>
      </c>
      <c r="M743" s="7" t="str">
        <f>IFERROR(__xludf.DUMMYFUNCTION("IFERROR(
  IF(
    F743 &gt;
    3*AVERAGE(
       FILTER($F$2:$F10491,
         $G$2:$G10491=G743,
         $A$2:$A10491&gt;=A743-20,
         $A$2:$A10491&lt;=A743
       )
    ),
    ""VOL_SPIKE_3X"",""""
  ),
"""")
"),"")</f>
        <v/>
      </c>
      <c r="N743" s="7" t="str">
        <f t="shared" si="6"/>
        <v/>
      </c>
      <c r="O743" s="7" t="str">
        <f t="shared" si="7"/>
        <v/>
      </c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>
        <f>IFERROR(__xludf.DUMMYFUNCTION("""COMPUTED_VALUE"""),45660.0)</f>
        <v>45660</v>
      </c>
      <c r="B744" s="6">
        <f>IFERROR(__xludf.DUMMYFUNCTION("""COMPUTED_VALUE"""),296.0)</f>
        <v>296</v>
      </c>
      <c r="C744" s="6">
        <f>IFERROR(__xludf.DUMMYFUNCTION("""COMPUTED_VALUE"""),299.15)</f>
        <v>299.15</v>
      </c>
      <c r="D744" s="6">
        <f>IFERROR(__xludf.DUMMYFUNCTION("""COMPUTED_VALUE"""),294.35)</f>
        <v>294.35</v>
      </c>
      <c r="E744" s="6">
        <f>IFERROR(__xludf.DUMMYFUNCTION("""COMPUTED_VALUE"""),296.4)</f>
        <v>296.4</v>
      </c>
      <c r="F744" s="7">
        <f>IFERROR(__xludf.DUMMYFUNCTION("""COMPUTED_VALUE"""),4806469.0)</f>
        <v>4806469</v>
      </c>
      <c r="G744" s="7" t="str">
        <f>IFERROR(__xludf.DUMMYFUNCTION("""COMPUTED_VALUE"""),"BPCL.NS")</f>
        <v>BPCL.NS</v>
      </c>
      <c r="H744" s="8">
        <f t="shared" si="1"/>
        <v>0.001351351351</v>
      </c>
      <c r="I744" s="8">
        <f t="shared" si="2"/>
        <v>0.001351351351</v>
      </c>
      <c r="J744" s="7" t="str">
        <f t="shared" si="3"/>
        <v>Jan-2025</v>
      </c>
      <c r="K744" s="9">
        <f t="shared" si="4"/>
        <v>45658</v>
      </c>
      <c r="L744" s="7" t="str">
        <f t="shared" si="5"/>
        <v/>
      </c>
      <c r="M744" s="7" t="str">
        <f>IFERROR(__xludf.DUMMYFUNCTION("IFERROR(
  IF(
    F744 &gt;
    3*AVERAGE(
       FILTER($F$2:$F10491,
         $G$2:$G10491=G744,
         $A$2:$A10491&gt;=A744-20,
         $A$2:$A10491&lt;=A744
       )
    ),
    ""VOL_SPIKE_3X"",""""
  ),
"""")
"),"")</f>
        <v/>
      </c>
      <c r="N744" s="7" t="str">
        <f t="shared" si="6"/>
        <v/>
      </c>
      <c r="O744" s="7" t="str">
        <f t="shared" si="7"/>
        <v/>
      </c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>
        <f>IFERROR(__xludf.DUMMYFUNCTION("""COMPUTED_VALUE"""),45660.0)</f>
        <v>45660</v>
      </c>
      <c r="B745" s="6">
        <f>IFERROR(__xludf.DUMMYFUNCTION("""COMPUTED_VALUE"""),393.0)</f>
        <v>393</v>
      </c>
      <c r="C745" s="6">
        <f>IFERROR(__xludf.DUMMYFUNCTION("""COMPUTED_VALUE"""),399.3)</f>
        <v>399.3</v>
      </c>
      <c r="D745" s="6">
        <f>IFERROR(__xludf.DUMMYFUNCTION("""COMPUTED_VALUE"""),389.5)</f>
        <v>389.5</v>
      </c>
      <c r="E745" s="6">
        <f>IFERROR(__xludf.DUMMYFUNCTION("""COMPUTED_VALUE"""),393.65)</f>
        <v>393.65</v>
      </c>
      <c r="F745" s="7">
        <f>IFERROR(__xludf.DUMMYFUNCTION("""COMPUTED_VALUE"""),7122319.0)</f>
        <v>7122319</v>
      </c>
      <c r="G745" s="7" t="str">
        <f>IFERROR(__xludf.DUMMYFUNCTION("""COMPUTED_VALUE"""),"COALINDIA.NS")</f>
        <v>COALINDIA.NS</v>
      </c>
      <c r="H745" s="8">
        <f t="shared" si="1"/>
        <v>0.00165394402</v>
      </c>
      <c r="I745" s="8">
        <f t="shared" si="2"/>
        <v>0.00165394402</v>
      </c>
      <c r="J745" s="7" t="str">
        <f t="shared" si="3"/>
        <v>Jan-2025</v>
      </c>
      <c r="K745" s="9">
        <f t="shared" si="4"/>
        <v>45658</v>
      </c>
      <c r="L745" s="7" t="str">
        <f t="shared" si="5"/>
        <v/>
      </c>
      <c r="M745" s="7" t="str">
        <f>IFERROR(__xludf.DUMMYFUNCTION("IFERROR(
  IF(
    F745 &gt;
    3*AVERAGE(
       FILTER($F$2:$F10491,
         $G$2:$G10491=G745,
         $A$2:$A10491&gt;=A745-20,
         $A$2:$A10491&lt;=A745
       )
    ),
    ""VOL_SPIKE_3X"",""""
  ),
"""")
"),"")</f>
        <v/>
      </c>
      <c r="N745" s="7" t="str">
        <f t="shared" si="6"/>
        <v/>
      </c>
      <c r="O745" s="7" t="str">
        <f t="shared" si="7"/>
        <v/>
      </c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>
        <f>IFERROR(__xludf.DUMMYFUNCTION("""COMPUTED_VALUE"""),45660.0)</f>
        <v>45660</v>
      </c>
      <c r="B746" s="6">
        <f>IFERROR(__xludf.DUMMYFUNCTION("""COMPUTED_VALUE"""),413.5)</f>
        <v>413.5</v>
      </c>
      <c r="C746" s="6">
        <f>IFERROR(__xludf.DUMMYFUNCTION("""COMPUTED_VALUE"""),417.1)</f>
        <v>417.1</v>
      </c>
      <c r="D746" s="6">
        <f>IFERROR(__xludf.DUMMYFUNCTION("""COMPUTED_VALUE"""),407.7)</f>
        <v>407.7</v>
      </c>
      <c r="E746" s="6">
        <f>IFERROR(__xludf.DUMMYFUNCTION("""COMPUTED_VALUE"""),413.05)</f>
        <v>413.05</v>
      </c>
      <c r="F746" s="7">
        <f>IFERROR(__xludf.DUMMYFUNCTION("""COMPUTED_VALUE"""),4037493.0)</f>
        <v>4037493</v>
      </c>
      <c r="G746" s="7" t="str">
        <f>IFERROR(__xludf.DUMMYFUNCTION("""COMPUTED_VALUE"""),"HINDPETRO.NS")</f>
        <v>HINDPETRO.NS</v>
      </c>
      <c r="H746" s="8">
        <f t="shared" si="1"/>
        <v>-0.001088270859</v>
      </c>
      <c r="I746" s="8">
        <f t="shared" si="2"/>
        <v>0.001088270859</v>
      </c>
      <c r="J746" s="7" t="str">
        <f t="shared" si="3"/>
        <v>Jan-2025</v>
      </c>
      <c r="K746" s="9">
        <f t="shared" si="4"/>
        <v>45658</v>
      </c>
      <c r="L746" s="7" t="str">
        <f t="shared" si="5"/>
        <v/>
      </c>
      <c r="M746" s="7" t="str">
        <f>IFERROR(__xludf.DUMMYFUNCTION("IFERROR(
  IF(
    F746 &gt;
    3*AVERAGE(
       FILTER($F$2:$F10491,
         $G$2:$G10491=G746,
         $A$2:$A10491&gt;=A746-20,
         $A$2:$A10491&lt;=A746
       )
    ),
    ""VOL_SPIKE_3X"",""""
  ),
"""")
"),"")</f>
        <v/>
      </c>
      <c r="N746" s="7" t="str">
        <f t="shared" si="6"/>
        <v/>
      </c>
      <c r="O746" s="7" t="str">
        <f t="shared" si="7"/>
        <v/>
      </c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>
        <f>IFERROR(__xludf.DUMMYFUNCTION("""COMPUTED_VALUE"""),45660.0)</f>
        <v>45660</v>
      </c>
      <c r="B747" s="6">
        <f>IFERROR(__xludf.DUMMYFUNCTION("""COMPUTED_VALUE"""),137.72)</f>
        <v>137.72</v>
      </c>
      <c r="C747" s="6">
        <f>IFERROR(__xludf.DUMMYFUNCTION("""COMPUTED_VALUE"""),139.83)</f>
        <v>139.83</v>
      </c>
      <c r="D747" s="6">
        <f>IFERROR(__xludf.DUMMYFUNCTION("""COMPUTED_VALUE"""),137.13)</f>
        <v>137.13</v>
      </c>
      <c r="E747" s="6">
        <f>IFERROR(__xludf.DUMMYFUNCTION("""COMPUTED_VALUE"""),138.14)</f>
        <v>138.14</v>
      </c>
      <c r="F747" s="7">
        <f>IFERROR(__xludf.DUMMYFUNCTION("""COMPUTED_VALUE"""),1.456705E7)</f>
        <v>14567050</v>
      </c>
      <c r="G747" s="7" t="str">
        <f>IFERROR(__xludf.DUMMYFUNCTION("""COMPUTED_VALUE"""),"IOC.NS")</f>
        <v>IOC.NS</v>
      </c>
      <c r="H747" s="8">
        <f t="shared" si="1"/>
        <v>0.003049665989</v>
      </c>
      <c r="I747" s="8">
        <f t="shared" si="2"/>
        <v>0.003049665989</v>
      </c>
      <c r="J747" s="7" t="str">
        <f t="shared" si="3"/>
        <v>Jan-2025</v>
      </c>
      <c r="K747" s="9">
        <f t="shared" si="4"/>
        <v>45658</v>
      </c>
      <c r="L747" s="7" t="str">
        <f t="shared" si="5"/>
        <v/>
      </c>
      <c r="M747" s="7" t="str">
        <f>IFERROR(__xludf.DUMMYFUNCTION("IFERROR(
  IF(
    F747 &gt;
    3*AVERAGE(
       FILTER($F$2:$F10491,
         $G$2:$G10491=G747,
         $A$2:$A10491&gt;=A747-20,
         $A$2:$A10491&lt;=A747
       )
    ),
    ""VOL_SPIKE_3X"",""""
  ),
"""")
"),"")</f>
        <v/>
      </c>
      <c r="N747" s="7" t="str">
        <f t="shared" si="6"/>
        <v/>
      </c>
      <c r="O747" s="7" t="str">
        <f t="shared" si="7"/>
        <v/>
      </c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>
        <f>IFERROR(__xludf.DUMMYFUNCTION("""COMPUTED_VALUE"""),45660.0)</f>
        <v>45660</v>
      </c>
      <c r="B748" s="6">
        <f>IFERROR(__xludf.DUMMYFUNCTION("""COMPUTED_VALUE"""),338.05)</f>
        <v>338.05</v>
      </c>
      <c r="C748" s="6">
        <f>IFERROR(__xludf.DUMMYFUNCTION("""COMPUTED_VALUE"""),344.5)</f>
        <v>344.5</v>
      </c>
      <c r="D748" s="6">
        <f>IFERROR(__xludf.DUMMYFUNCTION("""COMPUTED_VALUE"""),337.05)</f>
        <v>337.05</v>
      </c>
      <c r="E748" s="6">
        <f>IFERROR(__xludf.DUMMYFUNCTION("""COMPUTED_VALUE"""),339.85)</f>
        <v>339.85</v>
      </c>
      <c r="F748" s="7">
        <f>IFERROR(__xludf.DUMMYFUNCTION("""COMPUTED_VALUE"""),8689629.0)</f>
        <v>8689629</v>
      </c>
      <c r="G748" s="7" t="str">
        <f>IFERROR(__xludf.DUMMYFUNCTION("""COMPUTED_VALUE"""),"NTPC.NS")</f>
        <v>NTPC.NS</v>
      </c>
      <c r="H748" s="8">
        <f t="shared" si="1"/>
        <v>0.005324656116</v>
      </c>
      <c r="I748" s="8">
        <f t="shared" si="2"/>
        <v>0.005324656116</v>
      </c>
      <c r="J748" s="7" t="str">
        <f t="shared" si="3"/>
        <v>Jan-2025</v>
      </c>
      <c r="K748" s="9">
        <f t="shared" si="4"/>
        <v>45658</v>
      </c>
      <c r="L748" s="7" t="str">
        <f t="shared" si="5"/>
        <v/>
      </c>
      <c r="M748" s="7" t="str">
        <f>IFERROR(__xludf.DUMMYFUNCTION("IFERROR(
  IF(
    F748 &gt;
    3*AVERAGE(
       FILTER($F$2:$F10491,
         $G$2:$G10491=G748,
         $A$2:$A10491&gt;=A748-20,
         $A$2:$A10491&lt;=A748
       )
    ),
    ""VOL_SPIKE_3X"",""""
  ),
"""")
"),"")</f>
        <v/>
      </c>
      <c r="N748" s="7" t="str">
        <f t="shared" si="6"/>
        <v/>
      </c>
      <c r="O748" s="7" t="str">
        <f t="shared" si="7"/>
        <v/>
      </c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>
        <f>IFERROR(__xludf.DUMMYFUNCTION("""COMPUTED_VALUE"""),45660.0)</f>
        <v>45660</v>
      </c>
      <c r="B749" s="6">
        <f>IFERROR(__xludf.DUMMYFUNCTION("""COMPUTED_VALUE"""),248.45)</f>
        <v>248.45</v>
      </c>
      <c r="C749" s="6">
        <f>IFERROR(__xludf.DUMMYFUNCTION("""COMPUTED_VALUE"""),262.75)</f>
        <v>262.75</v>
      </c>
      <c r="D749" s="6">
        <f>IFERROR(__xludf.DUMMYFUNCTION("""COMPUTED_VALUE"""),247.99)</f>
        <v>247.99</v>
      </c>
      <c r="E749" s="6">
        <f>IFERROR(__xludf.DUMMYFUNCTION("""COMPUTED_VALUE"""),258.89)</f>
        <v>258.89</v>
      </c>
      <c r="F749" s="7">
        <f>IFERROR(__xludf.DUMMYFUNCTION("""COMPUTED_VALUE"""),4.976041E7)</f>
        <v>49760410</v>
      </c>
      <c r="G749" s="7" t="str">
        <f>IFERROR(__xludf.DUMMYFUNCTION("""COMPUTED_VALUE"""),"ONGC.NS")</f>
        <v>ONGC.NS</v>
      </c>
      <c r="H749" s="8">
        <f t="shared" si="1"/>
        <v>0.04202052727</v>
      </c>
      <c r="I749" s="8">
        <f t="shared" si="2"/>
        <v>0.04202052727</v>
      </c>
      <c r="J749" s="7" t="str">
        <f t="shared" si="3"/>
        <v>Jan-2025</v>
      </c>
      <c r="K749" s="9">
        <f t="shared" si="4"/>
        <v>45658</v>
      </c>
      <c r="L749" s="7" t="str">
        <f t="shared" si="5"/>
        <v/>
      </c>
      <c r="M749" s="7" t="str">
        <f>IFERROR(__xludf.DUMMYFUNCTION("IFERROR(
  IF(
    F749 &gt;
    3*AVERAGE(
       FILTER($F$2:$F10491,
         $G$2:$G10491=G749,
         $A$2:$A10491&gt;=A749-20,
         $A$2:$A10491&lt;=A749
       )
    ),
    ""VOL_SPIKE_3X"",""""
  ),
"""")
"),"VOL_SPIKE_3X")</f>
        <v>VOL_SPIKE_3X</v>
      </c>
      <c r="N749" s="7" t="str">
        <f t="shared" si="6"/>
        <v>VOL_SPIKE_3X</v>
      </c>
      <c r="O749" s="7" t="str">
        <f t="shared" si="7"/>
        <v/>
      </c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>
        <f>IFERROR(__xludf.DUMMYFUNCTION("""COMPUTED_VALUE"""),45660.0)</f>
        <v>45660</v>
      </c>
      <c r="B750" s="6">
        <f>IFERROR(__xludf.DUMMYFUNCTION("""COMPUTED_VALUE"""),316.35)</f>
        <v>316.35</v>
      </c>
      <c r="C750" s="6">
        <f>IFERROR(__xludf.DUMMYFUNCTION("""COMPUTED_VALUE"""),318.0)</f>
        <v>318</v>
      </c>
      <c r="D750" s="6">
        <f>IFERROR(__xludf.DUMMYFUNCTION("""COMPUTED_VALUE"""),313.65)</f>
        <v>313.65</v>
      </c>
      <c r="E750" s="6">
        <f>IFERROR(__xludf.DUMMYFUNCTION("""COMPUTED_VALUE"""),316.05)</f>
        <v>316.05</v>
      </c>
      <c r="F750" s="7">
        <f>IFERROR(__xludf.DUMMYFUNCTION("""COMPUTED_VALUE"""),7636948.0)</f>
        <v>7636948</v>
      </c>
      <c r="G750" s="7" t="str">
        <f>IFERROR(__xludf.DUMMYFUNCTION("""COMPUTED_VALUE"""),"POWERGRID.NS")</f>
        <v>POWERGRID.NS</v>
      </c>
      <c r="H750" s="8">
        <f t="shared" si="1"/>
        <v>-0.0009483167378</v>
      </c>
      <c r="I750" s="8">
        <f t="shared" si="2"/>
        <v>0.0009483167378</v>
      </c>
      <c r="J750" s="7" t="str">
        <f t="shared" si="3"/>
        <v>Jan-2025</v>
      </c>
      <c r="K750" s="9">
        <f t="shared" si="4"/>
        <v>45658</v>
      </c>
      <c r="L750" s="7" t="str">
        <f t="shared" si="5"/>
        <v/>
      </c>
      <c r="M750" s="7" t="str">
        <f>IFERROR(__xludf.DUMMYFUNCTION("IFERROR(
  IF(
    F750 &gt;
    3*AVERAGE(
       FILTER($F$2:$F10491,
         $G$2:$G10491=G750,
         $A$2:$A10491&gt;=A750-20,
         $A$2:$A10491&lt;=A750
       )
    ),
    ""VOL_SPIKE_3X"",""""
  ),
"""")
"),"")</f>
        <v/>
      </c>
      <c r="N750" s="7" t="str">
        <f t="shared" si="6"/>
        <v/>
      </c>
      <c r="O750" s="7" t="str">
        <f t="shared" si="7"/>
        <v/>
      </c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>
        <f>IFERROR(__xludf.DUMMYFUNCTION("""COMPUTED_VALUE"""),45660.0)</f>
        <v>45660</v>
      </c>
      <c r="B751" s="6">
        <f>IFERROR(__xludf.DUMMYFUNCTION("""COMPUTED_VALUE"""),1243.9)</f>
        <v>1243.9</v>
      </c>
      <c r="C751" s="6">
        <f>IFERROR(__xludf.DUMMYFUNCTION("""COMPUTED_VALUE"""),1262.05)</f>
        <v>1262.05</v>
      </c>
      <c r="D751" s="6">
        <f>IFERROR(__xludf.DUMMYFUNCTION("""COMPUTED_VALUE"""),1235.5)</f>
        <v>1235.5</v>
      </c>
      <c r="E751" s="6">
        <f>IFERROR(__xludf.DUMMYFUNCTION("""COMPUTED_VALUE"""),1251.15)</f>
        <v>1251.15</v>
      </c>
      <c r="F751" s="7">
        <f>IFERROR(__xludf.DUMMYFUNCTION("""COMPUTED_VALUE"""),1.5521102E7)</f>
        <v>15521102</v>
      </c>
      <c r="G751" s="7" t="str">
        <f>IFERROR(__xludf.DUMMYFUNCTION("""COMPUTED_VALUE"""),"RELIANCE.NS")</f>
        <v>RELIANCE.NS</v>
      </c>
      <c r="H751" s="8">
        <f t="shared" si="1"/>
        <v>0.005828442801</v>
      </c>
      <c r="I751" s="8">
        <f t="shared" si="2"/>
        <v>0.005828442801</v>
      </c>
      <c r="J751" s="7" t="str">
        <f t="shared" si="3"/>
        <v>Jan-2025</v>
      </c>
      <c r="K751" s="9">
        <f t="shared" si="4"/>
        <v>45658</v>
      </c>
      <c r="L751" s="7" t="str">
        <f t="shared" si="5"/>
        <v/>
      </c>
      <c r="M751" s="7" t="str">
        <f>IFERROR(__xludf.DUMMYFUNCTION("IFERROR(
  IF(
    F751 &gt;
    3*AVERAGE(
       FILTER($F$2:$F10491,
         $G$2:$G10491=G751,
         $A$2:$A10491&gt;=A751-20,
         $A$2:$A10491&lt;=A751
       )
    ),
    ""VOL_SPIKE_3X"",""""
  ),
"""")
"),"")</f>
        <v/>
      </c>
      <c r="N751" s="7" t="str">
        <f t="shared" si="6"/>
        <v/>
      </c>
      <c r="O751" s="7" t="str">
        <f t="shared" si="7"/>
        <v/>
      </c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>
        <f>IFERROR(__xludf.DUMMYFUNCTION("""COMPUTED_VALUE"""),45663.0)</f>
        <v>45663</v>
      </c>
      <c r="B752" s="6">
        <f>IFERROR(__xludf.DUMMYFUNCTION("""COMPUTED_VALUE"""),815.05)</f>
        <v>815.05</v>
      </c>
      <c r="C752" s="6">
        <f>IFERROR(__xludf.DUMMYFUNCTION("""COMPUTED_VALUE"""),819.0)</f>
        <v>819</v>
      </c>
      <c r="D752" s="6">
        <f>IFERROR(__xludf.DUMMYFUNCTION("""COMPUTED_VALUE"""),765.1)</f>
        <v>765.1</v>
      </c>
      <c r="E752" s="6">
        <f>IFERROR(__xludf.DUMMYFUNCTION("""COMPUTED_VALUE"""),768.6)</f>
        <v>768.6</v>
      </c>
      <c r="F752" s="7">
        <f>IFERROR(__xludf.DUMMYFUNCTION("""COMPUTED_VALUE"""),2710372.0)</f>
        <v>2710372</v>
      </c>
      <c r="G752" s="7" t="str">
        <f>IFERROR(__xludf.DUMMYFUNCTION("""COMPUTED_VALUE"""),"ADANIENSOL.NS")</f>
        <v>ADANIENSOL.NS</v>
      </c>
      <c r="H752" s="8">
        <f t="shared" si="1"/>
        <v>-0.05699036869</v>
      </c>
      <c r="I752" s="8">
        <f t="shared" si="2"/>
        <v>0.05699036869</v>
      </c>
      <c r="J752" s="7" t="str">
        <f t="shared" si="3"/>
        <v>Jan-2025</v>
      </c>
      <c r="K752" s="9">
        <f t="shared" si="4"/>
        <v>45658</v>
      </c>
      <c r="L752" s="7" t="str">
        <f t="shared" si="5"/>
        <v>PRICE_MOVE_5PCT+</v>
      </c>
      <c r="M752" s="7" t="str">
        <f>IFERROR(__xludf.DUMMYFUNCTION("IFERROR(
  IF(
    F752 &gt;
    3*AVERAGE(
       FILTER($F$2:$F10491,
         $G$2:$G10491=G752,
         $A$2:$A10491&gt;=A752-20,
         $A$2:$A10491&lt;=A752
       )
    ),
    ""VOL_SPIKE_3X"",""""
  ),
"""")
"),"")</f>
        <v/>
      </c>
      <c r="N752" s="7" t="str">
        <f t="shared" si="6"/>
        <v>PRICE_MOVE_5PCT+</v>
      </c>
      <c r="O752" s="7" t="str">
        <f t="shared" si="7"/>
        <v/>
      </c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>
        <f>IFERROR(__xludf.DUMMYFUNCTION("""COMPUTED_VALUE"""),45663.0)</f>
        <v>45663</v>
      </c>
      <c r="B753" s="6">
        <f>IFERROR(__xludf.DUMMYFUNCTION("""COMPUTED_VALUE"""),1039.0)</f>
        <v>1039</v>
      </c>
      <c r="C753" s="6">
        <f>IFERROR(__xludf.DUMMYFUNCTION("""COMPUTED_VALUE"""),1040.5)</f>
        <v>1040.5</v>
      </c>
      <c r="D753" s="6">
        <f>IFERROR(__xludf.DUMMYFUNCTION("""COMPUTED_VALUE"""),980.0)</f>
        <v>980</v>
      </c>
      <c r="E753" s="6">
        <f>IFERROR(__xludf.DUMMYFUNCTION("""COMPUTED_VALUE"""),982.6)</f>
        <v>982.6</v>
      </c>
      <c r="F753" s="7">
        <f>IFERROR(__xludf.DUMMYFUNCTION("""COMPUTED_VALUE"""),3322540.0)</f>
        <v>3322540</v>
      </c>
      <c r="G753" s="7" t="str">
        <f>IFERROR(__xludf.DUMMYFUNCTION("""COMPUTED_VALUE"""),"ADANIGREEN.NS")</f>
        <v>ADANIGREEN.NS</v>
      </c>
      <c r="H753" s="8">
        <f t="shared" si="1"/>
        <v>-0.05428296439</v>
      </c>
      <c r="I753" s="8">
        <f t="shared" si="2"/>
        <v>0.05428296439</v>
      </c>
      <c r="J753" s="7" t="str">
        <f t="shared" si="3"/>
        <v>Jan-2025</v>
      </c>
      <c r="K753" s="9">
        <f t="shared" si="4"/>
        <v>45658</v>
      </c>
      <c r="L753" s="7" t="str">
        <f t="shared" si="5"/>
        <v>PRICE_MOVE_5PCT+</v>
      </c>
      <c r="M753" s="7" t="str">
        <f>IFERROR(__xludf.DUMMYFUNCTION("IFERROR(
  IF(
    F753 &gt;
    3*AVERAGE(
       FILTER($F$2:$F10491,
         $G$2:$G10491=G753,
         $A$2:$A10491&gt;=A753-20,
         $A$2:$A10491&lt;=A753
       )
    ),
    ""VOL_SPIKE_3X"",""""
  ),
"""")
"),"")</f>
        <v/>
      </c>
      <c r="N753" s="7" t="str">
        <f t="shared" si="6"/>
        <v>PRICE_MOVE_5PCT+</v>
      </c>
      <c r="O753" s="7" t="str">
        <f t="shared" si="7"/>
        <v/>
      </c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>
        <f>IFERROR(__xludf.DUMMYFUNCTION("""COMPUTED_VALUE"""),45663.0)</f>
        <v>45663</v>
      </c>
      <c r="B754" s="6">
        <f>IFERROR(__xludf.DUMMYFUNCTION("""COMPUTED_VALUE"""),296.4)</f>
        <v>296.4</v>
      </c>
      <c r="C754" s="6">
        <f>IFERROR(__xludf.DUMMYFUNCTION("""COMPUTED_VALUE"""),297.25)</f>
        <v>297.25</v>
      </c>
      <c r="D754" s="6">
        <f>IFERROR(__xludf.DUMMYFUNCTION("""COMPUTED_VALUE"""),284.1)</f>
        <v>284.1</v>
      </c>
      <c r="E754" s="6">
        <f>IFERROR(__xludf.DUMMYFUNCTION("""COMPUTED_VALUE"""),284.85)</f>
        <v>284.85</v>
      </c>
      <c r="F754" s="7">
        <f>IFERROR(__xludf.DUMMYFUNCTION("""COMPUTED_VALUE"""),7361716.0)</f>
        <v>7361716</v>
      </c>
      <c r="G754" s="7" t="str">
        <f>IFERROR(__xludf.DUMMYFUNCTION("""COMPUTED_VALUE"""),"BPCL.NS")</f>
        <v>BPCL.NS</v>
      </c>
      <c r="H754" s="8">
        <f t="shared" si="1"/>
        <v>-0.03896761134</v>
      </c>
      <c r="I754" s="8">
        <f t="shared" si="2"/>
        <v>0.03896761134</v>
      </c>
      <c r="J754" s="7" t="str">
        <f t="shared" si="3"/>
        <v>Jan-2025</v>
      </c>
      <c r="K754" s="9">
        <f t="shared" si="4"/>
        <v>45658</v>
      </c>
      <c r="L754" s="7" t="str">
        <f t="shared" si="5"/>
        <v/>
      </c>
      <c r="M754" s="7" t="str">
        <f>IFERROR(__xludf.DUMMYFUNCTION("IFERROR(
  IF(
    F754 &gt;
    3*AVERAGE(
       FILTER($F$2:$F10491,
         $G$2:$G10491=G754,
         $A$2:$A10491&gt;=A754-20,
         $A$2:$A10491&lt;=A754
       )
    ),
    ""VOL_SPIKE_3X"",""""
  ),
"""")
"),"")</f>
        <v/>
      </c>
      <c r="N754" s="7" t="str">
        <f t="shared" si="6"/>
        <v/>
      </c>
      <c r="O754" s="7" t="str">
        <f t="shared" si="7"/>
        <v/>
      </c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>
        <f>IFERROR(__xludf.DUMMYFUNCTION("""COMPUTED_VALUE"""),45663.0)</f>
        <v>45663</v>
      </c>
      <c r="B755" s="6">
        <f>IFERROR(__xludf.DUMMYFUNCTION("""COMPUTED_VALUE"""),394.05)</f>
        <v>394.05</v>
      </c>
      <c r="C755" s="6">
        <f>IFERROR(__xludf.DUMMYFUNCTION("""COMPUTED_VALUE"""),394.05)</f>
        <v>394.05</v>
      </c>
      <c r="D755" s="6">
        <f>IFERROR(__xludf.DUMMYFUNCTION("""COMPUTED_VALUE"""),377.15)</f>
        <v>377.15</v>
      </c>
      <c r="E755" s="6">
        <f>IFERROR(__xludf.DUMMYFUNCTION("""COMPUTED_VALUE"""),378.75)</f>
        <v>378.75</v>
      </c>
      <c r="F755" s="7">
        <f>IFERROR(__xludf.DUMMYFUNCTION("""COMPUTED_VALUE"""),8774141.0)</f>
        <v>8774141</v>
      </c>
      <c r="G755" s="7" t="str">
        <f>IFERROR(__xludf.DUMMYFUNCTION("""COMPUTED_VALUE"""),"COALINDIA.NS")</f>
        <v>COALINDIA.NS</v>
      </c>
      <c r="H755" s="8">
        <f t="shared" si="1"/>
        <v>-0.03882755995</v>
      </c>
      <c r="I755" s="8">
        <f t="shared" si="2"/>
        <v>0.03882755995</v>
      </c>
      <c r="J755" s="7" t="str">
        <f t="shared" si="3"/>
        <v>Jan-2025</v>
      </c>
      <c r="K755" s="9">
        <f t="shared" si="4"/>
        <v>45658</v>
      </c>
      <c r="L755" s="7" t="str">
        <f t="shared" si="5"/>
        <v/>
      </c>
      <c r="M755" s="7" t="str">
        <f>IFERROR(__xludf.DUMMYFUNCTION("IFERROR(
  IF(
    F755 &gt;
    3*AVERAGE(
       FILTER($F$2:$F10491,
         $G$2:$G10491=G755,
         $A$2:$A10491&gt;=A755-20,
         $A$2:$A10491&lt;=A755
       )
    ),
    ""VOL_SPIKE_3X"",""""
  ),
"""")
"),"")</f>
        <v/>
      </c>
      <c r="N755" s="7" t="str">
        <f t="shared" si="6"/>
        <v/>
      </c>
      <c r="O755" s="7" t="str">
        <f t="shared" si="7"/>
        <v/>
      </c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>
        <f>IFERROR(__xludf.DUMMYFUNCTION("""COMPUTED_VALUE"""),45663.0)</f>
        <v>45663</v>
      </c>
      <c r="B756" s="6">
        <f>IFERROR(__xludf.DUMMYFUNCTION("""COMPUTED_VALUE"""),413.05)</f>
        <v>413.05</v>
      </c>
      <c r="C756" s="6">
        <f>IFERROR(__xludf.DUMMYFUNCTION("""COMPUTED_VALUE"""),414.0)</f>
        <v>414</v>
      </c>
      <c r="D756" s="6">
        <f>IFERROR(__xludf.DUMMYFUNCTION("""COMPUTED_VALUE"""),388.0)</f>
        <v>388</v>
      </c>
      <c r="E756" s="6">
        <f>IFERROR(__xludf.DUMMYFUNCTION("""COMPUTED_VALUE"""),388.95)</f>
        <v>388.95</v>
      </c>
      <c r="F756" s="7">
        <f>IFERROR(__xludf.DUMMYFUNCTION("""COMPUTED_VALUE"""),5016149.0)</f>
        <v>5016149</v>
      </c>
      <c r="G756" s="7" t="str">
        <f>IFERROR(__xludf.DUMMYFUNCTION("""COMPUTED_VALUE"""),"HINDPETRO.NS")</f>
        <v>HINDPETRO.NS</v>
      </c>
      <c r="H756" s="8">
        <f t="shared" si="1"/>
        <v>-0.05834644716</v>
      </c>
      <c r="I756" s="8">
        <f t="shared" si="2"/>
        <v>0.05834644716</v>
      </c>
      <c r="J756" s="7" t="str">
        <f t="shared" si="3"/>
        <v>Jan-2025</v>
      </c>
      <c r="K756" s="9">
        <f t="shared" si="4"/>
        <v>45658</v>
      </c>
      <c r="L756" s="7" t="str">
        <f t="shared" si="5"/>
        <v>PRICE_MOVE_5PCT+</v>
      </c>
      <c r="M756" s="7" t="str">
        <f>IFERROR(__xludf.DUMMYFUNCTION("IFERROR(
  IF(
    F756 &gt;
    3*AVERAGE(
       FILTER($F$2:$F10491,
         $G$2:$G10491=G756,
         $A$2:$A10491&gt;=A756-20,
         $A$2:$A10491&lt;=A756
       )
    ),
    ""VOL_SPIKE_3X"",""""
  ),
"""")
"),"")</f>
        <v/>
      </c>
      <c r="N756" s="7" t="str">
        <f t="shared" si="6"/>
        <v>PRICE_MOVE_5PCT+</v>
      </c>
      <c r="O756" s="7" t="str">
        <f t="shared" si="7"/>
        <v/>
      </c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>
        <f>IFERROR(__xludf.DUMMYFUNCTION("""COMPUTED_VALUE"""),45663.0)</f>
        <v>45663</v>
      </c>
      <c r="B757" s="6">
        <f>IFERROR(__xludf.DUMMYFUNCTION("""COMPUTED_VALUE"""),138.14)</f>
        <v>138.14</v>
      </c>
      <c r="C757" s="6">
        <f>IFERROR(__xludf.DUMMYFUNCTION("""COMPUTED_VALUE"""),138.48)</f>
        <v>138.48</v>
      </c>
      <c r="D757" s="6">
        <f>IFERROR(__xludf.DUMMYFUNCTION("""COMPUTED_VALUE"""),132.05)</f>
        <v>132.05</v>
      </c>
      <c r="E757" s="6">
        <f>IFERROR(__xludf.DUMMYFUNCTION("""COMPUTED_VALUE"""),132.88)</f>
        <v>132.88</v>
      </c>
      <c r="F757" s="7">
        <f>IFERROR(__xludf.DUMMYFUNCTION("""COMPUTED_VALUE"""),1.9711596E7)</f>
        <v>19711596</v>
      </c>
      <c r="G757" s="7" t="str">
        <f>IFERROR(__xludf.DUMMYFUNCTION("""COMPUTED_VALUE"""),"IOC.NS")</f>
        <v>IOC.NS</v>
      </c>
      <c r="H757" s="8">
        <f t="shared" si="1"/>
        <v>-0.03807731287</v>
      </c>
      <c r="I757" s="8">
        <f t="shared" si="2"/>
        <v>0.03807731287</v>
      </c>
      <c r="J757" s="7" t="str">
        <f t="shared" si="3"/>
        <v>Jan-2025</v>
      </c>
      <c r="K757" s="9">
        <f t="shared" si="4"/>
        <v>45658</v>
      </c>
      <c r="L757" s="7" t="str">
        <f t="shared" si="5"/>
        <v/>
      </c>
      <c r="M757" s="7" t="str">
        <f>IFERROR(__xludf.DUMMYFUNCTION("IFERROR(
  IF(
    F757 &gt;
    3*AVERAGE(
       FILTER($F$2:$F10491,
         $G$2:$G10491=G757,
         $A$2:$A10491&gt;=A757-20,
         $A$2:$A10491&lt;=A757
       )
    ),
    ""VOL_SPIKE_3X"",""""
  ),
"""")
"),"")</f>
        <v/>
      </c>
      <c r="N757" s="7" t="str">
        <f t="shared" si="6"/>
        <v/>
      </c>
      <c r="O757" s="7" t="str">
        <f t="shared" si="7"/>
        <v/>
      </c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>
        <f>IFERROR(__xludf.DUMMYFUNCTION("""COMPUTED_VALUE"""),45663.0)</f>
        <v>45663</v>
      </c>
      <c r="B758" s="6">
        <f>IFERROR(__xludf.DUMMYFUNCTION("""COMPUTED_VALUE"""),341.7)</f>
        <v>341.7</v>
      </c>
      <c r="C758" s="6">
        <f>IFERROR(__xludf.DUMMYFUNCTION("""COMPUTED_VALUE"""),341.7)</f>
        <v>341.7</v>
      </c>
      <c r="D758" s="6">
        <f>IFERROR(__xludf.DUMMYFUNCTION("""COMPUTED_VALUE"""),326.45)</f>
        <v>326.45</v>
      </c>
      <c r="E758" s="6">
        <f>IFERROR(__xludf.DUMMYFUNCTION("""COMPUTED_VALUE"""),327.5)</f>
        <v>327.5</v>
      </c>
      <c r="F758" s="7">
        <f>IFERROR(__xludf.DUMMYFUNCTION("""COMPUTED_VALUE"""),1.0538077E7)</f>
        <v>10538077</v>
      </c>
      <c r="G758" s="7" t="str">
        <f>IFERROR(__xludf.DUMMYFUNCTION("""COMPUTED_VALUE"""),"NTPC.NS")</f>
        <v>NTPC.NS</v>
      </c>
      <c r="H758" s="8">
        <f t="shared" si="1"/>
        <v>-0.04155692128</v>
      </c>
      <c r="I758" s="8">
        <f t="shared" si="2"/>
        <v>0.04155692128</v>
      </c>
      <c r="J758" s="7" t="str">
        <f t="shared" si="3"/>
        <v>Jan-2025</v>
      </c>
      <c r="K758" s="9">
        <f t="shared" si="4"/>
        <v>45658</v>
      </c>
      <c r="L758" s="7" t="str">
        <f t="shared" si="5"/>
        <v/>
      </c>
      <c r="M758" s="7" t="str">
        <f>IFERROR(__xludf.DUMMYFUNCTION("IFERROR(
  IF(
    F758 &gt;
    3*AVERAGE(
       FILTER($F$2:$F10491,
         $G$2:$G10491=G758,
         $A$2:$A10491&gt;=A758-20,
         $A$2:$A10491&lt;=A758
       )
    ),
    ""VOL_SPIKE_3X"",""""
  ),
"""")
"),"")</f>
        <v/>
      </c>
      <c r="N758" s="7" t="str">
        <f t="shared" si="6"/>
        <v/>
      </c>
      <c r="O758" s="7" t="str">
        <f t="shared" si="7"/>
        <v/>
      </c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>
        <f>IFERROR(__xludf.DUMMYFUNCTION("""COMPUTED_VALUE"""),45663.0)</f>
        <v>45663</v>
      </c>
      <c r="B759" s="6">
        <f>IFERROR(__xludf.DUMMYFUNCTION("""COMPUTED_VALUE"""),259.11)</f>
        <v>259.11</v>
      </c>
      <c r="C759" s="6">
        <f>IFERROR(__xludf.DUMMYFUNCTION("""COMPUTED_VALUE"""),259.5)</f>
        <v>259.5</v>
      </c>
      <c r="D759" s="6">
        <f>IFERROR(__xludf.DUMMYFUNCTION("""COMPUTED_VALUE"""),251.45)</f>
        <v>251.45</v>
      </c>
      <c r="E759" s="6">
        <f>IFERROR(__xludf.DUMMYFUNCTION("""COMPUTED_VALUE"""),254.36)</f>
        <v>254.36</v>
      </c>
      <c r="F759" s="7">
        <f>IFERROR(__xludf.DUMMYFUNCTION("""COMPUTED_VALUE"""),1.9265884E7)</f>
        <v>19265884</v>
      </c>
      <c r="G759" s="7" t="str">
        <f>IFERROR(__xludf.DUMMYFUNCTION("""COMPUTED_VALUE"""),"ONGC.NS")</f>
        <v>ONGC.NS</v>
      </c>
      <c r="H759" s="8">
        <f t="shared" si="1"/>
        <v>-0.01833198256</v>
      </c>
      <c r="I759" s="8">
        <f t="shared" si="2"/>
        <v>0.01833198256</v>
      </c>
      <c r="J759" s="7" t="str">
        <f t="shared" si="3"/>
        <v>Jan-2025</v>
      </c>
      <c r="K759" s="9">
        <f t="shared" si="4"/>
        <v>45658</v>
      </c>
      <c r="L759" s="7" t="str">
        <f t="shared" si="5"/>
        <v/>
      </c>
      <c r="M759" s="7" t="str">
        <f>IFERROR(__xludf.DUMMYFUNCTION("IFERROR(
  IF(
    F759 &gt;
    3*AVERAGE(
       FILTER($F$2:$F10491,
         $G$2:$G10491=G759,
         $A$2:$A10491&gt;=A759-20,
         $A$2:$A10491&lt;=A759
       )
    ),
    ""VOL_SPIKE_3X"",""""
  ),
"""")
"),"")</f>
        <v/>
      </c>
      <c r="N759" s="7" t="str">
        <f t="shared" si="6"/>
        <v/>
      </c>
      <c r="O759" s="7" t="str">
        <f t="shared" si="7"/>
        <v/>
      </c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>
        <f>IFERROR(__xludf.DUMMYFUNCTION("""COMPUTED_VALUE"""),45663.0)</f>
        <v>45663</v>
      </c>
      <c r="B760" s="6">
        <f>IFERROR(__xludf.DUMMYFUNCTION("""COMPUTED_VALUE"""),315.8)</f>
        <v>315.8</v>
      </c>
      <c r="C760" s="6">
        <f>IFERROR(__xludf.DUMMYFUNCTION("""COMPUTED_VALUE"""),316.5)</f>
        <v>316.5</v>
      </c>
      <c r="D760" s="6">
        <f>IFERROR(__xludf.DUMMYFUNCTION("""COMPUTED_VALUE"""),304.8)</f>
        <v>304.8</v>
      </c>
      <c r="E760" s="6">
        <f>IFERROR(__xludf.DUMMYFUNCTION("""COMPUTED_VALUE"""),306.0)</f>
        <v>306</v>
      </c>
      <c r="F760" s="7">
        <f>IFERROR(__xludf.DUMMYFUNCTION("""COMPUTED_VALUE"""),6722495.0)</f>
        <v>6722495</v>
      </c>
      <c r="G760" s="7" t="str">
        <f>IFERROR(__xludf.DUMMYFUNCTION("""COMPUTED_VALUE"""),"POWERGRID.NS")</f>
        <v>POWERGRID.NS</v>
      </c>
      <c r="H760" s="8">
        <f t="shared" si="1"/>
        <v>-0.03103229892</v>
      </c>
      <c r="I760" s="8">
        <f t="shared" si="2"/>
        <v>0.03103229892</v>
      </c>
      <c r="J760" s="7" t="str">
        <f t="shared" si="3"/>
        <v>Jan-2025</v>
      </c>
      <c r="K760" s="9">
        <f t="shared" si="4"/>
        <v>45658</v>
      </c>
      <c r="L760" s="7" t="str">
        <f t="shared" si="5"/>
        <v/>
      </c>
      <c r="M760" s="7" t="str">
        <f>IFERROR(__xludf.DUMMYFUNCTION("IFERROR(
  IF(
    F760 &gt;
    3*AVERAGE(
       FILTER($F$2:$F10491,
         $G$2:$G10491=G760,
         $A$2:$A10491&gt;=A760-20,
         $A$2:$A10491&lt;=A760
       )
    ),
    ""VOL_SPIKE_3X"",""""
  ),
"""")
"),"")</f>
        <v/>
      </c>
      <c r="N760" s="7" t="str">
        <f t="shared" si="6"/>
        <v/>
      </c>
      <c r="O760" s="7" t="str">
        <f t="shared" si="7"/>
        <v/>
      </c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>
        <f>IFERROR(__xludf.DUMMYFUNCTION("""COMPUTED_VALUE"""),45663.0)</f>
        <v>45663</v>
      </c>
      <c r="B761" s="6">
        <f>IFERROR(__xludf.DUMMYFUNCTION("""COMPUTED_VALUE"""),1253.95)</f>
        <v>1253.95</v>
      </c>
      <c r="C761" s="6">
        <f>IFERROR(__xludf.DUMMYFUNCTION("""COMPUTED_VALUE"""),1262.0)</f>
        <v>1262</v>
      </c>
      <c r="D761" s="6">
        <f>IFERROR(__xludf.DUMMYFUNCTION("""COMPUTED_VALUE"""),1215.0)</f>
        <v>1215</v>
      </c>
      <c r="E761" s="6">
        <f>IFERROR(__xludf.DUMMYFUNCTION("""COMPUTED_VALUE"""),1218.0)</f>
        <v>1218</v>
      </c>
      <c r="F761" s="7">
        <f>IFERROR(__xludf.DUMMYFUNCTION("""COMPUTED_VALUE"""),1.4816766E7)</f>
        <v>14816766</v>
      </c>
      <c r="G761" s="7" t="str">
        <f>IFERROR(__xludf.DUMMYFUNCTION("""COMPUTED_VALUE"""),"RELIANCE.NS")</f>
        <v>RELIANCE.NS</v>
      </c>
      <c r="H761" s="8">
        <f t="shared" si="1"/>
        <v>-0.02866940468</v>
      </c>
      <c r="I761" s="8">
        <f t="shared" si="2"/>
        <v>0.02866940468</v>
      </c>
      <c r="J761" s="7" t="str">
        <f t="shared" si="3"/>
        <v>Jan-2025</v>
      </c>
      <c r="K761" s="9">
        <f t="shared" si="4"/>
        <v>45658</v>
      </c>
      <c r="L761" s="7" t="str">
        <f t="shared" si="5"/>
        <v/>
      </c>
      <c r="M761" s="7" t="str">
        <f>IFERROR(__xludf.DUMMYFUNCTION("IFERROR(
  IF(
    F761 &gt;
    3*AVERAGE(
       FILTER($F$2:$F10491,
         $G$2:$G10491=G761,
         $A$2:$A10491&gt;=A761-20,
         $A$2:$A10491&lt;=A761
       )
    ),
    ""VOL_SPIKE_3X"",""""
  ),
"""")
"),"")</f>
        <v/>
      </c>
      <c r="N761" s="7" t="str">
        <f t="shared" si="6"/>
        <v/>
      </c>
      <c r="O761" s="7" t="str">
        <f t="shared" si="7"/>
        <v/>
      </c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>
        <f>IFERROR(__xludf.DUMMYFUNCTION("""COMPUTED_VALUE"""),45664.0)</f>
        <v>45664</v>
      </c>
      <c r="B762" s="6">
        <f>IFERROR(__xludf.DUMMYFUNCTION("""COMPUTED_VALUE"""),777.0)</f>
        <v>777</v>
      </c>
      <c r="C762" s="6">
        <f>IFERROR(__xludf.DUMMYFUNCTION("""COMPUTED_VALUE"""),792.4)</f>
        <v>792.4</v>
      </c>
      <c r="D762" s="6">
        <f>IFERROR(__xludf.DUMMYFUNCTION("""COMPUTED_VALUE"""),773.8)</f>
        <v>773.8</v>
      </c>
      <c r="E762" s="6">
        <f>IFERROR(__xludf.DUMMYFUNCTION("""COMPUTED_VALUE"""),781.55)</f>
        <v>781.55</v>
      </c>
      <c r="F762" s="7">
        <f>IFERROR(__xludf.DUMMYFUNCTION("""COMPUTED_VALUE"""),1188943.0)</f>
        <v>1188943</v>
      </c>
      <c r="G762" s="7" t="str">
        <f>IFERROR(__xludf.DUMMYFUNCTION("""COMPUTED_VALUE"""),"ADANIENSOL.NS")</f>
        <v>ADANIENSOL.NS</v>
      </c>
      <c r="H762" s="8">
        <f t="shared" si="1"/>
        <v>0.005855855856</v>
      </c>
      <c r="I762" s="8">
        <f t="shared" si="2"/>
        <v>0.005855855856</v>
      </c>
      <c r="J762" s="7" t="str">
        <f t="shared" si="3"/>
        <v>Jan-2025</v>
      </c>
      <c r="K762" s="9">
        <f t="shared" si="4"/>
        <v>45658</v>
      </c>
      <c r="L762" s="7" t="str">
        <f t="shared" si="5"/>
        <v/>
      </c>
      <c r="M762" s="7" t="str">
        <f>IFERROR(__xludf.DUMMYFUNCTION("IFERROR(
  IF(
    F762 &gt;
    3*AVERAGE(
       FILTER($F$2:$F10491,
         $G$2:$G10491=G762,
         $A$2:$A10491&gt;=A762-20,
         $A$2:$A10491&lt;=A762
       )
    ),
    ""VOL_SPIKE_3X"",""""
  ),
"""")
"),"")</f>
        <v/>
      </c>
      <c r="N762" s="7" t="str">
        <f t="shared" si="6"/>
        <v/>
      </c>
      <c r="O762" s="7" t="str">
        <f t="shared" si="7"/>
        <v/>
      </c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>
        <f>IFERROR(__xludf.DUMMYFUNCTION("""COMPUTED_VALUE"""),45664.0)</f>
        <v>45664</v>
      </c>
      <c r="B763" s="6">
        <f>IFERROR(__xludf.DUMMYFUNCTION("""COMPUTED_VALUE"""),986.95)</f>
        <v>986.95</v>
      </c>
      <c r="C763" s="6">
        <f>IFERROR(__xludf.DUMMYFUNCTION("""COMPUTED_VALUE"""),1014.8)</f>
        <v>1014.8</v>
      </c>
      <c r="D763" s="6">
        <f>IFERROR(__xludf.DUMMYFUNCTION("""COMPUTED_VALUE"""),985.1)</f>
        <v>985.1</v>
      </c>
      <c r="E763" s="6">
        <f>IFERROR(__xludf.DUMMYFUNCTION("""COMPUTED_VALUE"""),1005.5)</f>
        <v>1005.5</v>
      </c>
      <c r="F763" s="7">
        <f>IFERROR(__xludf.DUMMYFUNCTION("""COMPUTED_VALUE"""),2637204.0)</f>
        <v>2637204</v>
      </c>
      <c r="G763" s="7" t="str">
        <f>IFERROR(__xludf.DUMMYFUNCTION("""COMPUTED_VALUE"""),"ADANIGREEN.NS")</f>
        <v>ADANIGREEN.NS</v>
      </c>
      <c r="H763" s="8">
        <f t="shared" si="1"/>
        <v>0.01879527838</v>
      </c>
      <c r="I763" s="8">
        <f t="shared" si="2"/>
        <v>0.01879527838</v>
      </c>
      <c r="J763" s="7" t="str">
        <f t="shared" si="3"/>
        <v>Jan-2025</v>
      </c>
      <c r="K763" s="9">
        <f t="shared" si="4"/>
        <v>45658</v>
      </c>
      <c r="L763" s="7" t="str">
        <f t="shared" si="5"/>
        <v/>
      </c>
      <c r="M763" s="7" t="str">
        <f>IFERROR(__xludf.DUMMYFUNCTION("IFERROR(
  IF(
    F763 &gt;
    3*AVERAGE(
       FILTER($F$2:$F10491,
         $G$2:$G10491=G763,
         $A$2:$A10491&gt;=A763-20,
         $A$2:$A10491&lt;=A763
       )
    ),
    ""VOL_SPIKE_3X"",""""
  ),
"""")
"),"")</f>
        <v/>
      </c>
      <c r="N763" s="7" t="str">
        <f t="shared" si="6"/>
        <v/>
      </c>
      <c r="O763" s="7" t="str">
        <f t="shared" si="7"/>
        <v/>
      </c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>
        <f>IFERROR(__xludf.DUMMYFUNCTION("""COMPUTED_VALUE"""),45664.0)</f>
        <v>45664</v>
      </c>
      <c r="B764" s="6">
        <f>IFERROR(__xludf.DUMMYFUNCTION("""COMPUTED_VALUE"""),287.1)</f>
        <v>287.1</v>
      </c>
      <c r="C764" s="6">
        <f>IFERROR(__xludf.DUMMYFUNCTION("""COMPUTED_VALUE"""),290.5)</f>
        <v>290.5</v>
      </c>
      <c r="D764" s="6">
        <f>IFERROR(__xludf.DUMMYFUNCTION("""COMPUTED_VALUE"""),280.7)</f>
        <v>280.7</v>
      </c>
      <c r="E764" s="6">
        <f>IFERROR(__xludf.DUMMYFUNCTION("""COMPUTED_VALUE"""),282.8)</f>
        <v>282.8</v>
      </c>
      <c r="F764" s="7">
        <f>IFERROR(__xludf.DUMMYFUNCTION("""COMPUTED_VALUE"""),8306436.0)</f>
        <v>8306436</v>
      </c>
      <c r="G764" s="7" t="str">
        <f>IFERROR(__xludf.DUMMYFUNCTION("""COMPUTED_VALUE"""),"BPCL.NS")</f>
        <v>BPCL.NS</v>
      </c>
      <c r="H764" s="8">
        <f t="shared" si="1"/>
        <v>-0.0149773598</v>
      </c>
      <c r="I764" s="8">
        <f t="shared" si="2"/>
        <v>0.0149773598</v>
      </c>
      <c r="J764" s="7" t="str">
        <f t="shared" si="3"/>
        <v>Jan-2025</v>
      </c>
      <c r="K764" s="9">
        <f t="shared" si="4"/>
        <v>45658</v>
      </c>
      <c r="L764" s="7" t="str">
        <f t="shared" si="5"/>
        <v/>
      </c>
      <c r="M764" s="7" t="str">
        <f>IFERROR(__xludf.DUMMYFUNCTION("IFERROR(
  IF(
    F764 &gt;
    3*AVERAGE(
       FILTER($F$2:$F10491,
         $G$2:$G10491=G764,
         $A$2:$A10491&gt;=A764-20,
         $A$2:$A10491&lt;=A764
       )
    ),
    ""VOL_SPIKE_3X"",""""
  ),
"""")
"),"")</f>
        <v/>
      </c>
      <c r="N764" s="7" t="str">
        <f t="shared" si="6"/>
        <v/>
      </c>
      <c r="O764" s="7" t="str">
        <f t="shared" si="7"/>
        <v/>
      </c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>
        <f>IFERROR(__xludf.DUMMYFUNCTION("""COMPUTED_VALUE"""),45664.0)</f>
        <v>45664</v>
      </c>
      <c r="B765" s="6">
        <f>IFERROR(__xludf.DUMMYFUNCTION("""COMPUTED_VALUE"""),380.55)</f>
        <v>380.55</v>
      </c>
      <c r="C765" s="6">
        <f>IFERROR(__xludf.DUMMYFUNCTION("""COMPUTED_VALUE"""),384.25)</f>
        <v>384.25</v>
      </c>
      <c r="D765" s="6">
        <f>IFERROR(__xludf.DUMMYFUNCTION("""COMPUTED_VALUE"""),376.5)</f>
        <v>376.5</v>
      </c>
      <c r="E765" s="6">
        <f>IFERROR(__xludf.DUMMYFUNCTION("""COMPUTED_VALUE"""),379.8)</f>
        <v>379.8</v>
      </c>
      <c r="F765" s="7">
        <f>IFERROR(__xludf.DUMMYFUNCTION("""COMPUTED_VALUE"""),6542121.0)</f>
        <v>6542121</v>
      </c>
      <c r="G765" s="7" t="str">
        <f>IFERROR(__xludf.DUMMYFUNCTION("""COMPUTED_VALUE"""),"COALINDIA.NS")</f>
        <v>COALINDIA.NS</v>
      </c>
      <c r="H765" s="8">
        <f t="shared" si="1"/>
        <v>-0.001970831691</v>
      </c>
      <c r="I765" s="8">
        <f t="shared" si="2"/>
        <v>0.001970831691</v>
      </c>
      <c r="J765" s="7" t="str">
        <f t="shared" si="3"/>
        <v>Jan-2025</v>
      </c>
      <c r="K765" s="9">
        <f t="shared" si="4"/>
        <v>45658</v>
      </c>
      <c r="L765" s="7" t="str">
        <f t="shared" si="5"/>
        <v/>
      </c>
      <c r="M765" s="7" t="str">
        <f>IFERROR(__xludf.DUMMYFUNCTION("IFERROR(
  IF(
    F765 &gt;
    3*AVERAGE(
       FILTER($F$2:$F10491,
         $G$2:$G10491=G765,
         $A$2:$A10491&gt;=A765-20,
         $A$2:$A10491&lt;=A765
       )
    ),
    ""VOL_SPIKE_3X"",""""
  ),
"""")
"),"")</f>
        <v/>
      </c>
      <c r="N765" s="7" t="str">
        <f t="shared" si="6"/>
        <v/>
      </c>
      <c r="O765" s="7" t="str">
        <f t="shared" si="7"/>
        <v/>
      </c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>
        <f>IFERROR(__xludf.DUMMYFUNCTION("""COMPUTED_VALUE"""),45664.0)</f>
        <v>45664</v>
      </c>
      <c r="B766" s="6">
        <f>IFERROR(__xludf.DUMMYFUNCTION("""COMPUTED_VALUE"""),391.9)</f>
        <v>391.9</v>
      </c>
      <c r="C766" s="6">
        <f>IFERROR(__xludf.DUMMYFUNCTION("""COMPUTED_VALUE"""),397.6)</f>
        <v>397.6</v>
      </c>
      <c r="D766" s="6">
        <f>IFERROR(__xludf.DUMMYFUNCTION("""COMPUTED_VALUE"""),385.15)</f>
        <v>385.15</v>
      </c>
      <c r="E766" s="6">
        <f>IFERROR(__xludf.DUMMYFUNCTION("""COMPUTED_VALUE"""),386.2)</f>
        <v>386.2</v>
      </c>
      <c r="F766" s="7">
        <f>IFERROR(__xludf.DUMMYFUNCTION("""COMPUTED_VALUE"""),3195402.0)</f>
        <v>3195402</v>
      </c>
      <c r="G766" s="7" t="str">
        <f>IFERROR(__xludf.DUMMYFUNCTION("""COMPUTED_VALUE"""),"HINDPETRO.NS")</f>
        <v>HINDPETRO.NS</v>
      </c>
      <c r="H766" s="8">
        <f t="shared" si="1"/>
        <v>-0.01454452666</v>
      </c>
      <c r="I766" s="8">
        <f t="shared" si="2"/>
        <v>0.01454452666</v>
      </c>
      <c r="J766" s="7" t="str">
        <f t="shared" si="3"/>
        <v>Jan-2025</v>
      </c>
      <c r="K766" s="9">
        <f t="shared" si="4"/>
        <v>45658</v>
      </c>
      <c r="L766" s="7" t="str">
        <f t="shared" si="5"/>
        <v/>
      </c>
      <c r="M766" s="7" t="str">
        <f>IFERROR(__xludf.DUMMYFUNCTION("IFERROR(
  IF(
    F766 &gt;
    3*AVERAGE(
       FILTER($F$2:$F10491,
         $G$2:$G10491=G766,
         $A$2:$A10491&gt;=A766-20,
         $A$2:$A10491&lt;=A766
       )
    ),
    ""VOL_SPIKE_3X"",""""
  ),
"""")
"),"")</f>
        <v/>
      </c>
      <c r="N766" s="7" t="str">
        <f t="shared" si="6"/>
        <v/>
      </c>
      <c r="O766" s="7" t="str">
        <f t="shared" si="7"/>
        <v/>
      </c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>
        <f>IFERROR(__xludf.DUMMYFUNCTION("""COMPUTED_VALUE"""),45664.0)</f>
        <v>45664</v>
      </c>
      <c r="B767" s="6">
        <f>IFERROR(__xludf.DUMMYFUNCTION("""COMPUTED_VALUE"""),133.49)</f>
        <v>133.49</v>
      </c>
      <c r="C767" s="6">
        <f>IFERROR(__xludf.DUMMYFUNCTION("""COMPUTED_VALUE"""),136.28)</f>
        <v>136.28</v>
      </c>
      <c r="D767" s="6">
        <f>IFERROR(__xludf.DUMMYFUNCTION("""COMPUTED_VALUE"""),133.2)</f>
        <v>133.2</v>
      </c>
      <c r="E767" s="6">
        <f>IFERROR(__xludf.DUMMYFUNCTION("""COMPUTED_VALUE"""),134.33)</f>
        <v>134.33</v>
      </c>
      <c r="F767" s="7">
        <f>IFERROR(__xludf.DUMMYFUNCTION("""COMPUTED_VALUE"""),1.3658286E7)</f>
        <v>13658286</v>
      </c>
      <c r="G767" s="7" t="str">
        <f>IFERROR(__xludf.DUMMYFUNCTION("""COMPUTED_VALUE"""),"IOC.NS")</f>
        <v>IOC.NS</v>
      </c>
      <c r="H767" s="8">
        <f t="shared" si="1"/>
        <v>0.006292606188</v>
      </c>
      <c r="I767" s="8">
        <f t="shared" si="2"/>
        <v>0.006292606188</v>
      </c>
      <c r="J767" s="7" t="str">
        <f t="shared" si="3"/>
        <v>Jan-2025</v>
      </c>
      <c r="K767" s="9">
        <f t="shared" si="4"/>
        <v>45658</v>
      </c>
      <c r="L767" s="7" t="str">
        <f t="shared" si="5"/>
        <v/>
      </c>
      <c r="M767" s="7" t="str">
        <f>IFERROR(__xludf.DUMMYFUNCTION("IFERROR(
  IF(
    F767 &gt;
    3*AVERAGE(
       FILTER($F$2:$F10491,
         $G$2:$G10491=G767,
         $A$2:$A10491&gt;=A767-20,
         $A$2:$A10491&lt;=A767
       )
    ),
    ""VOL_SPIKE_3X"",""""
  ),
"""")
"),"")</f>
        <v/>
      </c>
      <c r="N767" s="7" t="str">
        <f t="shared" si="6"/>
        <v/>
      </c>
      <c r="O767" s="7" t="str">
        <f t="shared" si="7"/>
        <v/>
      </c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>
        <f>IFERROR(__xludf.DUMMYFUNCTION("""COMPUTED_VALUE"""),45664.0)</f>
        <v>45664</v>
      </c>
      <c r="B768" s="6">
        <f>IFERROR(__xludf.DUMMYFUNCTION("""COMPUTED_VALUE"""),327.0)</f>
        <v>327</v>
      </c>
      <c r="C768" s="6">
        <f>IFERROR(__xludf.DUMMYFUNCTION("""COMPUTED_VALUE"""),330.35)</f>
        <v>330.35</v>
      </c>
      <c r="D768" s="6">
        <f>IFERROR(__xludf.DUMMYFUNCTION("""COMPUTED_VALUE"""),325.1)</f>
        <v>325.1</v>
      </c>
      <c r="E768" s="6">
        <f>IFERROR(__xludf.DUMMYFUNCTION("""COMPUTED_VALUE"""),328.6)</f>
        <v>328.6</v>
      </c>
      <c r="F768" s="7">
        <f>IFERROR(__xludf.DUMMYFUNCTION("""COMPUTED_VALUE"""),1.3891401E7)</f>
        <v>13891401</v>
      </c>
      <c r="G768" s="7" t="str">
        <f>IFERROR(__xludf.DUMMYFUNCTION("""COMPUTED_VALUE"""),"NTPC.NS")</f>
        <v>NTPC.NS</v>
      </c>
      <c r="H768" s="8">
        <f t="shared" si="1"/>
        <v>0.004892966361</v>
      </c>
      <c r="I768" s="8">
        <f t="shared" si="2"/>
        <v>0.004892966361</v>
      </c>
      <c r="J768" s="7" t="str">
        <f t="shared" si="3"/>
        <v>Jan-2025</v>
      </c>
      <c r="K768" s="9">
        <f t="shared" si="4"/>
        <v>45658</v>
      </c>
      <c r="L768" s="7" t="str">
        <f t="shared" si="5"/>
        <v/>
      </c>
      <c r="M768" s="7" t="str">
        <f>IFERROR(__xludf.DUMMYFUNCTION("IFERROR(
  IF(
    F768 &gt;
    3*AVERAGE(
       FILTER($F$2:$F10491,
         $G$2:$G10491=G768,
         $A$2:$A10491&gt;=A768-20,
         $A$2:$A10491&lt;=A768
       )
    ),
    ""VOL_SPIKE_3X"",""""
  ),
"""")
"),"")</f>
        <v/>
      </c>
      <c r="N768" s="7" t="str">
        <f t="shared" si="6"/>
        <v/>
      </c>
      <c r="O768" s="7" t="str">
        <f t="shared" si="7"/>
        <v/>
      </c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>
        <f>IFERROR(__xludf.DUMMYFUNCTION("""COMPUTED_VALUE"""),45664.0)</f>
        <v>45664</v>
      </c>
      <c r="B769" s="6">
        <f>IFERROR(__xludf.DUMMYFUNCTION("""COMPUTED_VALUE"""),259.15)</f>
        <v>259.15</v>
      </c>
      <c r="C769" s="6">
        <f>IFERROR(__xludf.DUMMYFUNCTION("""COMPUTED_VALUE"""),267.4)</f>
        <v>267.4</v>
      </c>
      <c r="D769" s="6">
        <f>IFERROR(__xludf.DUMMYFUNCTION("""COMPUTED_VALUE"""),258.05)</f>
        <v>258.05</v>
      </c>
      <c r="E769" s="6">
        <f>IFERROR(__xludf.DUMMYFUNCTION("""COMPUTED_VALUE"""),263.49)</f>
        <v>263.49</v>
      </c>
      <c r="F769" s="7">
        <f>IFERROR(__xludf.DUMMYFUNCTION("""COMPUTED_VALUE"""),5.2956766E7)</f>
        <v>52956766</v>
      </c>
      <c r="G769" s="7" t="str">
        <f>IFERROR(__xludf.DUMMYFUNCTION("""COMPUTED_VALUE"""),"ONGC.NS")</f>
        <v>ONGC.NS</v>
      </c>
      <c r="H769" s="8">
        <f t="shared" si="1"/>
        <v>0.01674705769</v>
      </c>
      <c r="I769" s="8">
        <f t="shared" si="2"/>
        <v>0.01674705769</v>
      </c>
      <c r="J769" s="7" t="str">
        <f t="shared" si="3"/>
        <v>Jan-2025</v>
      </c>
      <c r="K769" s="9">
        <f t="shared" si="4"/>
        <v>45658</v>
      </c>
      <c r="L769" s="7" t="str">
        <f t="shared" si="5"/>
        <v/>
      </c>
      <c r="M769" s="7" t="str">
        <f>IFERROR(__xludf.DUMMYFUNCTION("IFERROR(
  IF(
    F769 &gt;
    3*AVERAGE(
       FILTER($F$2:$F10491,
         $G$2:$G10491=G769,
         $A$2:$A10491&gt;=A769-20,
         $A$2:$A10491&lt;=A769
       )
    ),
    ""VOL_SPIKE_3X"",""""
  ),
"""")
"),"VOL_SPIKE_3X")</f>
        <v>VOL_SPIKE_3X</v>
      </c>
      <c r="N769" s="7" t="str">
        <f t="shared" si="6"/>
        <v>VOL_SPIKE_3X</v>
      </c>
      <c r="O769" s="7" t="str">
        <f t="shared" si="7"/>
        <v/>
      </c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>
        <f>IFERROR(__xludf.DUMMYFUNCTION("""COMPUTED_VALUE"""),45664.0)</f>
        <v>45664</v>
      </c>
      <c r="B770" s="6">
        <f>IFERROR(__xludf.DUMMYFUNCTION("""COMPUTED_VALUE"""),306.0)</f>
        <v>306</v>
      </c>
      <c r="C770" s="6">
        <f>IFERROR(__xludf.DUMMYFUNCTION("""COMPUTED_VALUE"""),310.7)</f>
        <v>310.7</v>
      </c>
      <c r="D770" s="6">
        <f>IFERROR(__xludf.DUMMYFUNCTION("""COMPUTED_VALUE"""),303.0)</f>
        <v>303</v>
      </c>
      <c r="E770" s="6">
        <f>IFERROR(__xludf.DUMMYFUNCTION("""COMPUTED_VALUE"""),305.05)</f>
        <v>305.05</v>
      </c>
      <c r="F770" s="7">
        <f>IFERROR(__xludf.DUMMYFUNCTION("""COMPUTED_VALUE"""),1.0137739E7)</f>
        <v>10137739</v>
      </c>
      <c r="G770" s="7" t="str">
        <f>IFERROR(__xludf.DUMMYFUNCTION("""COMPUTED_VALUE"""),"POWERGRID.NS")</f>
        <v>POWERGRID.NS</v>
      </c>
      <c r="H770" s="8">
        <f t="shared" si="1"/>
        <v>-0.003104575163</v>
      </c>
      <c r="I770" s="8">
        <f t="shared" si="2"/>
        <v>0.003104575163</v>
      </c>
      <c r="J770" s="7" t="str">
        <f t="shared" si="3"/>
        <v>Jan-2025</v>
      </c>
      <c r="K770" s="9">
        <f t="shared" si="4"/>
        <v>45658</v>
      </c>
      <c r="L770" s="7" t="str">
        <f t="shared" si="5"/>
        <v/>
      </c>
      <c r="M770" s="7" t="str">
        <f>IFERROR(__xludf.DUMMYFUNCTION("IFERROR(
  IF(
    F770 &gt;
    3*AVERAGE(
       FILTER($F$2:$F10491,
         $G$2:$G10491=G770,
         $A$2:$A10491&gt;=A770-20,
         $A$2:$A10491&lt;=A770
       )
    ),
    ""VOL_SPIKE_3X"",""""
  ),
"""")
"),"")</f>
        <v/>
      </c>
      <c r="N770" s="7" t="str">
        <f t="shared" si="6"/>
        <v/>
      </c>
      <c r="O770" s="7" t="str">
        <f t="shared" si="7"/>
        <v/>
      </c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>
        <f>IFERROR(__xludf.DUMMYFUNCTION("""COMPUTED_VALUE"""),45664.0)</f>
        <v>45664</v>
      </c>
      <c r="B771" s="6">
        <f>IFERROR(__xludf.DUMMYFUNCTION("""COMPUTED_VALUE"""),1222.0)</f>
        <v>1222</v>
      </c>
      <c r="C771" s="6">
        <f>IFERROR(__xludf.DUMMYFUNCTION("""COMPUTED_VALUE"""),1244.5)</f>
        <v>1244.5</v>
      </c>
      <c r="D771" s="6">
        <f>IFERROR(__xludf.DUMMYFUNCTION("""COMPUTED_VALUE"""),1221.25)</f>
        <v>1221.25</v>
      </c>
      <c r="E771" s="6">
        <f>IFERROR(__xludf.DUMMYFUNCTION("""COMPUTED_VALUE"""),1240.85)</f>
        <v>1240.85</v>
      </c>
      <c r="F771" s="7">
        <f>IFERROR(__xludf.DUMMYFUNCTION("""COMPUTED_VALUE"""),1.0070505E7)</f>
        <v>10070505</v>
      </c>
      <c r="G771" s="7" t="str">
        <f>IFERROR(__xludf.DUMMYFUNCTION("""COMPUTED_VALUE"""),"RELIANCE.NS")</f>
        <v>RELIANCE.NS</v>
      </c>
      <c r="H771" s="8">
        <f t="shared" si="1"/>
        <v>0.01542553191</v>
      </c>
      <c r="I771" s="8">
        <f t="shared" si="2"/>
        <v>0.01542553191</v>
      </c>
      <c r="J771" s="7" t="str">
        <f t="shared" si="3"/>
        <v>Jan-2025</v>
      </c>
      <c r="K771" s="9">
        <f t="shared" si="4"/>
        <v>45658</v>
      </c>
      <c r="L771" s="7" t="str">
        <f t="shared" si="5"/>
        <v/>
      </c>
      <c r="M771" s="7" t="str">
        <f>IFERROR(__xludf.DUMMYFUNCTION("IFERROR(
  IF(
    F771 &gt;
    3*AVERAGE(
       FILTER($F$2:$F10491,
         $G$2:$G10491=G771,
         $A$2:$A10491&gt;=A771-20,
         $A$2:$A10491&lt;=A771
       )
    ),
    ""VOL_SPIKE_3X"",""""
  ),
"""")
"),"")</f>
        <v/>
      </c>
      <c r="N771" s="7" t="str">
        <f t="shared" si="6"/>
        <v/>
      </c>
      <c r="O771" s="7" t="str">
        <f t="shared" si="7"/>
        <v/>
      </c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>
        <f>IFERROR(__xludf.DUMMYFUNCTION("""COMPUTED_VALUE"""),45665.0)</f>
        <v>45665</v>
      </c>
      <c r="B772" s="6">
        <f>IFERROR(__xludf.DUMMYFUNCTION("""COMPUTED_VALUE"""),781.95)</f>
        <v>781.95</v>
      </c>
      <c r="C772" s="6">
        <f>IFERROR(__xludf.DUMMYFUNCTION("""COMPUTED_VALUE"""),784.85)</f>
        <v>784.85</v>
      </c>
      <c r="D772" s="6">
        <f>IFERROR(__xludf.DUMMYFUNCTION("""COMPUTED_VALUE"""),761.4)</f>
        <v>761.4</v>
      </c>
      <c r="E772" s="6">
        <f>IFERROR(__xludf.DUMMYFUNCTION("""COMPUTED_VALUE"""),770.2)</f>
        <v>770.2</v>
      </c>
      <c r="F772" s="7">
        <f>IFERROR(__xludf.DUMMYFUNCTION("""COMPUTED_VALUE"""),869142.0)</f>
        <v>869142</v>
      </c>
      <c r="G772" s="7" t="str">
        <f>IFERROR(__xludf.DUMMYFUNCTION("""COMPUTED_VALUE"""),"ADANIENSOL.NS")</f>
        <v>ADANIENSOL.NS</v>
      </c>
      <c r="H772" s="8">
        <f t="shared" si="1"/>
        <v>-0.01502653622</v>
      </c>
      <c r="I772" s="8">
        <f t="shared" si="2"/>
        <v>0.01502653622</v>
      </c>
      <c r="J772" s="7" t="str">
        <f t="shared" si="3"/>
        <v>Jan-2025</v>
      </c>
      <c r="K772" s="9">
        <f t="shared" si="4"/>
        <v>45658</v>
      </c>
      <c r="L772" s="7" t="str">
        <f t="shared" si="5"/>
        <v/>
      </c>
      <c r="M772" s="7" t="str">
        <f>IFERROR(__xludf.DUMMYFUNCTION("IFERROR(
  IF(
    F772 &gt;
    3*AVERAGE(
       FILTER($F$2:$F10491,
         $G$2:$G10491=G772,
         $A$2:$A10491&gt;=A772-20,
         $A$2:$A10491&lt;=A772
       )
    ),
    ""VOL_SPIKE_3X"",""""
  ),
"""")
"),"")</f>
        <v/>
      </c>
      <c r="N772" s="7" t="str">
        <f t="shared" si="6"/>
        <v/>
      </c>
      <c r="O772" s="7" t="str">
        <f t="shared" si="7"/>
        <v/>
      </c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>
        <f>IFERROR(__xludf.DUMMYFUNCTION("""COMPUTED_VALUE"""),45665.0)</f>
        <v>45665</v>
      </c>
      <c r="B773" s="6">
        <f>IFERROR(__xludf.DUMMYFUNCTION("""COMPUTED_VALUE"""),1010.0)</f>
        <v>1010</v>
      </c>
      <c r="C773" s="6">
        <f>IFERROR(__xludf.DUMMYFUNCTION("""COMPUTED_VALUE"""),1011.55)</f>
        <v>1011.55</v>
      </c>
      <c r="D773" s="6">
        <f>IFERROR(__xludf.DUMMYFUNCTION("""COMPUTED_VALUE"""),981.0)</f>
        <v>981</v>
      </c>
      <c r="E773" s="6">
        <f>IFERROR(__xludf.DUMMYFUNCTION("""COMPUTED_VALUE"""),988.95)</f>
        <v>988.95</v>
      </c>
      <c r="F773" s="7">
        <f>IFERROR(__xludf.DUMMYFUNCTION("""COMPUTED_VALUE"""),1702163.0)</f>
        <v>1702163</v>
      </c>
      <c r="G773" s="7" t="str">
        <f>IFERROR(__xludf.DUMMYFUNCTION("""COMPUTED_VALUE"""),"ADANIGREEN.NS")</f>
        <v>ADANIGREEN.NS</v>
      </c>
      <c r="H773" s="8">
        <f t="shared" si="1"/>
        <v>-0.02084158416</v>
      </c>
      <c r="I773" s="8">
        <f t="shared" si="2"/>
        <v>0.02084158416</v>
      </c>
      <c r="J773" s="7" t="str">
        <f t="shared" si="3"/>
        <v>Jan-2025</v>
      </c>
      <c r="K773" s="9">
        <f t="shared" si="4"/>
        <v>45658</v>
      </c>
      <c r="L773" s="7" t="str">
        <f t="shared" si="5"/>
        <v/>
      </c>
      <c r="M773" s="7" t="str">
        <f>IFERROR(__xludf.DUMMYFUNCTION("IFERROR(
  IF(
    F773 &gt;
    3*AVERAGE(
       FILTER($F$2:$F10491,
         $G$2:$G10491=G773,
         $A$2:$A10491&gt;=A773-20,
         $A$2:$A10491&lt;=A773
       )
    ),
    ""VOL_SPIKE_3X"",""""
  ),
"""")
"),"")</f>
        <v/>
      </c>
      <c r="N773" s="7" t="str">
        <f t="shared" si="6"/>
        <v/>
      </c>
      <c r="O773" s="7" t="str">
        <f t="shared" si="7"/>
        <v/>
      </c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>
        <f>IFERROR(__xludf.DUMMYFUNCTION("""COMPUTED_VALUE"""),45665.0)</f>
        <v>45665</v>
      </c>
      <c r="B774" s="6">
        <f>IFERROR(__xludf.DUMMYFUNCTION("""COMPUTED_VALUE"""),282.8)</f>
        <v>282.8</v>
      </c>
      <c r="C774" s="6">
        <f>IFERROR(__xludf.DUMMYFUNCTION("""COMPUTED_VALUE"""),287.9)</f>
        <v>287.9</v>
      </c>
      <c r="D774" s="6">
        <f>IFERROR(__xludf.DUMMYFUNCTION("""COMPUTED_VALUE"""),280.5)</f>
        <v>280.5</v>
      </c>
      <c r="E774" s="6">
        <f>IFERROR(__xludf.DUMMYFUNCTION("""COMPUTED_VALUE"""),286.8)</f>
        <v>286.8</v>
      </c>
      <c r="F774" s="7">
        <f>IFERROR(__xludf.DUMMYFUNCTION("""COMPUTED_VALUE"""),6037032.0)</f>
        <v>6037032</v>
      </c>
      <c r="G774" s="7" t="str">
        <f>IFERROR(__xludf.DUMMYFUNCTION("""COMPUTED_VALUE"""),"BPCL.NS")</f>
        <v>BPCL.NS</v>
      </c>
      <c r="H774" s="8">
        <f t="shared" si="1"/>
        <v>0.01414427157</v>
      </c>
      <c r="I774" s="8">
        <f t="shared" si="2"/>
        <v>0.01414427157</v>
      </c>
      <c r="J774" s="7" t="str">
        <f t="shared" si="3"/>
        <v>Jan-2025</v>
      </c>
      <c r="K774" s="9">
        <f t="shared" si="4"/>
        <v>45658</v>
      </c>
      <c r="L774" s="7" t="str">
        <f t="shared" si="5"/>
        <v/>
      </c>
      <c r="M774" s="7" t="str">
        <f>IFERROR(__xludf.DUMMYFUNCTION("IFERROR(
  IF(
    F774 &gt;
    3*AVERAGE(
       FILTER($F$2:$F10491,
         $G$2:$G10491=G774,
         $A$2:$A10491&gt;=A774-20,
         $A$2:$A10491&lt;=A774
       )
    ),
    ""VOL_SPIKE_3X"",""""
  ),
"""")
"),"")</f>
        <v/>
      </c>
      <c r="N774" s="7" t="str">
        <f t="shared" si="6"/>
        <v/>
      </c>
      <c r="O774" s="7" t="str">
        <f t="shared" si="7"/>
        <v/>
      </c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>
        <f>IFERROR(__xludf.DUMMYFUNCTION("""COMPUTED_VALUE"""),45665.0)</f>
        <v>45665</v>
      </c>
      <c r="B775" s="6">
        <f>IFERROR(__xludf.DUMMYFUNCTION("""COMPUTED_VALUE"""),380.05)</f>
        <v>380.05</v>
      </c>
      <c r="C775" s="6">
        <f>IFERROR(__xludf.DUMMYFUNCTION("""COMPUTED_VALUE"""),382.05)</f>
        <v>382.05</v>
      </c>
      <c r="D775" s="6">
        <f>IFERROR(__xludf.DUMMYFUNCTION("""COMPUTED_VALUE"""),376.0)</f>
        <v>376</v>
      </c>
      <c r="E775" s="6">
        <f>IFERROR(__xludf.DUMMYFUNCTION("""COMPUTED_VALUE"""),380.35)</f>
        <v>380.35</v>
      </c>
      <c r="F775" s="7">
        <f>IFERROR(__xludf.DUMMYFUNCTION("""COMPUTED_VALUE"""),7407778.0)</f>
        <v>7407778</v>
      </c>
      <c r="G775" s="7" t="str">
        <f>IFERROR(__xludf.DUMMYFUNCTION("""COMPUTED_VALUE"""),"COALINDIA.NS")</f>
        <v>COALINDIA.NS</v>
      </c>
      <c r="H775" s="8">
        <f t="shared" si="1"/>
        <v>0.0007893698198</v>
      </c>
      <c r="I775" s="8">
        <f t="shared" si="2"/>
        <v>0.0007893698198</v>
      </c>
      <c r="J775" s="7" t="str">
        <f t="shared" si="3"/>
        <v>Jan-2025</v>
      </c>
      <c r="K775" s="9">
        <f t="shared" si="4"/>
        <v>45658</v>
      </c>
      <c r="L775" s="7" t="str">
        <f t="shared" si="5"/>
        <v/>
      </c>
      <c r="M775" s="7" t="str">
        <f>IFERROR(__xludf.DUMMYFUNCTION("IFERROR(
  IF(
    F775 &gt;
    3*AVERAGE(
       FILTER($F$2:$F10491,
         $G$2:$G10491=G775,
         $A$2:$A10491&gt;=A775-20,
         $A$2:$A10491&lt;=A775
       )
    ),
    ""VOL_SPIKE_3X"",""""
  ),
"""")
"),"")</f>
        <v/>
      </c>
      <c r="N775" s="7" t="str">
        <f t="shared" si="6"/>
        <v/>
      </c>
      <c r="O775" s="7" t="str">
        <f t="shared" si="7"/>
        <v/>
      </c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>
        <f>IFERROR(__xludf.DUMMYFUNCTION("""COMPUTED_VALUE"""),45665.0)</f>
        <v>45665</v>
      </c>
      <c r="B776" s="6">
        <f>IFERROR(__xludf.DUMMYFUNCTION("""COMPUTED_VALUE"""),386.5)</f>
        <v>386.5</v>
      </c>
      <c r="C776" s="6">
        <f>IFERROR(__xludf.DUMMYFUNCTION("""COMPUTED_VALUE"""),394.7)</f>
        <v>394.7</v>
      </c>
      <c r="D776" s="6">
        <f>IFERROR(__xludf.DUMMYFUNCTION("""COMPUTED_VALUE"""),381.7)</f>
        <v>381.7</v>
      </c>
      <c r="E776" s="6">
        <f>IFERROR(__xludf.DUMMYFUNCTION("""COMPUTED_VALUE"""),391.35)</f>
        <v>391.35</v>
      </c>
      <c r="F776" s="7">
        <f>IFERROR(__xludf.DUMMYFUNCTION("""COMPUTED_VALUE"""),3631344.0)</f>
        <v>3631344</v>
      </c>
      <c r="G776" s="7" t="str">
        <f>IFERROR(__xludf.DUMMYFUNCTION("""COMPUTED_VALUE"""),"HINDPETRO.NS")</f>
        <v>HINDPETRO.NS</v>
      </c>
      <c r="H776" s="8">
        <f t="shared" si="1"/>
        <v>0.01254851229</v>
      </c>
      <c r="I776" s="8">
        <f t="shared" si="2"/>
        <v>0.01254851229</v>
      </c>
      <c r="J776" s="7" t="str">
        <f t="shared" si="3"/>
        <v>Jan-2025</v>
      </c>
      <c r="K776" s="9">
        <f t="shared" si="4"/>
        <v>45658</v>
      </c>
      <c r="L776" s="7" t="str">
        <f t="shared" si="5"/>
        <v/>
      </c>
      <c r="M776" s="7" t="str">
        <f>IFERROR(__xludf.DUMMYFUNCTION("IFERROR(
  IF(
    F776 &gt;
    3*AVERAGE(
       FILTER($F$2:$F10491,
         $G$2:$G10491=G776,
         $A$2:$A10491&gt;=A776-20,
         $A$2:$A10491&lt;=A776
       )
    ),
    ""VOL_SPIKE_3X"",""""
  ),
"""")
"),"")</f>
        <v/>
      </c>
      <c r="N776" s="7" t="str">
        <f t="shared" si="6"/>
        <v/>
      </c>
      <c r="O776" s="7" t="str">
        <f t="shared" si="7"/>
        <v/>
      </c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>
        <f>IFERROR(__xludf.DUMMYFUNCTION("""COMPUTED_VALUE"""),45665.0)</f>
        <v>45665</v>
      </c>
      <c r="B777" s="6">
        <f>IFERROR(__xludf.DUMMYFUNCTION("""COMPUTED_VALUE"""),134.15)</f>
        <v>134.15</v>
      </c>
      <c r="C777" s="6">
        <f>IFERROR(__xludf.DUMMYFUNCTION("""COMPUTED_VALUE"""),135.5)</f>
        <v>135.5</v>
      </c>
      <c r="D777" s="6">
        <f>IFERROR(__xludf.DUMMYFUNCTION("""COMPUTED_VALUE"""),133.09)</f>
        <v>133.09</v>
      </c>
      <c r="E777" s="6">
        <f>IFERROR(__xludf.DUMMYFUNCTION("""COMPUTED_VALUE"""),134.6)</f>
        <v>134.6</v>
      </c>
      <c r="F777" s="7">
        <f>IFERROR(__xludf.DUMMYFUNCTION("""COMPUTED_VALUE"""),1.4259056E7)</f>
        <v>14259056</v>
      </c>
      <c r="G777" s="7" t="str">
        <f>IFERROR(__xludf.DUMMYFUNCTION("""COMPUTED_VALUE"""),"IOC.NS")</f>
        <v>IOC.NS</v>
      </c>
      <c r="H777" s="8">
        <f t="shared" si="1"/>
        <v>0.003354453969</v>
      </c>
      <c r="I777" s="8">
        <f t="shared" si="2"/>
        <v>0.003354453969</v>
      </c>
      <c r="J777" s="7" t="str">
        <f t="shared" si="3"/>
        <v>Jan-2025</v>
      </c>
      <c r="K777" s="9">
        <f t="shared" si="4"/>
        <v>45658</v>
      </c>
      <c r="L777" s="7" t="str">
        <f t="shared" si="5"/>
        <v/>
      </c>
      <c r="M777" s="7" t="str">
        <f>IFERROR(__xludf.DUMMYFUNCTION("IFERROR(
  IF(
    F777 &gt;
    3*AVERAGE(
       FILTER($F$2:$F10491,
         $G$2:$G10491=G777,
         $A$2:$A10491&gt;=A777-20,
         $A$2:$A10491&lt;=A777
       )
    ),
    ""VOL_SPIKE_3X"",""""
  ),
"""")
"),"")</f>
        <v/>
      </c>
      <c r="N777" s="7" t="str">
        <f t="shared" si="6"/>
        <v/>
      </c>
      <c r="O777" s="7" t="str">
        <f t="shared" si="7"/>
        <v/>
      </c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>
        <f>IFERROR(__xludf.DUMMYFUNCTION("""COMPUTED_VALUE"""),45665.0)</f>
        <v>45665</v>
      </c>
      <c r="B778" s="6">
        <f>IFERROR(__xludf.DUMMYFUNCTION("""COMPUTED_VALUE"""),330.5)</f>
        <v>330.5</v>
      </c>
      <c r="C778" s="6">
        <f>IFERROR(__xludf.DUMMYFUNCTION("""COMPUTED_VALUE"""),330.5)</f>
        <v>330.5</v>
      </c>
      <c r="D778" s="6">
        <f>IFERROR(__xludf.DUMMYFUNCTION("""COMPUTED_VALUE"""),321.85)</f>
        <v>321.85</v>
      </c>
      <c r="E778" s="6">
        <f>IFERROR(__xludf.DUMMYFUNCTION("""COMPUTED_VALUE"""),325.4)</f>
        <v>325.4</v>
      </c>
      <c r="F778" s="7">
        <f>IFERROR(__xludf.DUMMYFUNCTION("""COMPUTED_VALUE"""),8993608.0)</f>
        <v>8993608</v>
      </c>
      <c r="G778" s="7" t="str">
        <f>IFERROR(__xludf.DUMMYFUNCTION("""COMPUTED_VALUE"""),"NTPC.NS")</f>
        <v>NTPC.NS</v>
      </c>
      <c r="H778" s="8">
        <f t="shared" si="1"/>
        <v>-0.0154311649</v>
      </c>
      <c r="I778" s="8">
        <f t="shared" si="2"/>
        <v>0.0154311649</v>
      </c>
      <c r="J778" s="7" t="str">
        <f t="shared" si="3"/>
        <v>Jan-2025</v>
      </c>
      <c r="K778" s="9">
        <f t="shared" si="4"/>
        <v>45658</v>
      </c>
      <c r="L778" s="7" t="str">
        <f t="shared" si="5"/>
        <v/>
      </c>
      <c r="M778" s="7" t="str">
        <f>IFERROR(__xludf.DUMMYFUNCTION("IFERROR(
  IF(
    F778 &gt;
    3*AVERAGE(
       FILTER($F$2:$F10491,
         $G$2:$G10491=G778,
         $A$2:$A10491&gt;=A778-20,
         $A$2:$A10491&lt;=A778
       )
    ),
    ""VOL_SPIKE_3X"",""""
  ),
"""")
"),"")</f>
        <v/>
      </c>
      <c r="N778" s="7" t="str">
        <f t="shared" si="6"/>
        <v/>
      </c>
      <c r="O778" s="7" t="str">
        <f t="shared" si="7"/>
        <v/>
      </c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>
        <f>IFERROR(__xludf.DUMMYFUNCTION("""COMPUTED_VALUE"""),45665.0)</f>
        <v>45665</v>
      </c>
      <c r="B779" s="6">
        <f>IFERROR(__xludf.DUMMYFUNCTION("""COMPUTED_VALUE"""),266.45)</f>
        <v>266.45</v>
      </c>
      <c r="C779" s="6">
        <f>IFERROR(__xludf.DUMMYFUNCTION("""COMPUTED_VALUE"""),273.5)</f>
        <v>273.5</v>
      </c>
      <c r="D779" s="6">
        <f>IFERROR(__xludf.DUMMYFUNCTION("""COMPUTED_VALUE"""),265.75)</f>
        <v>265.75</v>
      </c>
      <c r="E779" s="6">
        <f>IFERROR(__xludf.DUMMYFUNCTION("""COMPUTED_VALUE"""),271.33)</f>
        <v>271.33</v>
      </c>
      <c r="F779" s="7">
        <f>IFERROR(__xludf.DUMMYFUNCTION("""COMPUTED_VALUE"""),4.2237794E7)</f>
        <v>42237794</v>
      </c>
      <c r="G779" s="7" t="str">
        <f>IFERROR(__xludf.DUMMYFUNCTION("""COMPUTED_VALUE"""),"ONGC.NS")</f>
        <v>ONGC.NS</v>
      </c>
      <c r="H779" s="8">
        <f t="shared" si="1"/>
        <v>0.01831488084</v>
      </c>
      <c r="I779" s="8">
        <f t="shared" si="2"/>
        <v>0.01831488084</v>
      </c>
      <c r="J779" s="7" t="str">
        <f t="shared" si="3"/>
        <v>Jan-2025</v>
      </c>
      <c r="K779" s="9">
        <f t="shared" si="4"/>
        <v>45658</v>
      </c>
      <c r="L779" s="7" t="str">
        <f t="shared" si="5"/>
        <v/>
      </c>
      <c r="M779" s="7" t="str">
        <f>IFERROR(__xludf.DUMMYFUNCTION("IFERROR(
  IF(
    F779 &gt;
    3*AVERAGE(
       FILTER($F$2:$F10491,
         $G$2:$G10491=G779,
         $A$2:$A10491&gt;=A779-20,
         $A$2:$A10491&lt;=A779
       )
    ),
    ""VOL_SPIKE_3X"",""""
  ),
"""")
"),"")</f>
        <v/>
      </c>
      <c r="N779" s="7" t="str">
        <f t="shared" si="6"/>
        <v/>
      </c>
      <c r="O779" s="7" t="str">
        <f t="shared" si="7"/>
        <v/>
      </c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>
        <f>IFERROR(__xludf.DUMMYFUNCTION("""COMPUTED_VALUE"""),45665.0)</f>
        <v>45665</v>
      </c>
      <c r="B780" s="6">
        <f>IFERROR(__xludf.DUMMYFUNCTION("""COMPUTED_VALUE"""),306.15)</f>
        <v>306.15</v>
      </c>
      <c r="C780" s="6">
        <f>IFERROR(__xludf.DUMMYFUNCTION("""COMPUTED_VALUE"""),307.85)</f>
        <v>307.85</v>
      </c>
      <c r="D780" s="6">
        <f>IFERROR(__xludf.DUMMYFUNCTION("""COMPUTED_VALUE"""),303.0)</f>
        <v>303</v>
      </c>
      <c r="E780" s="6">
        <f>IFERROR(__xludf.DUMMYFUNCTION("""COMPUTED_VALUE"""),306.65)</f>
        <v>306.65</v>
      </c>
      <c r="F780" s="7">
        <f>IFERROR(__xludf.DUMMYFUNCTION("""COMPUTED_VALUE"""),6907996.0)</f>
        <v>6907996</v>
      </c>
      <c r="G780" s="7" t="str">
        <f>IFERROR(__xludf.DUMMYFUNCTION("""COMPUTED_VALUE"""),"POWERGRID.NS")</f>
        <v>POWERGRID.NS</v>
      </c>
      <c r="H780" s="8">
        <f t="shared" si="1"/>
        <v>0.001633186347</v>
      </c>
      <c r="I780" s="8">
        <f t="shared" si="2"/>
        <v>0.001633186347</v>
      </c>
      <c r="J780" s="7" t="str">
        <f t="shared" si="3"/>
        <v>Jan-2025</v>
      </c>
      <c r="K780" s="9">
        <f t="shared" si="4"/>
        <v>45658</v>
      </c>
      <c r="L780" s="7" t="str">
        <f t="shared" si="5"/>
        <v/>
      </c>
      <c r="M780" s="7" t="str">
        <f>IFERROR(__xludf.DUMMYFUNCTION("IFERROR(
  IF(
    F780 &gt;
    3*AVERAGE(
       FILTER($F$2:$F10491,
         $G$2:$G10491=G780,
         $A$2:$A10491&gt;=A780-20,
         $A$2:$A10491&lt;=A780
       )
    ),
    ""VOL_SPIKE_3X"",""""
  ),
"""")
"),"")</f>
        <v/>
      </c>
      <c r="N780" s="7" t="str">
        <f t="shared" si="6"/>
        <v/>
      </c>
      <c r="O780" s="7" t="str">
        <f t="shared" si="7"/>
        <v/>
      </c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>
        <f>IFERROR(__xludf.DUMMYFUNCTION("""COMPUTED_VALUE"""),45665.0)</f>
        <v>45665</v>
      </c>
      <c r="B781" s="6">
        <f>IFERROR(__xludf.DUMMYFUNCTION("""COMPUTED_VALUE"""),1249.0)</f>
        <v>1249</v>
      </c>
      <c r="C781" s="6">
        <f>IFERROR(__xludf.DUMMYFUNCTION("""COMPUTED_VALUE"""),1271.05)</f>
        <v>1271.05</v>
      </c>
      <c r="D781" s="6">
        <f>IFERROR(__xludf.DUMMYFUNCTION("""COMPUTED_VALUE"""),1245.35)</f>
        <v>1245.35</v>
      </c>
      <c r="E781" s="6">
        <f>IFERROR(__xludf.DUMMYFUNCTION("""COMPUTED_VALUE"""),1265.5)</f>
        <v>1265.5</v>
      </c>
      <c r="F781" s="7">
        <f>IFERROR(__xludf.DUMMYFUNCTION("""COMPUTED_VALUE"""),1.9346579E7)</f>
        <v>19346579</v>
      </c>
      <c r="G781" s="7" t="str">
        <f>IFERROR(__xludf.DUMMYFUNCTION("""COMPUTED_VALUE"""),"RELIANCE.NS")</f>
        <v>RELIANCE.NS</v>
      </c>
      <c r="H781" s="8">
        <f t="shared" si="1"/>
        <v>0.01321056845</v>
      </c>
      <c r="I781" s="8">
        <f t="shared" si="2"/>
        <v>0.01321056845</v>
      </c>
      <c r="J781" s="7" t="str">
        <f t="shared" si="3"/>
        <v>Jan-2025</v>
      </c>
      <c r="K781" s="9">
        <f t="shared" si="4"/>
        <v>45658</v>
      </c>
      <c r="L781" s="7" t="str">
        <f t="shared" si="5"/>
        <v/>
      </c>
      <c r="M781" s="7" t="str">
        <f>IFERROR(__xludf.DUMMYFUNCTION("IFERROR(
  IF(
    F781 &gt;
    3*AVERAGE(
       FILTER($F$2:$F10491,
         $G$2:$G10491=G781,
         $A$2:$A10491&gt;=A781-20,
         $A$2:$A10491&lt;=A781
       )
    ),
    ""VOL_SPIKE_3X"",""""
  ),
"""")
"),"")</f>
        <v/>
      </c>
      <c r="N781" s="7" t="str">
        <f t="shared" si="6"/>
        <v/>
      </c>
      <c r="O781" s="7" t="str">
        <f t="shared" si="7"/>
        <v/>
      </c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>
        <f>IFERROR(__xludf.DUMMYFUNCTION("""COMPUTED_VALUE"""),45666.0)</f>
        <v>45666</v>
      </c>
      <c r="B782" s="6">
        <f>IFERROR(__xludf.DUMMYFUNCTION("""COMPUTED_VALUE"""),775.65)</f>
        <v>775.65</v>
      </c>
      <c r="C782" s="6">
        <f>IFERROR(__xludf.DUMMYFUNCTION("""COMPUTED_VALUE"""),776.0)</f>
        <v>776</v>
      </c>
      <c r="D782" s="6">
        <f>IFERROR(__xludf.DUMMYFUNCTION("""COMPUTED_VALUE"""),749.2)</f>
        <v>749.2</v>
      </c>
      <c r="E782" s="6">
        <f>IFERROR(__xludf.DUMMYFUNCTION("""COMPUTED_VALUE"""),751.5)</f>
        <v>751.5</v>
      </c>
      <c r="F782" s="7">
        <f>IFERROR(__xludf.DUMMYFUNCTION("""COMPUTED_VALUE"""),770057.0)</f>
        <v>770057</v>
      </c>
      <c r="G782" s="7" t="str">
        <f>IFERROR(__xludf.DUMMYFUNCTION("""COMPUTED_VALUE"""),"ADANIENSOL.NS")</f>
        <v>ADANIENSOL.NS</v>
      </c>
      <c r="H782" s="8">
        <f t="shared" si="1"/>
        <v>-0.03113517695</v>
      </c>
      <c r="I782" s="8">
        <f t="shared" si="2"/>
        <v>0.03113517695</v>
      </c>
      <c r="J782" s="7" t="str">
        <f t="shared" si="3"/>
        <v>Jan-2025</v>
      </c>
      <c r="K782" s="9">
        <f t="shared" si="4"/>
        <v>45658</v>
      </c>
      <c r="L782" s="7" t="str">
        <f t="shared" si="5"/>
        <v/>
      </c>
      <c r="M782" s="7" t="str">
        <f>IFERROR(__xludf.DUMMYFUNCTION("IFERROR(
  IF(
    F782 &gt;
    3*AVERAGE(
       FILTER($F$2:$F10491,
         $G$2:$G10491=G782,
         $A$2:$A10491&gt;=A782-20,
         $A$2:$A10491&lt;=A782
       )
    ),
    ""VOL_SPIKE_3X"",""""
  ),
"""")
"),"")</f>
        <v/>
      </c>
      <c r="N782" s="7" t="str">
        <f t="shared" si="6"/>
        <v/>
      </c>
      <c r="O782" s="7" t="str">
        <f t="shared" si="7"/>
        <v/>
      </c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>
        <f>IFERROR(__xludf.DUMMYFUNCTION("""COMPUTED_VALUE"""),45666.0)</f>
        <v>45666</v>
      </c>
      <c r="B783" s="6">
        <f>IFERROR(__xludf.DUMMYFUNCTION("""COMPUTED_VALUE"""),989.5)</f>
        <v>989.5</v>
      </c>
      <c r="C783" s="6">
        <f>IFERROR(__xludf.DUMMYFUNCTION("""COMPUTED_VALUE"""),1002.0)</f>
        <v>1002</v>
      </c>
      <c r="D783" s="6">
        <f>IFERROR(__xludf.DUMMYFUNCTION("""COMPUTED_VALUE"""),975.1)</f>
        <v>975.1</v>
      </c>
      <c r="E783" s="6">
        <f>IFERROR(__xludf.DUMMYFUNCTION("""COMPUTED_VALUE"""),977.7)</f>
        <v>977.7</v>
      </c>
      <c r="F783" s="7">
        <f>IFERROR(__xludf.DUMMYFUNCTION("""COMPUTED_VALUE"""),1237540.0)</f>
        <v>1237540</v>
      </c>
      <c r="G783" s="7" t="str">
        <f>IFERROR(__xludf.DUMMYFUNCTION("""COMPUTED_VALUE"""),"ADANIGREEN.NS")</f>
        <v>ADANIGREEN.NS</v>
      </c>
      <c r="H783" s="8">
        <f t="shared" si="1"/>
        <v>-0.01192521475</v>
      </c>
      <c r="I783" s="8">
        <f t="shared" si="2"/>
        <v>0.01192521475</v>
      </c>
      <c r="J783" s="7" t="str">
        <f t="shared" si="3"/>
        <v>Jan-2025</v>
      </c>
      <c r="K783" s="9">
        <f t="shared" si="4"/>
        <v>45658</v>
      </c>
      <c r="L783" s="7" t="str">
        <f t="shared" si="5"/>
        <v/>
      </c>
      <c r="M783" s="7" t="str">
        <f>IFERROR(__xludf.DUMMYFUNCTION("IFERROR(
  IF(
    F783 &gt;
    3*AVERAGE(
       FILTER($F$2:$F10491,
         $G$2:$G10491=G783,
         $A$2:$A10491&gt;=A783-20,
         $A$2:$A10491&lt;=A783
       )
    ),
    ""VOL_SPIKE_3X"",""""
  ),
"""")
"),"")</f>
        <v/>
      </c>
      <c r="N783" s="7" t="str">
        <f t="shared" si="6"/>
        <v/>
      </c>
      <c r="O783" s="7" t="str">
        <f t="shared" si="7"/>
        <v/>
      </c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>
        <f>IFERROR(__xludf.DUMMYFUNCTION("""COMPUTED_VALUE"""),45666.0)</f>
        <v>45666</v>
      </c>
      <c r="B784" s="6">
        <f>IFERROR(__xludf.DUMMYFUNCTION("""COMPUTED_VALUE"""),287.0)</f>
        <v>287</v>
      </c>
      <c r="C784" s="6">
        <f>IFERROR(__xludf.DUMMYFUNCTION("""COMPUTED_VALUE"""),287.85)</f>
        <v>287.85</v>
      </c>
      <c r="D784" s="6">
        <f>IFERROR(__xludf.DUMMYFUNCTION("""COMPUTED_VALUE"""),279.05)</f>
        <v>279.05</v>
      </c>
      <c r="E784" s="6">
        <f>IFERROR(__xludf.DUMMYFUNCTION("""COMPUTED_VALUE"""),280.0)</f>
        <v>280</v>
      </c>
      <c r="F784" s="7">
        <f>IFERROR(__xludf.DUMMYFUNCTION("""COMPUTED_VALUE"""),6215902.0)</f>
        <v>6215902</v>
      </c>
      <c r="G784" s="7" t="str">
        <f>IFERROR(__xludf.DUMMYFUNCTION("""COMPUTED_VALUE"""),"BPCL.NS")</f>
        <v>BPCL.NS</v>
      </c>
      <c r="H784" s="8">
        <f t="shared" si="1"/>
        <v>-0.0243902439</v>
      </c>
      <c r="I784" s="8">
        <f t="shared" si="2"/>
        <v>0.0243902439</v>
      </c>
      <c r="J784" s="7" t="str">
        <f t="shared" si="3"/>
        <v>Jan-2025</v>
      </c>
      <c r="K784" s="9">
        <f t="shared" si="4"/>
        <v>45658</v>
      </c>
      <c r="L784" s="7" t="str">
        <f t="shared" si="5"/>
        <v/>
      </c>
      <c r="M784" s="7" t="str">
        <f>IFERROR(__xludf.DUMMYFUNCTION("IFERROR(
  IF(
    F784 &gt;
    3*AVERAGE(
       FILTER($F$2:$F10491,
         $G$2:$G10491=G784,
         $A$2:$A10491&gt;=A784-20,
         $A$2:$A10491&lt;=A784
       )
    ),
    ""VOL_SPIKE_3X"",""""
  ),
"""")
"),"")</f>
        <v/>
      </c>
      <c r="N784" s="7" t="str">
        <f t="shared" si="6"/>
        <v/>
      </c>
      <c r="O784" s="7" t="str">
        <f t="shared" si="7"/>
        <v/>
      </c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>
        <f>IFERROR(__xludf.DUMMYFUNCTION("""COMPUTED_VALUE"""),45666.0)</f>
        <v>45666</v>
      </c>
      <c r="B785" s="6">
        <f>IFERROR(__xludf.DUMMYFUNCTION("""COMPUTED_VALUE"""),381.55)</f>
        <v>381.55</v>
      </c>
      <c r="C785" s="6">
        <f>IFERROR(__xludf.DUMMYFUNCTION("""COMPUTED_VALUE"""),381.55)</f>
        <v>381.55</v>
      </c>
      <c r="D785" s="6">
        <f>IFERROR(__xludf.DUMMYFUNCTION("""COMPUTED_VALUE"""),370.8)</f>
        <v>370.8</v>
      </c>
      <c r="E785" s="6">
        <f>IFERROR(__xludf.DUMMYFUNCTION("""COMPUTED_VALUE"""),372.2)</f>
        <v>372.2</v>
      </c>
      <c r="F785" s="7">
        <f>IFERROR(__xludf.DUMMYFUNCTION("""COMPUTED_VALUE"""),6247612.0)</f>
        <v>6247612</v>
      </c>
      <c r="G785" s="7" t="str">
        <f>IFERROR(__xludf.DUMMYFUNCTION("""COMPUTED_VALUE"""),"COALINDIA.NS")</f>
        <v>COALINDIA.NS</v>
      </c>
      <c r="H785" s="8">
        <f t="shared" si="1"/>
        <v>-0.0245053073</v>
      </c>
      <c r="I785" s="8">
        <f t="shared" si="2"/>
        <v>0.0245053073</v>
      </c>
      <c r="J785" s="7" t="str">
        <f t="shared" si="3"/>
        <v>Jan-2025</v>
      </c>
      <c r="K785" s="9">
        <f t="shared" si="4"/>
        <v>45658</v>
      </c>
      <c r="L785" s="7" t="str">
        <f t="shared" si="5"/>
        <v/>
      </c>
      <c r="M785" s="7" t="str">
        <f>IFERROR(__xludf.DUMMYFUNCTION("IFERROR(
  IF(
    F785 &gt;
    3*AVERAGE(
       FILTER($F$2:$F10491,
         $G$2:$G10491=G785,
         $A$2:$A10491&gt;=A785-20,
         $A$2:$A10491&lt;=A785
       )
    ),
    ""VOL_SPIKE_3X"",""""
  ),
"""")
"),"")</f>
        <v/>
      </c>
      <c r="N785" s="7" t="str">
        <f t="shared" si="6"/>
        <v/>
      </c>
      <c r="O785" s="7" t="str">
        <f t="shared" si="7"/>
        <v/>
      </c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>
        <f>IFERROR(__xludf.DUMMYFUNCTION("""COMPUTED_VALUE"""),45666.0)</f>
        <v>45666</v>
      </c>
      <c r="B786" s="6">
        <f>IFERROR(__xludf.DUMMYFUNCTION("""COMPUTED_VALUE"""),393.0)</f>
        <v>393</v>
      </c>
      <c r="C786" s="6">
        <f>IFERROR(__xludf.DUMMYFUNCTION("""COMPUTED_VALUE"""),393.0)</f>
        <v>393</v>
      </c>
      <c r="D786" s="6">
        <f>IFERROR(__xludf.DUMMYFUNCTION("""COMPUTED_VALUE"""),383.45)</f>
        <v>383.45</v>
      </c>
      <c r="E786" s="6">
        <f>IFERROR(__xludf.DUMMYFUNCTION("""COMPUTED_VALUE"""),384.8)</f>
        <v>384.8</v>
      </c>
      <c r="F786" s="7">
        <f>IFERROR(__xludf.DUMMYFUNCTION("""COMPUTED_VALUE"""),2525567.0)</f>
        <v>2525567</v>
      </c>
      <c r="G786" s="7" t="str">
        <f>IFERROR(__xludf.DUMMYFUNCTION("""COMPUTED_VALUE"""),"HINDPETRO.NS")</f>
        <v>HINDPETRO.NS</v>
      </c>
      <c r="H786" s="8">
        <f t="shared" si="1"/>
        <v>-0.02086513995</v>
      </c>
      <c r="I786" s="8">
        <f t="shared" si="2"/>
        <v>0.02086513995</v>
      </c>
      <c r="J786" s="7" t="str">
        <f t="shared" si="3"/>
        <v>Jan-2025</v>
      </c>
      <c r="K786" s="9">
        <f t="shared" si="4"/>
        <v>45658</v>
      </c>
      <c r="L786" s="7" t="str">
        <f t="shared" si="5"/>
        <v/>
      </c>
      <c r="M786" s="7" t="str">
        <f>IFERROR(__xludf.DUMMYFUNCTION("IFERROR(
  IF(
    F786 &gt;
    3*AVERAGE(
       FILTER($F$2:$F10491,
         $G$2:$G10491=G786,
         $A$2:$A10491&gt;=A786-20,
         $A$2:$A10491&lt;=A786
       )
    ),
    ""VOL_SPIKE_3X"",""""
  ),
"""")
"),"")</f>
        <v/>
      </c>
      <c r="N786" s="7" t="str">
        <f t="shared" si="6"/>
        <v/>
      </c>
      <c r="O786" s="7" t="str">
        <f t="shared" si="7"/>
        <v/>
      </c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>
        <f>IFERROR(__xludf.DUMMYFUNCTION("""COMPUTED_VALUE"""),45666.0)</f>
        <v>45666</v>
      </c>
      <c r="B787" s="6">
        <f>IFERROR(__xludf.DUMMYFUNCTION("""COMPUTED_VALUE"""),134.64)</f>
        <v>134.64</v>
      </c>
      <c r="C787" s="6">
        <f>IFERROR(__xludf.DUMMYFUNCTION("""COMPUTED_VALUE"""),134.8)</f>
        <v>134.8</v>
      </c>
      <c r="D787" s="6">
        <f>IFERROR(__xludf.DUMMYFUNCTION("""COMPUTED_VALUE"""),132.0)</f>
        <v>132</v>
      </c>
      <c r="E787" s="6">
        <f>IFERROR(__xludf.DUMMYFUNCTION("""COMPUTED_VALUE"""),132.2)</f>
        <v>132.2</v>
      </c>
      <c r="F787" s="7">
        <f>IFERROR(__xludf.DUMMYFUNCTION("""COMPUTED_VALUE"""),9734279.0)</f>
        <v>9734279</v>
      </c>
      <c r="G787" s="7" t="str">
        <f>IFERROR(__xludf.DUMMYFUNCTION("""COMPUTED_VALUE"""),"IOC.NS")</f>
        <v>IOC.NS</v>
      </c>
      <c r="H787" s="8">
        <f t="shared" si="1"/>
        <v>-0.01812240048</v>
      </c>
      <c r="I787" s="8">
        <f t="shared" si="2"/>
        <v>0.01812240048</v>
      </c>
      <c r="J787" s="7" t="str">
        <f t="shared" si="3"/>
        <v>Jan-2025</v>
      </c>
      <c r="K787" s="9">
        <f t="shared" si="4"/>
        <v>45658</v>
      </c>
      <c r="L787" s="7" t="str">
        <f t="shared" si="5"/>
        <v/>
      </c>
      <c r="M787" s="7" t="str">
        <f>IFERROR(__xludf.DUMMYFUNCTION("IFERROR(
  IF(
    F787 &gt;
    3*AVERAGE(
       FILTER($F$2:$F10491,
         $G$2:$G10491=G787,
         $A$2:$A10491&gt;=A787-20,
         $A$2:$A10491&lt;=A787
       )
    ),
    ""VOL_SPIKE_3X"",""""
  ),
"""")
"),"")</f>
        <v/>
      </c>
      <c r="N787" s="7" t="str">
        <f t="shared" si="6"/>
        <v/>
      </c>
      <c r="O787" s="7" t="str">
        <f t="shared" si="7"/>
        <v/>
      </c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>
        <f>IFERROR(__xludf.DUMMYFUNCTION("""COMPUTED_VALUE"""),45666.0)</f>
        <v>45666</v>
      </c>
      <c r="B788" s="6">
        <f>IFERROR(__xludf.DUMMYFUNCTION("""COMPUTED_VALUE"""),324.05)</f>
        <v>324.05</v>
      </c>
      <c r="C788" s="6">
        <f>IFERROR(__xludf.DUMMYFUNCTION("""COMPUTED_VALUE"""),325.95)</f>
        <v>325.95</v>
      </c>
      <c r="D788" s="6">
        <f>IFERROR(__xludf.DUMMYFUNCTION("""COMPUTED_VALUE"""),319.8)</f>
        <v>319.8</v>
      </c>
      <c r="E788" s="6">
        <f>IFERROR(__xludf.DUMMYFUNCTION("""COMPUTED_VALUE"""),320.35)</f>
        <v>320.35</v>
      </c>
      <c r="F788" s="7">
        <f>IFERROR(__xludf.DUMMYFUNCTION("""COMPUTED_VALUE"""),1.2403467E7)</f>
        <v>12403467</v>
      </c>
      <c r="G788" s="7" t="str">
        <f>IFERROR(__xludf.DUMMYFUNCTION("""COMPUTED_VALUE"""),"NTPC.NS")</f>
        <v>NTPC.NS</v>
      </c>
      <c r="H788" s="8">
        <f t="shared" si="1"/>
        <v>-0.01141799105</v>
      </c>
      <c r="I788" s="8">
        <f t="shared" si="2"/>
        <v>0.01141799105</v>
      </c>
      <c r="J788" s="7" t="str">
        <f t="shared" si="3"/>
        <v>Jan-2025</v>
      </c>
      <c r="K788" s="9">
        <f t="shared" si="4"/>
        <v>45658</v>
      </c>
      <c r="L788" s="7" t="str">
        <f t="shared" si="5"/>
        <v/>
      </c>
      <c r="M788" s="7" t="str">
        <f>IFERROR(__xludf.DUMMYFUNCTION("IFERROR(
  IF(
    F788 &gt;
    3*AVERAGE(
       FILTER($F$2:$F10491,
         $G$2:$G10491=G788,
         $A$2:$A10491&gt;=A788-20,
         $A$2:$A10491&lt;=A788
       )
    ),
    ""VOL_SPIKE_3X"",""""
  ),
"""")
"),"")</f>
        <v/>
      </c>
      <c r="N788" s="7" t="str">
        <f t="shared" si="6"/>
        <v/>
      </c>
      <c r="O788" s="7" t="str">
        <f t="shared" si="7"/>
        <v/>
      </c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>
        <f>IFERROR(__xludf.DUMMYFUNCTION("""COMPUTED_VALUE"""),45666.0)</f>
        <v>45666</v>
      </c>
      <c r="B789" s="6">
        <f>IFERROR(__xludf.DUMMYFUNCTION("""COMPUTED_VALUE"""),272.03)</f>
        <v>272.03</v>
      </c>
      <c r="C789" s="6">
        <f>IFERROR(__xludf.DUMMYFUNCTION("""COMPUTED_VALUE"""),272.59)</f>
        <v>272.59</v>
      </c>
      <c r="D789" s="6">
        <f>IFERROR(__xludf.DUMMYFUNCTION("""COMPUTED_VALUE"""),261.71)</f>
        <v>261.71</v>
      </c>
      <c r="E789" s="6">
        <f>IFERROR(__xludf.DUMMYFUNCTION("""COMPUTED_VALUE"""),263.18)</f>
        <v>263.18</v>
      </c>
      <c r="F789" s="7">
        <f>IFERROR(__xludf.DUMMYFUNCTION("""COMPUTED_VALUE"""),1.4706472E7)</f>
        <v>14706472</v>
      </c>
      <c r="G789" s="7" t="str">
        <f>IFERROR(__xludf.DUMMYFUNCTION("""COMPUTED_VALUE"""),"ONGC.NS")</f>
        <v>ONGC.NS</v>
      </c>
      <c r="H789" s="8">
        <f t="shared" si="1"/>
        <v>-0.03253317649</v>
      </c>
      <c r="I789" s="8">
        <f t="shared" si="2"/>
        <v>0.03253317649</v>
      </c>
      <c r="J789" s="7" t="str">
        <f t="shared" si="3"/>
        <v>Jan-2025</v>
      </c>
      <c r="K789" s="9">
        <f t="shared" si="4"/>
        <v>45658</v>
      </c>
      <c r="L789" s="7" t="str">
        <f t="shared" si="5"/>
        <v/>
      </c>
      <c r="M789" s="7" t="str">
        <f>IFERROR(__xludf.DUMMYFUNCTION("IFERROR(
  IF(
    F789 &gt;
    3*AVERAGE(
       FILTER($F$2:$F10491,
         $G$2:$G10491=G789,
         $A$2:$A10491&gt;=A789-20,
         $A$2:$A10491&lt;=A789
       )
    ),
    ""VOL_SPIKE_3X"",""""
  ),
"""")
"),"")</f>
        <v/>
      </c>
      <c r="N789" s="7" t="str">
        <f t="shared" si="6"/>
        <v/>
      </c>
      <c r="O789" s="7" t="str">
        <f t="shared" si="7"/>
        <v/>
      </c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>
        <f>IFERROR(__xludf.DUMMYFUNCTION("""COMPUTED_VALUE"""),45666.0)</f>
        <v>45666</v>
      </c>
      <c r="B790" s="6">
        <f>IFERROR(__xludf.DUMMYFUNCTION("""COMPUTED_VALUE"""),306.65)</f>
        <v>306.65</v>
      </c>
      <c r="C790" s="6">
        <f>IFERROR(__xludf.DUMMYFUNCTION("""COMPUTED_VALUE"""),306.9)</f>
        <v>306.9</v>
      </c>
      <c r="D790" s="6">
        <f>IFERROR(__xludf.DUMMYFUNCTION("""COMPUTED_VALUE"""),303.65)</f>
        <v>303.65</v>
      </c>
      <c r="E790" s="6">
        <f>IFERROR(__xludf.DUMMYFUNCTION("""COMPUTED_VALUE"""),305.25)</f>
        <v>305.25</v>
      </c>
      <c r="F790" s="7">
        <f>IFERROR(__xludf.DUMMYFUNCTION("""COMPUTED_VALUE"""),8244909.0)</f>
        <v>8244909</v>
      </c>
      <c r="G790" s="7" t="str">
        <f>IFERROR(__xludf.DUMMYFUNCTION("""COMPUTED_VALUE"""),"POWERGRID.NS")</f>
        <v>POWERGRID.NS</v>
      </c>
      <c r="H790" s="8">
        <f t="shared" si="1"/>
        <v>-0.004565465514</v>
      </c>
      <c r="I790" s="8">
        <f t="shared" si="2"/>
        <v>0.004565465514</v>
      </c>
      <c r="J790" s="7" t="str">
        <f t="shared" si="3"/>
        <v>Jan-2025</v>
      </c>
      <c r="K790" s="9">
        <f t="shared" si="4"/>
        <v>45658</v>
      </c>
      <c r="L790" s="7" t="str">
        <f t="shared" si="5"/>
        <v/>
      </c>
      <c r="M790" s="7" t="str">
        <f>IFERROR(__xludf.DUMMYFUNCTION("IFERROR(
  IF(
    F790 &gt;
    3*AVERAGE(
       FILTER($F$2:$F10491,
         $G$2:$G10491=G790,
         $A$2:$A10491&gt;=A790-20,
         $A$2:$A10491&lt;=A790
       )
    ),
    ""VOL_SPIKE_3X"",""""
  ),
"""")
"),"")</f>
        <v/>
      </c>
      <c r="N790" s="7" t="str">
        <f t="shared" si="6"/>
        <v/>
      </c>
      <c r="O790" s="7" t="str">
        <f t="shared" si="7"/>
        <v/>
      </c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>
        <f>IFERROR(__xludf.DUMMYFUNCTION("""COMPUTED_VALUE"""),45666.0)</f>
        <v>45666</v>
      </c>
      <c r="B791" s="6">
        <f>IFERROR(__xludf.DUMMYFUNCTION("""COMPUTED_VALUE"""),1267.0)</f>
        <v>1267</v>
      </c>
      <c r="C791" s="6">
        <f>IFERROR(__xludf.DUMMYFUNCTION("""COMPUTED_VALUE"""),1269.75)</f>
        <v>1269.75</v>
      </c>
      <c r="D791" s="6">
        <f>IFERROR(__xludf.DUMMYFUNCTION("""COMPUTED_VALUE"""),1248.05)</f>
        <v>1248.05</v>
      </c>
      <c r="E791" s="6">
        <f>IFERROR(__xludf.DUMMYFUNCTION("""COMPUTED_VALUE"""),1254.75)</f>
        <v>1254.75</v>
      </c>
      <c r="F791" s="7">
        <f>IFERROR(__xludf.DUMMYFUNCTION("""COMPUTED_VALUE"""),1.2794704E7)</f>
        <v>12794704</v>
      </c>
      <c r="G791" s="7" t="str">
        <f>IFERROR(__xludf.DUMMYFUNCTION("""COMPUTED_VALUE"""),"RELIANCE.NS")</f>
        <v>RELIANCE.NS</v>
      </c>
      <c r="H791" s="8">
        <f t="shared" si="1"/>
        <v>-0.009668508287</v>
      </c>
      <c r="I791" s="8">
        <f t="shared" si="2"/>
        <v>0.009668508287</v>
      </c>
      <c r="J791" s="7" t="str">
        <f t="shared" si="3"/>
        <v>Jan-2025</v>
      </c>
      <c r="K791" s="9">
        <f t="shared" si="4"/>
        <v>45658</v>
      </c>
      <c r="L791" s="7" t="str">
        <f t="shared" si="5"/>
        <v/>
      </c>
      <c r="M791" s="7" t="str">
        <f>IFERROR(__xludf.DUMMYFUNCTION("IFERROR(
  IF(
    F791 &gt;
    3*AVERAGE(
       FILTER($F$2:$F10491,
         $G$2:$G10491=G791,
         $A$2:$A10491&gt;=A791-20,
         $A$2:$A10491&lt;=A791
       )
    ),
    ""VOL_SPIKE_3X"",""""
  ),
"""")
"),"")</f>
        <v/>
      </c>
      <c r="N791" s="7" t="str">
        <f t="shared" si="6"/>
        <v/>
      </c>
      <c r="O791" s="7" t="str">
        <f t="shared" si="7"/>
        <v/>
      </c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>
        <f>IFERROR(__xludf.DUMMYFUNCTION("""COMPUTED_VALUE"""),45667.0)</f>
        <v>45667</v>
      </c>
      <c r="B792" s="6">
        <f>IFERROR(__xludf.DUMMYFUNCTION("""COMPUTED_VALUE"""),751.5)</f>
        <v>751.5</v>
      </c>
      <c r="C792" s="6">
        <f>IFERROR(__xludf.DUMMYFUNCTION("""COMPUTED_VALUE"""),754.7)</f>
        <v>754.7</v>
      </c>
      <c r="D792" s="6">
        <f>IFERROR(__xludf.DUMMYFUNCTION("""COMPUTED_VALUE"""),726.35)</f>
        <v>726.35</v>
      </c>
      <c r="E792" s="6">
        <f>IFERROR(__xludf.DUMMYFUNCTION("""COMPUTED_VALUE"""),729.25)</f>
        <v>729.25</v>
      </c>
      <c r="F792" s="7">
        <f>IFERROR(__xludf.DUMMYFUNCTION("""COMPUTED_VALUE"""),1204613.0)</f>
        <v>1204613</v>
      </c>
      <c r="G792" s="7" t="str">
        <f>IFERROR(__xludf.DUMMYFUNCTION("""COMPUTED_VALUE"""),"ADANIENSOL.NS")</f>
        <v>ADANIENSOL.NS</v>
      </c>
      <c r="H792" s="8">
        <f t="shared" si="1"/>
        <v>-0.02960745176</v>
      </c>
      <c r="I792" s="8">
        <f t="shared" si="2"/>
        <v>0.02960745176</v>
      </c>
      <c r="J792" s="7" t="str">
        <f t="shared" si="3"/>
        <v>Jan-2025</v>
      </c>
      <c r="K792" s="9">
        <f t="shared" si="4"/>
        <v>45658</v>
      </c>
      <c r="L792" s="7" t="str">
        <f t="shared" si="5"/>
        <v/>
      </c>
      <c r="M792" s="7" t="str">
        <f>IFERROR(__xludf.DUMMYFUNCTION("IFERROR(
  IF(
    F792 &gt;
    3*AVERAGE(
       FILTER($F$2:$F10491,
         $G$2:$G10491=G792,
         $A$2:$A10491&gt;=A792-20,
         $A$2:$A10491&lt;=A792
       )
    ),
    ""VOL_SPIKE_3X"",""""
  ),
"""")
"),"")</f>
        <v/>
      </c>
      <c r="N792" s="7" t="str">
        <f t="shared" si="6"/>
        <v/>
      </c>
      <c r="O792" s="7" t="str">
        <f t="shared" si="7"/>
        <v/>
      </c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>
        <f>IFERROR(__xludf.DUMMYFUNCTION("""COMPUTED_VALUE"""),45667.0)</f>
        <v>45667</v>
      </c>
      <c r="B793" s="6">
        <f>IFERROR(__xludf.DUMMYFUNCTION("""COMPUTED_VALUE"""),970.05)</f>
        <v>970.05</v>
      </c>
      <c r="C793" s="6">
        <f>IFERROR(__xludf.DUMMYFUNCTION("""COMPUTED_VALUE"""),977.5)</f>
        <v>977.5</v>
      </c>
      <c r="D793" s="6">
        <f>IFERROR(__xludf.DUMMYFUNCTION("""COMPUTED_VALUE"""),940.4)</f>
        <v>940.4</v>
      </c>
      <c r="E793" s="6">
        <f>IFERROR(__xludf.DUMMYFUNCTION("""COMPUTED_VALUE"""),943.05)</f>
        <v>943.05</v>
      </c>
      <c r="F793" s="7">
        <f>IFERROR(__xludf.DUMMYFUNCTION("""COMPUTED_VALUE"""),2096676.0)</f>
        <v>2096676</v>
      </c>
      <c r="G793" s="7" t="str">
        <f>IFERROR(__xludf.DUMMYFUNCTION("""COMPUTED_VALUE"""),"ADANIGREEN.NS")</f>
        <v>ADANIGREEN.NS</v>
      </c>
      <c r="H793" s="8">
        <f t="shared" si="1"/>
        <v>-0.02783361682</v>
      </c>
      <c r="I793" s="8">
        <f t="shared" si="2"/>
        <v>0.02783361682</v>
      </c>
      <c r="J793" s="7" t="str">
        <f t="shared" si="3"/>
        <v>Jan-2025</v>
      </c>
      <c r="K793" s="9">
        <f t="shared" si="4"/>
        <v>45658</v>
      </c>
      <c r="L793" s="7" t="str">
        <f t="shared" si="5"/>
        <v/>
      </c>
      <c r="M793" s="7" t="str">
        <f>IFERROR(__xludf.DUMMYFUNCTION("IFERROR(
  IF(
    F793 &gt;
    3*AVERAGE(
       FILTER($F$2:$F10491,
         $G$2:$G10491=G793,
         $A$2:$A10491&gt;=A793-20,
         $A$2:$A10491&lt;=A793
       )
    ),
    ""VOL_SPIKE_3X"",""""
  ),
"""")
"),"")</f>
        <v/>
      </c>
      <c r="N793" s="7" t="str">
        <f t="shared" si="6"/>
        <v/>
      </c>
      <c r="O793" s="7" t="str">
        <f t="shared" si="7"/>
        <v/>
      </c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>
        <f>IFERROR(__xludf.DUMMYFUNCTION("""COMPUTED_VALUE"""),45667.0)</f>
        <v>45667</v>
      </c>
      <c r="B794" s="6">
        <f>IFERROR(__xludf.DUMMYFUNCTION("""COMPUTED_VALUE"""),280.5)</f>
        <v>280.5</v>
      </c>
      <c r="C794" s="6">
        <f>IFERROR(__xludf.DUMMYFUNCTION("""COMPUTED_VALUE"""),283.5)</f>
        <v>283.5</v>
      </c>
      <c r="D794" s="6">
        <f>IFERROR(__xludf.DUMMYFUNCTION("""COMPUTED_VALUE"""),275.6)</f>
        <v>275.6</v>
      </c>
      <c r="E794" s="6">
        <f>IFERROR(__xludf.DUMMYFUNCTION("""COMPUTED_VALUE"""),277.65)</f>
        <v>277.65</v>
      </c>
      <c r="F794" s="7">
        <f>IFERROR(__xludf.DUMMYFUNCTION("""COMPUTED_VALUE"""),9073218.0)</f>
        <v>9073218</v>
      </c>
      <c r="G794" s="7" t="str">
        <f>IFERROR(__xludf.DUMMYFUNCTION("""COMPUTED_VALUE"""),"BPCL.NS")</f>
        <v>BPCL.NS</v>
      </c>
      <c r="H794" s="8">
        <f t="shared" si="1"/>
        <v>-0.01016042781</v>
      </c>
      <c r="I794" s="8">
        <f t="shared" si="2"/>
        <v>0.01016042781</v>
      </c>
      <c r="J794" s="7" t="str">
        <f t="shared" si="3"/>
        <v>Jan-2025</v>
      </c>
      <c r="K794" s="9">
        <f t="shared" si="4"/>
        <v>45658</v>
      </c>
      <c r="L794" s="7" t="str">
        <f t="shared" si="5"/>
        <v/>
      </c>
      <c r="M794" s="7" t="str">
        <f>IFERROR(__xludf.DUMMYFUNCTION("IFERROR(
  IF(
    F794 &gt;
    3*AVERAGE(
       FILTER($F$2:$F10491,
         $G$2:$G10491=G794,
         $A$2:$A10491&gt;=A794-20,
         $A$2:$A10491&lt;=A794
       )
    ),
    ""VOL_SPIKE_3X"",""""
  ),
"""")
"),"")</f>
        <v/>
      </c>
      <c r="N794" s="7" t="str">
        <f t="shared" si="6"/>
        <v/>
      </c>
      <c r="O794" s="7" t="str">
        <f t="shared" si="7"/>
        <v/>
      </c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>
        <f>IFERROR(__xludf.DUMMYFUNCTION("""COMPUTED_VALUE"""),45667.0)</f>
        <v>45667</v>
      </c>
      <c r="B795" s="6">
        <f>IFERROR(__xludf.DUMMYFUNCTION("""COMPUTED_VALUE"""),371.4)</f>
        <v>371.4</v>
      </c>
      <c r="C795" s="6">
        <f>IFERROR(__xludf.DUMMYFUNCTION("""COMPUTED_VALUE"""),373.2)</f>
        <v>373.2</v>
      </c>
      <c r="D795" s="6">
        <f>IFERROR(__xludf.DUMMYFUNCTION("""COMPUTED_VALUE"""),364.7)</f>
        <v>364.7</v>
      </c>
      <c r="E795" s="6">
        <f>IFERROR(__xludf.DUMMYFUNCTION("""COMPUTED_VALUE"""),368.5)</f>
        <v>368.5</v>
      </c>
      <c r="F795" s="7">
        <f>IFERROR(__xludf.DUMMYFUNCTION("""COMPUTED_VALUE"""),4893721.0)</f>
        <v>4893721</v>
      </c>
      <c r="G795" s="7" t="str">
        <f>IFERROR(__xludf.DUMMYFUNCTION("""COMPUTED_VALUE"""),"COALINDIA.NS")</f>
        <v>COALINDIA.NS</v>
      </c>
      <c r="H795" s="8">
        <f t="shared" si="1"/>
        <v>-0.007808292946</v>
      </c>
      <c r="I795" s="8">
        <f t="shared" si="2"/>
        <v>0.007808292946</v>
      </c>
      <c r="J795" s="7" t="str">
        <f t="shared" si="3"/>
        <v>Jan-2025</v>
      </c>
      <c r="K795" s="9">
        <f t="shared" si="4"/>
        <v>45658</v>
      </c>
      <c r="L795" s="7" t="str">
        <f t="shared" si="5"/>
        <v/>
      </c>
      <c r="M795" s="7" t="str">
        <f>IFERROR(__xludf.DUMMYFUNCTION("IFERROR(
  IF(
    F795 &gt;
    3*AVERAGE(
       FILTER($F$2:$F10491,
         $G$2:$G10491=G795,
         $A$2:$A10491&gt;=A795-20,
         $A$2:$A10491&lt;=A795
       )
    ),
    ""VOL_SPIKE_3X"",""""
  ),
"""")
"),"")</f>
        <v/>
      </c>
      <c r="N795" s="7" t="str">
        <f t="shared" si="6"/>
        <v/>
      </c>
      <c r="O795" s="7" t="str">
        <f t="shared" si="7"/>
        <v/>
      </c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>
        <f>IFERROR(__xludf.DUMMYFUNCTION("""COMPUTED_VALUE"""),45667.0)</f>
        <v>45667</v>
      </c>
      <c r="B796" s="6">
        <f>IFERROR(__xludf.DUMMYFUNCTION("""COMPUTED_VALUE"""),387.55)</f>
        <v>387.55</v>
      </c>
      <c r="C796" s="6">
        <f>IFERROR(__xludf.DUMMYFUNCTION("""COMPUTED_VALUE"""),392.8)</f>
        <v>392.8</v>
      </c>
      <c r="D796" s="6">
        <f>IFERROR(__xludf.DUMMYFUNCTION("""COMPUTED_VALUE"""),379.55)</f>
        <v>379.55</v>
      </c>
      <c r="E796" s="6">
        <f>IFERROR(__xludf.DUMMYFUNCTION("""COMPUTED_VALUE"""),388.45)</f>
        <v>388.45</v>
      </c>
      <c r="F796" s="7">
        <f>IFERROR(__xludf.DUMMYFUNCTION("""COMPUTED_VALUE"""),3504508.0)</f>
        <v>3504508</v>
      </c>
      <c r="G796" s="7" t="str">
        <f>IFERROR(__xludf.DUMMYFUNCTION("""COMPUTED_VALUE"""),"HINDPETRO.NS")</f>
        <v>HINDPETRO.NS</v>
      </c>
      <c r="H796" s="8">
        <f t="shared" si="1"/>
        <v>0.002322280996</v>
      </c>
      <c r="I796" s="8">
        <f t="shared" si="2"/>
        <v>0.002322280996</v>
      </c>
      <c r="J796" s="7" t="str">
        <f t="shared" si="3"/>
        <v>Jan-2025</v>
      </c>
      <c r="K796" s="9">
        <f t="shared" si="4"/>
        <v>45658</v>
      </c>
      <c r="L796" s="7" t="str">
        <f t="shared" si="5"/>
        <v/>
      </c>
      <c r="M796" s="7" t="str">
        <f>IFERROR(__xludf.DUMMYFUNCTION("IFERROR(
  IF(
    F796 &gt;
    3*AVERAGE(
       FILTER($F$2:$F10491,
         $G$2:$G10491=G796,
         $A$2:$A10491&gt;=A796-20,
         $A$2:$A10491&lt;=A796
       )
    ),
    ""VOL_SPIKE_3X"",""""
  ),
"""")
"),"")</f>
        <v/>
      </c>
      <c r="N796" s="7" t="str">
        <f t="shared" si="6"/>
        <v/>
      </c>
      <c r="O796" s="7" t="str">
        <f t="shared" si="7"/>
        <v/>
      </c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>
        <f>IFERROR(__xludf.DUMMYFUNCTION("""COMPUTED_VALUE"""),45667.0)</f>
        <v>45667</v>
      </c>
      <c r="B797" s="6">
        <f>IFERROR(__xludf.DUMMYFUNCTION("""COMPUTED_VALUE"""),132.2)</f>
        <v>132.2</v>
      </c>
      <c r="C797" s="6">
        <f>IFERROR(__xludf.DUMMYFUNCTION("""COMPUTED_VALUE"""),133.0)</f>
        <v>133</v>
      </c>
      <c r="D797" s="6">
        <f>IFERROR(__xludf.DUMMYFUNCTION("""COMPUTED_VALUE"""),129.75)</f>
        <v>129.75</v>
      </c>
      <c r="E797" s="6">
        <f>IFERROR(__xludf.DUMMYFUNCTION("""COMPUTED_VALUE"""),130.28)</f>
        <v>130.28</v>
      </c>
      <c r="F797" s="7">
        <f>IFERROR(__xludf.DUMMYFUNCTION("""COMPUTED_VALUE"""),1.2948066E7)</f>
        <v>12948066</v>
      </c>
      <c r="G797" s="7" t="str">
        <f>IFERROR(__xludf.DUMMYFUNCTION("""COMPUTED_VALUE"""),"IOC.NS")</f>
        <v>IOC.NS</v>
      </c>
      <c r="H797" s="8">
        <f t="shared" si="1"/>
        <v>-0.01452344932</v>
      </c>
      <c r="I797" s="8">
        <f t="shared" si="2"/>
        <v>0.01452344932</v>
      </c>
      <c r="J797" s="7" t="str">
        <f t="shared" si="3"/>
        <v>Jan-2025</v>
      </c>
      <c r="K797" s="9">
        <f t="shared" si="4"/>
        <v>45658</v>
      </c>
      <c r="L797" s="7" t="str">
        <f t="shared" si="5"/>
        <v/>
      </c>
      <c r="M797" s="7" t="str">
        <f>IFERROR(__xludf.DUMMYFUNCTION("IFERROR(
  IF(
    F797 &gt;
    3*AVERAGE(
       FILTER($F$2:$F10491,
         $G$2:$G10491=G797,
         $A$2:$A10491&gt;=A797-20,
         $A$2:$A10491&lt;=A797
       )
    ),
    ""VOL_SPIKE_3X"",""""
  ),
"""")
"),"")</f>
        <v/>
      </c>
      <c r="N797" s="7" t="str">
        <f t="shared" si="6"/>
        <v/>
      </c>
      <c r="O797" s="7" t="str">
        <f t="shared" si="7"/>
        <v/>
      </c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>
        <f>IFERROR(__xludf.DUMMYFUNCTION("""COMPUTED_VALUE"""),45667.0)</f>
        <v>45667</v>
      </c>
      <c r="B798" s="6">
        <f>IFERROR(__xludf.DUMMYFUNCTION("""COMPUTED_VALUE"""),320.35)</f>
        <v>320.35</v>
      </c>
      <c r="C798" s="6">
        <f>IFERROR(__xludf.DUMMYFUNCTION("""COMPUTED_VALUE"""),321.0)</f>
        <v>321</v>
      </c>
      <c r="D798" s="6">
        <f>IFERROR(__xludf.DUMMYFUNCTION("""COMPUTED_VALUE"""),307.6)</f>
        <v>307.6</v>
      </c>
      <c r="E798" s="6">
        <f>IFERROR(__xludf.DUMMYFUNCTION("""COMPUTED_VALUE"""),308.25)</f>
        <v>308.25</v>
      </c>
      <c r="F798" s="7">
        <f>IFERROR(__xludf.DUMMYFUNCTION("""COMPUTED_VALUE"""),1.5941143E7)</f>
        <v>15941143</v>
      </c>
      <c r="G798" s="7" t="str">
        <f>IFERROR(__xludf.DUMMYFUNCTION("""COMPUTED_VALUE"""),"NTPC.NS")</f>
        <v>NTPC.NS</v>
      </c>
      <c r="H798" s="8">
        <f t="shared" si="1"/>
        <v>-0.03777118776</v>
      </c>
      <c r="I798" s="8">
        <f t="shared" si="2"/>
        <v>0.03777118776</v>
      </c>
      <c r="J798" s="7" t="str">
        <f t="shared" si="3"/>
        <v>Jan-2025</v>
      </c>
      <c r="K798" s="9">
        <f t="shared" si="4"/>
        <v>45658</v>
      </c>
      <c r="L798" s="7" t="str">
        <f t="shared" si="5"/>
        <v/>
      </c>
      <c r="M798" s="7" t="str">
        <f>IFERROR(__xludf.DUMMYFUNCTION("IFERROR(
  IF(
    F798 &gt;
    3*AVERAGE(
       FILTER($F$2:$F10491,
         $G$2:$G10491=G798,
         $A$2:$A10491&gt;=A798-20,
         $A$2:$A10491&lt;=A798
       )
    ),
    ""VOL_SPIKE_3X"",""""
  ),
"""")
"),"")</f>
        <v/>
      </c>
      <c r="N798" s="7" t="str">
        <f t="shared" si="6"/>
        <v/>
      </c>
      <c r="O798" s="7" t="str">
        <f t="shared" si="7"/>
        <v/>
      </c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>
        <f>IFERROR(__xludf.DUMMYFUNCTION("""COMPUTED_VALUE"""),45667.0)</f>
        <v>45667</v>
      </c>
      <c r="B799" s="6">
        <f>IFERROR(__xludf.DUMMYFUNCTION("""COMPUTED_VALUE"""),264.0)</f>
        <v>264</v>
      </c>
      <c r="C799" s="6">
        <f>IFERROR(__xludf.DUMMYFUNCTION("""COMPUTED_VALUE"""),266.5)</f>
        <v>266.5</v>
      </c>
      <c r="D799" s="6">
        <f>IFERROR(__xludf.DUMMYFUNCTION("""COMPUTED_VALUE"""),258.47)</f>
        <v>258.47</v>
      </c>
      <c r="E799" s="6">
        <f>IFERROR(__xludf.DUMMYFUNCTION("""COMPUTED_VALUE"""),263.02)</f>
        <v>263.02</v>
      </c>
      <c r="F799" s="7">
        <f>IFERROR(__xludf.DUMMYFUNCTION("""COMPUTED_VALUE"""),1.3053552E7)</f>
        <v>13053552</v>
      </c>
      <c r="G799" s="7" t="str">
        <f>IFERROR(__xludf.DUMMYFUNCTION("""COMPUTED_VALUE"""),"ONGC.NS")</f>
        <v>ONGC.NS</v>
      </c>
      <c r="H799" s="8">
        <f t="shared" si="1"/>
        <v>-0.003712121212</v>
      </c>
      <c r="I799" s="8">
        <f t="shared" si="2"/>
        <v>0.003712121212</v>
      </c>
      <c r="J799" s="7" t="str">
        <f t="shared" si="3"/>
        <v>Jan-2025</v>
      </c>
      <c r="K799" s="9">
        <f t="shared" si="4"/>
        <v>45658</v>
      </c>
      <c r="L799" s="7" t="str">
        <f t="shared" si="5"/>
        <v/>
      </c>
      <c r="M799" s="7" t="str">
        <f>IFERROR(__xludf.DUMMYFUNCTION("IFERROR(
  IF(
    F799 &gt;
    3*AVERAGE(
       FILTER($F$2:$F10491,
         $G$2:$G10491=G799,
         $A$2:$A10491&gt;=A799-20,
         $A$2:$A10491&lt;=A799
       )
    ),
    ""VOL_SPIKE_3X"",""""
  ),
"""")
"),"")</f>
        <v/>
      </c>
      <c r="N799" s="7" t="str">
        <f t="shared" si="6"/>
        <v/>
      </c>
      <c r="O799" s="7" t="str">
        <f t="shared" si="7"/>
        <v/>
      </c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>
        <f>IFERROR(__xludf.DUMMYFUNCTION("""COMPUTED_VALUE"""),45667.0)</f>
        <v>45667</v>
      </c>
      <c r="B800" s="6">
        <f>IFERROR(__xludf.DUMMYFUNCTION("""COMPUTED_VALUE"""),304.05)</f>
        <v>304.05</v>
      </c>
      <c r="C800" s="6">
        <f>IFERROR(__xludf.DUMMYFUNCTION("""COMPUTED_VALUE"""),305.25)</f>
        <v>305.25</v>
      </c>
      <c r="D800" s="6">
        <f>IFERROR(__xludf.DUMMYFUNCTION("""COMPUTED_VALUE"""),298.5)</f>
        <v>298.5</v>
      </c>
      <c r="E800" s="6">
        <f>IFERROR(__xludf.DUMMYFUNCTION("""COMPUTED_VALUE"""),299.7)</f>
        <v>299.7</v>
      </c>
      <c r="F800" s="7">
        <f>IFERROR(__xludf.DUMMYFUNCTION("""COMPUTED_VALUE"""),6540783.0)</f>
        <v>6540783</v>
      </c>
      <c r="G800" s="7" t="str">
        <f>IFERROR(__xludf.DUMMYFUNCTION("""COMPUTED_VALUE"""),"POWERGRID.NS")</f>
        <v>POWERGRID.NS</v>
      </c>
      <c r="H800" s="8">
        <f t="shared" si="1"/>
        <v>-0.01430685742</v>
      </c>
      <c r="I800" s="8">
        <f t="shared" si="2"/>
        <v>0.01430685742</v>
      </c>
      <c r="J800" s="7" t="str">
        <f t="shared" si="3"/>
        <v>Jan-2025</v>
      </c>
      <c r="K800" s="9">
        <f t="shared" si="4"/>
        <v>45658</v>
      </c>
      <c r="L800" s="7" t="str">
        <f t="shared" si="5"/>
        <v/>
      </c>
      <c r="M800" s="7" t="str">
        <f>IFERROR(__xludf.DUMMYFUNCTION("IFERROR(
  IF(
    F800 &gt;
    3*AVERAGE(
       FILTER($F$2:$F10491,
         $G$2:$G10491=G800,
         $A$2:$A10491&gt;=A800-20,
         $A$2:$A10491&lt;=A800
       )
    ),
    ""VOL_SPIKE_3X"",""""
  ),
"""")
"),"")</f>
        <v/>
      </c>
      <c r="N800" s="7" t="str">
        <f t="shared" si="6"/>
        <v/>
      </c>
      <c r="O800" s="7" t="str">
        <f t="shared" si="7"/>
        <v/>
      </c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>
        <f>IFERROR(__xludf.DUMMYFUNCTION("""COMPUTED_VALUE"""),45667.0)</f>
        <v>45667</v>
      </c>
      <c r="B801" s="6">
        <f>IFERROR(__xludf.DUMMYFUNCTION("""COMPUTED_VALUE"""),1253.85)</f>
        <v>1253.85</v>
      </c>
      <c r="C801" s="6">
        <f>IFERROR(__xludf.DUMMYFUNCTION("""COMPUTED_VALUE"""),1256.75)</f>
        <v>1256.75</v>
      </c>
      <c r="D801" s="6">
        <f>IFERROR(__xludf.DUMMYFUNCTION("""COMPUTED_VALUE"""),1236.0)</f>
        <v>1236</v>
      </c>
      <c r="E801" s="6">
        <f>IFERROR(__xludf.DUMMYFUNCTION("""COMPUTED_VALUE"""),1241.9)</f>
        <v>1241.9</v>
      </c>
      <c r="F801" s="7">
        <f>IFERROR(__xludf.DUMMYFUNCTION("""COMPUTED_VALUE"""),8120332.0)</f>
        <v>8120332</v>
      </c>
      <c r="G801" s="7" t="str">
        <f>IFERROR(__xludf.DUMMYFUNCTION("""COMPUTED_VALUE"""),"RELIANCE.NS")</f>
        <v>RELIANCE.NS</v>
      </c>
      <c r="H801" s="8">
        <f t="shared" si="1"/>
        <v>-0.009530645612</v>
      </c>
      <c r="I801" s="8">
        <f t="shared" si="2"/>
        <v>0.009530645612</v>
      </c>
      <c r="J801" s="7" t="str">
        <f t="shared" si="3"/>
        <v>Jan-2025</v>
      </c>
      <c r="K801" s="9">
        <f t="shared" si="4"/>
        <v>45658</v>
      </c>
      <c r="L801" s="7" t="str">
        <f t="shared" si="5"/>
        <v/>
      </c>
      <c r="M801" s="7" t="str">
        <f>IFERROR(__xludf.DUMMYFUNCTION("IFERROR(
  IF(
    F801 &gt;
    3*AVERAGE(
       FILTER($F$2:$F10491,
         $G$2:$G10491=G801,
         $A$2:$A10491&gt;=A801-20,
         $A$2:$A10491&lt;=A801
       )
    ),
    ""VOL_SPIKE_3X"",""""
  ),
"""")
"),"")</f>
        <v/>
      </c>
      <c r="N801" s="7" t="str">
        <f t="shared" si="6"/>
        <v/>
      </c>
      <c r="O801" s="7" t="str">
        <f t="shared" si="7"/>
        <v/>
      </c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>
        <f>IFERROR(__xludf.DUMMYFUNCTION("""COMPUTED_VALUE"""),45670.0)</f>
        <v>45670</v>
      </c>
      <c r="B802" s="6">
        <f>IFERROR(__xludf.DUMMYFUNCTION("""COMPUTED_VALUE"""),719.0)</f>
        <v>719</v>
      </c>
      <c r="C802" s="6">
        <f>IFERROR(__xludf.DUMMYFUNCTION("""COMPUTED_VALUE"""),724.5)</f>
        <v>724.5</v>
      </c>
      <c r="D802" s="6">
        <f>IFERROR(__xludf.DUMMYFUNCTION("""COMPUTED_VALUE"""),682.45)</f>
        <v>682.45</v>
      </c>
      <c r="E802" s="6">
        <f>IFERROR(__xludf.DUMMYFUNCTION("""COMPUTED_VALUE"""),688.75)</f>
        <v>688.75</v>
      </c>
      <c r="F802" s="7">
        <f>IFERROR(__xludf.DUMMYFUNCTION("""COMPUTED_VALUE"""),1424633.0)</f>
        <v>1424633</v>
      </c>
      <c r="G802" s="7" t="str">
        <f>IFERROR(__xludf.DUMMYFUNCTION("""COMPUTED_VALUE"""),"ADANIENSOL.NS")</f>
        <v>ADANIENSOL.NS</v>
      </c>
      <c r="H802" s="8">
        <f t="shared" si="1"/>
        <v>-0.04207232267</v>
      </c>
      <c r="I802" s="8">
        <f t="shared" si="2"/>
        <v>0.04207232267</v>
      </c>
      <c r="J802" s="7" t="str">
        <f t="shared" si="3"/>
        <v>Jan-2025</v>
      </c>
      <c r="K802" s="9">
        <f t="shared" si="4"/>
        <v>45658</v>
      </c>
      <c r="L802" s="7" t="str">
        <f t="shared" si="5"/>
        <v/>
      </c>
      <c r="M802" s="7" t="str">
        <f>IFERROR(__xludf.DUMMYFUNCTION("IFERROR(
  IF(
    F802 &gt;
    3*AVERAGE(
       FILTER($F$2:$F10491,
         $G$2:$G10491=G802,
         $A$2:$A10491&gt;=A802-20,
         $A$2:$A10491&lt;=A802
       )
    ),
    ""VOL_SPIKE_3X"",""""
  ),
"""")
"),"")</f>
        <v/>
      </c>
      <c r="N802" s="7" t="str">
        <f t="shared" si="6"/>
        <v/>
      </c>
      <c r="O802" s="7" t="str">
        <f t="shared" si="7"/>
        <v/>
      </c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>
        <f>IFERROR(__xludf.DUMMYFUNCTION("""COMPUTED_VALUE"""),45670.0)</f>
        <v>45670</v>
      </c>
      <c r="B803" s="6">
        <f>IFERROR(__xludf.DUMMYFUNCTION("""COMPUTED_VALUE"""),937.8)</f>
        <v>937.8</v>
      </c>
      <c r="C803" s="6">
        <f>IFERROR(__xludf.DUMMYFUNCTION("""COMPUTED_VALUE"""),937.8)</f>
        <v>937.8</v>
      </c>
      <c r="D803" s="6">
        <f>IFERROR(__xludf.DUMMYFUNCTION("""COMPUTED_VALUE"""),885.0)</f>
        <v>885</v>
      </c>
      <c r="E803" s="6">
        <f>IFERROR(__xludf.DUMMYFUNCTION("""COMPUTED_VALUE"""),889.75)</f>
        <v>889.75</v>
      </c>
      <c r="F803" s="7">
        <f>IFERROR(__xludf.DUMMYFUNCTION("""COMPUTED_VALUE"""),2618478.0)</f>
        <v>2618478</v>
      </c>
      <c r="G803" s="7" t="str">
        <f>IFERROR(__xludf.DUMMYFUNCTION("""COMPUTED_VALUE"""),"ADANIGREEN.NS")</f>
        <v>ADANIGREEN.NS</v>
      </c>
      <c r="H803" s="8">
        <f t="shared" si="1"/>
        <v>-0.05123693751</v>
      </c>
      <c r="I803" s="8">
        <f t="shared" si="2"/>
        <v>0.05123693751</v>
      </c>
      <c r="J803" s="7" t="str">
        <f t="shared" si="3"/>
        <v>Jan-2025</v>
      </c>
      <c r="K803" s="9">
        <f t="shared" si="4"/>
        <v>45658</v>
      </c>
      <c r="L803" s="7" t="str">
        <f t="shared" si="5"/>
        <v>PRICE_MOVE_5PCT+</v>
      </c>
      <c r="M803" s="7" t="str">
        <f>IFERROR(__xludf.DUMMYFUNCTION("IFERROR(
  IF(
    F803 &gt;
    3*AVERAGE(
       FILTER($F$2:$F10491,
         $G$2:$G10491=G803,
         $A$2:$A10491&gt;=A803-20,
         $A$2:$A10491&lt;=A803
       )
    ),
    ""VOL_SPIKE_3X"",""""
  ),
"""")
"),"")</f>
        <v/>
      </c>
      <c r="N803" s="7" t="str">
        <f t="shared" si="6"/>
        <v>PRICE_MOVE_5PCT+</v>
      </c>
      <c r="O803" s="7" t="str">
        <f t="shared" si="7"/>
        <v/>
      </c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>
        <f>IFERROR(__xludf.DUMMYFUNCTION("""COMPUTED_VALUE"""),45670.0)</f>
        <v>45670</v>
      </c>
      <c r="B804" s="6">
        <f>IFERROR(__xludf.DUMMYFUNCTION("""COMPUTED_VALUE"""),271.25)</f>
        <v>271.25</v>
      </c>
      <c r="C804" s="6">
        <f>IFERROR(__xludf.DUMMYFUNCTION("""COMPUTED_VALUE"""),274.7)</f>
        <v>274.7</v>
      </c>
      <c r="D804" s="6">
        <f>IFERROR(__xludf.DUMMYFUNCTION("""COMPUTED_VALUE"""),264.25)</f>
        <v>264.25</v>
      </c>
      <c r="E804" s="6">
        <f>IFERROR(__xludf.DUMMYFUNCTION("""COMPUTED_VALUE"""),265.3)</f>
        <v>265.3</v>
      </c>
      <c r="F804" s="7">
        <f>IFERROR(__xludf.DUMMYFUNCTION("""COMPUTED_VALUE"""),1.0488655E7)</f>
        <v>10488655</v>
      </c>
      <c r="G804" s="7" t="str">
        <f>IFERROR(__xludf.DUMMYFUNCTION("""COMPUTED_VALUE"""),"BPCL.NS")</f>
        <v>BPCL.NS</v>
      </c>
      <c r="H804" s="8">
        <f t="shared" si="1"/>
        <v>-0.02193548387</v>
      </c>
      <c r="I804" s="8">
        <f t="shared" si="2"/>
        <v>0.02193548387</v>
      </c>
      <c r="J804" s="7" t="str">
        <f t="shared" si="3"/>
        <v>Jan-2025</v>
      </c>
      <c r="K804" s="9">
        <f t="shared" si="4"/>
        <v>45658</v>
      </c>
      <c r="L804" s="7" t="str">
        <f t="shared" si="5"/>
        <v/>
      </c>
      <c r="M804" s="7" t="str">
        <f>IFERROR(__xludf.DUMMYFUNCTION("IFERROR(
  IF(
    F804 &gt;
    3*AVERAGE(
       FILTER($F$2:$F10491,
         $G$2:$G10491=G804,
         $A$2:$A10491&gt;=A804-20,
         $A$2:$A10491&lt;=A804
       )
    ),
    ""VOL_SPIKE_3X"",""""
  ),
"""")
"),"")</f>
        <v/>
      </c>
      <c r="N804" s="7" t="str">
        <f t="shared" si="6"/>
        <v/>
      </c>
      <c r="O804" s="7" t="str">
        <f t="shared" si="7"/>
        <v/>
      </c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>
        <f>IFERROR(__xludf.DUMMYFUNCTION("""COMPUTED_VALUE"""),45670.0)</f>
        <v>45670</v>
      </c>
      <c r="B805" s="6">
        <f>IFERROR(__xludf.DUMMYFUNCTION("""COMPUTED_VALUE"""),366.1)</f>
        <v>366.1</v>
      </c>
      <c r="C805" s="6">
        <f>IFERROR(__xludf.DUMMYFUNCTION("""COMPUTED_VALUE"""),370.4)</f>
        <v>370.4</v>
      </c>
      <c r="D805" s="6">
        <f>IFERROR(__xludf.DUMMYFUNCTION("""COMPUTED_VALUE"""),361.25)</f>
        <v>361.25</v>
      </c>
      <c r="E805" s="6">
        <f>IFERROR(__xludf.DUMMYFUNCTION("""COMPUTED_VALUE"""),362.9)</f>
        <v>362.9</v>
      </c>
      <c r="F805" s="7">
        <f>IFERROR(__xludf.DUMMYFUNCTION("""COMPUTED_VALUE"""),8661589.0)</f>
        <v>8661589</v>
      </c>
      <c r="G805" s="7" t="str">
        <f>IFERROR(__xludf.DUMMYFUNCTION("""COMPUTED_VALUE"""),"COALINDIA.NS")</f>
        <v>COALINDIA.NS</v>
      </c>
      <c r="H805" s="8">
        <f t="shared" si="1"/>
        <v>-0.008740781207</v>
      </c>
      <c r="I805" s="8">
        <f t="shared" si="2"/>
        <v>0.008740781207</v>
      </c>
      <c r="J805" s="7" t="str">
        <f t="shared" si="3"/>
        <v>Jan-2025</v>
      </c>
      <c r="K805" s="9">
        <f t="shared" si="4"/>
        <v>45658</v>
      </c>
      <c r="L805" s="7" t="str">
        <f t="shared" si="5"/>
        <v/>
      </c>
      <c r="M805" s="7" t="str">
        <f>IFERROR(__xludf.DUMMYFUNCTION("IFERROR(
  IF(
    F805 &gt;
    3*AVERAGE(
       FILTER($F$2:$F10491,
         $G$2:$G10491=G805,
         $A$2:$A10491&gt;=A805-20,
         $A$2:$A10491&lt;=A805
       )
    ),
    ""VOL_SPIKE_3X"",""""
  ),
"""")
"),"")</f>
        <v/>
      </c>
      <c r="N805" s="7" t="str">
        <f t="shared" si="6"/>
        <v/>
      </c>
      <c r="O805" s="7" t="str">
        <f t="shared" si="7"/>
        <v/>
      </c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>
        <f>IFERROR(__xludf.DUMMYFUNCTION("""COMPUTED_VALUE"""),45670.0)</f>
        <v>45670</v>
      </c>
      <c r="B806" s="6">
        <f>IFERROR(__xludf.DUMMYFUNCTION("""COMPUTED_VALUE"""),376.55)</f>
        <v>376.55</v>
      </c>
      <c r="C806" s="6">
        <f>IFERROR(__xludf.DUMMYFUNCTION("""COMPUTED_VALUE"""),376.55)</f>
        <v>376.55</v>
      </c>
      <c r="D806" s="6">
        <f>IFERROR(__xludf.DUMMYFUNCTION("""COMPUTED_VALUE"""),360.15)</f>
        <v>360.15</v>
      </c>
      <c r="E806" s="6">
        <f>IFERROR(__xludf.DUMMYFUNCTION("""COMPUTED_VALUE"""),364.4)</f>
        <v>364.4</v>
      </c>
      <c r="F806" s="7">
        <f>IFERROR(__xludf.DUMMYFUNCTION("""COMPUTED_VALUE"""),1.3439614E7)</f>
        <v>13439614</v>
      </c>
      <c r="G806" s="7" t="str">
        <f>IFERROR(__xludf.DUMMYFUNCTION("""COMPUTED_VALUE"""),"HINDPETRO.NS")</f>
        <v>HINDPETRO.NS</v>
      </c>
      <c r="H806" s="8">
        <f t="shared" si="1"/>
        <v>-0.03226663126</v>
      </c>
      <c r="I806" s="8">
        <f t="shared" si="2"/>
        <v>0.03226663126</v>
      </c>
      <c r="J806" s="7" t="str">
        <f t="shared" si="3"/>
        <v>Jan-2025</v>
      </c>
      <c r="K806" s="9">
        <f t="shared" si="4"/>
        <v>45658</v>
      </c>
      <c r="L806" s="7" t="str">
        <f t="shared" si="5"/>
        <v/>
      </c>
      <c r="M806" s="7" t="str">
        <f>IFERROR(__xludf.DUMMYFUNCTION("IFERROR(
  IF(
    F806 &gt;
    3*AVERAGE(
       FILTER($F$2:$F10491,
         $G$2:$G10491=G806,
         $A$2:$A10491&gt;=A806-20,
         $A$2:$A10491&lt;=A806
       )
    ),
    ""VOL_SPIKE_3X"",""""
  ),
"""")
"),"")</f>
        <v/>
      </c>
      <c r="N806" s="7" t="str">
        <f t="shared" si="6"/>
        <v/>
      </c>
      <c r="O806" s="7" t="str">
        <f t="shared" si="7"/>
        <v/>
      </c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>
        <f>IFERROR(__xludf.DUMMYFUNCTION("""COMPUTED_VALUE"""),45670.0)</f>
        <v>45670</v>
      </c>
      <c r="B807" s="6">
        <f>IFERROR(__xludf.DUMMYFUNCTION("""COMPUTED_VALUE"""),128.03)</f>
        <v>128.03</v>
      </c>
      <c r="C807" s="6">
        <f>IFERROR(__xludf.DUMMYFUNCTION("""COMPUTED_VALUE"""),128.39)</f>
        <v>128.39</v>
      </c>
      <c r="D807" s="6">
        <f>IFERROR(__xludf.DUMMYFUNCTION("""COMPUTED_VALUE"""),121.16)</f>
        <v>121.16</v>
      </c>
      <c r="E807" s="6">
        <f>IFERROR(__xludf.DUMMYFUNCTION("""COMPUTED_VALUE"""),121.99)</f>
        <v>121.99</v>
      </c>
      <c r="F807" s="7">
        <f>IFERROR(__xludf.DUMMYFUNCTION("""COMPUTED_VALUE"""),3.0291583E7)</f>
        <v>30291583</v>
      </c>
      <c r="G807" s="7" t="str">
        <f>IFERROR(__xludf.DUMMYFUNCTION("""COMPUTED_VALUE"""),"IOC.NS")</f>
        <v>IOC.NS</v>
      </c>
      <c r="H807" s="8">
        <f t="shared" si="1"/>
        <v>-0.04717644302</v>
      </c>
      <c r="I807" s="8">
        <f t="shared" si="2"/>
        <v>0.04717644302</v>
      </c>
      <c r="J807" s="7" t="str">
        <f t="shared" si="3"/>
        <v>Jan-2025</v>
      </c>
      <c r="K807" s="9">
        <f t="shared" si="4"/>
        <v>45658</v>
      </c>
      <c r="L807" s="7" t="str">
        <f t="shared" si="5"/>
        <v/>
      </c>
      <c r="M807" s="7" t="str">
        <f>IFERROR(__xludf.DUMMYFUNCTION("IFERROR(
  IF(
    F807 &gt;
    3*AVERAGE(
       FILTER($F$2:$F10491,
         $G$2:$G10491=G807,
         $A$2:$A10491&gt;=A807-20,
         $A$2:$A10491&lt;=A807
       )
    ),
    ""VOL_SPIKE_3X"",""""
  ),
"""")
"),"")</f>
        <v/>
      </c>
      <c r="N807" s="7" t="str">
        <f t="shared" si="6"/>
        <v/>
      </c>
      <c r="O807" s="7" t="str">
        <f t="shared" si="7"/>
        <v/>
      </c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>
        <f>IFERROR(__xludf.DUMMYFUNCTION("""COMPUTED_VALUE"""),45670.0)</f>
        <v>45670</v>
      </c>
      <c r="B808" s="6">
        <f>IFERROR(__xludf.DUMMYFUNCTION("""COMPUTED_VALUE"""),301.1)</f>
        <v>301.1</v>
      </c>
      <c r="C808" s="6">
        <f>IFERROR(__xludf.DUMMYFUNCTION("""COMPUTED_VALUE"""),309.95)</f>
        <v>309.95</v>
      </c>
      <c r="D808" s="6">
        <f>IFERROR(__xludf.DUMMYFUNCTION("""COMPUTED_VALUE"""),296.85)</f>
        <v>296.85</v>
      </c>
      <c r="E808" s="6">
        <f>IFERROR(__xludf.DUMMYFUNCTION("""COMPUTED_VALUE"""),298.2)</f>
        <v>298.2</v>
      </c>
      <c r="F808" s="7">
        <f>IFERROR(__xludf.DUMMYFUNCTION("""COMPUTED_VALUE"""),2.9630336E7)</f>
        <v>29630336</v>
      </c>
      <c r="G808" s="7" t="str">
        <f>IFERROR(__xludf.DUMMYFUNCTION("""COMPUTED_VALUE"""),"NTPC.NS")</f>
        <v>NTPC.NS</v>
      </c>
      <c r="H808" s="8">
        <f t="shared" si="1"/>
        <v>-0.00963135171</v>
      </c>
      <c r="I808" s="8">
        <f t="shared" si="2"/>
        <v>0.00963135171</v>
      </c>
      <c r="J808" s="7" t="str">
        <f t="shared" si="3"/>
        <v>Jan-2025</v>
      </c>
      <c r="K808" s="9">
        <f t="shared" si="4"/>
        <v>45658</v>
      </c>
      <c r="L808" s="7" t="str">
        <f t="shared" si="5"/>
        <v/>
      </c>
      <c r="M808" s="7" t="str">
        <f>IFERROR(__xludf.DUMMYFUNCTION("IFERROR(
  IF(
    F808 &gt;
    3*AVERAGE(
       FILTER($F$2:$F10491,
         $G$2:$G10491=G808,
         $A$2:$A10491&gt;=A808-20,
         $A$2:$A10491&lt;=A808
       )
    ),
    ""VOL_SPIKE_3X"",""""
  ),
"""")
"),"")</f>
        <v/>
      </c>
      <c r="N808" s="7" t="str">
        <f t="shared" si="6"/>
        <v/>
      </c>
      <c r="O808" s="7" t="str">
        <f t="shared" si="7"/>
        <v/>
      </c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>
        <f>IFERROR(__xludf.DUMMYFUNCTION("""COMPUTED_VALUE"""),45670.0)</f>
        <v>45670</v>
      </c>
      <c r="B809" s="6">
        <f>IFERROR(__xludf.DUMMYFUNCTION("""COMPUTED_VALUE"""),266.03)</f>
        <v>266.03</v>
      </c>
      <c r="C809" s="6">
        <f>IFERROR(__xludf.DUMMYFUNCTION("""COMPUTED_VALUE"""),268.6)</f>
        <v>268.6</v>
      </c>
      <c r="D809" s="6">
        <f>IFERROR(__xludf.DUMMYFUNCTION("""COMPUTED_VALUE"""),254.61)</f>
        <v>254.61</v>
      </c>
      <c r="E809" s="6">
        <f>IFERROR(__xludf.DUMMYFUNCTION("""COMPUTED_VALUE"""),255.73)</f>
        <v>255.73</v>
      </c>
      <c r="F809" s="7">
        <f>IFERROR(__xludf.DUMMYFUNCTION("""COMPUTED_VALUE"""),2.041637E7)</f>
        <v>20416370</v>
      </c>
      <c r="G809" s="7" t="str">
        <f>IFERROR(__xludf.DUMMYFUNCTION("""COMPUTED_VALUE"""),"ONGC.NS")</f>
        <v>ONGC.NS</v>
      </c>
      <c r="H809" s="8">
        <f t="shared" si="1"/>
        <v>-0.03871743788</v>
      </c>
      <c r="I809" s="8">
        <f t="shared" si="2"/>
        <v>0.03871743788</v>
      </c>
      <c r="J809" s="7" t="str">
        <f t="shared" si="3"/>
        <v>Jan-2025</v>
      </c>
      <c r="K809" s="9">
        <f t="shared" si="4"/>
        <v>45658</v>
      </c>
      <c r="L809" s="7" t="str">
        <f t="shared" si="5"/>
        <v/>
      </c>
      <c r="M809" s="7" t="str">
        <f>IFERROR(__xludf.DUMMYFUNCTION("IFERROR(
  IF(
    F809 &gt;
    3*AVERAGE(
       FILTER($F$2:$F10491,
         $G$2:$G10491=G809,
         $A$2:$A10491&gt;=A809-20,
         $A$2:$A10491&lt;=A809
       )
    ),
    ""VOL_SPIKE_3X"",""""
  ),
"""")
"),"")</f>
        <v/>
      </c>
      <c r="N809" s="7" t="str">
        <f t="shared" si="6"/>
        <v/>
      </c>
      <c r="O809" s="7" t="str">
        <f t="shared" si="7"/>
        <v/>
      </c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>
        <f>IFERROR(__xludf.DUMMYFUNCTION("""COMPUTED_VALUE"""),45670.0)</f>
        <v>45670</v>
      </c>
      <c r="B810" s="6">
        <f>IFERROR(__xludf.DUMMYFUNCTION("""COMPUTED_VALUE"""),295.0)</f>
        <v>295</v>
      </c>
      <c r="C810" s="6">
        <f>IFERROR(__xludf.DUMMYFUNCTION("""COMPUTED_VALUE"""),298.55)</f>
        <v>298.55</v>
      </c>
      <c r="D810" s="6">
        <f>IFERROR(__xludf.DUMMYFUNCTION("""COMPUTED_VALUE"""),286.75)</f>
        <v>286.75</v>
      </c>
      <c r="E810" s="6">
        <f>IFERROR(__xludf.DUMMYFUNCTION("""COMPUTED_VALUE"""),287.6)</f>
        <v>287.6</v>
      </c>
      <c r="F810" s="7">
        <f>IFERROR(__xludf.DUMMYFUNCTION("""COMPUTED_VALUE"""),1.9474228E7)</f>
        <v>19474228</v>
      </c>
      <c r="G810" s="7" t="str">
        <f>IFERROR(__xludf.DUMMYFUNCTION("""COMPUTED_VALUE"""),"POWERGRID.NS")</f>
        <v>POWERGRID.NS</v>
      </c>
      <c r="H810" s="8">
        <f t="shared" si="1"/>
        <v>-0.02508474576</v>
      </c>
      <c r="I810" s="8">
        <f t="shared" si="2"/>
        <v>0.02508474576</v>
      </c>
      <c r="J810" s="7" t="str">
        <f t="shared" si="3"/>
        <v>Jan-2025</v>
      </c>
      <c r="K810" s="9">
        <f t="shared" si="4"/>
        <v>45658</v>
      </c>
      <c r="L810" s="7" t="str">
        <f t="shared" si="5"/>
        <v/>
      </c>
      <c r="M810" s="7" t="str">
        <f>IFERROR(__xludf.DUMMYFUNCTION("IFERROR(
  IF(
    F810 &gt;
    3*AVERAGE(
       FILTER($F$2:$F10491,
         $G$2:$G10491=G810,
         $A$2:$A10491&gt;=A810-20,
         $A$2:$A10491&lt;=A810
       )
    ),
    ""VOL_SPIKE_3X"",""""
  ),
"""")
"),"")</f>
        <v/>
      </c>
      <c r="N810" s="7" t="str">
        <f t="shared" si="6"/>
        <v/>
      </c>
      <c r="O810" s="7" t="str">
        <f t="shared" si="7"/>
        <v/>
      </c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>
        <f>IFERROR(__xludf.DUMMYFUNCTION("""COMPUTED_VALUE"""),45670.0)</f>
        <v>45670</v>
      </c>
      <c r="B811" s="6">
        <f>IFERROR(__xludf.DUMMYFUNCTION("""COMPUTED_VALUE"""),1230.0)</f>
        <v>1230</v>
      </c>
      <c r="C811" s="6">
        <f>IFERROR(__xludf.DUMMYFUNCTION("""COMPUTED_VALUE"""),1245.25)</f>
        <v>1245.25</v>
      </c>
      <c r="D811" s="6">
        <f>IFERROR(__xludf.DUMMYFUNCTION("""COMPUTED_VALUE"""),1226.4)</f>
        <v>1226.4</v>
      </c>
      <c r="E811" s="6">
        <f>IFERROR(__xludf.DUMMYFUNCTION("""COMPUTED_VALUE"""),1239.85)</f>
        <v>1239.85</v>
      </c>
      <c r="F811" s="7">
        <f>IFERROR(__xludf.DUMMYFUNCTION("""COMPUTED_VALUE"""),1.3764861E7)</f>
        <v>13764861</v>
      </c>
      <c r="G811" s="7" t="str">
        <f>IFERROR(__xludf.DUMMYFUNCTION("""COMPUTED_VALUE"""),"RELIANCE.NS")</f>
        <v>RELIANCE.NS</v>
      </c>
      <c r="H811" s="8">
        <f t="shared" si="1"/>
        <v>0.008008130081</v>
      </c>
      <c r="I811" s="8">
        <f t="shared" si="2"/>
        <v>0.008008130081</v>
      </c>
      <c r="J811" s="7" t="str">
        <f t="shared" si="3"/>
        <v>Jan-2025</v>
      </c>
      <c r="K811" s="9">
        <f t="shared" si="4"/>
        <v>45658</v>
      </c>
      <c r="L811" s="7" t="str">
        <f t="shared" si="5"/>
        <v/>
      </c>
      <c r="M811" s="7" t="str">
        <f>IFERROR(__xludf.DUMMYFUNCTION("IFERROR(
  IF(
    F811 &gt;
    3*AVERAGE(
       FILTER($F$2:$F10491,
         $G$2:$G10491=G811,
         $A$2:$A10491&gt;=A811-20,
         $A$2:$A10491&lt;=A811
       )
    ),
    ""VOL_SPIKE_3X"",""""
  ),
"""")
"),"")</f>
        <v/>
      </c>
      <c r="N811" s="7" t="str">
        <f t="shared" si="6"/>
        <v/>
      </c>
      <c r="O811" s="7" t="str">
        <f t="shared" si="7"/>
        <v/>
      </c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>
        <f>IFERROR(__xludf.DUMMYFUNCTION("""COMPUTED_VALUE"""),45671.0)</f>
        <v>45671</v>
      </c>
      <c r="B812" s="6">
        <f>IFERROR(__xludf.DUMMYFUNCTION("""COMPUTED_VALUE"""),702.95)</f>
        <v>702.95</v>
      </c>
      <c r="C812" s="6">
        <f>IFERROR(__xludf.DUMMYFUNCTION("""COMPUTED_VALUE"""),787.7)</f>
        <v>787.7</v>
      </c>
      <c r="D812" s="6">
        <f>IFERROR(__xludf.DUMMYFUNCTION("""COMPUTED_VALUE"""),700.1)</f>
        <v>700.1</v>
      </c>
      <c r="E812" s="6">
        <f>IFERROR(__xludf.DUMMYFUNCTION("""COMPUTED_VALUE"""),771.3)</f>
        <v>771.3</v>
      </c>
      <c r="F812" s="7">
        <f>IFERROR(__xludf.DUMMYFUNCTION("""COMPUTED_VALUE"""),9525701.0)</f>
        <v>9525701</v>
      </c>
      <c r="G812" s="7" t="str">
        <f>IFERROR(__xludf.DUMMYFUNCTION("""COMPUTED_VALUE"""),"ADANIENSOL.NS")</f>
        <v>ADANIENSOL.NS</v>
      </c>
      <c r="H812" s="8">
        <f t="shared" si="1"/>
        <v>0.09723308912</v>
      </c>
      <c r="I812" s="8">
        <f t="shared" si="2"/>
        <v>0.09723308912</v>
      </c>
      <c r="J812" s="7" t="str">
        <f t="shared" si="3"/>
        <v>Jan-2025</v>
      </c>
      <c r="K812" s="9">
        <f t="shared" si="4"/>
        <v>45658</v>
      </c>
      <c r="L812" s="7" t="str">
        <f t="shared" si="5"/>
        <v>PRICE_MOVE_5PCT+</v>
      </c>
      <c r="M812" s="7" t="str">
        <f>IFERROR(__xludf.DUMMYFUNCTION("IFERROR(
  IF(
    F812 &gt;
    3*AVERAGE(
       FILTER($F$2:$F10491,
         $G$2:$G10491=G812,
         $A$2:$A10491&gt;=A812-20,
         $A$2:$A10491&lt;=A812
       )
    ),
    ""VOL_SPIKE_3X"",""""
  ),
"""")
"),"VOL_SPIKE_3X")</f>
        <v>VOL_SPIKE_3X</v>
      </c>
      <c r="N812" s="7" t="str">
        <f t="shared" si="6"/>
        <v>PRICE_MOVE_5PCT+;VOL_SPIKE_3X</v>
      </c>
      <c r="O812" s="7" t="str">
        <f t="shared" si="7"/>
        <v/>
      </c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>
        <f>IFERROR(__xludf.DUMMYFUNCTION("""COMPUTED_VALUE"""),45671.0)</f>
        <v>45671</v>
      </c>
      <c r="B813" s="6">
        <f>IFERROR(__xludf.DUMMYFUNCTION("""COMPUTED_VALUE"""),898.05)</f>
        <v>898.05</v>
      </c>
      <c r="C813" s="6">
        <f>IFERROR(__xludf.DUMMYFUNCTION("""COMPUTED_VALUE"""),1018.4)</f>
        <v>1018.4</v>
      </c>
      <c r="D813" s="6">
        <f>IFERROR(__xludf.DUMMYFUNCTION("""COMPUTED_VALUE"""),897.5)</f>
        <v>897.5</v>
      </c>
      <c r="E813" s="6">
        <f>IFERROR(__xludf.DUMMYFUNCTION("""COMPUTED_VALUE"""),1006.85)</f>
        <v>1006.85</v>
      </c>
      <c r="F813" s="7">
        <f>IFERROR(__xludf.DUMMYFUNCTION("""COMPUTED_VALUE"""),1.719831E7)</f>
        <v>17198310</v>
      </c>
      <c r="G813" s="7" t="str">
        <f>IFERROR(__xludf.DUMMYFUNCTION("""COMPUTED_VALUE"""),"ADANIGREEN.NS")</f>
        <v>ADANIGREEN.NS</v>
      </c>
      <c r="H813" s="8">
        <f t="shared" si="1"/>
        <v>0.1211513836</v>
      </c>
      <c r="I813" s="8">
        <f t="shared" si="2"/>
        <v>0.1211513836</v>
      </c>
      <c r="J813" s="7" t="str">
        <f t="shared" si="3"/>
        <v>Jan-2025</v>
      </c>
      <c r="K813" s="9">
        <f t="shared" si="4"/>
        <v>45658</v>
      </c>
      <c r="L813" s="7" t="str">
        <f t="shared" si="5"/>
        <v>PRICE_MOVE_5PCT+</v>
      </c>
      <c r="M813" s="7" t="str">
        <f>IFERROR(__xludf.DUMMYFUNCTION("IFERROR(
  IF(
    F813 &gt;
    3*AVERAGE(
       FILTER($F$2:$F10491,
         $G$2:$G10491=G813,
         $A$2:$A10491&gt;=A813-20,
         $A$2:$A10491&lt;=A813
       )
    ),
    ""VOL_SPIKE_3X"",""""
  ),
"""")
"),"VOL_SPIKE_3X")</f>
        <v>VOL_SPIKE_3X</v>
      </c>
      <c r="N813" s="7" t="str">
        <f t="shared" si="6"/>
        <v>PRICE_MOVE_5PCT+;VOL_SPIKE_3X</v>
      </c>
      <c r="O813" s="7" t="str">
        <f t="shared" si="7"/>
        <v/>
      </c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>
        <f>IFERROR(__xludf.DUMMYFUNCTION("""COMPUTED_VALUE"""),45671.0)</f>
        <v>45671</v>
      </c>
      <c r="B814" s="6">
        <f>IFERROR(__xludf.DUMMYFUNCTION("""COMPUTED_VALUE"""),267.1)</f>
        <v>267.1</v>
      </c>
      <c r="C814" s="6">
        <f>IFERROR(__xludf.DUMMYFUNCTION("""COMPUTED_VALUE"""),271.5)</f>
        <v>271.5</v>
      </c>
      <c r="D814" s="6">
        <f>IFERROR(__xludf.DUMMYFUNCTION("""COMPUTED_VALUE"""),266.0)</f>
        <v>266</v>
      </c>
      <c r="E814" s="6">
        <f>IFERROR(__xludf.DUMMYFUNCTION("""COMPUTED_VALUE"""),270.2)</f>
        <v>270.2</v>
      </c>
      <c r="F814" s="7">
        <f>IFERROR(__xludf.DUMMYFUNCTION("""COMPUTED_VALUE"""),6710730.0)</f>
        <v>6710730</v>
      </c>
      <c r="G814" s="7" t="str">
        <f>IFERROR(__xludf.DUMMYFUNCTION("""COMPUTED_VALUE"""),"BPCL.NS")</f>
        <v>BPCL.NS</v>
      </c>
      <c r="H814" s="8">
        <f t="shared" si="1"/>
        <v>0.01160614002</v>
      </c>
      <c r="I814" s="8">
        <f t="shared" si="2"/>
        <v>0.01160614002</v>
      </c>
      <c r="J814" s="7" t="str">
        <f t="shared" si="3"/>
        <v>Jan-2025</v>
      </c>
      <c r="K814" s="9">
        <f t="shared" si="4"/>
        <v>45658</v>
      </c>
      <c r="L814" s="7" t="str">
        <f t="shared" si="5"/>
        <v/>
      </c>
      <c r="M814" s="7" t="str">
        <f>IFERROR(__xludf.DUMMYFUNCTION("IFERROR(
  IF(
    F814 &gt;
    3*AVERAGE(
       FILTER($F$2:$F10491,
         $G$2:$G10491=G814,
         $A$2:$A10491&gt;=A814-20,
         $A$2:$A10491&lt;=A814
       )
    ),
    ""VOL_SPIKE_3X"",""""
  ),
"""")
"),"")</f>
        <v/>
      </c>
      <c r="N814" s="7" t="str">
        <f t="shared" si="6"/>
        <v/>
      </c>
      <c r="O814" s="7" t="str">
        <f t="shared" si="7"/>
        <v/>
      </c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>
        <f>IFERROR(__xludf.DUMMYFUNCTION("""COMPUTED_VALUE"""),45671.0)</f>
        <v>45671</v>
      </c>
      <c r="B815" s="6">
        <f>IFERROR(__xludf.DUMMYFUNCTION("""COMPUTED_VALUE"""),365.0)</f>
        <v>365</v>
      </c>
      <c r="C815" s="6">
        <f>IFERROR(__xludf.DUMMYFUNCTION("""COMPUTED_VALUE"""),374.0)</f>
        <v>374</v>
      </c>
      <c r="D815" s="6">
        <f>IFERROR(__xludf.DUMMYFUNCTION("""COMPUTED_VALUE"""),363.0)</f>
        <v>363</v>
      </c>
      <c r="E815" s="6">
        <f>IFERROR(__xludf.DUMMYFUNCTION("""COMPUTED_VALUE"""),369.25)</f>
        <v>369.25</v>
      </c>
      <c r="F815" s="7">
        <f>IFERROR(__xludf.DUMMYFUNCTION("""COMPUTED_VALUE"""),5698113.0)</f>
        <v>5698113</v>
      </c>
      <c r="G815" s="7" t="str">
        <f>IFERROR(__xludf.DUMMYFUNCTION("""COMPUTED_VALUE"""),"COALINDIA.NS")</f>
        <v>COALINDIA.NS</v>
      </c>
      <c r="H815" s="8">
        <f t="shared" si="1"/>
        <v>0.01164383562</v>
      </c>
      <c r="I815" s="8">
        <f t="shared" si="2"/>
        <v>0.01164383562</v>
      </c>
      <c r="J815" s="7" t="str">
        <f t="shared" si="3"/>
        <v>Jan-2025</v>
      </c>
      <c r="K815" s="9">
        <f t="shared" si="4"/>
        <v>45658</v>
      </c>
      <c r="L815" s="7" t="str">
        <f t="shared" si="5"/>
        <v/>
      </c>
      <c r="M815" s="7" t="str">
        <f>IFERROR(__xludf.DUMMYFUNCTION("IFERROR(
  IF(
    F815 &gt;
    3*AVERAGE(
       FILTER($F$2:$F10491,
         $G$2:$G10491=G815,
         $A$2:$A10491&gt;=A815-20,
         $A$2:$A10491&lt;=A815
       )
    ),
    ""VOL_SPIKE_3X"",""""
  ),
"""")
"),"")</f>
        <v/>
      </c>
      <c r="N815" s="7" t="str">
        <f t="shared" si="6"/>
        <v/>
      </c>
      <c r="O815" s="7" t="str">
        <f t="shared" si="7"/>
        <v/>
      </c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>
        <f>IFERROR(__xludf.DUMMYFUNCTION("""COMPUTED_VALUE"""),45671.0)</f>
        <v>45671</v>
      </c>
      <c r="B816" s="6">
        <f>IFERROR(__xludf.DUMMYFUNCTION("""COMPUTED_VALUE"""),365.0)</f>
        <v>365</v>
      </c>
      <c r="C816" s="6">
        <f>IFERROR(__xludf.DUMMYFUNCTION("""COMPUTED_VALUE"""),375.95)</f>
        <v>375.95</v>
      </c>
      <c r="D816" s="6">
        <f>IFERROR(__xludf.DUMMYFUNCTION("""COMPUTED_VALUE"""),363.85)</f>
        <v>363.85</v>
      </c>
      <c r="E816" s="6">
        <f>IFERROR(__xludf.DUMMYFUNCTION("""COMPUTED_VALUE"""),373.25)</f>
        <v>373.25</v>
      </c>
      <c r="F816" s="7">
        <f>IFERROR(__xludf.DUMMYFUNCTION("""COMPUTED_VALUE"""),3392260.0)</f>
        <v>3392260</v>
      </c>
      <c r="G816" s="7" t="str">
        <f>IFERROR(__xludf.DUMMYFUNCTION("""COMPUTED_VALUE"""),"HINDPETRO.NS")</f>
        <v>HINDPETRO.NS</v>
      </c>
      <c r="H816" s="8">
        <f t="shared" si="1"/>
        <v>0.02260273973</v>
      </c>
      <c r="I816" s="8">
        <f t="shared" si="2"/>
        <v>0.02260273973</v>
      </c>
      <c r="J816" s="7" t="str">
        <f t="shared" si="3"/>
        <v>Jan-2025</v>
      </c>
      <c r="K816" s="9">
        <f t="shared" si="4"/>
        <v>45658</v>
      </c>
      <c r="L816" s="7" t="str">
        <f t="shared" si="5"/>
        <v/>
      </c>
      <c r="M816" s="7" t="str">
        <f>IFERROR(__xludf.DUMMYFUNCTION("IFERROR(
  IF(
    F816 &gt;
    3*AVERAGE(
       FILTER($F$2:$F10491,
         $G$2:$G10491=G816,
         $A$2:$A10491&gt;=A816-20,
         $A$2:$A10491&lt;=A816
       )
    ),
    ""VOL_SPIKE_3X"",""""
  ),
"""")
"),"")</f>
        <v/>
      </c>
      <c r="N816" s="7" t="str">
        <f t="shared" si="6"/>
        <v/>
      </c>
      <c r="O816" s="7" t="str">
        <f t="shared" si="7"/>
        <v/>
      </c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>
        <f>IFERROR(__xludf.DUMMYFUNCTION("""COMPUTED_VALUE"""),45671.0)</f>
        <v>45671</v>
      </c>
      <c r="B817" s="6">
        <f>IFERROR(__xludf.DUMMYFUNCTION("""COMPUTED_VALUE"""),123.0)</f>
        <v>123</v>
      </c>
      <c r="C817" s="6">
        <f>IFERROR(__xludf.DUMMYFUNCTION("""COMPUTED_VALUE"""),127.2)</f>
        <v>127.2</v>
      </c>
      <c r="D817" s="6">
        <f>IFERROR(__xludf.DUMMYFUNCTION("""COMPUTED_VALUE"""),122.72)</f>
        <v>122.72</v>
      </c>
      <c r="E817" s="6">
        <f>IFERROR(__xludf.DUMMYFUNCTION("""COMPUTED_VALUE"""),126.63)</f>
        <v>126.63</v>
      </c>
      <c r="F817" s="7">
        <f>IFERROR(__xludf.DUMMYFUNCTION("""COMPUTED_VALUE"""),1.7430438E7)</f>
        <v>17430438</v>
      </c>
      <c r="G817" s="7" t="str">
        <f>IFERROR(__xludf.DUMMYFUNCTION("""COMPUTED_VALUE"""),"IOC.NS")</f>
        <v>IOC.NS</v>
      </c>
      <c r="H817" s="8">
        <f t="shared" si="1"/>
        <v>0.02951219512</v>
      </c>
      <c r="I817" s="8">
        <f t="shared" si="2"/>
        <v>0.02951219512</v>
      </c>
      <c r="J817" s="7" t="str">
        <f t="shared" si="3"/>
        <v>Jan-2025</v>
      </c>
      <c r="K817" s="9">
        <f t="shared" si="4"/>
        <v>45658</v>
      </c>
      <c r="L817" s="7" t="str">
        <f t="shared" si="5"/>
        <v/>
      </c>
      <c r="M817" s="7" t="str">
        <f>IFERROR(__xludf.DUMMYFUNCTION("IFERROR(
  IF(
    F817 &gt;
    3*AVERAGE(
       FILTER($F$2:$F10491,
         $G$2:$G10491=G817,
         $A$2:$A10491&gt;=A817-20,
         $A$2:$A10491&lt;=A817
       )
    ),
    ""VOL_SPIKE_3X"",""""
  ),
"""")
"),"")</f>
        <v/>
      </c>
      <c r="N817" s="7" t="str">
        <f t="shared" si="6"/>
        <v/>
      </c>
      <c r="O817" s="7" t="str">
        <f t="shared" si="7"/>
        <v/>
      </c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>
        <f>IFERROR(__xludf.DUMMYFUNCTION("""COMPUTED_VALUE"""),45671.0)</f>
        <v>45671</v>
      </c>
      <c r="B818" s="6">
        <f>IFERROR(__xludf.DUMMYFUNCTION("""COMPUTED_VALUE"""),300.45)</f>
        <v>300.45</v>
      </c>
      <c r="C818" s="6">
        <f>IFERROR(__xludf.DUMMYFUNCTION("""COMPUTED_VALUE"""),312.7)</f>
        <v>312.7</v>
      </c>
      <c r="D818" s="6">
        <f>IFERROR(__xludf.DUMMYFUNCTION("""COMPUTED_VALUE"""),300.2)</f>
        <v>300.2</v>
      </c>
      <c r="E818" s="6">
        <f>IFERROR(__xludf.DUMMYFUNCTION("""COMPUTED_VALUE"""),310.4)</f>
        <v>310.4</v>
      </c>
      <c r="F818" s="7">
        <f>IFERROR(__xludf.DUMMYFUNCTION("""COMPUTED_VALUE"""),2.2732888E7)</f>
        <v>22732888</v>
      </c>
      <c r="G818" s="7" t="str">
        <f>IFERROR(__xludf.DUMMYFUNCTION("""COMPUTED_VALUE"""),"NTPC.NS")</f>
        <v>NTPC.NS</v>
      </c>
      <c r="H818" s="8">
        <f t="shared" si="1"/>
        <v>0.03311699118</v>
      </c>
      <c r="I818" s="8">
        <f t="shared" si="2"/>
        <v>0.03311699118</v>
      </c>
      <c r="J818" s="7" t="str">
        <f t="shared" si="3"/>
        <v>Jan-2025</v>
      </c>
      <c r="K818" s="9">
        <f t="shared" si="4"/>
        <v>45658</v>
      </c>
      <c r="L818" s="7" t="str">
        <f t="shared" si="5"/>
        <v/>
      </c>
      <c r="M818" s="7" t="str">
        <f>IFERROR(__xludf.DUMMYFUNCTION("IFERROR(
  IF(
    F818 &gt;
    3*AVERAGE(
       FILTER($F$2:$F10491,
         $G$2:$G10491=G818,
         $A$2:$A10491&gt;=A818-20,
         $A$2:$A10491&lt;=A818
       )
    ),
    ""VOL_SPIKE_3X"",""""
  ),
"""")
"),"")</f>
        <v/>
      </c>
      <c r="N818" s="7" t="str">
        <f t="shared" si="6"/>
        <v/>
      </c>
      <c r="O818" s="7" t="str">
        <f t="shared" si="7"/>
        <v/>
      </c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>
        <f>IFERROR(__xludf.DUMMYFUNCTION("""COMPUTED_VALUE"""),45671.0)</f>
        <v>45671</v>
      </c>
      <c r="B819" s="6">
        <f>IFERROR(__xludf.DUMMYFUNCTION("""COMPUTED_VALUE"""),257.52)</f>
        <v>257.52</v>
      </c>
      <c r="C819" s="6">
        <f>IFERROR(__xludf.DUMMYFUNCTION("""COMPUTED_VALUE"""),262.0)</f>
        <v>262</v>
      </c>
      <c r="D819" s="6">
        <f>IFERROR(__xludf.DUMMYFUNCTION("""COMPUTED_VALUE"""),256.82)</f>
        <v>256.82</v>
      </c>
      <c r="E819" s="6">
        <f>IFERROR(__xludf.DUMMYFUNCTION("""COMPUTED_VALUE"""),260.37)</f>
        <v>260.37</v>
      </c>
      <c r="F819" s="7">
        <f>IFERROR(__xludf.DUMMYFUNCTION("""COMPUTED_VALUE"""),8470150.0)</f>
        <v>8470150</v>
      </c>
      <c r="G819" s="7" t="str">
        <f>IFERROR(__xludf.DUMMYFUNCTION("""COMPUTED_VALUE"""),"ONGC.NS")</f>
        <v>ONGC.NS</v>
      </c>
      <c r="H819" s="8">
        <f t="shared" si="1"/>
        <v>0.01106710158</v>
      </c>
      <c r="I819" s="8">
        <f t="shared" si="2"/>
        <v>0.01106710158</v>
      </c>
      <c r="J819" s="7" t="str">
        <f t="shared" si="3"/>
        <v>Jan-2025</v>
      </c>
      <c r="K819" s="9">
        <f t="shared" si="4"/>
        <v>45658</v>
      </c>
      <c r="L819" s="7" t="str">
        <f t="shared" si="5"/>
        <v/>
      </c>
      <c r="M819" s="7" t="str">
        <f>IFERROR(__xludf.DUMMYFUNCTION("IFERROR(
  IF(
    F819 &gt;
    3*AVERAGE(
       FILTER($F$2:$F10491,
         $G$2:$G10491=G819,
         $A$2:$A10491&gt;=A819-20,
         $A$2:$A10491&lt;=A819
       )
    ),
    ""VOL_SPIKE_3X"",""""
  ),
"""")
"),"")</f>
        <v/>
      </c>
      <c r="N819" s="7" t="str">
        <f t="shared" si="6"/>
        <v/>
      </c>
      <c r="O819" s="7" t="str">
        <f t="shared" si="7"/>
        <v/>
      </c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>
        <f>IFERROR(__xludf.DUMMYFUNCTION("""COMPUTED_VALUE"""),45671.0)</f>
        <v>45671</v>
      </c>
      <c r="B820" s="6">
        <f>IFERROR(__xludf.DUMMYFUNCTION("""COMPUTED_VALUE"""),287.75)</f>
        <v>287.75</v>
      </c>
      <c r="C820" s="6">
        <f>IFERROR(__xludf.DUMMYFUNCTION("""COMPUTED_VALUE"""),293.05)</f>
        <v>293.05</v>
      </c>
      <c r="D820" s="6">
        <f>IFERROR(__xludf.DUMMYFUNCTION("""COMPUTED_VALUE"""),286.8)</f>
        <v>286.8</v>
      </c>
      <c r="E820" s="6">
        <f>IFERROR(__xludf.DUMMYFUNCTION("""COMPUTED_VALUE"""),290.25)</f>
        <v>290.25</v>
      </c>
      <c r="F820" s="7">
        <f>IFERROR(__xludf.DUMMYFUNCTION("""COMPUTED_VALUE"""),1.5954608E7)</f>
        <v>15954608</v>
      </c>
      <c r="G820" s="7" t="str">
        <f>IFERROR(__xludf.DUMMYFUNCTION("""COMPUTED_VALUE"""),"POWERGRID.NS")</f>
        <v>POWERGRID.NS</v>
      </c>
      <c r="H820" s="8">
        <f t="shared" si="1"/>
        <v>0.008688097307</v>
      </c>
      <c r="I820" s="8">
        <f t="shared" si="2"/>
        <v>0.008688097307</v>
      </c>
      <c r="J820" s="7" t="str">
        <f t="shared" si="3"/>
        <v>Jan-2025</v>
      </c>
      <c r="K820" s="9">
        <f t="shared" si="4"/>
        <v>45658</v>
      </c>
      <c r="L820" s="7" t="str">
        <f t="shared" si="5"/>
        <v/>
      </c>
      <c r="M820" s="7" t="str">
        <f>IFERROR(__xludf.DUMMYFUNCTION("IFERROR(
  IF(
    F820 &gt;
    3*AVERAGE(
       FILTER($F$2:$F10491,
         $G$2:$G10491=G820,
         $A$2:$A10491&gt;=A820-20,
         $A$2:$A10491&lt;=A820
       )
    ),
    ""VOL_SPIKE_3X"",""""
  ),
"""")
"),"")</f>
        <v/>
      </c>
      <c r="N820" s="7" t="str">
        <f t="shared" si="6"/>
        <v/>
      </c>
      <c r="O820" s="7" t="str">
        <f t="shared" si="7"/>
        <v/>
      </c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>
        <f>IFERROR(__xludf.DUMMYFUNCTION("""COMPUTED_VALUE"""),45671.0)</f>
        <v>45671</v>
      </c>
      <c r="B821" s="6">
        <f>IFERROR(__xludf.DUMMYFUNCTION("""COMPUTED_VALUE"""),1244.1)</f>
        <v>1244.1</v>
      </c>
      <c r="C821" s="6">
        <f>IFERROR(__xludf.DUMMYFUNCTION("""COMPUTED_VALUE"""),1253.35)</f>
        <v>1253.35</v>
      </c>
      <c r="D821" s="6">
        <f>IFERROR(__xludf.DUMMYFUNCTION("""COMPUTED_VALUE"""),1227.25)</f>
        <v>1227.25</v>
      </c>
      <c r="E821" s="6">
        <f>IFERROR(__xludf.DUMMYFUNCTION("""COMPUTED_VALUE"""),1238.75)</f>
        <v>1238.75</v>
      </c>
      <c r="F821" s="7">
        <f>IFERROR(__xludf.DUMMYFUNCTION("""COMPUTED_VALUE"""),1.3095266E7)</f>
        <v>13095266</v>
      </c>
      <c r="G821" s="7" t="str">
        <f>IFERROR(__xludf.DUMMYFUNCTION("""COMPUTED_VALUE"""),"RELIANCE.NS")</f>
        <v>RELIANCE.NS</v>
      </c>
      <c r="H821" s="8">
        <f t="shared" si="1"/>
        <v>-0.004300297404</v>
      </c>
      <c r="I821" s="8">
        <f t="shared" si="2"/>
        <v>0.004300297404</v>
      </c>
      <c r="J821" s="7" t="str">
        <f t="shared" si="3"/>
        <v>Jan-2025</v>
      </c>
      <c r="K821" s="9">
        <f t="shared" si="4"/>
        <v>45658</v>
      </c>
      <c r="L821" s="7" t="str">
        <f t="shared" si="5"/>
        <v/>
      </c>
      <c r="M821" s="7" t="str">
        <f>IFERROR(__xludf.DUMMYFUNCTION("IFERROR(
  IF(
    F821 &gt;
    3*AVERAGE(
       FILTER($F$2:$F10491,
         $G$2:$G10491=G821,
         $A$2:$A10491&gt;=A821-20,
         $A$2:$A10491&lt;=A821
       )
    ),
    ""VOL_SPIKE_3X"",""""
  ),
"""")
"),"")</f>
        <v/>
      </c>
      <c r="N821" s="7" t="str">
        <f t="shared" si="6"/>
        <v/>
      </c>
      <c r="O821" s="7" t="str">
        <f t="shared" si="7"/>
        <v/>
      </c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>
        <f>IFERROR(__xludf.DUMMYFUNCTION("""COMPUTED_VALUE"""),45672.0)</f>
        <v>45672</v>
      </c>
      <c r="B822" s="6">
        <f>IFERROR(__xludf.DUMMYFUNCTION("""COMPUTED_VALUE"""),783.65)</f>
        <v>783.65</v>
      </c>
      <c r="C822" s="6">
        <f>IFERROR(__xludf.DUMMYFUNCTION("""COMPUTED_VALUE"""),800.9)</f>
        <v>800.9</v>
      </c>
      <c r="D822" s="6">
        <f>IFERROR(__xludf.DUMMYFUNCTION("""COMPUTED_VALUE"""),773.5)</f>
        <v>773.5</v>
      </c>
      <c r="E822" s="6">
        <f>IFERROR(__xludf.DUMMYFUNCTION("""COMPUTED_VALUE"""),780.15)</f>
        <v>780.15</v>
      </c>
      <c r="F822" s="7">
        <f>IFERROR(__xludf.DUMMYFUNCTION("""COMPUTED_VALUE"""),3599461.0)</f>
        <v>3599461</v>
      </c>
      <c r="G822" s="7" t="str">
        <f>IFERROR(__xludf.DUMMYFUNCTION("""COMPUTED_VALUE"""),"ADANIENSOL.NS")</f>
        <v>ADANIENSOL.NS</v>
      </c>
      <c r="H822" s="8">
        <f t="shared" si="1"/>
        <v>-0.004466279589</v>
      </c>
      <c r="I822" s="8">
        <f t="shared" si="2"/>
        <v>0.004466279589</v>
      </c>
      <c r="J822" s="7" t="str">
        <f t="shared" si="3"/>
        <v>Jan-2025</v>
      </c>
      <c r="K822" s="9">
        <f t="shared" si="4"/>
        <v>45658</v>
      </c>
      <c r="L822" s="7" t="str">
        <f t="shared" si="5"/>
        <v/>
      </c>
      <c r="M822" s="7" t="str">
        <f>IFERROR(__xludf.DUMMYFUNCTION("IFERROR(
  IF(
    F822 &gt;
    3*AVERAGE(
       FILTER($F$2:$F10491,
         $G$2:$G10491=G822,
         $A$2:$A10491&gt;=A822-20,
         $A$2:$A10491&lt;=A822
       )
    ),
    ""VOL_SPIKE_3X"",""""
  ),
"""")
"),"")</f>
        <v/>
      </c>
      <c r="N822" s="7" t="str">
        <f t="shared" si="6"/>
        <v/>
      </c>
      <c r="O822" s="7" t="str">
        <f t="shared" si="7"/>
        <v/>
      </c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>
        <f>IFERROR(__xludf.DUMMYFUNCTION("""COMPUTED_VALUE"""),45672.0)</f>
        <v>45672</v>
      </c>
      <c r="B823" s="6">
        <f>IFERROR(__xludf.DUMMYFUNCTION("""COMPUTED_VALUE"""),1040.0)</f>
        <v>1040</v>
      </c>
      <c r="C823" s="6">
        <f>IFERROR(__xludf.DUMMYFUNCTION("""COMPUTED_VALUE"""),1080.0)</f>
        <v>1080</v>
      </c>
      <c r="D823" s="6">
        <f>IFERROR(__xludf.DUMMYFUNCTION("""COMPUTED_VALUE"""),1023.5)</f>
        <v>1023.5</v>
      </c>
      <c r="E823" s="6">
        <f>IFERROR(__xludf.DUMMYFUNCTION("""COMPUTED_VALUE"""),1035.05)</f>
        <v>1035.05</v>
      </c>
      <c r="F823" s="7">
        <f>IFERROR(__xludf.DUMMYFUNCTION("""COMPUTED_VALUE"""),1.3279463E7)</f>
        <v>13279463</v>
      </c>
      <c r="G823" s="7" t="str">
        <f>IFERROR(__xludf.DUMMYFUNCTION("""COMPUTED_VALUE"""),"ADANIGREEN.NS")</f>
        <v>ADANIGREEN.NS</v>
      </c>
      <c r="H823" s="8">
        <f t="shared" si="1"/>
        <v>-0.004759615385</v>
      </c>
      <c r="I823" s="8">
        <f t="shared" si="2"/>
        <v>0.004759615385</v>
      </c>
      <c r="J823" s="7" t="str">
        <f t="shared" si="3"/>
        <v>Jan-2025</v>
      </c>
      <c r="K823" s="9">
        <f t="shared" si="4"/>
        <v>45658</v>
      </c>
      <c r="L823" s="7" t="str">
        <f t="shared" si="5"/>
        <v/>
      </c>
      <c r="M823" s="7" t="str">
        <f>IFERROR(__xludf.DUMMYFUNCTION("IFERROR(
  IF(
    F823 &gt;
    3*AVERAGE(
       FILTER($F$2:$F10491,
         $G$2:$G10491=G823,
         $A$2:$A10491&gt;=A823-20,
         $A$2:$A10491&lt;=A823
       )
    ),
    ""VOL_SPIKE_3X"",""""
  ),
"""")
"),"")</f>
        <v/>
      </c>
      <c r="N823" s="7" t="str">
        <f t="shared" si="6"/>
        <v/>
      </c>
      <c r="O823" s="7" t="str">
        <f t="shared" si="7"/>
        <v/>
      </c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>
        <f>IFERROR(__xludf.DUMMYFUNCTION("""COMPUTED_VALUE"""),45672.0)</f>
        <v>45672</v>
      </c>
      <c r="B824" s="6">
        <f>IFERROR(__xludf.DUMMYFUNCTION("""COMPUTED_VALUE"""),273.9)</f>
        <v>273.9</v>
      </c>
      <c r="C824" s="6">
        <f>IFERROR(__xludf.DUMMYFUNCTION("""COMPUTED_VALUE"""),275.9)</f>
        <v>275.9</v>
      </c>
      <c r="D824" s="6">
        <f>IFERROR(__xludf.DUMMYFUNCTION("""COMPUTED_VALUE"""),265.25)</f>
        <v>265.25</v>
      </c>
      <c r="E824" s="6">
        <f>IFERROR(__xludf.DUMMYFUNCTION("""COMPUTED_VALUE"""),267.0)</f>
        <v>267</v>
      </c>
      <c r="F824" s="7">
        <f>IFERROR(__xludf.DUMMYFUNCTION("""COMPUTED_VALUE"""),1.3448052E7)</f>
        <v>13448052</v>
      </c>
      <c r="G824" s="7" t="str">
        <f>IFERROR(__xludf.DUMMYFUNCTION("""COMPUTED_VALUE"""),"BPCL.NS")</f>
        <v>BPCL.NS</v>
      </c>
      <c r="H824" s="8">
        <f t="shared" si="1"/>
        <v>-0.02519167579</v>
      </c>
      <c r="I824" s="8">
        <f t="shared" si="2"/>
        <v>0.02519167579</v>
      </c>
      <c r="J824" s="7" t="str">
        <f t="shared" si="3"/>
        <v>Jan-2025</v>
      </c>
      <c r="K824" s="9">
        <f t="shared" si="4"/>
        <v>45658</v>
      </c>
      <c r="L824" s="7" t="str">
        <f t="shared" si="5"/>
        <v/>
      </c>
      <c r="M824" s="7" t="str">
        <f>IFERROR(__xludf.DUMMYFUNCTION("IFERROR(
  IF(
    F824 &gt;
    3*AVERAGE(
       FILTER($F$2:$F10491,
         $G$2:$G10491=G824,
         $A$2:$A10491&gt;=A824-20,
         $A$2:$A10491&lt;=A824
       )
    ),
    ""VOL_SPIKE_3X"",""""
  ),
"""")
"),"")</f>
        <v/>
      </c>
      <c r="N824" s="7" t="str">
        <f t="shared" si="6"/>
        <v/>
      </c>
      <c r="O824" s="7" t="str">
        <f t="shared" si="7"/>
        <v/>
      </c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>
        <f>IFERROR(__xludf.DUMMYFUNCTION("""COMPUTED_VALUE"""),45672.0)</f>
        <v>45672</v>
      </c>
      <c r="B825" s="6">
        <f>IFERROR(__xludf.DUMMYFUNCTION("""COMPUTED_VALUE"""),371.9)</f>
        <v>371.9</v>
      </c>
      <c r="C825" s="6">
        <f>IFERROR(__xludf.DUMMYFUNCTION("""COMPUTED_VALUE"""),381.45)</f>
        <v>381.45</v>
      </c>
      <c r="D825" s="6">
        <f>IFERROR(__xludf.DUMMYFUNCTION("""COMPUTED_VALUE"""),369.3)</f>
        <v>369.3</v>
      </c>
      <c r="E825" s="6">
        <f>IFERROR(__xludf.DUMMYFUNCTION("""COMPUTED_VALUE"""),374.6)</f>
        <v>374.6</v>
      </c>
      <c r="F825" s="7">
        <f>IFERROR(__xludf.DUMMYFUNCTION("""COMPUTED_VALUE"""),1.1117714E7)</f>
        <v>11117714</v>
      </c>
      <c r="G825" s="7" t="str">
        <f>IFERROR(__xludf.DUMMYFUNCTION("""COMPUTED_VALUE"""),"COALINDIA.NS")</f>
        <v>COALINDIA.NS</v>
      </c>
      <c r="H825" s="8">
        <f t="shared" si="1"/>
        <v>0.007260016133</v>
      </c>
      <c r="I825" s="8">
        <f t="shared" si="2"/>
        <v>0.007260016133</v>
      </c>
      <c r="J825" s="7" t="str">
        <f t="shared" si="3"/>
        <v>Jan-2025</v>
      </c>
      <c r="K825" s="9">
        <f t="shared" si="4"/>
        <v>45658</v>
      </c>
      <c r="L825" s="7" t="str">
        <f t="shared" si="5"/>
        <v/>
      </c>
      <c r="M825" s="7" t="str">
        <f>IFERROR(__xludf.DUMMYFUNCTION("IFERROR(
  IF(
    F825 &gt;
    3*AVERAGE(
       FILTER($F$2:$F10491,
         $G$2:$G10491=G825,
         $A$2:$A10491&gt;=A825-20,
         $A$2:$A10491&lt;=A825
       )
    ),
    ""VOL_SPIKE_3X"",""""
  ),
"""")
"),"")</f>
        <v/>
      </c>
      <c r="N825" s="7" t="str">
        <f t="shared" si="6"/>
        <v/>
      </c>
      <c r="O825" s="7" t="str">
        <f t="shared" si="7"/>
        <v/>
      </c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>
        <f>IFERROR(__xludf.DUMMYFUNCTION("""COMPUTED_VALUE"""),45672.0)</f>
        <v>45672</v>
      </c>
      <c r="B826" s="6">
        <f>IFERROR(__xludf.DUMMYFUNCTION("""COMPUTED_VALUE"""),377.5)</f>
        <v>377.5</v>
      </c>
      <c r="C826" s="6">
        <f>IFERROR(__xludf.DUMMYFUNCTION("""COMPUTED_VALUE"""),379.45)</f>
        <v>379.45</v>
      </c>
      <c r="D826" s="6">
        <f>IFERROR(__xludf.DUMMYFUNCTION("""COMPUTED_VALUE"""),360.6)</f>
        <v>360.6</v>
      </c>
      <c r="E826" s="6">
        <f>IFERROR(__xludf.DUMMYFUNCTION("""COMPUTED_VALUE"""),363.25)</f>
        <v>363.25</v>
      </c>
      <c r="F826" s="7">
        <f>IFERROR(__xludf.DUMMYFUNCTION("""COMPUTED_VALUE"""),4162695.0)</f>
        <v>4162695</v>
      </c>
      <c r="G826" s="7" t="str">
        <f>IFERROR(__xludf.DUMMYFUNCTION("""COMPUTED_VALUE"""),"HINDPETRO.NS")</f>
        <v>HINDPETRO.NS</v>
      </c>
      <c r="H826" s="8">
        <f t="shared" si="1"/>
        <v>-0.03774834437</v>
      </c>
      <c r="I826" s="8">
        <f t="shared" si="2"/>
        <v>0.03774834437</v>
      </c>
      <c r="J826" s="7" t="str">
        <f t="shared" si="3"/>
        <v>Jan-2025</v>
      </c>
      <c r="K826" s="9">
        <f t="shared" si="4"/>
        <v>45658</v>
      </c>
      <c r="L826" s="7" t="str">
        <f t="shared" si="5"/>
        <v/>
      </c>
      <c r="M826" s="7" t="str">
        <f>IFERROR(__xludf.DUMMYFUNCTION("IFERROR(
  IF(
    F826 &gt;
    3*AVERAGE(
       FILTER($F$2:$F10491,
         $G$2:$G10491=G826,
         $A$2:$A10491&gt;=A826-20,
         $A$2:$A10491&lt;=A826
       )
    ),
    ""VOL_SPIKE_3X"",""""
  ),
"""")
"),"")</f>
        <v/>
      </c>
      <c r="N826" s="7" t="str">
        <f t="shared" si="6"/>
        <v/>
      </c>
      <c r="O826" s="7" t="str">
        <f t="shared" si="7"/>
        <v/>
      </c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>
        <f>IFERROR(__xludf.DUMMYFUNCTION("""COMPUTED_VALUE"""),45672.0)</f>
        <v>45672</v>
      </c>
      <c r="B827" s="6">
        <f>IFERROR(__xludf.DUMMYFUNCTION("""COMPUTED_VALUE"""),128.26)</f>
        <v>128.26</v>
      </c>
      <c r="C827" s="6">
        <f>IFERROR(__xludf.DUMMYFUNCTION("""COMPUTED_VALUE"""),128.87)</f>
        <v>128.87</v>
      </c>
      <c r="D827" s="6">
        <f>IFERROR(__xludf.DUMMYFUNCTION("""COMPUTED_VALUE"""),126.22)</f>
        <v>126.22</v>
      </c>
      <c r="E827" s="6">
        <f>IFERROR(__xludf.DUMMYFUNCTION("""COMPUTED_VALUE"""),126.95)</f>
        <v>126.95</v>
      </c>
      <c r="F827" s="7">
        <f>IFERROR(__xludf.DUMMYFUNCTION("""COMPUTED_VALUE"""),1.1472116E7)</f>
        <v>11472116</v>
      </c>
      <c r="G827" s="7" t="str">
        <f>IFERROR(__xludf.DUMMYFUNCTION("""COMPUTED_VALUE"""),"IOC.NS")</f>
        <v>IOC.NS</v>
      </c>
      <c r="H827" s="8">
        <f t="shared" si="1"/>
        <v>-0.01021362857</v>
      </c>
      <c r="I827" s="8">
        <f t="shared" si="2"/>
        <v>0.01021362857</v>
      </c>
      <c r="J827" s="7" t="str">
        <f t="shared" si="3"/>
        <v>Jan-2025</v>
      </c>
      <c r="K827" s="9">
        <f t="shared" si="4"/>
        <v>45658</v>
      </c>
      <c r="L827" s="7" t="str">
        <f t="shared" si="5"/>
        <v/>
      </c>
      <c r="M827" s="7" t="str">
        <f>IFERROR(__xludf.DUMMYFUNCTION("IFERROR(
  IF(
    F827 &gt;
    3*AVERAGE(
       FILTER($F$2:$F10491,
         $G$2:$G10491=G827,
         $A$2:$A10491&gt;=A827-20,
         $A$2:$A10491&lt;=A827
       )
    ),
    ""VOL_SPIKE_3X"",""""
  ),
"""")
"),"")</f>
        <v/>
      </c>
      <c r="N827" s="7" t="str">
        <f t="shared" si="6"/>
        <v/>
      </c>
      <c r="O827" s="7" t="str">
        <f t="shared" si="7"/>
        <v/>
      </c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>
        <f>IFERROR(__xludf.DUMMYFUNCTION("""COMPUTED_VALUE"""),45672.0)</f>
        <v>45672</v>
      </c>
      <c r="B828" s="6">
        <f>IFERROR(__xludf.DUMMYFUNCTION("""COMPUTED_VALUE"""),312.55)</f>
        <v>312.55</v>
      </c>
      <c r="C828" s="6">
        <f>IFERROR(__xludf.DUMMYFUNCTION("""COMPUTED_VALUE"""),324.3)</f>
        <v>324.3</v>
      </c>
      <c r="D828" s="6">
        <f>IFERROR(__xludf.DUMMYFUNCTION("""COMPUTED_VALUE"""),312.55)</f>
        <v>312.55</v>
      </c>
      <c r="E828" s="6">
        <f>IFERROR(__xludf.DUMMYFUNCTION("""COMPUTED_VALUE"""),321.35)</f>
        <v>321.35</v>
      </c>
      <c r="F828" s="7">
        <f>IFERROR(__xludf.DUMMYFUNCTION("""COMPUTED_VALUE"""),2.1894626E7)</f>
        <v>21894626</v>
      </c>
      <c r="G828" s="7" t="str">
        <f>IFERROR(__xludf.DUMMYFUNCTION("""COMPUTED_VALUE"""),"NTPC.NS")</f>
        <v>NTPC.NS</v>
      </c>
      <c r="H828" s="8">
        <f t="shared" si="1"/>
        <v>0.02815549512</v>
      </c>
      <c r="I828" s="8">
        <f t="shared" si="2"/>
        <v>0.02815549512</v>
      </c>
      <c r="J828" s="7" t="str">
        <f t="shared" si="3"/>
        <v>Jan-2025</v>
      </c>
      <c r="K828" s="9">
        <f t="shared" si="4"/>
        <v>45658</v>
      </c>
      <c r="L828" s="7" t="str">
        <f t="shared" si="5"/>
        <v/>
      </c>
      <c r="M828" s="7" t="str">
        <f>IFERROR(__xludf.DUMMYFUNCTION("IFERROR(
  IF(
    F828 &gt;
    3*AVERAGE(
       FILTER($F$2:$F10491,
         $G$2:$G10491=G828,
         $A$2:$A10491&gt;=A828-20,
         $A$2:$A10491&lt;=A828
       )
    ),
    ""VOL_SPIKE_3X"",""""
  ),
"""")
"),"")</f>
        <v/>
      </c>
      <c r="N828" s="7" t="str">
        <f t="shared" si="6"/>
        <v/>
      </c>
      <c r="O828" s="7" t="str">
        <f t="shared" si="7"/>
        <v/>
      </c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>
        <f>IFERROR(__xludf.DUMMYFUNCTION("""COMPUTED_VALUE"""),45672.0)</f>
        <v>45672</v>
      </c>
      <c r="B829" s="6">
        <f>IFERROR(__xludf.DUMMYFUNCTION("""COMPUTED_VALUE"""),260.9)</f>
        <v>260.9</v>
      </c>
      <c r="C829" s="6">
        <f>IFERROR(__xludf.DUMMYFUNCTION("""COMPUTED_VALUE"""),264.47)</f>
        <v>264.47</v>
      </c>
      <c r="D829" s="6">
        <f>IFERROR(__xludf.DUMMYFUNCTION("""COMPUTED_VALUE"""),257.69)</f>
        <v>257.69</v>
      </c>
      <c r="E829" s="6">
        <f>IFERROR(__xludf.DUMMYFUNCTION("""COMPUTED_VALUE"""),258.18)</f>
        <v>258.18</v>
      </c>
      <c r="F829" s="7">
        <f>IFERROR(__xludf.DUMMYFUNCTION("""COMPUTED_VALUE"""),9344731.0)</f>
        <v>9344731</v>
      </c>
      <c r="G829" s="7" t="str">
        <f>IFERROR(__xludf.DUMMYFUNCTION("""COMPUTED_VALUE"""),"ONGC.NS")</f>
        <v>ONGC.NS</v>
      </c>
      <c r="H829" s="8">
        <f t="shared" si="1"/>
        <v>-0.01042545036</v>
      </c>
      <c r="I829" s="8">
        <f t="shared" si="2"/>
        <v>0.01042545036</v>
      </c>
      <c r="J829" s="7" t="str">
        <f t="shared" si="3"/>
        <v>Jan-2025</v>
      </c>
      <c r="K829" s="9">
        <f t="shared" si="4"/>
        <v>45658</v>
      </c>
      <c r="L829" s="7" t="str">
        <f t="shared" si="5"/>
        <v/>
      </c>
      <c r="M829" s="7" t="str">
        <f>IFERROR(__xludf.DUMMYFUNCTION("IFERROR(
  IF(
    F829 &gt;
    3*AVERAGE(
       FILTER($F$2:$F10491,
         $G$2:$G10491=G829,
         $A$2:$A10491&gt;=A829-20,
         $A$2:$A10491&lt;=A829
       )
    ),
    ""VOL_SPIKE_3X"",""""
  ),
"""")
"),"")</f>
        <v/>
      </c>
      <c r="N829" s="7" t="str">
        <f t="shared" si="6"/>
        <v/>
      </c>
      <c r="O829" s="7" t="str">
        <f t="shared" si="7"/>
        <v/>
      </c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>
        <f>IFERROR(__xludf.DUMMYFUNCTION("""COMPUTED_VALUE"""),45672.0)</f>
        <v>45672</v>
      </c>
      <c r="B830" s="6">
        <f>IFERROR(__xludf.DUMMYFUNCTION("""COMPUTED_VALUE"""),295.0)</f>
        <v>295</v>
      </c>
      <c r="C830" s="6">
        <f>IFERROR(__xludf.DUMMYFUNCTION("""COMPUTED_VALUE"""),302.5)</f>
        <v>302.5</v>
      </c>
      <c r="D830" s="6">
        <f>IFERROR(__xludf.DUMMYFUNCTION("""COMPUTED_VALUE"""),291.1)</f>
        <v>291.1</v>
      </c>
      <c r="E830" s="6">
        <f>IFERROR(__xludf.DUMMYFUNCTION("""COMPUTED_VALUE"""),298.65)</f>
        <v>298.65</v>
      </c>
      <c r="F830" s="7">
        <f>IFERROR(__xludf.DUMMYFUNCTION("""COMPUTED_VALUE"""),1.2198882E7)</f>
        <v>12198882</v>
      </c>
      <c r="G830" s="7" t="str">
        <f>IFERROR(__xludf.DUMMYFUNCTION("""COMPUTED_VALUE"""),"POWERGRID.NS")</f>
        <v>POWERGRID.NS</v>
      </c>
      <c r="H830" s="8">
        <f t="shared" si="1"/>
        <v>0.01237288136</v>
      </c>
      <c r="I830" s="8">
        <f t="shared" si="2"/>
        <v>0.01237288136</v>
      </c>
      <c r="J830" s="7" t="str">
        <f t="shared" si="3"/>
        <v>Jan-2025</v>
      </c>
      <c r="K830" s="9">
        <f t="shared" si="4"/>
        <v>45658</v>
      </c>
      <c r="L830" s="7" t="str">
        <f t="shared" si="5"/>
        <v/>
      </c>
      <c r="M830" s="7" t="str">
        <f>IFERROR(__xludf.DUMMYFUNCTION("IFERROR(
  IF(
    F830 &gt;
    3*AVERAGE(
       FILTER($F$2:$F10491,
         $G$2:$G10491=G830,
         $A$2:$A10491&gt;=A830-20,
         $A$2:$A10491&lt;=A830
       )
    ),
    ""VOL_SPIKE_3X"",""""
  ),
"""")
"),"")</f>
        <v/>
      </c>
      <c r="N830" s="7" t="str">
        <f t="shared" si="6"/>
        <v/>
      </c>
      <c r="O830" s="7" t="str">
        <f t="shared" si="7"/>
        <v/>
      </c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>
        <f>IFERROR(__xludf.DUMMYFUNCTION("""COMPUTED_VALUE"""),45672.0)</f>
        <v>45672</v>
      </c>
      <c r="B831" s="6">
        <f>IFERROR(__xludf.DUMMYFUNCTION("""COMPUTED_VALUE"""),1244.95)</f>
        <v>1244.95</v>
      </c>
      <c r="C831" s="6">
        <f>IFERROR(__xludf.DUMMYFUNCTION("""COMPUTED_VALUE"""),1257.0)</f>
        <v>1257</v>
      </c>
      <c r="D831" s="6">
        <f>IFERROR(__xludf.DUMMYFUNCTION("""COMPUTED_VALUE"""),1241.85)</f>
        <v>1241.85</v>
      </c>
      <c r="E831" s="6">
        <f>IFERROR(__xludf.DUMMYFUNCTION("""COMPUTED_VALUE"""),1252.2)</f>
        <v>1252.2</v>
      </c>
      <c r="F831" s="7">
        <f>IFERROR(__xludf.DUMMYFUNCTION("""COMPUTED_VALUE"""),9578856.0)</f>
        <v>9578856</v>
      </c>
      <c r="G831" s="7" t="str">
        <f>IFERROR(__xludf.DUMMYFUNCTION("""COMPUTED_VALUE"""),"RELIANCE.NS")</f>
        <v>RELIANCE.NS</v>
      </c>
      <c r="H831" s="8">
        <f t="shared" si="1"/>
        <v>0.005823527049</v>
      </c>
      <c r="I831" s="8">
        <f t="shared" si="2"/>
        <v>0.005823527049</v>
      </c>
      <c r="J831" s="7" t="str">
        <f t="shared" si="3"/>
        <v>Jan-2025</v>
      </c>
      <c r="K831" s="9">
        <f t="shared" si="4"/>
        <v>45658</v>
      </c>
      <c r="L831" s="7" t="str">
        <f t="shared" si="5"/>
        <v/>
      </c>
      <c r="M831" s="7" t="str">
        <f>IFERROR(__xludf.DUMMYFUNCTION("IFERROR(
  IF(
    F831 &gt;
    3*AVERAGE(
       FILTER($F$2:$F10491,
         $G$2:$G10491=G831,
         $A$2:$A10491&gt;=A831-20,
         $A$2:$A10491&lt;=A831
       )
    ),
    ""VOL_SPIKE_3X"",""""
  ),
"""")
"),"")</f>
        <v/>
      </c>
      <c r="N831" s="7" t="str">
        <f t="shared" si="6"/>
        <v/>
      </c>
      <c r="O831" s="7" t="str">
        <f t="shared" si="7"/>
        <v/>
      </c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>
        <f>IFERROR(__xludf.DUMMYFUNCTION("""COMPUTED_VALUE"""),45673.0)</f>
        <v>45673</v>
      </c>
      <c r="B832" s="6">
        <f>IFERROR(__xludf.DUMMYFUNCTION("""COMPUTED_VALUE"""),817.95)</f>
        <v>817.95</v>
      </c>
      <c r="C832" s="6">
        <f>IFERROR(__xludf.DUMMYFUNCTION("""COMPUTED_VALUE"""),833.15)</f>
        <v>833.15</v>
      </c>
      <c r="D832" s="6">
        <f>IFERROR(__xludf.DUMMYFUNCTION("""COMPUTED_VALUE"""),786.55)</f>
        <v>786.55</v>
      </c>
      <c r="E832" s="6">
        <f>IFERROR(__xludf.DUMMYFUNCTION("""COMPUTED_VALUE"""),792.5)</f>
        <v>792.5</v>
      </c>
      <c r="F832" s="7">
        <f>IFERROR(__xludf.DUMMYFUNCTION("""COMPUTED_VALUE"""),2448865.0)</f>
        <v>2448865</v>
      </c>
      <c r="G832" s="7" t="str">
        <f>IFERROR(__xludf.DUMMYFUNCTION("""COMPUTED_VALUE"""),"ADANIENSOL.NS")</f>
        <v>ADANIENSOL.NS</v>
      </c>
      <c r="H832" s="8">
        <f t="shared" si="1"/>
        <v>-0.03111437129</v>
      </c>
      <c r="I832" s="8">
        <f t="shared" si="2"/>
        <v>0.03111437129</v>
      </c>
      <c r="J832" s="7" t="str">
        <f t="shared" si="3"/>
        <v>Jan-2025</v>
      </c>
      <c r="K832" s="9">
        <f t="shared" si="4"/>
        <v>45658</v>
      </c>
      <c r="L832" s="7" t="str">
        <f t="shared" si="5"/>
        <v/>
      </c>
      <c r="M832" s="7" t="str">
        <f>IFERROR(__xludf.DUMMYFUNCTION("IFERROR(
  IF(
    F832 &gt;
    3*AVERAGE(
       FILTER($F$2:$F10491,
         $G$2:$G10491=G832,
         $A$2:$A10491&gt;=A832-20,
         $A$2:$A10491&lt;=A832
       )
    ),
    ""VOL_SPIKE_3X"",""""
  ),
"""")
"),"")</f>
        <v/>
      </c>
      <c r="N832" s="7" t="str">
        <f t="shared" si="6"/>
        <v/>
      </c>
      <c r="O832" s="7" t="str">
        <f t="shared" si="7"/>
        <v/>
      </c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>
        <f>IFERROR(__xludf.DUMMYFUNCTION("""COMPUTED_VALUE"""),45673.0)</f>
        <v>45673</v>
      </c>
      <c r="B833" s="6">
        <f>IFERROR(__xludf.DUMMYFUNCTION("""COMPUTED_VALUE"""),1107.05)</f>
        <v>1107.05</v>
      </c>
      <c r="C833" s="6">
        <f>IFERROR(__xludf.DUMMYFUNCTION("""COMPUTED_VALUE"""),1127.0)</f>
        <v>1127</v>
      </c>
      <c r="D833" s="6">
        <f>IFERROR(__xludf.DUMMYFUNCTION("""COMPUTED_VALUE"""),1063.4)</f>
        <v>1063.4</v>
      </c>
      <c r="E833" s="6">
        <f>IFERROR(__xludf.DUMMYFUNCTION("""COMPUTED_VALUE"""),1070.25)</f>
        <v>1070.25</v>
      </c>
      <c r="F833" s="7">
        <f>IFERROR(__xludf.DUMMYFUNCTION("""COMPUTED_VALUE"""),7083726.0)</f>
        <v>7083726</v>
      </c>
      <c r="G833" s="7" t="str">
        <f>IFERROR(__xludf.DUMMYFUNCTION("""COMPUTED_VALUE"""),"ADANIGREEN.NS")</f>
        <v>ADANIGREEN.NS</v>
      </c>
      <c r="H833" s="8">
        <f t="shared" si="1"/>
        <v>-0.03324149767</v>
      </c>
      <c r="I833" s="8">
        <f t="shared" si="2"/>
        <v>0.03324149767</v>
      </c>
      <c r="J833" s="7" t="str">
        <f t="shared" si="3"/>
        <v>Jan-2025</v>
      </c>
      <c r="K833" s="9">
        <f t="shared" si="4"/>
        <v>45658</v>
      </c>
      <c r="L833" s="7" t="str">
        <f t="shared" si="5"/>
        <v/>
      </c>
      <c r="M833" s="7" t="str">
        <f>IFERROR(__xludf.DUMMYFUNCTION("IFERROR(
  IF(
    F833 &gt;
    3*AVERAGE(
       FILTER($F$2:$F10491,
         $G$2:$G10491=G833,
         $A$2:$A10491&gt;=A833-20,
         $A$2:$A10491&lt;=A833
       )
    ),
    ""VOL_SPIKE_3X"",""""
  ),
"""")
"),"")</f>
        <v/>
      </c>
      <c r="N833" s="7" t="str">
        <f t="shared" si="6"/>
        <v/>
      </c>
      <c r="O833" s="7" t="str">
        <f t="shared" si="7"/>
        <v/>
      </c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>
        <f>IFERROR(__xludf.DUMMYFUNCTION("""COMPUTED_VALUE"""),45673.0)</f>
        <v>45673</v>
      </c>
      <c r="B834" s="6">
        <f>IFERROR(__xludf.DUMMYFUNCTION("""COMPUTED_VALUE"""),267.35)</f>
        <v>267.35</v>
      </c>
      <c r="C834" s="6">
        <f>IFERROR(__xludf.DUMMYFUNCTION("""COMPUTED_VALUE"""),268.95)</f>
        <v>268.95</v>
      </c>
      <c r="D834" s="6">
        <f>IFERROR(__xludf.DUMMYFUNCTION("""COMPUTED_VALUE"""),263.5)</f>
        <v>263.5</v>
      </c>
      <c r="E834" s="6">
        <f>IFERROR(__xludf.DUMMYFUNCTION("""COMPUTED_VALUE"""),266.9)</f>
        <v>266.9</v>
      </c>
      <c r="F834" s="7">
        <f>IFERROR(__xludf.DUMMYFUNCTION("""COMPUTED_VALUE"""),1.3754046E7)</f>
        <v>13754046</v>
      </c>
      <c r="G834" s="7" t="str">
        <f>IFERROR(__xludf.DUMMYFUNCTION("""COMPUTED_VALUE"""),"BPCL.NS")</f>
        <v>BPCL.NS</v>
      </c>
      <c r="H834" s="8">
        <f t="shared" si="1"/>
        <v>-0.001683186834</v>
      </c>
      <c r="I834" s="8">
        <f t="shared" si="2"/>
        <v>0.001683186834</v>
      </c>
      <c r="J834" s="7" t="str">
        <f t="shared" si="3"/>
        <v>Jan-2025</v>
      </c>
      <c r="K834" s="9">
        <f t="shared" si="4"/>
        <v>45658</v>
      </c>
      <c r="L834" s="7" t="str">
        <f t="shared" si="5"/>
        <v/>
      </c>
      <c r="M834" s="7" t="str">
        <f>IFERROR(__xludf.DUMMYFUNCTION("IFERROR(
  IF(
    F834 &gt;
    3*AVERAGE(
       FILTER($F$2:$F10491,
         $G$2:$G10491=G834,
         $A$2:$A10491&gt;=A834-20,
         $A$2:$A10491&lt;=A834
       )
    ),
    ""VOL_SPIKE_3X"",""""
  ),
"""")
"),"")</f>
        <v/>
      </c>
      <c r="N834" s="7" t="str">
        <f t="shared" si="6"/>
        <v/>
      </c>
      <c r="O834" s="7" t="str">
        <f t="shared" si="7"/>
        <v/>
      </c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>
        <f>IFERROR(__xludf.DUMMYFUNCTION("""COMPUTED_VALUE"""),45673.0)</f>
        <v>45673</v>
      </c>
      <c r="B835" s="6">
        <f>IFERROR(__xludf.DUMMYFUNCTION("""COMPUTED_VALUE"""),378.45)</f>
        <v>378.45</v>
      </c>
      <c r="C835" s="6">
        <f>IFERROR(__xludf.DUMMYFUNCTION("""COMPUTED_VALUE"""),381.5)</f>
        <v>381.5</v>
      </c>
      <c r="D835" s="6">
        <f>IFERROR(__xludf.DUMMYFUNCTION("""COMPUTED_VALUE"""),374.8)</f>
        <v>374.8</v>
      </c>
      <c r="E835" s="6">
        <f>IFERROR(__xludf.DUMMYFUNCTION("""COMPUTED_VALUE"""),378.85)</f>
        <v>378.85</v>
      </c>
      <c r="F835" s="7">
        <f>IFERROR(__xludf.DUMMYFUNCTION("""COMPUTED_VALUE"""),6923722.0)</f>
        <v>6923722</v>
      </c>
      <c r="G835" s="7" t="str">
        <f>IFERROR(__xludf.DUMMYFUNCTION("""COMPUTED_VALUE"""),"COALINDIA.NS")</f>
        <v>COALINDIA.NS</v>
      </c>
      <c r="H835" s="8">
        <f t="shared" si="1"/>
        <v>0.001056942793</v>
      </c>
      <c r="I835" s="8">
        <f t="shared" si="2"/>
        <v>0.001056942793</v>
      </c>
      <c r="J835" s="7" t="str">
        <f t="shared" si="3"/>
        <v>Jan-2025</v>
      </c>
      <c r="K835" s="9">
        <f t="shared" si="4"/>
        <v>45658</v>
      </c>
      <c r="L835" s="7" t="str">
        <f t="shared" si="5"/>
        <v/>
      </c>
      <c r="M835" s="7" t="str">
        <f>IFERROR(__xludf.DUMMYFUNCTION("IFERROR(
  IF(
    F835 &gt;
    3*AVERAGE(
       FILTER($F$2:$F10491,
         $G$2:$G10491=G835,
         $A$2:$A10491&gt;=A835-20,
         $A$2:$A10491&lt;=A835
       )
    ),
    ""VOL_SPIKE_3X"",""""
  ),
"""")
"),"")</f>
        <v/>
      </c>
      <c r="N835" s="7" t="str">
        <f t="shared" si="6"/>
        <v/>
      </c>
      <c r="O835" s="7" t="str">
        <f t="shared" si="7"/>
        <v/>
      </c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>
        <f>IFERROR(__xludf.DUMMYFUNCTION("""COMPUTED_VALUE"""),45673.0)</f>
        <v>45673</v>
      </c>
      <c r="B836" s="6">
        <f>IFERROR(__xludf.DUMMYFUNCTION("""COMPUTED_VALUE"""),364.0)</f>
        <v>364</v>
      </c>
      <c r="C836" s="6">
        <f>IFERROR(__xludf.DUMMYFUNCTION("""COMPUTED_VALUE"""),365.55)</f>
        <v>365.55</v>
      </c>
      <c r="D836" s="6">
        <f>IFERROR(__xludf.DUMMYFUNCTION("""COMPUTED_VALUE"""),357.4)</f>
        <v>357.4</v>
      </c>
      <c r="E836" s="6">
        <f>IFERROR(__xludf.DUMMYFUNCTION("""COMPUTED_VALUE"""),358.2)</f>
        <v>358.2</v>
      </c>
      <c r="F836" s="7">
        <f>IFERROR(__xludf.DUMMYFUNCTION("""COMPUTED_VALUE"""),5072603.0)</f>
        <v>5072603</v>
      </c>
      <c r="G836" s="7" t="str">
        <f>IFERROR(__xludf.DUMMYFUNCTION("""COMPUTED_VALUE"""),"HINDPETRO.NS")</f>
        <v>HINDPETRO.NS</v>
      </c>
      <c r="H836" s="8">
        <f t="shared" si="1"/>
        <v>-0.01593406593</v>
      </c>
      <c r="I836" s="8">
        <f t="shared" si="2"/>
        <v>0.01593406593</v>
      </c>
      <c r="J836" s="7" t="str">
        <f t="shared" si="3"/>
        <v>Jan-2025</v>
      </c>
      <c r="K836" s="9">
        <f t="shared" si="4"/>
        <v>45658</v>
      </c>
      <c r="L836" s="7" t="str">
        <f t="shared" si="5"/>
        <v/>
      </c>
      <c r="M836" s="7" t="str">
        <f>IFERROR(__xludf.DUMMYFUNCTION("IFERROR(
  IF(
    F836 &gt;
    3*AVERAGE(
       FILTER($F$2:$F10491,
         $G$2:$G10491=G836,
         $A$2:$A10491&gt;=A836-20,
         $A$2:$A10491&lt;=A836
       )
    ),
    ""VOL_SPIKE_3X"",""""
  ),
"""")
"),"")</f>
        <v/>
      </c>
      <c r="N836" s="7" t="str">
        <f t="shared" si="6"/>
        <v/>
      </c>
      <c r="O836" s="7" t="str">
        <f t="shared" si="7"/>
        <v/>
      </c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>
        <f>IFERROR(__xludf.DUMMYFUNCTION("""COMPUTED_VALUE"""),45673.0)</f>
        <v>45673</v>
      </c>
      <c r="B837" s="6">
        <f>IFERROR(__xludf.DUMMYFUNCTION("""COMPUTED_VALUE"""),127.95)</f>
        <v>127.95</v>
      </c>
      <c r="C837" s="6">
        <f>IFERROR(__xludf.DUMMYFUNCTION("""COMPUTED_VALUE"""),128.27)</f>
        <v>128.27</v>
      </c>
      <c r="D837" s="6">
        <f>IFERROR(__xludf.DUMMYFUNCTION("""COMPUTED_VALUE"""),126.55)</f>
        <v>126.55</v>
      </c>
      <c r="E837" s="6">
        <f>IFERROR(__xludf.DUMMYFUNCTION("""COMPUTED_VALUE"""),127.1)</f>
        <v>127.1</v>
      </c>
      <c r="F837" s="7">
        <f>IFERROR(__xludf.DUMMYFUNCTION("""COMPUTED_VALUE"""),1.1843193E7)</f>
        <v>11843193</v>
      </c>
      <c r="G837" s="7" t="str">
        <f>IFERROR(__xludf.DUMMYFUNCTION("""COMPUTED_VALUE"""),"IOC.NS")</f>
        <v>IOC.NS</v>
      </c>
      <c r="H837" s="8">
        <f t="shared" si="1"/>
        <v>-0.006643220008</v>
      </c>
      <c r="I837" s="8">
        <f t="shared" si="2"/>
        <v>0.006643220008</v>
      </c>
      <c r="J837" s="7" t="str">
        <f t="shared" si="3"/>
        <v>Jan-2025</v>
      </c>
      <c r="K837" s="9">
        <f t="shared" si="4"/>
        <v>45658</v>
      </c>
      <c r="L837" s="7" t="str">
        <f t="shared" si="5"/>
        <v/>
      </c>
      <c r="M837" s="7" t="str">
        <f>IFERROR(__xludf.DUMMYFUNCTION("IFERROR(
  IF(
    F837 &gt;
    3*AVERAGE(
       FILTER($F$2:$F10491,
         $G$2:$G10491=G837,
         $A$2:$A10491&gt;=A837-20,
         $A$2:$A10491&lt;=A837
       )
    ),
    ""VOL_SPIKE_3X"",""""
  ),
"""")
"),"")</f>
        <v/>
      </c>
      <c r="N837" s="7" t="str">
        <f t="shared" si="6"/>
        <v/>
      </c>
      <c r="O837" s="7" t="str">
        <f t="shared" si="7"/>
        <v/>
      </c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>
        <f>IFERROR(__xludf.DUMMYFUNCTION("""COMPUTED_VALUE"""),45673.0)</f>
        <v>45673</v>
      </c>
      <c r="B838" s="6">
        <f>IFERROR(__xludf.DUMMYFUNCTION("""COMPUTED_VALUE"""),324.7)</f>
        <v>324.7</v>
      </c>
      <c r="C838" s="6">
        <f>IFERROR(__xludf.DUMMYFUNCTION("""COMPUTED_VALUE"""),327.3)</f>
        <v>327.3</v>
      </c>
      <c r="D838" s="6">
        <f>IFERROR(__xludf.DUMMYFUNCTION("""COMPUTED_VALUE"""),321.65)</f>
        <v>321.65</v>
      </c>
      <c r="E838" s="6">
        <f>IFERROR(__xludf.DUMMYFUNCTION("""COMPUTED_VALUE"""),325.5)</f>
        <v>325.5</v>
      </c>
      <c r="F838" s="7">
        <f>IFERROR(__xludf.DUMMYFUNCTION("""COMPUTED_VALUE"""),1.4865186E7)</f>
        <v>14865186</v>
      </c>
      <c r="G838" s="7" t="str">
        <f>IFERROR(__xludf.DUMMYFUNCTION("""COMPUTED_VALUE"""),"NTPC.NS")</f>
        <v>NTPC.NS</v>
      </c>
      <c r="H838" s="8">
        <f t="shared" si="1"/>
        <v>0.00246381275</v>
      </c>
      <c r="I838" s="8">
        <f t="shared" si="2"/>
        <v>0.00246381275</v>
      </c>
      <c r="J838" s="7" t="str">
        <f t="shared" si="3"/>
        <v>Jan-2025</v>
      </c>
      <c r="K838" s="9">
        <f t="shared" si="4"/>
        <v>45658</v>
      </c>
      <c r="L838" s="7" t="str">
        <f t="shared" si="5"/>
        <v/>
      </c>
      <c r="M838" s="7" t="str">
        <f>IFERROR(__xludf.DUMMYFUNCTION("IFERROR(
  IF(
    F838 &gt;
    3*AVERAGE(
       FILTER($F$2:$F10491,
         $G$2:$G10491=G838,
         $A$2:$A10491&gt;=A838-20,
         $A$2:$A10491&lt;=A838
       )
    ),
    ""VOL_SPIKE_3X"",""""
  ),
"""")
"),"")</f>
        <v/>
      </c>
      <c r="N838" s="7" t="str">
        <f t="shared" si="6"/>
        <v/>
      </c>
      <c r="O838" s="7" t="str">
        <f t="shared" si="7"/>
        <v/>
      </c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>
        <f>IFERROR(__xludf.DUMMYFUNCTION("""COMPUTED_VALUE"""),45673.0)</f>
        <v>45673</v>
      </c>
      <c r="B839" s="6">
        <f>IFERROR(__xludf.DUMMYFUNCTION("""COMPUTED_VALUE"""),260.0)</f>
        <v>260</v>
      </c>
      <c r="C839" s="6">
        <f>IFERROR(__xludf.DUMMYFUNCTION("""COMPUTED_VALUE"""),265.63)</f>
        <v>265.63</v>
      </c>
      <c r="D839" s="6">
        <f>IFERROR(__xludf.DUMMYFUNCTION("""COMPUTED_VALUE"""),260.0)</f>
        <v>260</v>
      </c>
      <c r="E839" s="6">
        <f>IFERROR(__xludf.DUMMYFUNCTION("""COMPUTED_VALUE"""),263.18)</f>
        <v>263.18</v>
      </c>
      <c r="F839" s="7">
        <f>IFERROR(__xludf.DUMMYFUNCTION("""COMPUTED_VALUE"""),1.419545E7)</f>
        <v>14195450</v>
      </c>
      <c r="G839" s="7" t="str">
        <f>IFERROR(__xludf.DUMMYFUNCTION("""COMPUTED_VALUE"""),"ONGC.NS")</f>
        <v>ONGC.NS</v>
      </c>
      <c r="H839" s="8">
        <f t="shared" si="1"/>
        <v>0.01223076923</v>
      </c>
      <c r="I839" s="8">
        <f t="shared" si="2"/>
        <v>0.01223076923</v>
      </c>
      <c r="J839" s="7" t="str">
        <f t="shared" si="3"/>
        <v>Jan-2025</v>
      </c>
      <c r="K839" s="9">
        <f t="shared" si="4"/>
        <v>45658</v>
      </c>
      <c r="L839" s="7" t="str">
        <f t="shared" si="5"/>
        <v/>
      </c>
      <c r="M839" s="7" t="str">
        <f>IFERROR(__xludf.DUMMYFUNCTION("IFERROR(
  IF(
    F839 &gt;
    3*AVERAGE(
       FILTER($F$2:$F10491,
         $G$2:$G10491=G839,
         $A$2:$A10491&gt;=A839-20,
         $A$2:$A10491&lt;=A839
       )
    ),
    ""VOL_SPIKE_3X"",""""
  ),
"""")
"),"")</f>
        <v/>
      </c>
      <c r="N839" s="7" t="str">
        <f t="shared" si="6"/>
        <v/>
      </c>
      <c r="O839" s="7" t="str">
        <f t="shared" si="7"/>
        <v/>
      </c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>
        <f>IFERROR(__xludf.DUMMYFUNCTION("""COMPUTED_VALUE"""),45673.0)</f>
        <v>45673</v>
      </c>
      <c r="B840" s="6">
        <f>IFERROR(__xludf.DUMMYFUNCTION("""COMPUTED_VALUE"""),299.0)</f>
        <v>299</v>
      </c>
      <c r="C840" s="6">
        <f>IFERROR(__xludf.DUMMYFUNCTION("""COMPUTED_VALUE"""),301.6)</f>
        <v>301.6</v>
      </c>
      <c r="D840" s="6">
        <f>IFERROR(__xludf.DUMMYFUNCTION("""COMPUTED_VALUE"""),296.6)</f>
        <v>296.6</v>
      </c>
      <c r="E840" s="6">
        <f>IFERROR(__xludf.DUMMYFUNCTION("""COMPUTED_VALUE"""),297.65)</f>
        <v>297.65</v>
      </c>
      <c r="F840" s="7">
        <f>IFERROR(__xludf.DUMMYFUNCTION("""COMPUTED_VALUE"""),1.1694289E7)</f>
        <v>11694289</v>
      </c>
      <c r="G840" s="7" t="str">
        <f>IFERROR(__xludf.DUMMYFUNCTION("""COMPUTED_VALUE"""),"POWERGRID.NS")</f>
        <v>POWERGRID.NS</v>
      </c>
      <c r="H840" s="8">
        <f t="shared" si="1"/>
        <v>-0.004515050167</v>
      </c>
      <c r="I840" s="8">
        <f t="shared" si="2"/>
        <v>0.004515050167</v>
      </c>
      <c r="J840" s="7" t="str">
        <f t="shared" si="3"/>
        <v>Jan-2025</v>
      </c>
      <c r="K840" s="9">
        <f t="shared" si="4"/>
        <v>45658</v>
      </c>
      <c r="L840" s="7" t="str">
        <f t="shared" si="5"/>
        <v/>
      </c>
      <c r="M840" s="7" t="str">
        <f>IFERROR(__xludf.DUMMYFUNCTION("IFERROR(
  IF(
    F840 &gt;
    3*AVERAGE(
       FILTER($F$2:$F10491,
         $G$2:$G10491=G840,
         $A$2:$A10491&gt;=A840-20,
         $A$2:$A10491&lt;=A840
       )
    ),
    ""VOL_SPIKE_3X"",""""
  ),
"""")
"),"")</f>
        <v/>
      </c>
      <c r="N840" s="7" t="str">
        <f t="shared" si="6"/>
        <v/>
      </c>
      <c r="O840" s="7" t="str">
        <f t="shared" si="7"/>
        <v/>
      </c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>
        <f>IFERROR(__xludf.DUMMYFUNCTION("""COMPUTED_VALUE"""),45673.0)</f>
        <v>45673</v>
      </c>
      <c r="B841" s="6">
        <f>IFERROR(__xludf.DUMMYFUNCTION("""COMPUTED_VALUE"""),1258.9)</f>
        <v>1258.9</v>
      </c>
      <c r="C841" s="6">
        <f>IFERROR(__xludf.DUMMYFUNCTION("""COMPUTED_VALUE"""),1275.0)</f>
        <v>1275</v>
      </c>
      <c r="D841" s="6">
        <f>IFERROR(__xludf.DUMMYFUNCTION("""COMPUTED_VALUE"""),1251.3)</f>
        <v>1251.3</v>
      </c>
      <c r="E841" s="6">
        <f>IFERROR(__xludf.DUMMYFUNCTION("""COMPUTED_VALUE"""),1266.45)</f>
        <v>1266.45</v>
      </c>
      <c r="F841" s="7">
        <f>IFERROR(__xludf.DUMMYFUNCTION("""COMPUTED_VALUE"""),1.4117603E7)</f>
        <v>14117603</v>
      </c>
      <c r="G841" s="7" t="str">
        <f>IFERROR(__xludf.DUMMYFUNCTION("""COMPUTED_VALUE"""),"RELIANCE.NS")</f>
        <v>RELIANCE.NS</v>
      </c>
      <c r="H841" s="8">
        <f t="shared" si="1"/>
        <v>0.005997299229</v>
      </c>
      <c r="I841" s="8">
        <f t="shared" si="2"/>
        <v>0.005997299229</v>
      </c>
      <c r="J841" s="7" t="str">
        <f t="shared" si="3"/>
        <v>Jan-2025</v>
      </c>
      <c r="K841" s="9">
        <f t="shared" si="4"/>
        <v>45658</v>
      </c>
      <c r="L841" s="7" t="str">
        <f t="shared" si="5"/>
        <v/>
      </c>
      <c r="M841" s="7" t="str">
        <f>IFERROR(__xludf.DUMMYFUNCTION("IFERROR(
  IF(
    F841 &gt;
    3*AVERAGE(
       FILTER($F$2:$F10491,
         $G$2:$G10491=G841,
         $A$2:$A10491&gt;=A841-20,
         $A$2:$A10491&lt;=A841
       )
    ),
    ""VOL_SPIKE_3X"",""""
  ),
"""")
"),"")</f>
        <v/>
      </c>
      <c r="N841" s="7" t="str">
        <f t="shared" si="6"/>
        <v/>
      </c>
      <c r="O841" s="7" t="str">
        <f t="shared" si="7"/>
        <v/>
      </c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>
        <f>IFERROR(__xludf.DUMMYFUNCTION("""COMPUTED_VALUE"""),45674.0)</f>
        <v>45674</v>
      </c>
      <c r="B842" s="6">
        <f>IFERROR(__xludf.DUMMYFUNCTION("""COMPUTED_VALUE"""),796.0)</f>
        <v>796</v>
      </c>
      <c r="C842" s="6">
        <f>IFERROR(__xludf.DUMMYFUNCTION("""COMPUTED_VALUE"""),808.65)</f>
        <v>808.65</v>
      </c>
      <c r="D842" s="6">
        <f>IFERROR(__xludf.DUMMYFUNCTION("""COMPUTED_VALUE"""),786.0)</f>
        <v>786</v>
      </c>
      <c r="E842" s="6">
        <f>IFERROR(__xludf.DUMMYFUNCTION("""COMPUTED_VALUE"""),805.15)</f>
        <v>805.15</v>
      </c>
      <c r="F842" s="7">
        <f>IFERROR(__xludf.DUMMYFUNCTION("""COMPUTED_VALUE"""),2391368.0)</f>
        <v>2391368</v>
      </c>
      <c r="G842" s="7" t="str">
        <f>IFERROR(__xludf.DUMMYFUNCTION("""COMPUTED_VALUE"""),"ADANIENSOL.NS")</f>
        <v>ADANIENSOL.NS</v>
      </c>
      <c r="H842" s="8">
        <f t="shared" si="1"/>
        <v>0.01149497487</v>
      </c>
      <c r="I842" s="8">
        <f t="shared" si="2"/>
        <v>0.01149497487</v>
      </c>
      <c r="J842" s="7" t="str">
        <f t="shared" si="3"/>
        <v>Jan-2025</v>
      </c>
      <c r="K842" s="9">
        <f t="shared" si="4"/>
        <v>45658</v>
      </c>
      <c r="L842" s="7" t="str">
        <f t="shared" si="5"/>
        <v/>
      </c>
      <c r="M842" s="7" t="str">
        <f>IFERROR(__xludf.DUMMYFUNCTION("IFERROR(
  IF(
    F842 &gt;
    3*AVERAGE(
       FILTER($F$2:$F10491,
         $G$2:$G10491=G842,
         $A$2:$A10491&gt;=A842-20,
         $A$2:$A10491&lt;=A842
       )
    ),
    ""VOL_SPIKE_3X"",""""
  ),
"""")
"),"")</f>
        <v/>
      </c>
      <c r="N842" s="7" t="str">
        <f t="shared" si="6"/>
        <v/>
      </c>
      <c r="O842" s="7" t="str">
        <f t="shared" si="7"/>
        <v/>
      </c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>
        <f>IFERROR(__xludf.DUMMYFUNCTION("""COMPUTED_VALUE"""),45674.0)</f>
        <v>45674</v>
      </c>
      <c r="B843" s="6">
        <f>IFERROR(__xludf.DUMMYFUNCTION("""COMPUTED_VALUE"""),1078.9)</f>
        <v>1078.9</v>
      </c>
      <c r="C843" s="6">
        <f>IFERROR(__xludf.DUMMYFUNCTION("""COMPUTED_VALUE"""),1089.5)</f>
        <v>1089.5</v>
      </c>
      <c r="D843" s="6">
        <f>IFERROR(__xludf.DUMMYFUNCTION("""COMPUTED_VALUE"""),1056.15)</f>
        <v>1056.15</v>
      </c>
      <c r="E843" s="6">
        <f>IFERROR(__xludf.DUMMYFUNCTION("""COMPUTED_VALUE"""),1078.2)</f>
        <v>1078.2</v>
      </c>
      <c r="F843" s="7">
        <f>IFERROR(__xludf.DUMMYFUNCTION("""COMPUTED_VALUE"""),3486290.0)</f>
        <v>3486290</v>
      </c>
      <c r="G843" s="7" t="str">
        <f>IFERROR(__xludf.DUMMYFUNCTION("""COMPUTED_VALUE"""),"ADANIGREEN.NS")</f>
        <v>ADANIGREEN.NS</v>
      </c>
      <c r="H843" s="8">
        <f t="shared" si="1"/>
        <v>-0.0006488089721</v>
      </c>
      <c r="I843" s="8">
        <f t="shared" si="2"/>
        <v>0.0006488089721</v>
      </c>
      <c r="J843" s="7" t="str">
        <f t="shared" si="3"/>
        <v>Jan-2025</v>
      </c>
      <c r="K843" s="9">
        <f t="shared" si="4"/>
        <v>45658</v>
      </c>
      <c r="L843" s="7" t="str">
        <f t="shared" si="5"/>
        <v/>
      </c>
      <c r="M843" s="7" t="str">
        <f>IFERROR(__xludf.DUMMYFUNCTION("IFERROR(
  IF(
    F843 &gt;
    3*AVERAGE(
       FILTER($F$2:$F10491,
         $G$2:$G10491=G843,
         $A$2:$A10491&gt;=A843-20,
         $A$2:$A10491&lt;=A843
       )
    ),
    ""VOL_SPIKE_3X"",""""
  ),
"""")
"),"")</f>
        <v/>
      </c>
      <c r="N843" s="7" t="str">
        <f t="shared" si="6"/>
        <v/>
      </c>
      <c r="O843" s="7" t="str">
        <f t="shared" si="7"/>
        <v/>
      </c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>
        <f>IFERROR(__xludf.DUMMYFUNCTION("""COMPUTED_VALUE"""),45674.0)</f>
        <v>45674</v>
      </c>
      <c r="B844" s="6">
        <f>IFERROR(__xludf.DUMMYFUNCTION("""COMPUTED_VALUE"""),268.8)</f>
        <v>268.8</v>
      </c>
      <c r="C844" s="6">
        <f>IFERROR(__xludf.DUMMYFUNCTION("""COMPUTED_VALUE"""),275.2)</f>
        <v>275.2</v>
      </c>
      <c r="D844" s="6">
        <f>IFERROR(__xludf.DUMMYFUNCTION("""COMPUTED_VALUE"""),267.25)</f>
        <v>267.25</v>
      </c>
      <c r="E844" s="6">
        <f>IFERROR(__xludf.DUMMYFUNCTION("""COMPUTED_VALUE"""),273.6)</f>
        <v>273.6</v>
      </c>
      <c r="F844" s="7">
        <f>IFERROR(__xludf.DUMMYFUNCTION("""COMPUTED_VALUE"""),9300647.0)</f>
        <v>9300647</v>
      </c>
      <c r="G844" s="7" t="str">
        <f>IFERROR(__xludf.DUMMYFUNCTION("""COMPUTED_VALUE"""),"BPCL.NS")</f>
        <v>BPCL.NS</v>
      </c>
      <c r="H844" s="8">
        <f t="shared" si="1"/>
        <v>0.01785714286</v>
      </c>
      <c r="I844" s="8">
        <f t="shared" si="2"/>
        <v>0.01785714286</v>
      </c>
      <c r="J844" s="7" t="str">
        <f t="shared" si="3"/>
        <v>Jan-2025</v>
      </c>
      <c r="K844" s="9">
        <f t="shared" si="4"/>
        <v>45658</v>
      </c>
      <c r="L844" s="7" t="str">
        <f t="shared" si="5"/>
        <v/>
      </c>
      <c r="M844" s="7" t="str">
        <f>IFERROR(__xludf.DUMMYFUNCTION("IFERROR(
  IF(
    F844 &gt;
    3*AVERAGE(
       FILTER($F$2:$F10491,
         $G$2:$G10491=G844,
         $A$2:$A10491&gt;=A844-20,
         $A$2:$A10491&lt;=A844
       )
    ),
    ""VOL_SPIKE_3X"",""""
  ),
"""")
"),"")</f>
        <v/>
      </c>
      <c r="N844" s="7" t="str">
        <f t="shared" si="6"/>
        <v/>
      </c>
      <c r="O844" s="7" t="str">
        <f t="shared" si="7"/>
        <v/>
      </c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>
        <f>IFERROR(__xludf.DUMMYFUNCTION("""COMPUTED_VALUE"""),45674.0)</f>
        <v>45674</v>
      </c>
      <c r="B845" s="6">
        <f>IFERROR(__xludf.DUMMYFUNCTION("""COMPUTED_VALUE"""),380.0)</f>
        <v>380</v>
      </c>
      <c r="C845" s="6">
        <f>IFERROR(__xludf.DUMMYFUNCTION("""COMPUTED_VALUE"""),389.3)</f>
        <v>389.3</v>
      </c>
      <c r="D845" s="6">
        <f>IFERROR(__xludf.DUMMYFUNCTION("""COMPUTED_VALUE"""),378.55)</f>
        <v>378.55</v>
      </c>
      <c r="E845" s="6">
        <f>IFERROR(__xludf.DUMMYFUNCTION("""COMPUTED_VALUE"""),387.65)</f>
        <v>387.65</v>
      </c>
      <c r="F845" s="7">
        <f>IFERROR(__xludf.DUMMYFUNCTION("""COMPUTED_VALUE"""),8380692.0)</f>
        <v>8380692</v>
      </c>
      <c r="G845" s="7" t="str">
        <f>IFERROR(__xludf.DUMMYFUNCTION("""COMPUTED_VALUE"""),"COALINDIA.NS")</f>
        <v>COALINDIA.NS</v>
      </c>
      <c r="H845" s="8">
        <f t="shared" si="1"/>
        <v>0.02013157895</v>
      </c>
      <c r="I845" s="8">
        <f t="shared" si="2"/>
        <v>0.02013157895</v>
      </c>
      <c r="J845" s="7" t="str">
        <f t="shared" si="3"/>
        <v>Jan-2025</v>
      </c>
      <c r="K845" s="9">
        <f t="shared" si="4"/>
        <v>45658</v>
      </c>
      <c r="L845" s="7" t="str">
        <f t="shared" si="5"/>
        <v/>
      </c>
      <c r="M845" s="7" t="str">
        <f>IFERROR(__xludf.DUMMYFUNCTION("IFERROR(
  IF(
    F845 &gt;
    3*AVERAGE(
       FILTER($F$2:$F10491,
         $G$2:$G10491=G845,
         $A$2:$A10491&gt;=A845-20,
         $A$2:$A10491&lt;=A845
       )
    ),
    ""VOL_SPIKE_3X"",""""
  ),
"""")
"),"")</f>
        <v/>
      </c>
      <c r="N845" s="7" t="str">
        <f t="shared" si="6"/>
        <v/>
      </c>
      <c r="O845" s="7" t="str">
        <f t="shared" si="7"/>
        <v/>
      </c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>
        <f>IFERROR(__xludf.DUMMYFUNCTION("""COMPUTED_VALUE"""),45674.0)</f>
        <v>45674</v>
      </c>
      <c r="B846" s="6">
        <f>IFERROR(__xludf.DUMMYFUNCTION("""COMPUTED_VALUE"""),358.35)</f>
        <v>358.35</v>
      </c>
      <c r="C846" s="6">
        <f>IFERROR(__xludf.DUMMYFUNCTION("""COMPUTED_VALUE"""),363.2)</f>
        <v>363.2</v>
      </c>
      <c r="D846" s="6">
        <f>IFERROR(__xludf.DUMMYFUNCTION("""COMPUTED_VALUE"""),355.2)</f>
        <v>355.2</v>
      </c>
      <c r="E846" s="6">
        <f>IFERROR(__xludf.DUMMYFUNCTION("""COMPUTED_VALUE"""),358.9)</f>
        <v>358.9</v>
      </c>
      <c r="F846" s="7">
        <f>IFERROR(__xludf.DUMMYFUNCTION("""COMPUTED_VALUE"""),3122954.0)</f>
        <v>3122954</v>
      </c>
      <c r="G846" s="7" t="str">
        <f>IFERROR(__xludf.DUMMYFUNCTION("""COMPUTED_VALUE"""),"HINDPETRO.NS")</f>
        <v>HINDPETRO.NS</v>
      </c>
      <c r="H846" s="8">
        <f t="shared" si="1"/>
        <v>0.001534812334</v>
      </c>
      <c r="I846" s="8">
        <f t="shared" si="2"/>
        <v>0.001534812334</v>
      </c>
      <c r="J846" s="7" t="str">
        <f t="shared" si="3"/>
        <v>Jan-2025</v>
      </c>
      <c r="K846" s="9">
        <f t="shared" si="4"/>
        <v>45658</v>
      </c>
      <c r="L846" s="7" t="str">
        <f t="shared" si="5"/>
        <v/>
      </c>
      <c r="M846" s="7" t="str">
        <f>IFERROR(__xludf.DUMMYFUNCTION("IFERROR(
  IF(
    F846 &gt;
    3*AVERAGE(
       FILTER($F$2:$F10491,
         $G$2:$G10491=G846,
         $A$2:$A10491&gt;=A846-20,
         $A$2:$A10491&lt;=A846
       )
    ),
    ""VOL_SPIKE_3X"",""""
  ),
"""")
"),"")</f>
        <v/>
      </c>
      <c r="N846" s="7" t="str">
        <f t="shared" si="6"/>
        <v/>
      </c>
      <c r="O846" s="7" t="str">
        <f t="shared" si="7"/>
        <v/>
      </c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>
        <f>IFERROR(__xludf.DUMMYFUNCTION("""COMPUTED_VALUE"""),45674.0)</f>
        <v>45674</v>
      </c>
      <c r="B847" s="6">
        <f>IFERROR(__xludf.DUMMYFUNCTION("""COMPUTED_VALUE"""),127.0)</f>
        <v>127</v>
      </c>
      <c r="C847" s="6">
        <f>IFERROR(__xludf.DUMMYFUNCTION("""COMPUTED_VALUE"""),128.49)</f>
        <v>128.49</v>
      </c>
      <c r="D847" s="6">
        <f>IFERROR(__xludf.DUMMYFUNCTION("""COMPUTED_VALUE"""),126.3)</f>
        <v>126.3</v>
      </c>
      <c r="E847" s="6">
        <f>IFERROR(__xludf.DUMMYFUNCTION("""COMPUTED_VALUE"""),128.07)</f>
        <v>128.07</v>
      </c>
      <c r="F847" s="7">
        <f>IFERROR(__xludf.DUMMYFUNCTION("""COMPUTED_VALUE"""),2.4617689E7)</f>
        <v>24617689</v>
      </c>
      <c r="G847" s="7" t="str">
        <f>IFERROR(__xludf.DUMMYFUNCTION("""COMPUTED_VALUE"""),"IOC.NS")</f>
        <v>IOC.NS</v>
      </c>
      <c r="H847" s="8">
        <f t="shared" si="1"/>
        <v>0.00842519685</v>
      </c>
      <c r="I847" s="8">
        <f t="shared" si="2"/>
        <v>0.00842519685</v>
      </c>
      <c r="J847" s="7" t="str">
        <f t="shared" si="3"/>
        <v>Jan-2025</v>
      </c>
      <c r="K847" s="9">
        <f t="shared" si="4"/>
        <v>45658</v>
      </c>
      <c r="L847" s="7" t="str">
        <f t="shared" si="5"/>
        <v/>
      </c>
      <c r="M847" s="7" t="str">
        <f>IFERROR(__xludf.DUMMYFUNCTION("IFERROR(
  IF(
    F847 &gt;
    3*AVERAGE(
       FILTER($F$2:$F10491,
         $G$2:$G10491=G847,
         $A$2:$A10491&gt;=A847-20,
         $A$2:$A10491&lt;=A847
       )
    ),
    ""VOL_SPIKE_3X"",""""
  ),
"""")
"),"")</f>
        <v/>
      </c>
      <c r="N847" s="7" t="str">
        <f t="shared" si="6"/>
        <v/>
      </c>
      <c r="O847" s="7" t="str">
        <f t="shared" si="7"/>
        <v/>
      </c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>
        <f>IFERROR(__xludf.DUMMYFUNCTION("""COMPUTED_VALUE"""),45674.0)</f>
        <v>45674</v>
      </c>
      <c r="B848" s="6">
        <f>IFERROR(__xludf.DUMMYFUNCTION("""COMPUTED_VALUE"""),325.3)</f>
        <v>325.3</v>
      </c>
      <c r="C848" s="6">
        <f>IFERROR(__xludf.DUMMYFUNCTION("""COMPUTED_VALUE"""),329.0)</f>
        <v>329</v>
      </c>
      <c r="D848" s="6">
        <f>IFERROR(__xludf.DUMMYFUNCTION("""COMPUTED_VALUE"""),323.35)</f>
        <v>323.35</v>
      </c>
      <c r="E848" s="6">
        <f>IFERROR(__xludf.DUMMYFUNCTION("""COMPUTED_VALUE"""),326.15)</f>
        <v>326.15</v>
      </c>
      <c r="F848" s="7">
        <f>IFERROR(__xludf.DUMMYFUNCTION("""COMPUTED_VALUE"""),7129232.0)</f>
        <v>7129232</v>
      </c>
      <c r="G848" s="7" t="str">
        <f>IFERROR(__xludf.DUMMYFUNCTION("""COMPUTED_VALUE"""),"NTPC.NS")</f>
        <v>NTPC.NS</v>
      </c>
      <c r="H848" s="8">
        <f t="shared" si="1"/>
        <v>0.002612972641</v>
      </c>
      <c r="I848" s="8">
        <f t="shared" si="2"/>
        <v>0.002612972641</v>
      </c>
      <c r="J848" s="7" t="str">
        <f t="shared" si="3"/>
        <v>Jan-2025</v>
      </c>
      <c r="K848" s="9">
        <f t="shared" si="4"/>
        <v>45658</v>
      </c>
      <c r="L848" s="7" t="str">
        <f t="shared" si="5"/>
        <v/>
      </c>
      <c r="M848" s="7" t="str">
        <f>IFERROR(__xludf.DUMMYFUNCTION("IFERROR(
  IF(
    F848 &gt;
    3*AVERAGE(
       FILTER($F$2:$F10491,
         $G$2:$G10491=G848,
         $A$2:$A10491&gt;=A848-20,
         $A$2:$A10491&lt;=A848
       )
    ),
    ""VOL_SPIKE_3X"",""""
  ),
"""")
"),"")</f>
        <v/>
      </c>
      <c r="N848" s="7" t="str">
        <f t="shared" si="6"/>
        <v/>
      </c>
      <c r="O848" s="7" t="str">
        <f t="shared" si="7"/>
        <v/>
      </c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>
        <f>IFERROR(__xludf.DUMMYFUNCTION("""COMPUTED_VALUE"""),45674.0)</f>
        <v>45674</v>
      </c>
      <c r="B849" s="6">
        <f>IFERROR(__xludf.DUMMYFUNCTION("""COMPUTED_VALUE"""),262.0)</f>
        <v>262</v>
      </c>
      <c r="C849" s="6">
        <f>IFERROR(__xludf.DUMMYFUNCTION("""COMPUTED_VALUE"""),267.0)</f>
        <v>267</v>
      </c>
      <c r="D849" s="6">
        <f>IFERROR(__xludf.DUMMYFUNCTION("""COMPUTED_VALUE"""),261.3)</f>
        <v>261.3</v>
      </c>
      <c r="E849" s="6">
        <f>IFERROR(__xludf.DUMMYFUNCTION("""COMPUTED_VALUE"""),266.57)</f>
        <v>266.57</v>
      </c>
      <c r="F849" s="7">
        <f>IFERROR(__xludf.DUMMYFUNCTION("""COMPUTED_VALUE"""),1.2148143E7)</f>
        <v>12148143</v>
      </c>
      <c r="G849" s="7" t="str">
        <f>IFERROR(__xludf.DUMMYFUNCTION("""COMPUTED_VALUE"""),"ONGC.NS")</f>
        <v>ONGC.NS</v>
      </c>
      <c r="H849" s="8">
        <f t="shared" si="1"/>
        <v>0.01744274809</v>
      </c>
      <c r="I849" s="8">
        <f t="shared" si="2"/>
        <v>0.01744274809</v>
      </c>
      <c r="J849" s="7" t="str">
        <f t="shared" si="3"/>
        <v>Jan-2025</v>
      </c>
      <c r="K849" s="9">
        <f t="shared" si="4"/>
        <v>45658</v>
      </c>
      <c r="L849" s="7" t="str">
        <f t="shared" si="5"/>
        <v/>
      </c>
      <c r="M849" s="7" t="str">
        <f>IFERROR(__xludf.DUMMYFUNCTION("IFERROR(
  IF(
    F849 &gt;
    3*AVERAGE(
       FILTER($F$2:$F10491,
         $G$2:$G10491=G849,
         $A$2:$A10491&gt;=A849-20,
         $A$2:$A10491&lt;=A849
       )
    ),
    ""VOL_SPIKE_3X"",""""
  ),
"""")
"),"")</f>
        <v/>
      </c>
      <c r="N849" s="7" t="str">
        <f t="shared" si="6"/>
        <v/>
      </c>
      <c r="O849" s="7" t="str">
        <f t="shared" si="7"/>
        <v/>
      </c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>
        <f>IFERROR(__xludf.DUMMYFUNCTION("""COMPUTED_VALUE"""),45674.0)</f>
        <v>45674</v>
      </c>
      <c r="B850" s="6">
        <f>IFERROR(__xludf.DUMMYFUNCTION("""COMPUTED_VALUE"""),297.65)</f>
        <v>297.65</v>
      </c>
      <c r="C850" s="6">
        <f>IFERROR(__xludf.DUMMYFUNCTION("""COMPUTED_VALUE"""),305.0)</f>
        <v>305</v>
      </c>
      <c r="D850" s="6">
        <f>IFERROR(__xludf.DUMMYFUNCTION("""COMPUTED_VALUE"""),295.7)</f>
        <v>295.7</v>
      </c>
      <c r="E850" s="6">
        <f>IFERROR(__xludf.DUMMYFUNCTION("""COMPUTED_VALUE"""),302.6)</f>
        <v>302.6</v>
      </c>
      <c r="F850" s="7">
        <f>IFERROR(__xludf.DUMMYFUNCTION("""COMPUTED_VALUE"""),7593230.0)</f>
        <v>7593230</v>
      </c>
      <c r="G850" s="7" t="str">
        <f>IFERROR(__xludf.DUMMYFUNCTION("""COMPUTED_VALUE"""),"POWERGRID.NS")</f>
        <v>POWERGRID.NS</v>
      </c>
      <c r="H850" s="8">
        <f t="shared" si="1"/>
        <v>0.01663027045</v>
      </c>
      <c r="I850" s="8">
        <f t="shared" si="2"/>
        <v>0.01663027045</v>
      </c>
      <c r="J850" s="7" t="str">
        <f t="shared" si="3"/>
        <v>Jan-2025</v>
      </c>
      <c r="K850" s="9">
        <f t="shared" si="4"/>
        <v>45658</v>
      </c>
      <c r="L850" s="7" t="str">
        <f t="shared" si="5"/>
        <v/>
      </c>
      <c r="M850" s="7" t="str">
        <f>IFERROR(__xludf.DUMMYFUNCTION("IFERROR(
  IF(
    F850 &gt;
    3*AVERAGE(
       FILTER($F$2:$F10491,
         $G$2:$G10491=G850,
         $A$2:$A10491&gt;=A850-20,
         $A$2:$A10491&lt;=A850
       )
    ),
    ""VOL_SPIKE_3X"",""""
  ),
"""")
"),"")</f>
        <v/>
      </c>
      <c r="N850" s="7" t="str">
        <f t="shared" si="6"/>
        <v/>
      </c>
      <c r="O850" s="7" t="str">
        <f t="shared" si="7"/>
        <v/>
      </c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>
        <f>IFERROR(__xludf.DUMMYFUNCTION("""COMPUTED_VALUE"""),45674.0)</f>
        <v>45674</v>
      </c>
      <c r="B851" s="6">
        <f>IFERROR(__xludf.DUMMYFUNCTION("""COMPUTED_VALUE"""),1322.25)</f>
        <v>1322.25</v>
      </c>
      <c r="C851" s="6">
        <f>IFERROR(__xludf.DUMMYFUNCTION("""COMPUTED_VALUE"""),1326.0)</f>
        <v>1326</v>
      </c>
      <c r="D851" s="6">
        <f>IFERROR(__xludf.DUMMYFUNCTION("""COMPUTED_VALUE"""),1285.0)</f>
        <v>1285</v>
      </c>
      <c r="E851" s="6">
        <f>IFERROR(__xludf.DUMMYFUNCTION("""COMPUTED_VALUE"""),1302.35)</f>
        <v>1302.35</v>
      </c>
      <c r="F851" s="7">
        <f>IFERROR(__xludf.DUMMYFUNCTION("""COMPUTED_VALUE"""),2.9366277E7)</f>
        <v>29366277</v>
      </c>
      <c r="G851" s="7" t="str">
        <f>IFERROR(__xludf.DUMMYFUNCTION("""COMPUTED_VALUE"""),"RELIANCE.NS")</f>
        <v>RELIANCE.NS</v>
      </c>
      <c r="H851" s="8">
        <f t="shared" si="1"/>
        <v>-0.01505010399</v>
      </c>
      <c r="I851" s="8">
        <f t="shared" si="2"/>
        <v>0.01505010399</v>
      </c>
      <c r="J851" s="7" t="str">
        <f t="shared" si="3"/>
        <v>Jan-2025</v>
      </c>
      <c r="K851" s="9">
        <f t="shared" si="4"/>
        <v>45658</v>
      </c>
      <c r="L851" s="7" t="str">
        <f t="shared" si="5"/>
        <v/>
      </c>
      <c r="M851" s="7" t="str">
        <f>IFERROR(__xludf.DUMMYFUNCTION("IFERROR(
  IF(
    F851 &gt;
    3*AVERAGE(
       FILTER($F$2:$F10491,
         $G$2:$G10491=G851,
         $A$2:$A10491&gt;=A851-20,
         $A$2:$A10491&lt;=A851
       )
    ),
    ""VOL_SPIKE_3X"",""""
  ),
"""")
"),"")</f>
        <v/>
      </c>
      <c r="N851" s="7" t="str">
        <f t="shared" si="6"/>
        <v/>
      </c>
      <c r="O851" s="7" t="str">
        <f t="shared" si="7"/>
        <v/>
      </c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>
        <f>IFERROR(__xludf.DUMMYFUNCTION("""COMPUTED_VALUE"""),45677.0)</f>
        <v>45677</v>
      </c>
      <c r="B852" s="6">
        <f>IFERROR(__xludf.DUMMYFUNCTION("""COMPUTED_VALUE"""),815.0)</f>
        <v>815</v>
      </c>
      <c r="C852" s="6">
        <f>IFERROR(__xludf.DUMMYFUNCTION("""COMPUTED_VALUE"""),828.7)</f>
        <v>828.7</v>
      </c>
      <c r="D852" s="6">
        <f>IFERROR(__xludf.DUMMYFUNCTION("""COMPUTED_VALUE"""),801.15)</f>
        <v>801.15</v>
      </c>
      <c r="E852" s="6">
        <f>IFERROR(__xludf.DUMMYFUNCTION("""COMPUTED_VALUE"""),815.75)</f>
        <v>815.75</v>
      </c>
      <c r="F852" s="7">
        <f>IFERROR(__xludf.DUMMYFUNCTION("""COMPUTED_VALUE"""),2108088.0)</f>
        <v>2108088</v>
      </c>
      <c r="G852" s="7" t="str">
        <f>IFERROR(__xludf.DUMMYFUNCTION("""COMPUTED_VALUE"""),"ADANIENSOL.NS")</f>
        <v>ADANIENSOL.NS</v>
      </c>
      <c r="H852" s="8">
        <f t="shared" si="1"/>
        <v>0.0009202453988</v>
      </c>
      <c r="I852" s="8">
        <f t="shared" si="2"/>
        <v>0.0009202453988</v>
      </c>
      <c r="J852" s="7" t="str">
        <f t="shared" si="3"/>
        <v>Jan-2025</v>
      </c>
      <c r="K852" s="9">
        <f t="shared" si="4"/>
        <v>45658</v>
      </c>
      <c r="L852" s="7" t="str">
        <f t="shared" si="5"/>
        <v/>
      </c>
      <c r="M852" s="7" t="str">
        <f>IFERROR(__xludf.DUMMYFUNCTION("IFERROR(
  IF(
    F852 &gt;
    3*AVERAGE(
       FILTER($F$2:$F10491,
         $G$2:$G10491=G852,
         $A$2:$A10491&gt;=A852-20,
         $A$2:$A10491&lt;=A852
       )
    ),
    ""VOL_SPIKE_3X"",""""
  ),
"""")
"),"")</f>
        <v/>
      </c>
      <c r="N852" s="7" t="str">
        <f t="shared" si="6"/>
        <v/>
      </c>
      <c r="O852" s="7" t="str">
        <f t="shared" si="7"/>
        <v/>
      </c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>
        <f>IFERROR(__xludf.DUMMYFUNCTION("""COMPUTED_VALUE"""),45677.0)</f>
        <v>45677</v>
      </c>
      <c r="B853" s="6">
        <f>IFERROR(__xludf.DUMMYFUNCTION("""COMPUTED_VALUE"""),1082.0)</f>
        <v>1082</v>
      </c>
      <c r="C853" s="6">
        <f>IFERROR(__xludf.DUMMYFUNCTION("""COMPUTED_VALUE"""),1088.0)</f>
        <v>1088</v>
      </c>
      <c r="D853" s="6">
        <f>IFERROR(__xludf.DUMMYFUNCTION("""COMPUTED_VALUE"""),1054.25)</f>
        <v>1054.25</v>
      </c>
      <c r="E853" s="6">
        <f>IFERROR(__xludf.DUMMYFUNCTION("""COMPUTED_VALUE"""),1066.75)</f>
        <v>1066.75</v>
      </c>
      <c r="F853" s="7">
        <f>IFERROR(__xludf.DUMMYFUNCTION("""COMPUTED_VALUE"""),2463260.0)</f>
        <v>2463260</v>
      </c>
      <c r="G853" s="7" t="str">
        <f>IFERROR(__xludf.DUMMYFUNCTION("""COMPUTED_VALUE"""),"ADANIGREEN.NS")</f>
        <v>ADANIGREEN.NS</v>
      </c>
      <c r="H853" s="8">
        <f t="shared" si="1"/>
        <v>-0.01409426987</v>
      </c>
      <c r="I853" s="8">
        <f t="shared" si="2"/>
        <v>0.01409426987</v>
      </c>
      <c r="J853" s="7" t="str">
        <f t="shared" si="3"/>
        <v>Jan-2025</v>
      </c>
      <c r="K853" s="9">
        <f t="shared" si="4"/>
        <v>45658</v>
      </c>
      <c r="L853" s="7" t="str">
        <f t="shared" si="5"/>
        <v/>
      </c>
      <c r="M853" s="7" t="str">
        <f>IFERROR(__xludf.DUMMYFUNCTION("IFERROR(
  IF(
    F853 &gt;
    3*AVERAGE(
       FILTER($F$2:$F10491,
         $G$2:$G10491=G853,
         $A$2:$A10491&gt;=A853-20,
         $A$2:$A10491&lt;=A853
       )
    ),
    ""VOL_SPIKE_3X"",""""
  ),
"""")
"),"")</f>
        <v/>
      </c>
      <c r="N853" s="7" t="str">
        <f t="shared" si="6"/>
        <v/>
      </c>
      <c r="O853" s="7" t="str">
        <f t="shared" si="7"/>
        <v/>
      </c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>
        <f>IFERROR(__xludf.DUMMYFUNCTION("""COMPUTED_VALUE"""),45677.0)</f>
        <v>45677</v>
      </c>
      <c r="B854" s="6">
        <f>IFERROR(__xludf.DUMMYFUNCTION("""COMPUTED_VALUE"""),275.0)</f>
        <v>275</v>
      </c>
      <c r="C854" s="6">
        <f>IFERROR(__xludf.DUMMYFUNCTION("""COMPUTED_VALUE"""),278.4)</f>
        <v>278.4</v>
      </c>
      <c r="D854" s="6">
        <f>IFERROR(__xludf.DUMMYFUNCTION("""COMPUTED_VALUE"""),268.8)</f>
        <v>268.8</v>
      </c>
      <c r="E854" s="6">
        <f>IFERROR(__xludf.DUMMYFUNCTION("""COMPUTED_VALUE"""),277.3)</f>
        <v>277.3</v>
      </c>
      <c r="F854" s="7">
        <f>IFERROR(__xludf.DUMMYFUNCTION("""COMPUTED_VALUE"""),9623368.0)</f>
        <v>9623368</v>
      </c>
      <c r="G854" s="7" t="str">
        <f>IFERROR(__xludf.DUMMYFUNCTION("""COMPUTED_VALUE"""),"BPCL.NS")</f>
        <v>BPCL.NS</v>
      </c>
      <c r="H854" s="8">
        <f t="shared" si="1"/>
        <v>0.008363636364</v>
      </c>
      <c r="I854" s="8">
        <f t="shared" si="2"/>
        <v>0.008363636364</v>
      </c>
      <c r="J854" s="7" t="str">
        <f t="shared" si="3"/>
        <v>Jan-2025</v>
      </c>
      <c r="K854" s="9">
        <f t="shared" si="4"/>
        <v>45658</v>
      </c>
      <c r="L854" s="7" t="str">
        <f t="shared" si="5"/>
        <v/>
      </c>
      <c r="M854" s="7" t="str">
        <f>IFERROR(__xludf.DUMMYFUNCTION("IFERROR(
  IF(
    F854 &gt;
    3*AVERAGE(
       FILTER($F$2:$F10491,
         $G$2:$G10491=G854,
         $A$2:$A10491&gt;=A854-20,
         $A$2:$A10491&lt;=A854
       )
    ),
    ""VOL_SPIKE_3X"",""""
  ),
"""")
"),"")</f>
        <v/>
      </c>
      <c r="N854" s="7" t="str">
        <f t="shared" si="6"/>
        <v/>
      </c>
      <c r="O854" s="7" t="str">
        <f t="shared" si="7"/>
        <v/>
      </c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>
        <f>IFERROR(__xludf.DUMMYFUNCTION("""COMPUTED_VALUE"""),45677.0)</f>
        <v>45677</v>
      </c>
      <c r="B855" s="6">
        <f>IFERROR(__xludf.DUMMYFUNCTION("""COMPUTED_VALUE"""),389.6)</f>
        <v>389.6</v>
      </c>
      <c r="C855" s="6">
        <f>IFERROR(__xludf.DUMMYFUNCTION("""COMPUTED_VALUE"""),391.0)</f>
        <v>391</v>
      </c>
      <c r="D855" s="6">
        <f>IFERROR(__xludf.DUMMYFUNCTION("""COMPUTED_VALUE"""),382.65)</f>
        <v>382.65</v>
      </c>
      <c r="E855" s="6">
        <f>IFERROR(__xludf.DUMMYFUNCTION("""COMPUTED_VALUE"""),387.05)</f>
        <v>387.05</v>
      </c>
      <c r="F855" s="7">
        <f>IFERROR(__xludf.DUMMYFUNCTION("""COMPUTED_VALUE"""),1.4597375E7)</f>
        <v>14597375</v>
      </c>
      <c r="G855" s="7" t="str">
        <f>IFERROR(__xludf.DUMMYFUNCTION("""COMPUTED_VALUE"""),"COALINDIA.NS")</f>
        <v>COALINDIA.NS</v>
      </c>
      <c r="H855" s="8">
        <f t="shared" si="1"/>
        <v>-0.006545174538</v>
      </c>
      <c r="I855" s="8">
        <f t="shared" si="2"/>
        <v>0.006545174538</v>
      </c>
      <c r="J855" s="7" t="str">
        <f t="shared" si="3"/>
        <v>Jan-2025</v>
      </c>
      <c r="K855" s="9">
        <f t="shared" si="4"/>
        <v>45658</v>
      </c>
      <c r="L855" s="7" t="str">
        <f t="shared" si="5"/>
        <v/>
      </c>
      <c r="M855" s="7" t="str">
        <f>IFERROR(__xludf.DUMMYFUNCTION("IFERROR(
  IF(
    F855 &gt;
    3*AVERAGE(
       FILTER($F$2:$F10491,
         $G$2:$G10491=G855,
         $A$2:$A10491&gt;=A855-20,
         $A$2:$A10491&lt;=A855
       )
    ),
    ""VOL_SPIKE_3X"",""""
  ),
"""")
"),"")</f>
        <v/>
      </c>
      <c r="N855" s="7" t="str">
        <f t="shared" si="6"/>
        <v/>
      </c>
      <c r="O855" s="7" t="str">
        <f t="shared" si="7"/>
        <v/>
      </c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>
        <f>IFERROR(__xludf.DUMMYFUNCTION("""COMPUTED_VALUE"""),45677.0)</f>
        <v>45677</v>
      </c>
      <c r="B856" s="6">
        <f>IFERROR(__xludf.DUMMYFUNCTION("""COMPUTED_VALUE"""),360.0)</f>
        <v>360</v>
      </c>
      <c r="C856" s="6">
        <f>IFERROR(__xludf.DUMMYFUNCTION("""COMPUTED_VALUE"""),363.4)</f>
        <v>363.4</v>
      </c>
      <c r="D856" s="6">
        <f>IFERROR(__xludf.DUMMYFUNCTION("""COMPUTED_VALUE"""),353.35)</f>
        <v>353.35</v>
      </c>
      <c r="E856" s="6">
        <f>IFERROR(__xludf.DUMMYFUNCTION("""COMPUTED_VALUE"""),360.35)</f>
        <v>360.35</v>
      </c>
      <c r="F856" s="7">
        <f>IFERROR(__xludf.DUMMYFUNCTION("""COMPUTED_VALUE"""),6963879.0)</f>
        <v>6963879</v>
      </c>
      <c r="G856" s="7" t="str">
        <f>IFERROR(__xludf.DUMMYFUNCTION("""COMPUTED_VALUE"""),"HINDPETRO.NS")</f>
        <v>HINDPETRO.NS</v>
      </c>
      <c r="H856" s="8">
        <f t="shared" si="1"/>
        <v>0.0009722222222</v>
      </c>
      <c r="I856" s="8">
        <f t="shared" si="2"/>
        <v>0.0009722222222</v>
      </c>
      <c r="J856" s="7" t="str">
        <f t="shared" si="3"/>
        <v>Jan-2025</v>
      </c>
      <c r="K856" s="9">
        <f t="shared" si="4"/>
        <v>45658</v>
      </c>
      <c r="L856" s="7" t="str">
        <f t="shared" si="5"/>
        <v/>
      </c>
      <c r="M856" s="7" t="str">
        <f>IFERROR(__xludf.DUMMYFUNCTION("IFERROR(
  IF(
    F856 &gt;
    3*AVERAGE(
       FILTER($F$2:$F10491,
         $G$2:$G10491=G856,
         $A$2:$A10491&gt;=A856-20,
         $A$2:$A10491&lt;=A856
       )
    ),
    ""VOL_SPIKE_3X"",""""
  ),
"""")
"),"")</f>
        <v/>
      </c>
      <c r="N856" s="7" t="str">
        <f t="shared" si="6"/>
        <v/>
      </c>
      <c r="O856" s="7" t="str">
        <f t="shared" si="7"/>
        <v/>
      </c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>
        <f>IFERROR(__xludf.DUMMYFUNCTION("""COMPUTED_VALUE"""),45677.0)</f>
        <v>45677</v>
      </c>
      <c r="B857" s="6">
        <f>IFERROR(__xludf.DUMMYFUNCTION("""COMPUTED_VALUE"""),128.85)</f>
        <v>128.85</v>
      </c>
      <c r="C857" s="6">
        <f>IFERROR(__xludf.DUMMYFUNCTION("""COMPUTED_VALUE"""),131.18)</f>
        <v>131.18</v>
      </c>
      <c r="D857" s="6">
        <f>IFERROR(__xludf.DUMMYFUNCTION("""COMPUTED_VALUE"""),126.81)</f>
        <v>126.81</v>
      </c>
      <c r="E857" s="6">
        <f>IFERROR(__xludf.DUMMYFUNCTION("""COMPUTED_VALUE"""),130.5)</f>
        <v>130.5</v>
      </c>
      <c r="F857" s="7">
        <f>IFERROR(__xludf.DUMMYFUNCTION("""COMPUTED_VALUE"""),8234561.0)</f>
        <v>8234561</v>
      </c>
      <c r="G857" s="7" t="str">
        <f>IFERROR(__xludf.DUMMYFUNCTION("""COMPUTED_VALUE"""),"IOC.NS")</f>
        <v>IOC.NS</v>
      </c>
      <c r="H857" s="8">
        <f t="shared" si="1"/>
        <v>0.01280558789</v>
      </c>
      <c r="I857" s="8">
        <f t="shared" si="2"/>
        <v>0.01280558789</v>
      </c>
      <c r="J857" s="7" t="str">
        <f t="shared" si="3"/>
        <v>Jan-2025</v>
      </c>
      <c r="K857" s="9">
        <f t="shared" si="4"/>
        <v>45658</v>
      </c>
      <c r="L857" s="7" t="str">
        <f t="shared" si="5"/>
        <v/>
      </c>
      <c r="M857" s="7" t="str">
        <f>IFERROR(__xludf.DUMMYFUNCTION("IFERROR(
  IF(
    F857 &gt;
    3*AVERAGE(
       FILTER($F$2:$F10491,
         $G$2:$G10491=G857,
         $A$2:$A10491&gt;=A857-20,
         $A$2:$A10491&lt;=A857
       )
    ),
    ""VOL_SPIKE_3X"",""""
  ),
"""")
"),"")</f>
        <v/>
      </c>
      <c r="N857" s="7" t="str">
        <f t="shared" si="6"/>
        <v/>
      </c>
      <c r="O857" s="7" t="str">
        <f t="shared" si="7"/>
        <v/>
      </c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>
        <f>IFERROR(__xludf.DUMMYFUNCTION("""COMPUTED_VALUE"""),45677.0)</f>
        <v>45677</v>
      </c>
      <c r="B858" s="6">
        <f>IFERROR(__xludf.DUMMYFUNCTION("""COMPUTED_VALUE"""),326.2)</f>
        <v>326.2</v>
      </c>
      <c r="C858" s="6">
        <f>IFERROR(__xludf.DUMMYFUNCTION("""COMPUTED_VALUE"""),337.0)</f>
        <v>337</v>
      </c>
      <c r="D858" s="6">
        <f>IFERROR(__xludf.DUMMYFUNCTION("""COMPUTED_VALUE"""),324.55)</f>
        <v>324.55</v>
      </c>
      <c r="E858" s="6">
        <f>IFERROR(__xludf.DUMMYFUNCTION("""COMPUTED_VALUE"""),336.05)</f>
        <v>336.05</v>
      </c>
      <c r="F858" s="7">
        <f>IFERROR(__xludf.DUMMYFUNCTION("""COMPUTED_VALUE"""),1.799188E7)</f>
        <v>17991880</v>
      </c>
      <c r="G858" s="7" t="str">
        <f>IFERROR(__xludf.DUMMYFUNCTION("""COMPUTED_VALUE"""),"NTPC.NS")</f>
        <v>NTPC.NS</v>
      </c>
      <c r="H858" s="8">
        <f t="shared" si="1"/>
        <v>0.03019619865</v>
      </c>
      <c r="I858" s="8">
        <f t="shared" si="2"/>
        <v>0.03019619865</v>
      </c>
      <c r="J858" s="7" t="str">
        <f t="shared" si="3"/>
        <v>Jan-2025</v>
      </c>
      <c r="K858" s="9">
        <f t="shared" si="4"/>
        <v>45658</v>
      </c>
      <c r="L858" s="7" t="str">
        <f t="shared" si="5"/>
        <v/>
      </c>
      <c r="M858" s="7" t="str">
        <f>IFERROR(__xludf.DUMMYFUNCTION("IFERROR(
  IF(
    F858 &gt;
    3*AVERAGE(
       FILTER($F$2:$F10491,
         $G$2:$G10491=G858,
         $A$2:$A10491&gt;=A858-20,
         $A$2:$A10491&lt;=A858
       )
    ),
    ""VOL_SPIKE_3X"",""""
  ),
"""")
"),"")</f>
        <v/>
      </c>
      <c r="N858" s="7" t="str">
        <f t="shared" si="6"/>
        <v/>
      </c>
      <c r="O858" s="7" t="str">
        <f t="shared" si="7"/>
        <v/>
      </c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>
        <f>IFERROR(__xludf.DUMMYFUNCTION("""COMPUTED_VALUE"""),45677.0)</f>
        <v>45677</v>
      </c>
      <c r="B859" s="6">
        <f>IFERROR(__xludf.DUMMYFUNCTION("""COMPUTED_VALUE"""),268.1)</f>
        <v>268.1</v>
      </c>
      <c r="C859" s="6">
        <f>IFERROR(__xludf.DUMMYFUNCTION("""COMPUTED_VALUE"""),270.47)</f>
        <v>270.47</v>
      </c>
      <c r="D859" s="6">
        <f>IFERROR(__xludf.DUMMYFUNCTION("""COMPUTED_VALUE"""),265.01)</f>
        <v>265.01</v>
      </c>
      <c r="E859" s="6">
        <f>IFERROR(__xludf.DUMMYFUNCTION("""COMPUTED_VALUE"""),269.36)</f>
        <v>269.36</v>
      </c>
      <c r="F859" s="7">
        <f>IFERROR(__xludf.DUMMYFUNCTION("""COMPUTED_VALUE"""),9676264.0)</f>
        <v>9676264</v>
      </c>
      <c r="G859" s="7" t="str">
        <f>IFERROR(__xludf.DUMMYFUNCTION("""COMPUTED_VALUE"""),"ONGC.NS")</f>
        <v>ONGC.NS</v>
      </c>
      <c r="H859" s="8">
        <f t="shared" si="1"/>
        <v>0.004699738903</v>
      </c>
      <c r="I859" s="8">
        <f t="shared" si="2"/>
        <v>0.004699738903</v>
      </c>
      <c r="J859" s="7" t="str">
        <f t="shared" si="3"/>
        <v>Jan-2025</v>
      </c>
      <c r="K859" s="9">
        <f t="shared" si="4"/>
        <v>45658</v>
      </c>
      <c r="L859" s="7" t="str">
        <f t="shared" si="5"/>
        <v/>
      </c>
      <c r="M859" s="7" t="str">
        <f>IFERROR(__xludf.DUMMYFUNCTION("IFERROR(
  IF(
    F859 &gt;
    3*AVERAGE(
       FILTER($F$2:$F10491,
         $G$2:$G10491=G859,
         $A$2:$A10491&gt;=A859-20,
         $A$2:$A10491&lt;=A859
       )
    ),
    ""VOL_SPIKE_3X"",""""
  ),
"""")
"),"")</f>
        <v/>
      </c>
      <c r="N859" s="7" t="str">
        <f t="shared" si="6"/>
        <v/>
      </c>
      <c r="O859" s="7" t="str">
        <f t="shared" si="7"/>
        <v/>
      </c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>
        <f>IFERROR(__xludf.DUMMYFUNCTION("""COMPUTED_VALUE"""),45677.0)</f>
        <v>45677</v>
      </c>
      <c r="B860" s="6">
        <f>IFERROR(__xludf.DUMMYFUNCTION("""COMPUTED_VALUE"""),302.6)</f>
        <v>302.6</v>
      </c>
      <c r="C860" s="6">
        <f>IFERROR(__xludf.DUMMYFUNCTION("""COMPUTED_VALUE"""),308.8)</f>
        <v>308.8</v>
      </c>
      <c r="D860" s="6">
        <f>IFERROR(__xludf.DUMMYFUNCTION("""COMPUTED_VALUE"""),301.95)</f>
        <v>301.95</v>
      </c>
      <c r="E860" s="6">
        <f>IFERROR(__xludf.DUMMYFUNCTION("""COMPUTED_VALUE"""),306.25)</f>
        <v>306.25</v>
      </c>
      <c r="F860" s="7">
        <f>IFERROR(__xludf.DUMMYFUNCTION("""COMPUTED_VALUE"""),9435937.0)</f>
        <v>9435937</v>
      </c>
      <c r="G860" s="7" t="str">
        <f>IFERROR(__xludf.DUMMYFUNCTION("""COMPUTED_VALUE"""),"POWERGRID.NS")</f>
        <v>POWERGRID.NS</v>
      </c>
      <c r="H860" s="8">
        <f t="shared" si="1"/>
        <v>0.01206212822</v>
      </c>
      <c r="I860" s="8">
        <f t="shared" si="2"/>
        <v>0.01206212822</v>
      </c>
      <c r="J860" s="7" t="str">
        <f t="shared" si="3"/>
        <v>Jan-2025</v>
      </c>
      <c r="K860" s="9">
        <f t="shared" si="4"/>
        <v>45658</v>
      </c>
      <c r="L860" s="7" t="str">
        <f t="shared" si="5"/>
        <v/>
      </c>
      <c r="M860" s="7" t="str">
        <f>IFERROR(__xludf.DUMMYFUNCTION("IFERROR(
  IF(
    F860 &gt;
    3*AVERAGE(
       FILTER($F$2:$F10491,
         $G$2:$G10491=G860,
         $A$2:$A10491&gt;=A860-20,
         $A$2:$A10491&lt;=A860
       )
    ),
    ""VOL_SPIKE_3X"",""""
  ),
"""")
"),"")</f>
        <v/>
      </c>
      <c r="N860" s="7" t="str">
        <f t="shared" si="6"/>
        <v/>
      </c>
      <c r="O860" s="7" t="str">
        <f t="shared" si="7"/>
        <v/>
      </c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>
        <f>IFERROR(__xludf.DUMMYFUNCTION("""COMPUTED_VALUE"""),45677.0)</f>
        <v>45677</v>
      </c>
      <c r="B861" s="6">
        <f>IFERROR(__xludf.DUMMYFUNCTION("""COMPUTED_VALUE"""),1316.0)</f>
        <v>1316</v>
      </c>
      <c r="C861" s="6">
        <f>IFERROR(__xludf.DUMMYFUNCTION("""COMPUTED_VALUE"""),1316.0)</f>
        <v>1316</v>
      </c>
      <c r="D861" s="6">
        <f>IFERROR(__xludf.DUMMYFUNCTION("""COMPUTED_VALUE"""),1300.25)</f>
        <v>1300.25</v>
      </c>
      <c r="E861" s="6">
        <f>IFERROR(__xludf.DUMMYFUNCTION("""COMPUTED_VALUE"""),1305.45)</f>
        <v>1305.45</v>
      </c>
      <c r="F861" s="7">
        <f>IFERROR(__xludf.DUMMYFUNCTION("""COMPUTED_VALUE"""),1.4040244E7)</f>
        <v>14040244</v>
      </c>
      <c r="G861" s="7" t="str">
        <f>IFERROR(__xludf.DUMMYFUNCTION("""COMPUTED_VALUE"""),"RELIANCE.NS")</f>
        <v>RELIANCE.NS</v>
      </c>
      <c r="H861" s="8">
        <f t="shared" si="1"/>
        <v>-0.008016717325</v>
      </c>
      <c r="I861" s="8">
        <f t="shared" si="2"/>
        <v>0.008016717325</v>
      </c>
      <c r="J861" s="7" t="str">
        <f t="shared" si="3"/>
        <v>Jan-2025</v>
      </c>
      <c r="K861" s="9">
        <f t="shared" si="4"/>
        <v>45658</v>
      </c>
      <c r="L861" s="7" t="str">
        <f t="shared" si="5"/>
        <v/>
      </c>
      <c r="M861" s="7" t="str">
        <f>IFERROR(__xludf.DUMMYFUNCTION("IFERROR(
  IF(
    F861 &gt;
    3*AVERAGE(
       FILTER($F$2:$F10491,
         $G$2:$G10491=G861,
         $A$2:$A10491&gt;=A861-20,
         $A$2:$A10491&lt;=A861
       )
    ),
    ""VOL_SPIKE_3X"",""""
  ),
"""")
"),"")</f>
        <v/>
      </c>
      <c r="N861" s="7" t="str">
        <f t="shared" si="6"/>
        <v/>
      </c>
      <c r="O861" s="7" t="str">
        <f t="shared" si="7"/>
        <v/>
      </c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>
        <f>IFERROR(__xludf.DUMMYFUNCTION("""COMPUTED_VALUE"""),45678.0)</f>
        <v>45678</v>
      </c>
      <c r="B862" s="6">
        <f>IFERROR(__xludf.DUMMYFUNCTION("""COMPUTED_VALUE"""),819.0)</f>
        <v>819</v>
      </c>
      <c r="C862" s="6">
        <f>IFERROR(__xludf.DUMMYFUNCTION("""COMPUTED_VALUE"""),826.65)</f>
        <v>826.65</v>
      </c>
      <c r="D862" s="6">
        <f>IFERROR(__xludf.DUMMYFUNCTION("""COMPUTED_VALUE"""),803.2)</f>
        <v>803.2</v>
      </c>
      <c r="E862" s="6">
        <f>IFERROR(__xludf.DUMMYFUNCTION("""COMPUTED_VALUE"""),813.35)</f>
        <v>813.35</v>
      </c>
      <c r="F862" s="7">
        <f>IFERROR(__xludf.DUMMYFUNCTION("""COMPUTED_VALUE"""),3026174.0)</f>
        <v>3026174</v>
      </c>
      <c r="G862" s="7" t="str">
        <f>IFERROR(__xludf.DUMMYFUNCTION("""COMPUTED_VALUE"""),"ADANIENSOL.NS")</f>
        <v>ADANIENSOL.NS</v>
      </c>
      <c r="H862" s="8">
        <f t="shared" si="1"/>
        <v>-0.006898656899</v>
      </c>
      <c r="I862" s="8">
        <f t="shared" si="2"/>
        <v>0.006898656899</v>
      </c>
      <c r="J862" s="7" t="str">
        <f t="shared" si="3"/>
        <v>Jan-2025</v>
      </c>
      <c r="K862" s="9">
        <f t="shared" si="4"/>
        <v>45658</v>
      </c>
      <c r="L862" s="7" t="str">
        <f t="shared" si="5"/>
        <v/>
      </c>
      <c r="M862" s="7" t="str">
        <f>IFERROR(__xludf.DUMMYFUNCTION("IFERROR(
  IF(
    F862 &gt;
    3*AVERAGE(
       FILTER($F$2:$F10491,
         $G$2:$G10491=G862,
         $A$2:$A10491&gt;=A862-20,
         $A$2:$A10491&lt;=A862
       )
    ),
    ""VOL_SPIKE_3X"",""""
  ),
"""")
"),"")</f>
        <v/>
      </c>
      <c r="N862" s="7" t="str">
        <f t="shared" si="6"/>
        <v/>
      </c>
      <c r="O862" s="7" t="str">
        <f t="shared" si="7"/>
        <v/>
      </c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>
        <f>IFERROR(__xludf.DUMMYFUNCTION("""COMPUTED_VALUE"""),45678.0)</f>
        <v>45678</v>
      </c>
      <c r="B863" s="6">
        <f>IFERROR(__xludf.DUMMYFUNCTION("""COMPUTED_VALUE"""),1063.3)</f>
        <v>1063.3</v>
      </c>
      <c r="C863" s="6">
        <f>IFERROR(__xludf.DUMMYFUNCTION("""COMPUTED_VALUE"""),1070.0)</f>
        <v>1070</v>
      </c>
      <c r="D863" s="6">
        <f>IFERROR(__xludf.DUMMYFUNCTION("""COMPUTED_VALUE"""),1037.75)</f>
        <v>1037.75</v>
      </c>
      <c r="E863" s="6">
        <f>IFERROR(__xludf.DUMMYFUNCTION("""COMPUTED_VALUE"""),1045.7)</f>
        <v>1045.7</v>
      </c>
      <c r="F863" s="7">
        <f>IFERROR(__xludf.DUMMYFUNCTION("""COMPUTED_VALUE"""),1985986.0)</f>
        <v>1985986</v>
      </c>
      <c r="G863" s="7" t="str">
        <f>IFERROR(__xludf.DUMMYFUNCTION("""COMPUTED_VALUE"""),"ADANIGREEN.NS")</f>
        <v>ADANIGREEN.NS</v>
      </c>
      <c r="H863" s="8">
        <f t="shared" si="1"/>
        <v>-0.01655224302</v>
      </c>
      <c r="I863" s="8">
        <f t="shared" si="2"/>
        <v>0.01655224302</v>
      </c>
      <c r="J863" s="7" t="str">
        <f t="shared" si="3"/>
        <v>Jan-2025</v>
      </c>
      <c r="K863" s="9">
        <f t="shared" si="4"/>
        <v>45658</v>
      </c>
      <c r="L863" s="7" t="str">
        <f t="shared" si="5"/>
        <v/>
      </c>
      <c r="M863" s="7" t="str">
        <f>IFERROR(__xludf.DUMMYFUNCTION("IFERROR(
  IF(
    F863 &gt;
    3*AVERAGE(
       FILTER($F$2:$F10491,
         $G$2:$G10491=G863,
         $A$2:$A10491&gt;=A863-20,
         $A$2:$A10491&lt;=A863
       )
    ),
    ""VOL_SPIKE_3X"",""""
  ),
"""")
"),"")</f>
        <v/>
      </c>
      <c r="N863" s="7" t="str">
        <f t="shared" si="6"/>
        <v/>
      </c>
      <c r="O863" s="7" t="str">
        <f t="shared" si="7"/>
        <v/>
      </c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>
        <f>IFERROR(__xludf.DUMMYFUNCTION("""COMPUTED_VALUE"""),45678.0)</f>
        <v>45678</v>
      </c>
      <c r="B864" s="6">
        <f>IFERROR(__xludf.DUMMYFUNCTION("""COMPUTED_VALUE"""),278.55)</f>
        <v>278.55</v>
      </c>
      <c r="C864" s="6">
        <f>IFERROR(__xludf.DUMMYFUNCTION("""COMPUTED_VALUE"""),287.0)</f>
        <v>287</v>
      </c>
      <c r="D864" s="6">
        <f>IFERROR(__xludf.DUMMYFUNCTION("""COMPUTED_VALUE"""),278.15)</f>
        <v>278.15</v>
      </c>
      <c r="E864" s="6">
        <f>IFERROR(__xludf.DUMMYFUNCTION("""COMPUTED_VALUE"""),280.2)</f>
        <v>280.2</v>
      </c>
      <c r="F864" s="7">
        <f>IFERROR(__xludf.DUMMYFUNCTION("""COMPUTED_VALUE"""),1.5304149E7)</f>
        <v>15304149</v>
      </c>
      <c r="G864" s="7" t="str">
        <f>IFERROR(__xludf.DUMMYFUNCTION("""COMPUTED_VALUE"""),"BPCL.NS")</f>
        <v>BPCL.NS</v>
      </c>
      <c r="H864" s="8">
        <f t="shared" si="1"/>
        <v>0.005923532579</v>
      </c>
      <c r="I864" s="8">
        <f t="shared" si="2"/>
        <v>0.005923532579</v>
      </c>
      <c r="J864" s="7" t="str">
        <f t="shared" si="3"/>
        <v>Jan-2025</v>
      </c>
      <c r="K864" s="9">
        <f t="shared" si="4"/>
        <v>45658</v>
      </c>
      <c r="L864" s="7" t="str">
        <f t="shared" si="5"/>
        <v/>
      </c>
      <c r="M864" s="7" t="str">
        <f>IFERROR(__xludf.DUMMYFUNCTION("IFERROR(
  IF(
    F864 &gt;
    3*AVERAGE(
       FILTER($F$2:$F10491,
         $G$2:$G10491=G864,
         $A$2:$A10491&gt;=A864-20,
         $A$2:$A10491&lt;=A864
       )
    ),
    ""VOL_SPIKE_3X"",""""
  ),
"""")
"),"")</f>
        <v/>
      </c>
      <c r="N864" s="7" t="str">
        <f t="shared" si="6"/>
        <v/>
      </c>
      <c r="O864" s="7" t="str">
        <f t="shared" si="7"/>
        <v/>
      </c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>
        <f>IFERROR(__xludf.DUMMYFUNCTION("""COMPUTED_VALUE"""),45678.0)</f>
        <v>45678</v>
      </c>
      <c r="B865" s="6">
        <f>IFERROR(__xludf.DUMMYFUNCTION("""COMPUTED_VALUE"""),388.0)</f>
        <v>388</v>
      </c>
      <c r="C865" s="6">
        <f>IFERROR(__xludf.DUMMYFUNCTION("""COMPUTED_VALUE"""),389.65)</f>
        <v>389.65</v>
      </c>
      <c r="D865" s="6">
        <f>IFERROR(__xludf.DUMMYFUNCTION("""COMPUTED_VALUE"""),381.0)</f>
        <v>381</v>
      </c>
      <c r="E865" s="6">
        <f>IFERROR(__xludf.DUMMYFUNCTION("""COMPUTED_VALUE"""),381.55)</f>
        <v>381.55</v>
      </c>
      <c r="F865" s="7">
        <f>IFERROR(__xludf.DUMMYFUNCTION("""COMPUTED_VALUE"""),2.0854879E7)</f>
        <v>20854879</v>
      </c>
      <c r="G865" s="7" t="str">
        <f>IFERROR(__xludf.DUMMYFUNCTION("""COMPUTED_VALUE"""),"COALINDIA.NS")</f>
        <v>COALINDIA.NS</v>
      </c>
      <c r="H865" s="8">
        <f t="shared" si="1"/>
        <v>-0.01662371134</v>
      </c>
      <c r="I865" s="8">
        <f t="shared" si="2"/>
        <v>0.01662371134</v>
      </c>
      <c r="J865" s="7" t="str">
        <f t="shared" si="3"/>
        <v>Jan-2025</v>
      </c>
      <c r="K865" s="9">
        <f t="shared" si="4"/>
        <v>45658</v>
      </c>
      <c r="L865" s="7" t="str">
        <f t="shared" si="5"/>
        <v/>
      </c>
      <c r="M865" s="7" t="str">
        <f>IFERROR(__xludf.DUMMYFUNCTION("IFERROR(
  IF(
    F865 &gt;
    3*AVERAGE(
       FILTER($F$2:$F10491,
         $G$2:$G10491=G865,
         $A$2:$A10491&gt;=A865-20,
         $A$2:$A10491&lt;=A865
       )
    ),
    ""VOL_SPIKE_3X"",""""
  ),
"""")
"),"")</f>
        <v/>
      </c>
      <c r="N865" s="7" t="str">
        <f t="shared" si="6"/>
        <v/>
      </c>
      <c r="O865" s="7" t="str">
        <f t="shared" si="7"/>
        <v/>
      </c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>
        <f>IFERROR(__xludf.DUMMYFUNCTION("""COMPUTED_VALUE"""),45678.0)</f>
        <v>45678</v>
      </c>
      <c r="B866" s="6">
        <f>IFERROR(__xludf.DUMMYFUNCTION("""COMPUTED_VALUE"""),363.0)</f>
        <v>363</v>
      </c>
      <c r="C866" s="6">
        <f>IFERROR(__xludf.DUMMYFUNCTION("""COMPUTED_VALUE"""),372.4)</f>
        <v>372.4</v>
      </c>
      <c r="D866" s="6">
        <f>IFERROR(__xludf.DUMMYFUNCTION("""COMPUTED_VALUE"""),358.0)</f>
        <v>358</v>
      </c>
      <c r="E866" s="6">
        <f>IFERROR(__xludf.DUMMYFUNCTION("""COMPUTED_VALUE"""),369.95)</f>
        <v>369.95</v>
      </c>
      <c r="F866" s="7">
        <f>IFERROR(__xludf.DUMMYFUNCTION("""COMPUTED_VALUE"""),1.2344913E7)</f>
        <v>12344913</v>
      </c>
      <c r="G866" s="7" t="str">
        <f>IFERROR(__xludf.DUMMYFUNCTION("""COMPUTED_VALUE"""),"HINDPETRO.NS")</f>
        <v>HINDPETRO.NS</v>
      </c>
      <c r="H866" s="8">
        <f t="shared" si="1"/>
        <v>0.01914600551</v>
      </c>
      <c r="I866" s="8">
        <f t="shared" si="2"/>
        <v>0.01914600551</v>
      </c>
      <c r="J866" s="7" t="str">
        <f t="shared" si="3"/>
        <v>Jan-2025</v>
      </c>
      <c r="K866" s="9">
        <f t="shared" si="4"/>
        <v>45658</v>
      </c>
      <c r="L866" s="7" t="str">
        <f t="shared" si="5"/>
        <v/>
      </c>
      <c r="M866" s="7" t="str">
        <f>IFERROR(__xludf.DUMMYFUNCTION("IFERROR(
  IF(
    F866 &gt;
    3*AVERAGE(
       FILTER($F$2:$F10491,
         $G$2:$G10491=G866,
         $A$2:$A10491&gt;=A866-20,
         $A$2:$A10491&lt;=A866
       )
    ),
    ""VOL_SPIKE_3X"",""""
  ),
"""")
"),"")</f>
        <v/>
      </c>
      <c r="N866" s="7" t="str">
        <f t="shared" si="6"/>
        <v/>
      </c>
      <c r="O866" s="7" t="str">
        <f t="shared" si="7"/>
        <v/>
      </c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>
        <f>IFERROR(__xludf.DUMMYFUNCTION("""COMPUTED_VALUE"""),45678.0)</f>
        <v>45678</v>
      </c>
      <c r="B867" s="6">
        <f>IFERROR(__xludf.DUMMYFUNCTION("""COMPUTED_VALUE"""),131.7)</f>
        <v>131.7</v>
      </c>
      <c r="C867" s="6">
        <f>IFERROR(__xludf.DUMMYFUNCTION("""COMPUTED_VALUE"""),133.66)</f>
        <v>133.66</v>
      </c>
      <c r="D867" s="6">
        <f>IFERROR(__xludf.DUMMYFUNCTION("""COMPUTED_VALUE"""),130.65)</f>
        <v>130.65</v>
      </c>
      <c r="E867" s="6">
        <f>IFERROR(__xludf.DUMMYFUNCTION("""COMPUTED_VALUE"""),131.08)</f>
        <v>131.08</v>
      </c>
      <c r="F867" s="7">
        <f>IFERROR(__xludf.DUMMYFUNCTION("""COMPUTED_VALUE"""),2.0272605E7)</f>
        <v>20272605</v>
      </c>
      <c r="G867" s="7" t="str">
        <f>IFERROR(__xludf.DUMMYFUNCTION("""COMPUTED_VALUE"""),"IOC.NS")</f>
        <v>IOC.NS</v>
      </c>
      <c r="H867" s="8">
        <f t="shared" si="1"/>
        <v>-0.004707668945</v>
      </c>
      <c r="I867" s="8">
        <f t="shared" si="2"/>
        <v>0.004707668945</v>
      </c>
      <c r="J867" s="7" t="str">
        <f t="shared" si="3"/>
        <v>Jan-2025</v>
      </c>
      <c r="K867" s="9">
        <f t="shared" si="4"/>
        <v>45658</v>
      </c>
      <c r="L867" s="7" t="str">
        <f t="shared" si="5"/>
        <v/>
      </c>
      <c r="M867" s="7" t="str">
        <f>IFERROR(__xludf.DUMMYFUNCTION("IFERROR(
  IF(
    F867 &gt;
    3*AVERAGE(
       FILTER($F$2:$F10491,
         $G$2:$G10491=G867,
         $A$2:$A10491&gt;=A867-20,
         $A$2:$A10491&lt;=A867
       )
    ),
    ""VOL_SPIKE_3X"",""""
  ),
"""")
"),"")</f>
        <v/>
      </c>
      <c r="N867" s="7" t="str">
        <f t="shared" si="6"/>
        <v/>
      </c>
      <c r="O867" s="7" t="str">
        <f t="shared" si="7"/>
        <v/>
      </c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>
        <f>IFERROR(__xludf.DUMMYFUNCTION("""COMPUTED_VALUE"""),45678.0)</f>
        <v>45678</v>
      </c>
      <c r="B868" s="6">
        <f>IFERROR(__xludf.DUMMYFUNCTION("""COMPUTED_VALUE"""),337.8)</f>
        <v>337.8</v>
      </c>
      <c r="C868" s="6">
        <f>IFERROR(__xludf.DUMMYFUNCTION("""COMPUTED_VALUE"""),338.25)</f>
        <v>338.25</v>
      </c>
      <c r="D868" s="6">
        <f>IFERROR(__xludf.DUMMYFUNCTION("""COMPUTED_VALUE"""),323.8)</f>
        <v>323.8</v>
      </c>
      <c r="E868" s="6">
        <f>IFERROR(__xludf.DUMMYFUNCTION("""COMPUTED_VALUE"""),324.3)</f>
        <v>324.3</v>
      </c>
      <c r="F868" s="7">
        <f>IFERROR(__xludf.DUMMYFUNCTION("""COMPUTED_VALUE"""),1.277463E7)</f>
        <v>12774630</v>
      </c>
      <c r="G868" s="7" t="str">
        <f>IFERROR(__xludf.DUMMYFUNCTION("""COMPUTED_VALUE"""),"NTPC.NS")</f>
        <v>NTPC.NS</v>
      </c>
      <c r="H868" s="8">
        <f t="shared" si="1"/>
        <v>-0.03996447602</v>
      </c>
      <c r="I868" s="8">
        <f t="shared" si="2"/>
        <v>0.03996447602</v>
      </c>
      <c r="J868" s="7" t="str">
        <f t="shared" si="3"/>
        <v>Jan-2025</v>
      </c>
      <c r="K868" s="9">
        <f t="shared" si="4"/>
        <v>45658</v>
      </c>
      <c r="L868" s="7" t="str">
        <f t="shared" si="5"/>
        <v/>
      </c>
      <c r="M868" s="7" t="str">
        <f>IFERROR(__xludf.DUMMYFUNCTION("IFERROR(
  IF(
    F868 &gt;
    3*AVERAGE(
       FILTER($F$2:$F10491,
         $G$2:$G10491=G868,
         $A$2:$A10491&gt;=A868-20,
         $A$2:$A10491&lt;=A868
       )
    ),
    ""VOL_SPIKE_3X"",""""
  ),
"""")
"),"")</f>
        <v/>
      </c>
      <c r="N868" s="7" t="str">
        <f t="shared" si="6"/>
        <v/>
      </c>
      <c r="O868" s="7" t="str">
        <f t="shared" si="7"/>
        <v/>
      </c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>
        <f>IFERROR(__xludf.DUMMYFUNCTION("""COMPUTED_VALUE"""),45678.0)</f>
        <v>45678</v>
      </c>
      <c r="B869" s="6">
        <f>IFERROR(__xludf.DUMMYFUNCTION("""COMPUTED_VALUE"""),268.05)</f>
        <v>268.05</v>
      </c>
      <c r="C869" s="6">
        <f>IFERROR(__xludf.DUMMYFUNCTION("""COMPUTED_VALUE"""),269.35)</f>
        <v>269.35</v>
      </c>
      <c r="D869" s="6">
        <f>IFERROR(__xludf.DUMMYFUNCTION("""COMPUTED_VALUE"""),264.81)</f>
        <v>264.81</v>
      </c>
      <c r="E869" s="6">
        <f>IFERROR(__xludf.DUMMYFUNCTION("""COMPUTED_VALUE"""),265.8)</f>
        <v>265.8</v>
      </c>
      <c r="F869" s="7">
        <f>IFERROR(__xludf.DUMMYFUNCTION("""COMPUTED_VALUE"""),8989218.0)</f>
        <v>8989218</v>
      </c>
      <c r="G869" s="7" t="str">
        <f>IFERROR(__xludf.DUMMYFUNCTION("""COMPUTED_VALUE"""),"ONGC.NS")</f>
        <v>ONGC.NS</v>
      </c>
      <c r="H869" s="8">
        <f t="shared" si="1"/>
        <v>-0.008393956351</v>
      </c>
      <c r="I869" s="8">
        <f t="shared" si="2"/>
        <v>0.008393956351</v>
      </c>
      <c r="J869" s="7" t="str">
        <f t="shared" si="3"/>
        <v>Jan-2025</v>
      </c>
      <c r="K869" s="9">
        <f t="shared" si="4"/>
        <v>45658</v>
      </c>
      <c r="L869" s="7" t="str">
        <f t="shared" si="5"/>
        <v/>
      </c>
      <c r="M869" s="7" t="str">
        <f>IFERROR(__xludf.DUMMYFUNCTION("IFERROR(
  IF(
    F869 &gt;
    3*AVERAGE(
       FILTER($F$2:$F10491,
         $G$2:$G10491=G869,
         $A$2:$A10491&gt;=A869-20,
         $A$2:$A10491&lt;=A869
       )
    ),
    ""VOL_SPIKE_3X"",""""
  ),
"""")
"),"")</f>
        <v/>
      </c>
      <c r="N869" s="7" t="str">
        <f t="shared" si="6"/>
        <v/>
      </c>
      <c r="O869" s="7" t="str">
        <f t="shared" si="7"/>
        <v/>
      </c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>
        <f>IFERROR(__xludf.DUMMYFUNCTION("""COMPUTED_VALUE"""),45678.0)</f>
        <v>45678</v>
      </c>
      <c r="B870" s="6">
        <f>IFERROR(__xludf.DUMMYFUNCTION("""COMPUTED_VALUE"""),307.0)</f>
        <v>307</v>
      </c>
      <c r="C870" s="6">
        <f>IFERROR(__xludf.DUMMYFUNCTION("""COMPUTED_VALUE"""),309.95)</f>
        <v>309.95</v>
      </c>
      <c r="D870" s="6">
        <f>IFERROR(__xludf.DUMMYFUNCTION("""COMPUTED_VALUE"""),301.5)</f>
        <v>301.5</v>
      </c>
      <c r="E870" s="6">
        <f>IFERROR(__xludf.DUMMYFUNCTION("""COMPUTED_VALUE"""),302.35)</f>
        <v>302.35</v>
      </c>
      <c r="F870" s="7">
        <f>IFERROR(__xludf.DUMMYFUNCTION("""COMPUTED_VALUE"""),1.3911546E7)</f>
        <v>13911546</v>
      </c>
      <c r="G870" s="7" t="str">
        <f>IFERROR(__xludf.DUMMYFUNCTION("""COMPUTED_VALUE"""),"POWERGRID.NS")</f>
        <v>POWERGRID.NS</v>
      </c>
      <c r="H870" s="8">
        <f t="shared" si="1"/>
        <v>-0.0151465798</v>
      </c>
      <c r="I870" s="8">
        <f t="shared" si="2"/>
        <v>0.0151465798</v>
      </c>
      <c r="J870" s="7" t="str">
        <f t="shared" si="3"/>
        <v>Jan-2025</v>
      </c>
      <c r="K870" s="9">
        <f t="shared" si="4"/>
        <v>45658</v>
      </c>
      <c r="L870" s="7" t="str">
        <f t="shared" si="5"/>
        <v/>
      </c>
      <c r="M870" s="7" t="str">
        <f>IFERROR(__xludf.DUMMYFUNCTION("IFERROR(
  IF(
    F870 &gt;
    3*AVERAGE(
       FILTER($F$2:$F10491,
         $G$2:$G10491=G870,
         $A$2:$A10491&gt;=A870-20,
         $A$2:$A10491&lt;=A870
       )
    ),
    ""VOL_SPIKE_3X"",""""
  ),
"""")
"),"")</f>
        <v/>
      </c>
      <c r="N870" s="7" t="str">
        <f t="shared" si="6"/>
        <v/>
      </c>
      <c r="O870" s="7" t="str">
        <f t="shared" si="7"/>
        <v/>
      </c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>
        <f>IFERROR(__xludf.DUMMYFUNCTION("""COMPUTED_VALUE"""),45678.0)</f>
        <v>45678</v>
      </c>
      <c r="B871" s="6">
        <f>IFERROR(__xludf.DUMMYFUNCTION("""COMPUTED_VALUE"""),1310.5)</f>
        <v>1310.5</v>
      </c>
      <c r="C871" s="6">
        <f>IFERROR(__xludf.DUMMYFUNCTION("""COMPUTED_VALUE"""),1313.0)</f>
        <v>1313</v>
      </c>
      <c r="D871" s="6">
        <f>IFERROR(__xludf.DUMMYFUNCTION("""COMPUTED_VALUE"""),1270.2)</f>
        <v>1270.2</v>
      </c>
      <c r="E871" s="6">
        <f>IFERROR(__xludf.DUMMYFUNCTION("""COMPUTED_VALUE"""),1273.7)</f>
        <v>1273.7</v>
      </c>
      <c r="F871" s="7">
        <f>IFERROR(__xludf.DUMMYFUNCTION("""COMPUTED_VALUE"""),1.4562976E7)</f>
        <v>14562976</v>
      </c>
      <c r="G871" s="7" t="str">
        <f>IFERROR(__xludf.DUMMYFUNCTION("""COMPUTED_VALUE"""),"RELIANCE.NS")</f>
        <v>RELIANCE.NS</v>
      </c>
      <c r="H871" s="8">
        <f t="shared" si="1"/>
        <v>-0.02808088516</v>
      </c>
      <c r="I871" s="8">
        <f t="shared" si="2"/>
        <v>0.02808088516</v>
      </c>
      <c r="J871" s="7" t="str">
        <f t="shared" si="3"/>
        <v>Jan-2025</v>
      </c>
      <c r="K871" s="9">
        <f t="shared" si="4"/>
        <v>45658</v>
      </c>
      <c r="L871" s="7" t="str">
        <f t="shared" si="5"/>
        <v/>
      </c>
      <c r="M871" s="7" t="str">
        <f>IFERROR(__xludf.DUMMYFUNCTION("IFERROR(
  IF(
    F871 &gt;
    3*AVERAGE(
       FILTER($F$2:$F10491,
         $G$2:$G10491=G871,
         $A$2:$A10491&gt;=A871-20,
         $A$2:$A10491&lt;=A871
       )
    ),
    ""VOL_SPIKE_3X"",""""
  ),
"""")
"),"")</f>
        <v/>
      </c>
      <c r="N871" s="7" t="str">
        <f t="shared" si="6"/>
        <v/>
      </c>
      <c r="O871" s="7" t="str">
        <f t="shared" si="7"/>
        <v/>
      </c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>
        <f>IFERROR(__xludf.DUMMYFUNCTION("""COMPUTED_VALUE"""),45679.0)</f>
        <v>45679</v>
      </c>
      <c r="B872" s="6">
        <f>IFERROR(__xludf.DUMMYFUNCTION("""COMPUTED_VALUE"""),825.0)</f>
        <v>825</v>
      </c>
      <c r="C872" s="6">
        <f>IFERROR(__xludf.DUMMYFUNCTION("""COMPUTED_VALUE"""),827.35)</f>
        <v>827.35</v>
      </c>
      <c r="D872" s="6">
        <f>IFERROR(__xludf.DUMMYFUNCTION("""COMPUTED_VALUE"""),785.1)</f>
        <v>785.1</v>
      </c>
      <c r="E872" s="6">
        <f>IFERROR(__xludf.DUMMYFUNCTION("""COMPUTED_VALUE"""),802.8)</f>
        <v>802.8</v>
      </c>
      <c r="F872" s="7">
        <f>IFERROR(__xludf.DUMMYFUNCTION("""COMPUTED_VALUE"""),2316536.0)</f>
        <v>2316536</v>
      </c>
      <c r="G872" s="7" t="str">
        <f>IFERROR(__xludf.DUMMYFUNCTION("""COMPUTED_VALUE"""),"ADANIENSOL.NS")</f>
        <v>ADANIENSOL.NS</v>
      </c>
      <c r="H872" s="8">
        <f t="shared" si="1"/>
        <v>-0.02690909091</v>
      </c>
      <c r="I872" s="8">
        <f t="shared" si="2"/>
        <v>0.02690909091</v>
      </c>
      <c r="J872" s="7" t="str">
        <f t="shared" si="3"/>
        <v>Jan-2025</v>
      </c>
      <c r="K872" s="9">
        <f t="shared" si="4"/>
        <v>45658</v>
      </c>
      <c r="L872" s="7" t="str">
        <f t="shared" si="5"/>
        <v/>
      </c>
      <c r="M872" s="7" t="str">
        <f>IFERROR(__xludf.DUMMYFUNCTION("IFERROR(
  IF(
    F872 &gt;
    3*AVERAGE(
       FILTER($F$2:$F10491,
         $G$2:$G10491=G872,
         $A$2:$A10491&gt;=A872-20,
         $A$2:$A10491&lt;=A872
       )
    ),
    ""VOL_SPIKE_3X"",""""
  ),
"""")
"),"")</f>
        <v/>
      </c>
      <c r="N872" s="7" t="str">
        <f t="shared" si="6"/>
        <v/>
      </c>
      <c r="O872" s="7" t="str">
        <f t="shared" si="7"/>
        <v/>
      </c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>
        <f>IFERROR(__xludf.DUMMYFUNCTION("""COMPUTED_VALUE"""),45679.0)</f>
        <v>45679</v>
      </c>
      <c r="B873" s="6">
        <f>IFERROR(__xludf.DUMMYFUNCTION("""COMPUTED_VALUE"""),1040.0)</f>
        <v>1040</v>
      </c>
      <c r="C873" s="6">
        <f>IFERROR(__xludf.DUMMYFUNCTION("""COMPUTED_VALUE"""),1042.8)</f>
        <v>1042.8</v>
      </c>
      <c r="D873" s="6">
        <f>IFERROR(__xludf.DUMMYFUNCTION("""COMPUTED_VALUE"""),1007.0)</f>
        <v>1007</v>
      </c>
      <c r="E873" s="6">
        <f>IFERROR(__xludf.DUMMYFUNCTION("""COMPUTED_VALUE"""),1031.7)</f>
        <v>1031.7</v>
      </c>
      <c r="F873" s="7">
        <f>IFERROR(__xludf.DUMMYFUNCTION("""COMPUTED_VALUE"""),2656247.0)</f>
        <v>2656247</v>
      </c>
      <c r="G873" s="7" t="str">
        <f>IFERROR(__xludf.DUMMYFUNCTION("""COMPUTED_VALUE"""),"ADANIGREEN.NS")</f>
        <v>ADANIGREEN.NS</v>
      </c>
      <c r="H873" s="8">
        <f t="shared" si="1"/>
        <v>-0.007980769231</v>
      </c>
      <c r="I873" s="8">
        <f t="shared" si="2"/>
        <v>0.007980769231</v>
      </c>
      <c r="J873" s="7" t="str">
        <f t="shared" si="3"/>
        <v>Jan-2025</v>
      </c>
      <c r="K873" s="9">
        <f t="shared" si="4"/>
        <v>45658</v>
      </c>
      <c r="L873" s="7" t="str">
        <f t="shared" si="5"/>
        <v/>
      </c>
      <c r="M873" s="7" t="str">
        <f>IFERROR(__xludf.DUMMYFUNCTION("IFERROR(
  IF(
    F873 &gt;
    3*AVERAGE(
       FILTER($F$2:$F10491,
         $G$2:$G10491=G873,
         $A$2:$A10491&gt;=A873-20,
         $A$2:$A10491&lt;=A873
       )
    ),
    ""VOL_SPIKE_3X"",""""
  ),
"""")
"),"")</f>
        <v/>
      </c>
      <c r="N873" s="7" t="str">
        <f t="shared" si="6"/>
        <v/>
      </c>
      <c r="O873" s="7" t="str">
        <f t="shared" si="7"/>
        <v/>
      </c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>
        <f>IFERROR(__xludf.DUMMYFUNCTION("""COMPUTED_VALUE"""),45679.0)</f>
        <v>45679</v>
      </c>
      <c r="B874" s="6">
        <f>IFERROR(__xludf.DUMMYFUNCTION("""COMPUTED_VALUE"""),282.0)</f>
        <v>282</v>
      </c>
      <c r="C874" s="6">
        <f>IFERROR(__xludf.DUMMYFUNCTION("""COMPUTED_VALUE"""),283.55)</f>
        <v>283.55</v>
      </c>
      <c r="D874" s="6">
        <f>IFERROR(__xludf.DUMMYFUNCTION("""COMPUTED_VALUE"""),274.05)</f>
        <v>274.05</v>
      </c>
      <c r="E874" s="6">
        <f>IFERROR(__xludf.DUMMYFUNCTION("""COMPUTED_VALUE"""),277.6)</f>
        <v>277.6</v>
      </c>
      <c r="F874" s="7">
        <f>IFERROR(__xludf.DUMMYFUNCTION("""COMPUTED_VALUE"""),6301894.0)</f>
        <v>6301894</v>
      </c>
      <c r="G874" s="7" t="str">
        <f>IFERROR(__xludf.DUMMYFUNCTION("""COMPUTED_VALUE"""),"BPCL.NS")</f>
        <v>BPCL.NS</v>
      </c>
      <c r="H874" s="8">
        <f t="shared" si="1"/>
        <v>-0.01560283688</v>
      </c>
      <c r="I874" s="8">
        <f t="shared" si="2"/>
        <v>0.01560283688</v>
      </c>
      <c r="J874" s="7" t="str">
        <f t="shared" si="3"/>
        <v>Jan-2025</v>
      </c>
      <c r="K874" s="9">
        <f t="shared" si="4"/>
        <v>45658</v>
      </c>
      <c r="L874" s="7" t="str">
        <f t="shared" si="5"/>
        <v/>
      </c>
      <c r="M874" s="7" t="str">
        <f>IFERROR(__xludf.DUMMYFUNCTION("IFERROR(
  IF(
    F874 &gt;
    3*AVERAGE(
       FILTER($F$2:$F10491,
         $G$2:$G10491=G874,
         $A$2:$A10491&gt;=A874-20,
         $A$2:$A10491&lt;=A874
       )
    ),
    ""VOL_SPIKE_3X"",""""
  ),
"""")
"),"")</f>
        <v/>
      </c>
      <c r="N874" s="7" t="str">
        <f t="shared" si="6"/>
        <v/>
      </c>
      <c r="O874" s="7" t="str">
        <f t="shared" si="7"/>
        <v/>
      </c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>
        <f>IFERROR(__xludf.DUMMYFUNCTION("""COMPUTED_VALUE"""),45679.0)</f>
        <v>45679</v>
      </c>
      <c r="B875" s="6">
        <f>IFERROR(__xludf.DUMMYFUNCTION("""COMPUTED_VALUE"""),381.5)</f>
        <v>381.5</v>
      </c>
      <c r="C875" s="6">
        <f>IFERROR(__xludf.DUMMYFUNCTION("""COMPUTED_VALUE"""),383.9)</f>
        <v>383.9</v>
      </c>
      <c r="D875" s="6">
        <f>IFERROR(__xludf.DUMMYFUNCTION("""COMPUTED_VALUE"""),374.65)</f>
        <v>374.65</v>
      </c>
      <c r="E875" s="6">
        <f>IFERROR(__xludf.DUMMYFUNCTION("""COMPUTED_VALUE"""),379.2)</f>
        <v>379.2</v>
      </c>
      <c r="F875" s="7">
        <f>IFERROR(__xludf.DUMMYFUNCTION("""COMPUTED_VALUE"""),1.065369E7)</f>
        <v>10653690</v>
      </c>
      <c r="G875" s="7" t="str">
        <f>IFERROR(__xludf.DUMMYFUNCTION("""COMPUTED_VALUE"""),"COALINDIA.NS")</f>
        <v>COALINDIA.NS</v>
      </c>
      <c r="H875" s="8">
        <f t="shared" si="1"/>
        <v>-0.006028833552</v>
      </c>
      <c r="I875" s="8">
        <f t="shared" si="2"/>
        <v>0.006028833552</v>
      </c>
      <c r="J875" s="7" t="str">
        <f t="shared" si="3"/>
        <v>Jan-2025</v>
      </c>
      <c r="K875" s="9">
        <f t="shared" si="4"/>
        <v>45658</v>
      </c>
      <c r="L875" s="7" t="str">
        <f t="shared" si="5"/>
        <v/>
      </c>
      <c r="M875" s="7" t="str">
        <f>IFERROR(__xludf.DUMMYFUNCTION("IFERROR(
  IF(
    F875 &gt;
    3*AVERAGE(
       FILTER($F$2:$F10491,
         $G$2:$G10491=G875,
         $A$2:$A10491&gt;=A875-20,
         $A$2:$A10491&lt;=A875
       )
    ),
    ""VOL_SPIKE_3X"",""""
  ),
"""")
"),"")</f>
        <v/>
      </c>
      <c r="N875" s="7" t="str">
        <f t="shared" si="6"/>
        <v/>
      </c>
      <c r="O875" s="7" t="str">
        <f t="shared" si="7"/>
        <v/>
      </c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>
        <f>IFERROR(__xludf.DUMMYFUNCTION("""COMPUTED_VALUE"""),45679.0)</f>
        <v>45679</v>
      </c>
      <c r="B876" s="6">
        <f>IFERROR(__xludf.DUMMYFUNCTION("""COMPUTED_VALUE"""),373.8)</f>
        <v>373.8</v>
      </c>
      <c r="C876" s="6">
        <f>IFERROR(__xludf.DUMMYFUNCTION("""COMPUTED_VALUE"""),374.7)</f>
        <v>374.7</v>
      </c>
      <c r="D876" s="6">
        <f>IFERROR(__xludf.DUMMYFUNCTION("""COMPUTED_VALUE"""),363.2)</f>
        <v>363.2</v>
      </c>
      <c r="E876" s="6">
        <f>IFERROR(__xludf.DUMMYFUNCTION("""COMPUTED_VALUE"""),370.1)</f>
        <v>370.1</v>
      </c>
      <c r="F876" s="7">
        <f>IFERROR(__xludf.DUMMYFUNCTION("""COMPUTED_VALUE"""),6676035.0)</f>
        <v>6676035</v>
      </c>
      <c r="G876" s="7" t="str">
        <f>IFERROR(__xludf.DUMMYFUNCTION("""COMPUTED_VALUE"""),"HINDPETRO.NS")</f>
        <v>HINDPETRO.NS</v>
      </c>
      <c r="H876" s="8">
        <f t="shared" si="1"/>
        <v>-0.009898341359</v>
      </c>
      <c r="I876" s="8">
        <f t="shared" si="2"/>
        <v>0.009898341359</v>
      </c>
      <c r="J876" s="7" t="str">
        <f t="shared" si="3"/>
        <v>Jan-2025</v>
      </c>
      <c r="K876" s="9">
        <f t="shared" si="4"/>
        <v>45658</v>
      </c>
      <c r="L876" s="7" t="str">
        <f t="shared" si="5"/>
        <v/>
      </c>
      <c r="M876" s="7" t="str">
        <f>IFERROR(__xludf.DUMMYFUNCTION("IFERROR(
  IF(
    F876 &gt;
    3*AVERAGE(
       FILTER($F$2:$F10491,
         $G$2:$G10491=G876,
         $A$2:$A10491&gt;=A876-20,
         $A$2:$A10491&lt;=A876
       )
    ),
    ""VOL_SPIKE_3X"",""""
  ),
"""")
"),"")</f>
        <v/>
      </c>
      <c r="N876" s="7" t="str">
        <f t="shared" si="6"/>
        <v/>
      </c>
      <c r="O876" s="7" t="str">
        <f t="shared" si="7"/>
        <v/>
      </c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>
        <f>IFERROR(__xludf.DUMMYFUNCTION("""COMPUTED_VALUE"""),45679.0)</f>
        <v>45679</v>
      </c>
      <c r="B877" s="6">
        <f>IFERROR(__xludf.DUMMYFUNCTION("""COMPUTED_VALUE"""),132.2)</f>
        <v>132.2</v>
      </c>
      <c r="C877" s="6">
        <f>IFERROR(__xludf.DUMMYFUNCTION("""COMPUTED_VALUE"""),132.6)</f>
        <v>132.6</v>
      </c>
      <c r="D877" s="6">
        <f>IFERROR(__xludf.DUMMYFUNCTION("""COMPUTED_VALUE"""),128.44)</f>
        <v>128.44</v>
      </c>
      <c r="E877" s="6">
        <f>IFERROR(__xludf.DUMMYFUNCTION("""COMPUTED_VALUE"""),130.52)</f>
        <v>130.52</v>
      </c>
      <c r="F877" s="7">
        <f>IFERROR(__xludf.DUMMYFUNCTION("""COMPUTED_VALUE"""),9202153.0)</f>
        <v>9202153</v>
      </c>
      <c r="G877" s="7" t="str">
        <f>IFERROR(__xludf.DUMMYFUNCTION("""COMPUTED_VALUE"""),"IOC.NS")</f>
        <v>IOC.NS</v>
      </c>
      <c r="H877" s="8">
        <f t="shared" si="1"/>
        <v>-0.01270801815</v>
      </c>
      <c r="I877" s="8">
        <f t="shared" si="2"/>
        <v>0.01270801815</v>
      </c>
      <c r="J877" s="7" t="str">
        <f t="shared" si="3"/>
        <v>Jan-2025</v>
      </c>
      <c r="K877" s="9">
        <f t="shared" si="4"/>
        <v>45658</v>
      </c>
      <c r="L877" s="7" t="str">
        <f t="shared" si="5"/>
        <v/>
      </c>
      <c r="M877" s="7" t="str">
        <f>IFERROR(__xludf.DUMMYFUNCTION("IFERROR(
  IF(
    F877 &gt;
    3*AVERAGE(
       FILTER($F$2:$F10491,
         $G$2:$G10491=G877,
         $A$2:$A10491&gt;=A877-20,
         $A$2:$A10491&lt;=A877
       )
    ),
    ""VOL_SPIKE_3X"",""""
  ),
"""")
"),"")</f>
        <v/>
      </c>
      <c r="N877" s="7" t="str">
        <f t="shared" si="6"/>
        <v/>
      </c>
      <c r="O877" s="7" t="str">
        <f t="shared" si="7"/>
        <v/>
      </c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>
        <f>IFERROR(__xludf.DUMMYFUNCTION("""COMPUTED_VALUE"""),45679.0)</f>
        <v>45679</v>
      </c>
      <c r="B878" s="6">
        <f>IFERROR(__xludf.DUMMYFUNCTION("""COMPUTED_VALUE"""),327.0)</f>
        <v>327</v>
      </c>
      <c r="C878" s="6">
        <f>IFERROR(__xludf.DUMMYFUNCTION("""COMPUTED_VALUE"""),327.0)</f>
        <v>327</v>
      </c>
      <c r="D878" s="6">
        <f>IFERROR(__xludf.DUMMYFUNCTION("""COMPUTED_VALUE"""),317.35)</f>
        <v>317.35</v>
      </c>
      <c r="E878" s="6">
        <f>IFERROR(__xludf.DUMMYFUNCTION("""COMPUTED_VALUE"""),322.4)</f>
        <v>322.4</v>
      </c>
      <c r="F878" s="7">
        <f>IFERROR(__xludf.DUMMYFUNCTION("""COMPUTED_VALUE"""),1.1068145E7)</f>
        <v>11068145</v>
      </c>
      <c r="G878" s="7" t="str">
        <f>IFERROR(__xludf.DUMMYFUNCTION("""COMPUTED_VALUE"""),"NTPC.NS")</f>
        <v>NTPC.NS</v>
      </c>
      <c r="H878" s="8">
        <f t="shared" si="1"/>
        <v>-0.01406727829</v>
      </c>
      <c r="I878" s="8">
        <f t="shared" si="2"/>
        <v>0.01406727829</v>
      </c>
      <c r="J878" s="7" t="str">
        <f t="shared" si="3"/>
        <v>Jan-2025</v>
      </c>
      <c r="K878" s="9">
        <f t="shared" si="4"/>
        <v>45658</v>
      </c>
      <c r="L878" s="7" t="str">
        <f t="shared" si="5"/>
        <v/>
      </c>
      <c r="M878" s="7" t="str">
        <f>IFERROR(__xludf.DUMMYFUNCTION("IFERROR(
  IF(
    F878 &gt;
    3*AVERAGE(
       FILTER($F$2:$F10491,
         $G$2:$G10491=G878,
         $A$2:$A10491&gt;=A878-20,
         $A$2:$A10491&lt;=A878
       )
    ),
    ""VOL_SPIKE_3X"",""""
  ),
"""")
"),"")</f>
        <v/>
      </c>
      <c r="N878" s="7" t="str">
        <f t="shared" si="6"/>
        <v/>
      </c>
      <c r="O878" s="7" t="str">
        <f t="shared" si="7"/>
        <v/>
      </c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>
        <f>IFERROR(__xludf.DUMMYFUNCTION("""COMPUTED_VALUE"""),45679.0)</f>
        <v>45679</v>
      </c>
      <c r="B879" s="6">
        <f>IFERROR(__xludf.DUMMYFUNCTION("""COMPUTED_VALUE"""),266.0)</f>
        <v>266</v>
      </c>
      <c r="C879" s="6">
        <f>IFERROR(__xludf.DUMMYFUNCTION("""COMPUTED_VALUE"""),266.39)</f>
        <v>266.39</v>
      </c>
      <c r="D879" s="6">
        <f>IFERROR(__xludf.DUMMYFUNCTION("""COMPUTED_VALUE"""),261.71)</f>
        <v>261.71</v>
      </c>
      <c r="E879" s="6">
        <f>IFERROR(__xludf.DUMMYFUNCTION("""COMPUTED_VALUE"""),264.05)</f>
        <v>264.05</v>
      </c>
      <c r="F879" s="7">
        <f>IFERROR(__xludf.DUMMYFUNCTION("""COMPUTED_VALUE"""),7919682.0)</f>
        <v>7919682</v>
      </c>
      <c r="G879" s="7" t="str">
        <f>IFERROR(__xludf.DUMMYFUNCTION("""COMPUTED_VALUE"""),"ONGC.NS")</f>
        <v>ONGC.NS</v>
      </c>
      <c r="H879" s="8">
        <f t="shared" si="1"/>
        <v>-0.007330827068</v>
      </c>
      <c r="I879" s="8">
        <f t="shared" si="2"/>
        <v>0.007330827068</v>
      </c>
      <c r="J879" s="7" t="str">
        <f t="shared" si="3"/>
        <v>Jan-2025</v>
      </c>
      <c r="K879" s="9">
        <f t="shared" si="4"/>
        <v>45658</v>
      </c>
      <c r="L879" s="7" t="str">
        <f t="shared" si="5"/>
        <v/>
      </c>
      <c r="M879" s="7" t="str">
        <f>IFERROR(__xludf.DUMMYFUNCTION("IFERROR(
  IF(
    F879 &gt;
    3*AVERAGE(
       FILTER($F$2:$F10491,
         $G$2:$G10491=G879,
         $A$2:$A10491&gt;=A879-20,
         $A$2:$A10491&lt;=A879
       )
    ),
    ""VOL_SPIKE_3X"",""""
  ),
"""")
"),"")</f>
        <v/>
      </c>
      <c r="N879" s="7" t="str">
        <f t="shared" si="6"/>
        <v/>
      </c>
      <c r="O879" s="7" t="str">
        <f t="shared" si="7"/>
        <v/>
      </c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>
        <f>IFERROR(__xludf.DUMMYFUNCTION("""COMPUTED_VALUE"""),45679.0)</f>
        <v>45679</v>
      </c>
      <c r="B880" s="6">
        <f>IFERROR(__xludf.DUMMYFUNCTION("""COMPUTED_VALUE"""),302.0)</f>
        <v>302</v>
      </c>
      <c r="C880" s="6">
        <f>IFERROR(__xludf.DUMMYFUNCTION("""COMPUTED_VALUE"""),302.3)</f>
        <v>302.3</v>
      </c>
      <c r="D880" s="6">
        <f>IFERROR(__xludf.DUMMYFUNCTION("""COMPUTED_VALUE"""),295.8)</f>
        <v>295.8</v>
      </c>
      <c r="E880" s="6">
        <f>IFERROR(__xludf.DUMMYFUNCTION("""COMPUTED_VALUE"""),297.55)</f>
        <v>297.55</v>
      </c>
      <c r="F880" s="7">
        <f>IFERROR(__xludf.DUMMYFUNCTION("""COMPUTED_VALUE"""),9723333.0)</f>
        <v>9723333</v>
      </c>
      <c r="G880" s="7" t="str">
        <f>IFERROR(__xludf.DUMMYFUNCTION("""COMPUTED_VALUE"""),"POWERGRID.NS")</f>
        <v>POWERGRID.NS</v>
      </c>
      <c r="H880" s="8">
        <f t="shared" si="1"/>
        <v>-0.01473509934</v>
      </c>
      <c r="I880" s="8">
        <f t="shared" si="2"/>
        <v>0.01473509934</v>
      </c>
      <c r="J880" s="7" t="str">
        <f t="shared" si="3"/>
        <v>Jan-2025</v>
      </c>
      <c r="K880" s="9">
        <f t="shared" si="4"/>
        <v>45658</v>
      </c>
      <c r="L880" s="7" t="str">
        <f t="shared" si="5"/>
        <v/>
      </c>
      <c r="M880" s="7" t="str">
        <f>IFERROR(__xludf.DUMMYFUNCTION("IFERROR(
  IF(
    F880 &gt;
    3*AVERAGE(
       FILTER($F$2:$F10491,
         $G$2:$G10491=G880,
         $A$2:$A10491&gt;=A880-20,
         $A$2:$A10491&lt;=A880
       )
    ),
    ""VOL_SPIKE_3X"",""""
  ),
"""")
"),"")</f>
        <v/>
      </c>
      <c r="N880" s="7" t="str">
        <f t="shared" si="6"/>
        <v/>
      </c>
      <c r="O880" s="7" t="str">
        <f t="shared" si="7"/>
        <v/>
      </c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>
        <f>IFERROR(__xludf.DUMMYFUNCTION("""COMPUTED_VALUE"""),45679.0)</f>
        <v>45679</v>
      </c>
      <c r="B881" s="6">
        <f>IFERROR(__xludf.DUMMYFUNCTION("""COMPUTED_VALUE"""),1278.3)</f>
        <v>1278.3</v>
      </c>
      <c r="C881" s="6">
        <f>IFERROR(__xludf.DUMMYFUNCTION("""COMPUTED_VALUE"""),1282.9)</f>
        <v>1282.9</v>
      </c>
      <c r="D881" s="6">
        <f>IFERROR(__xludf.DUMMYFUNCTION("""COMPUTED_VALUE"""),1268.7)</f>
        <v>1268.7</v>
      </c>
      <c r="E881" s="6">
        <f>IFERROR(__xludf.DUMMYFUNCTION("""COMPUTED_VALUE"""),1277.1)</f>
        <v>1277.1</v>
      </c>
      <c r="F881" s="7">
        <f>IFERROR(__xludf.DUMMYFUNCTION("""COMPUTED_VALUE"""),1.027359E7)</f>
        <v>10273590</v>
      </c>
      <c r="G881" s="7" t="str">
        <f>IFERROR(__xludf.DUMMYFUNCTION("""COMPUTED_VALUE"""),"RELIANCE.NS")</f>
        <v>RELIANCE.NS</v>
      </c>
      <c r="H881" s="8">
        <f t="shared" si="1"/>
        <v>-0.0009387467731</v>
      </c>
      <c r="I881" s="8">
        <f t="shared" si="2"/>
        <v>0.0009387467731</v>
      </c>
      <c r="J881" s="7" t="str">
        <f t="shared" si="3"/>
        <v>Jan-2025</v>
      </c>
      <c r="K881" s="9">
        <f t="shared" si="4"/>
        <v>45658</v>
      </c>
      <c r="L881" s="7" t="str">
        <f t="shared" si="5"/>
        <v/>
      </c>
      <c r="M881" s="7" t="str">
        <f>IFERROR(__xludf.DUMMYFUNCTION("IFERROR(
  IF(
    F881 &gt;
    3*AVERAGE(
       FILTER($F$2:$F10491,
         $G$2:$G10491=G881,
         $A$2:$A10491&gt;=A881-20,
         $A$2:$A10491&lt;=A881
       )
    ),
    ""VOL_SPIKE_3X"",""""
  ),
"""")
"),"")</f>
        <v/>
      </c>
      <c r="N881" s="7" t="str">
        <f t="shared" si="6"/>
        <v/>
      </c>
      <c r="O881" s="7" t="str">
        <f t="shared" si="7"/>
        <v/>
      </c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>
        <f>IFERROR(__xludf.DUMMYFUNCTION("""COMPUTED_VALUE"""),45680.0)</f>
        <v>45680</v>
      </c>
      <c r="B882" s="6">
        <f>IFERROR(__xludf.DUMMYFUNCTION("""COMPUTED_VALUE"""),795.1)</f>
        <v>795.1</v>
      </c>
      <c r="C882" s="6">
        <f>IFERROR(__xludf.DUMMYFUNCTION("""COMPUTED_VALUE"""),826.6)</f>
        <v>826.6</v>
      </c>
      <c r="D882" s="6">
        <f>IFERROR(__xludf.DUMMYFUNCTION("""COMPUTED_VALUE"""),791.35)</f>
        <v>791.35</v>
      </c>
      <c r="E882" s="6">
        <f>IFERROR(__xludf.DUMMYFUNCTION("""COMPUTED_VALUE"""),808.8)</f>
        <v>808.8</v>
      </c>
      <c r="F882" s="7">
        <f>IFERROR(__xludf.DUMMYFUNCTION("""COMPUTED_VALUE"""),3765979.0)</f>
        <v>3765979</v>
      </c>
      <c r="G882" s="7" t="str">
        <f>IFERROR(__xludf.DUMMYFUNCTION("""COMPUTED_VALUE"""),"ADANIENSOL.NS")</f>
        <v>ADANIENSOL.NS</v>
      </c>
      <c r="H882" s="8">
        <f t="shared" si="1"/>
        <v>0.01723053704</v>
      </c>
      <c r="I882" s="8">
        <f t="shared" si="2"/>
        <v>0.01723053704</v>
      </c>
      <c r="J882" s="7" t="str">
        <f t="shared" si="3"/>
        <v>Jan-2025</v>
      </c>
      <c r="K882" s="9">
        <f t="shared" si="4"/>
        <v>45658</v>
      </c>
      <c r="L882" s="7" t="str">
        <f t="shared" si="5"/>
        <v/>
      </c>
      <c r="M882" s="7" t="str">
        <f>IFERROR(__xludf.DUMMYFUNCTION("IFERROR(
  IF(
    F882 &gt;
    3*AVERAGE(
       FILTER($F$2:$F10491,
         $G$2:$G10491=G882,
         $A$2:$A10491&gt;=A882-20,
         $A$2:$A10491&lt;=A882
       )
    ),
    ""VOL_SPIKE_3X"",""""
  ),
"""")
"),"")</f>
        <v/>
      </c>
      <c r="N882" s="7" t="str">
        <f t="shared" si="6"/>
        <v/>
      </c>
      <c r="O882" s="7" t="str">
        <f t="shared" si="7"/>
        <v/>
      </c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>
        <f>IFERROR(__xludf.DUMMYFUNCTION("""COMPUTED_VALUE"""),45680.0)</f>
        <v>45680</v>
      </c>
      <c r="B883" s="6">
        <f>IFERROR(__xludf.DUMMYFUNCTION("""COMPUTED_VALUE"""),1026.0)</f>
        <v>1026</v>
      </c>
      <c r="C883" s="6">
        <f>IFERROR(__xludf.DUMMYFUNCTION("""COMPUTED_VALUE"""),1049.4)</f>
        <v>1049.4</v>
      </c>
      <c r="D883" s="6">
        <f>IFERROR(__xludf.DUMMYFUNCTION("""COMPUTED_VALUE"""),1015.0)</f>
        <v>1015</v>
      </c>
      <c r="E883" s="6">
        <f>IFERROR(__xludf.DUMMYFUNCTION("""COMPUTED_VALUE"""),1030.25)</f>
        <v>1030.25</v>
      </c>
      <c r="F883" s="7">
        <f>IFERROR(__xludf.DUMMYFUNCTION("""COMPUTED_VALUE"""),3052259.0)</f>
        <v>3052259</v>
      </c>
      <c r="G883" s="7" t="str">
        <f>IFERROR(__xludf.DUMMYFUNCTION("""COMPUTED_VALUE"""),"ADANIGREEN.NS")</f>
        <v>ADANIGREEN.NS</v>
      </c>
      <c r="H883" s="8">
        <f t="shared" si="1"/>
        <v>0.004142300195</v>
      </c>
      <c r="I883" s="8">
        <f t="shared" si="2"/>
        <v>0.004142300195</v>
      </c>
      <c r="J883" s="7" t="str">
        <f t="shared" si="3"/>
        <v>Jan-2025</v>
      </c>
      <c r="K883" s="9">
        <f t="shared" si="4"/>
        <v>45658</v>
      </c>
      <c r="L883" s="7" t="str">
        <f t="shared" si="5"/>
        <v/>
      </c>
      <c r="M883" s="7" t="str">
        <f>IFERROR(__xludf.DUMMYFUNCTION("IFERROR(
  IF(
    F883 &gt;
    3*AVERAGE(
       FILTER($F$2:$F10491,
         $G$2:$G10491=G883,
         $A$2:$A10491&gt;=A883-20,
         $A$2:$A10491&lt;=A883
       )
    ),
    ""VOL_SPIKE_3X"",""""
  ),
"""")
"),"")</f>
        <v/>
      </c>
      <c r="N883" s="7" t="str">
        <f t="shared" si="6"/>
        <v/>
      </c>
      <c r="O883" s="7" t="str">
        <f t="shared" si="7"/>
        <v/>
      </c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>
        <f>IFERROR(__xludf.DUMMYFUNCTION("""COMPUTED_VALUE"""),45680.0)</f>
        <v>45680</v>
      </c>
      <c r="B884" s="6">
        <f>IFERROR(__xludf.DUMMYFUNCTION("""COMPUTED_VALUE"""),283.0)</f>
        <v>283</v>
      </c>
      <c r="C884" s="6">
        <f>IFERROR(__xludf.DUMMYFUNCTION("""COMPUTED_VALUE"""),285.0)</f>
        <v>285</v>
      </c>
      <c r="D884" s="6">
        <f>IFERROR(__xludf.DUMMYFUNCTION("""COMPUTED_VALUE"""),270.3)</f>
        <v>270.3</v>
      </c>
      <c r="E884" s="6">
        <f>IFERROR(__xludf.DUMMYFUNCTION("""COMPUTED_VALUE"""),271.25)</f>
        <v>271.25</v>
      </c>
      <c r="F884" s="7">
        <f>IFERROR(__xludf.DUMMYFUNCTION("""COMPUTED_VALUE"""),1.8806324E7)</f>
        <v>18806324</v>
      </c>
      <c r="G884" s="7" t="str">
        <f>IFERROR(__xludf.DUMMYFUNCTION("""COMPUTED_VALUE"""),"BPCL.NS")</f>
        <v>BPCL.NS</v>
      </c>
      <c r="H884" s="8">
        <f t="shared" si="1"/>
        <v>-0.04151943463</v>
      </c>
      <c r="I884" s="8">
        <f t="shared" si="2"/>
        <v>0.04151943463</v>
      </c>
      <c r="J884" s="7" t="str">
        <f t="shared" si="3"/>
        <v>Jan-2025</v>
      </c>
      <c r="K884" s="9">
        <f t="shared" si="4"/>
        <v>45658</v>
      </c>
      <c r="L884" s="7" t="str">
        <f t="shared" si="5"/>
        <v/>
      </c>
      <c r="M884" s="7" t="str">
        <f>IFERROR(__xludf.DUMMYFUNCTION("IFERROR(
  IF(
    F884 &gt;
    3*AVERAGE(
       FILTER($F$2:$F10491,
         $G$2:$G10491=G884,
         $A$2:$A10491&gt;=A884-20,
         $A$2:$A10491&lt;=A884
       )
    ),
    ""VOL_SPIKE_3X"",""""
  ),
"""")
"),"")</f>
        <v/>
      </c>
      <c r="N884" s="7" t="str">
        <f t="shared" si="6"/>
        <v/>
      </c>
      <c r="O884" s="7" t="str">
        <f t="shared" si="7"/>
        <v/>
      </c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>
        <f>IFERROR(__xludf.DUMMYFUNCTION("""COMPUTED_VALUE"""),45680.0)</f>
        <v>45680</v>
      </c>
      <c r="B885" s="6">
        <f>IFERROR(__xludf.DUMMYFUNCTION("""COMPUTED_VALUE"""),377.5)</f>
        <v>377.5</v>
      </c>
      <c r="C885" s="6">
        <f>IFERROR(__xludf.DUMMYFUNCTION("""COMPUTED_VALUE"""),388.2)</f>
        <v>388.2</v>
      </c>
      <c r="D885" s="6">
        <f>IFERROR(__xludf.DUMMYFUNCTION("""COMPUTED_VALUE"""),376.2)</f>
        <v>376.2</v>
      </c>
      <c r="E885" s="6">
        <f>IFERROR(__xludf.DUMMYFUNCTION("""COMPUTED_VALUE"""),385.8)</f>
        <v>385.8</v>
      </c>
      <c r="F885" s="7">
        <f>IFERROR(__xludf.DUMMYFUNCTION("""COMPUTED_VALUE"""),5844752.0)</f>
        <v>5844752</v>
      </c>
      <c r="G885" s="7" t="str">
        <f>IFERROR(__xludf.DUMMYFUNCTION("""COMPUTED_VALUE"""),"COALINDIA.NS")</f>
        <v>COALINDIA.NS</v>
      </c>
      <c r="H885" s="8">
        <f t="shared" si="1"/>
        <v>0.02198675497</v>
      </c>
      <c r="I885" s="8">
        <f t="shared" si="2"/>
        <v>0.02198675497</v>
      </c>
      <c r="J885" s="7" t="str">
        <f t="shared" si="3"/>
        <v>Jan-2025</v>
      </c>
      <c r="K885" s="9">
        <f t="shared" si="4"/>
        <v>45658</v>
      </c>
      <c r="L885" s="7" t="str">
        <f t="shared" si="5"/>
        <v/>
      </c>
      <c r="M885" s="7" t="str">
        <f>IFERROR(__xludf.DUMMYFUNCTION("IFERROR(
  IF(
    F885 &gt;
    3*AVERAGE(
       FILTER($F$2:$F10491,
         $G$2:$G10491=G885,
         $A$2:$A10491&gt;=A885-20,
         $A$2:$A10491&lt;=A885
       )
    ),
    ""VOL_SPIKE_3X"",""""
  ),
"""")
"),"")</f>
        <v/>
      </c>
      <c r="N885" s="7" t="str">
        <f t="shared" si="6"/>
        <v/>
      </c>
      <c r="O885" s="7" t="str">
        <f t="shared" si="7"/>
        <v/>
      </c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>
        <f>IFERROR(__xludf.DUMMYFUNCTION("""COMPUTED_VALUE"""),45680.0)</f>
        <v>45680</v>
      </c>
      <c r="B886" s="6">
        <f>IFERROR(__xludf.DUMMYFUNCTION("""COMPUTED_VALUE"""),373.0)</f>
        <v>373</v>
      </c>
      <c r="C886" s="6">
        <f>IFERROR(__xludf.DUMMYFUNCTION("""COMPUTED_VALUE"""),373.8)</f>
        <v>373.8</v>
      </c>
      <c r="D886" s="6">
        <f>IFERROR(__xludf.DUMMYFUNCTION("""COMPUTED_VALUE"""),359.85)</f>
        <v>359.85</v>
      </c>
      <c r="E886" s="6">
        <f>IFERROR(__xludf.DUMMYFUNCTION("""COMPUTED_VALUE"""),362.1)</f>
        <v>362.1</v>
      </c>
      <c r="F886" s="7">
        <f>IFERROR(__xludf.DUMMYFUNCTION("""COMPUTED_VALUE"""),5143368.0)</f>
        <v>5143368</v>
      </c>
      <c r="G886" s="7" t="str">
        <f>IFERROR(__xludf.DUMMYFUNCTION("""COMPUTED_VALUE"""),"HINDPETRO.NS")</f>
        <v>HINDPETRO.NS</v>
      </c>
      <c r="H886" s="8">
        <f t="shared" si="1"/>
        <v>-0.02922252011</v>
      </c>
      <c r="I886" s="8">
        <f t="shared" si="2"/>
        <v>0.02922252011</v>
      </c>
      <c r="J886" s="7" t="str">
        <f t="shared" si="3"/>
        <v>Jan-2025</v>
      </c>
      <c r="K886" s="9">
        <f t="shared" si="4"/>
        <v>45658</v>
      </c>
      <c r="L886" s="7" t="str">
        <f t="shared" si="5"/>
        <v/>
      </c>
      <c r="M886" s="7" t="str">
        <f>IFERROR(__xludf.DUMMYFUNCTION("IFERROR(
  IF(
    F886 &gt;
    3*AVERAGE(
       FILTER($F$2:$F10491,
         $G$2:$G10491=G886,
         $A$2:$A10491&gt;=A886-20,
         $A$2:$A10491&lt;=A886
       )
    ),
    ""VOL_SPIKE_3X"",""""
  ),
"""")
"),"")</f>
        <v/>
      </c>
      <c r="N886" s="7" t="str">
        <f t="shared" si="6"/>
        <v/>
      </c>
      <c r="O886" s="7" t="str">
        <f t="shared" si="7"/>
        <v/>
      </c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>
        <f>IFERROR(__xludf.DUMMYFUNCTION("""COMPUTED_VALUE"""),45680.0)</f>
        <v>45680</v>
      </c>
      <c r="B887" s="6">
        <f>IFERROR(__xludf.DUMMYFUNCTION("""COMPUTED_VALUE"""),130.4)</f>
        <v>130.4</v>
      </c>
      <c r="C887" s="6">
        <f>IFERROR(__xludf.DUMMYFUNCTION("""COMPUTED_VALUE"""),130.69)</f>
        <v>130.69</v>
      </c>
      <c r="D887" s="6">
        <f>IFERROR(__xludf.DUMMYFUNCTION("""COMPUTED_VALUE"""),128.84)</f>
        <v>128.84</v>
      </c>
      <c r="E887" s="6">
        <f>IFERROR(__xludf.DUMMYFUNCTION("""COMPUTED_VALUE"""),129.83)</f>
        <v>129.83</v>
      </c>
      <c r="F887" s="7">
        <f>IFERROR(__xludf.DUMMYFUNCTION("""COMPUTED_VALUE"""),7058477.0)</f>
        <v>7058477</v>
      </c>
      <c r="G887" s="7" t="str">
        <f>IFERROR(__xludf.DUMMYFUNCTION("""COMPUTED_VALUE"""),"IOC.NS")</f>
        <v>IOC.NS</v>
      </c>
      <c r="H887" s="8">
        <f t="shared" si="1"/>
        <v>-0.004371165644</v>
      </c>
      <c r="I887" s="8">
        <f t="shared" si="2"/>
        <v>0.004371165644</v>
      </c>
      <c r="J887" s="7" t="str">
        <f t="shared" si="3"/>
        <v>Jan-2025</v>
      </c>
      <c r="K887" s="9">
        <f t="shared" si="4"/>
        <v>45658</v>
      </c>
      <c r="L887" s="7" t="str">
        <f t="shared" si="5"/>
        <v/>
      </c>
      <c r="M887" s="7" t="str">
        <f>IFERROR(__xludf.DUMMYFUNCTION("IFERROR(
  IF(
    F887 &gt;
    3*AVERAGE(
       FILTER($F$2:$F10491,
         $G$2:$G10491=G887,
         $A$2:$A10491&gt;=A887-20,
         $A$2:$A10491&lt;=A887
       )
    ),
    ""VOL_SPIKE_3X"",""""
  ),
"""")
"),"")</f>
        <v/>
      </c>
      <c r="N887" s="7" t="str">
        <f t="shared" si="6"/>
        <v/>
      </c>
      <c r="O887" s="7" t="str">
        <f t="shared" si="7"/>
        <v/>
      </c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>
        <f>IFERROR(__xludf.DUMMYFUNCTION("""COMPUTED_VALUE"""),45680.0)</f>
        <v>45680</v>
      </c>
      <c r="B888" s="6">
        <f>IFERROR(__xludf.DUMMYFUNCTION("""COMPUTED_VALUE"""),321.0)</f>
        <v>321</v>
      </c>
      <c r="C888" s="6">
        <f>IFERROR(__xludf.DUMMYFUNCTION("""COMPUTED_VALUE"""),325.1)</f>
        <v>325.1</v>
      </c>
      <c r="D888" s="6">
        <f>IFERROR(__xludf.DUMMYFUNCTION("""COMPUTED_VALUE"""),319.55)</f>
        <v>319.55</v>
      </c>
      <c r="E888" s="6">
        <f>IFERROR(__xludf.DUMMYFUNCTION("""COMPUTED_VALUE"""),323.65)</f>
        <v>323.65</v>
      </c>
      <c r="F888" s="7">
        <f>IFERROR(__xludf.DUMMYFUNCTION("""COMPUTED_VALUE"""),6477347.0)</f>
        <v>6477347</v>
      </c>
      <c r="G888" s="7" t="str">
        <f>IFERROR(__xludf.DUMMYFUNCTION("""COMPUTED_VALUE"""),"NTPC.NS")</f>
        <v>NTPC.NS</v>
      </c>
      <c r="H888" s="8">
        <f t="shared" si="1"/>
        <v>0.008255451713</v>
      </c>
      <c r="I888" s="8">
        <f t="shared" si="2"/>
        <v>0.008255451713</v>
      </c>
      <c r="J888" s="7" t="str">
        <f t="shared" si="3"/>
        <v>Jan-2025</v>
      </c>
      <c r="K888" s="9">
        <f t="shared" si="4"/>
        <v>45658</v>
      </c>
      <c r="L888" s="7" t="str">
        <f t="shared" si="5"/>
        <v/>
      </c>
      <c r="M888" s="7" t="str">
        <f>IFERROR(__xludf.DUMMYFUNCTION("IFERROR(
  IF(
    F888 &gt;
    3*AVERAGE(
       FILTER($F$2:$F10491,
         $G$2:$G10491=G888,
         $A$2:$A10491&gt;=A888-20,
         $A$2:$A10491&lt;=A888
       )
    ),
    ""VOL_SPIKE_3X"",""""
  ),
"""")
"),"")</f>
        <v/>
      </c>
      <c r="N888" s="7" t="str">
        <f t="shared" si="6"/>
        <v/>
      </c>
      <c r="O888" s="7" t="str">
        <f t="shared" si="7"/>
        <v/>
      </c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>
        <f>IFERROR(__xludf.DUMMYFUNCTION("""COMPUTED_VALUE"""),45680.0)</f>
        <v>45680</v>
      </c>
      <c r="B889" s="6">
        <f>IFERROR(__xludf.DUMMYFUNCTION("""COMPUTED_VALUE"""),263.0)</f>
        <v>263</v>
      </c>
      <c r="C889" s="6">
        <f>IFERROR(__xludf.DUMMYFUNCTION("""COMPUTED_VALUE"""),263.83)</f>
        <v>263.83</v>
      </c>
      <c r="D889" s="6">
        <f>IFERROR(__xludf.DUMMYFUNCTION("""COMPUTED_VALUE"""),261.17)</f>
        <v>261.17</v>
      </c>
      <c r="E889" s="6">
        <f>IFERROR(__xludf.DUMMYFUNCTION("""COMPUTED_VALUE"""),263.05)</f>
        <v>263.05</v>
      </c>
      <c r="F889" s="7">
        <f>IFERROR(__xludf.DUMMYFUNCTION("""COMPUTED_VALUE"""),5026675.0)</f>
        <v>5026675</v>
      </c>
      <c r="G889" s="7" t="str">
        <f>IFERROR(__xludf.DUMMYFUNCTION("""COMPUTED_VALUE"""),"ONGC.NS")</f>
        <v>ONGC.NS</v>
      </c>
      <c r="H889" s="8">
        <f t="shared" si="1"/>
        <v>0.0001901140684</v>
      </c>
      <c r="I889" s="8">
        <f t="shared" si="2"/>
        <v>0.0001901140684</v>
      </c>
      <c r="J889" s="7" t="str">
        <f t="shared" si="3"/>
        <v>Jan-2025</v>
      </c>
      <c r="K889" s="9">
        <f t="shared" si="4"/>
        <v>45658</v>
      </c>
      <c r="L889" s="7" t="str">
        <f t="shared" si="5"/>
        <v/>
      </c>
      <c r="M889" s="7" t="str">
        <f>IFERROR(__xludf.DUMMYFUNCTION("IFERROR(
  IF(
    F889 &gt;
    3*AVERAGE(
       FILTER($F$2:$F10491,
         $G$2:$G10491=G889,
         $A$2:$A10491&gt;=A889-20,
         $A$2:$A10491&lt;=A889
       )
    ),
    ""VOL_SPIKE_3X"",""""
  ),
"""")
"),"")</f>
        <v/>
      </c>
      <c r="N889" s="7" t="str">
        <f t="shared" si="6"/>
        <v/>
      </c>
      <c r="O889" s="7" t="str">
        <f t="shared" si="7"/>
        <v/>
      </c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>
        <f>IFERROR(__xludf.DUMMYFUNCTION("""COMPUTED_VALUE"""),45680.0)</f>
        <v>45680</v>
      </c>
      <c r="B890" s="6">
        <f>IFERROR(__xludf.DUMMYFUNCTION("""COMPUTED_VALUE"""),297.5)</f>
        <v>297.5</v>
      </c>
      <c r="C890" s="6">
        <f>IFERROR(__xludf.DUMMYFUNCTION("""COMPUTED_VALUE"""),299.6)</f>
        <v>299.6</v>
      </c>
      <c r="D890" s="6">
        <f>IFERROR(__xludf.DUMMYFUNCTION("""COMPUTED_VALUE"""),293.6)</f>
        <v>293.6</v>
      </c>
      <c r="E890" s="6">
        <f>IFERROR(__xludf.DUMMYFUNCTION("""COMPUTED_VALUE"""),294.35)</f>
        <v>294.35</v>
      </c>
      <c r="F890" s="7">
        <f>IFERROR(__xludf.DUMMYFUNCTION("""COMPUTED_VALUE"""),1.2228286E7)</f>
        <v>12228286</v>
      </c>
      <c r="G890" s="7" t="str">
        <f>IFERROR(__xludf.DUMMYFUNCTION("""COMPUTED_VALUE"""),"POWERGRID.NS")</f>
        <v>POWERGRID.NS</v>
      </c>
      <c r="H890" s="8">
        <f t="shared" si="1"/>
        <v>-0.01058823529</v>
      </c>
      <c r="I890" s="8">
        <f t="shared" si="2"/>
        <v>0.01058823529</v>
      </c>
      <c r="J890" s="7" t="str">
        <f t="shared" si="3"/>
        <v>Jan-2025</v>
      </c>
      <c r="K890" s="9">
        <f t="shared" si="4"/>
        <v>45658</v>
      </c>
      <c r="L890" s="7" t="str">
        <f t="shared" si="5"/>
        <v/>
      </c>
      <c r="M890" s="7" t="str">
        <f>IFERROR(__xludf.DUMMYFUNCTION("IFERROR(
  IF(
    F890 &gt;
    3*AVERAGE(
       FILTER($F$2:$F10491,
         $G$2:$G10491=G890,
         $A$2:$A10491&gt;=A890-20,
         $A$2:$A10491&lt;=A890
       )
    ),
    ""VOL_SPIKE_3X"",""""
  ),
"""")
"),"")</f>
        <v/>
      </c>
      <c r="N890" s="7" t="str">
        <f t="shared" si="6"/>
        <v/>
      </c>
      <c r="O890" s="7" t="str">
        <f t="shared" si="7"/>
        <v/>
      </c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>
        <f>IFERROR(__xludf.DUMMYFUNCTION("""COMPUTED_VALUE"""),45680.0)</f>
        <v>45680</v>
      </c>
      <c r="B891" s="6">
        <f>IFERROR(__xludf.DUMMYFUNCTION("""COMPUTED_VALUE"""),1270.0)</f>
        <v>1270</v>
      </c>
      <c r="C891" s="6">
        <f>IFERROR(__xludf.DUMMYFUNCTION("""COMPUTED_VALUE"""),1277.35)</f>
        <v>1277.35</v>
      </c>
      <c r="D891" s="6">
        <f>IFERROR(__xludf.DUMMYFUNCTION("""COMPUTED_VALUE"""),1261.6)</f>
        <v>1261.6</v>
      </c>
      <c r="E891" s="6">
        <f>IFERROR(__xludf.DUMMYFUNCTION("""COMPUTED_VALUE"""),1263.65)</f>
        <v>1263.65</v>
      </c>
      <c r="F891" s="7">
        <f>IFERROR(__xludf.DUMMYFUNCTION("""COMPUTED_VALUE"""),8720682.0)</f>
        <v>8720682</v>
      </c>
      <c r="G891" s="7" t="str">
        <f>IFERROR(__xludf.DUMMYFUNCTION("""COMPUTED_VALUE"""),"RELIANCE.NS")</f>
        <v>RELIANCE.NS</v>
      </c>
      <c r="H891" s="8">
        <f t="shared" si="1"/>
        <v>-0.005</v>
      </c>
      <c r="I891" s="8">
        <f t="shared" si="2"/>
        <v>0.005</v>
      </c>
      <c r="J891" s="7" t="str">
        <f t="shared" si="3"/>
        <v>Jan-2025</v>
      </c>
      <c r="K891" s="9">
        <f t="shared" si="4"/>
        <v>45658</v>
      </c>
      <c r="L891" s="7" t="str">
        <f t="shared" si="5"/>
        <v/>
      </c>
      <c r="M891" s="7" t="str">
        <f>IFERROR(__xludf.DUMMYFUNCTION("IFERROR(
  IF(
    F891 &gt;
    3*AVERAGE(
       FILTER($F$2:$F10491,
         $G$2:$G10491=G891,
         $A$2:$A10491&gt;=A891-20,
         $A$2:$A10491&lt;=A891
       )
    ),
    ""VOL_SPIKE_3X"",""""
  ),
"""")
"),"")</f>
        <v/>
      </c>
      <c r="N891" s="7" t="str">
        <f t="shared" si="6"/>
        <v/>
      </c>
      <c r="O891" s="7" t="str">
        <f t="shared" si="7"/>
        <v/>
      </c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>
        <f>IFERROR(__xludf.DUMMYFUNCTION("""COMPUTED_VALUE"""),45681.0)</f>
        <v>45681</v>
      </c>
      <c r="B892" s="6">
        <f>IFERROR(__xludf.DUMMYFUNCTION("""COMPUTED_VALUE"""),814.0)</f>
        <v>814</v>
      </c>
      <c r="C892" s="6">
        <f>IFERROR(__xludf.DUMMYFUNCTION("""COMPUTED_VALUE"""),816.0)</f>
        <v>816</v>
      </c>
      <c r="D892" s="6">
        <f>IFERROR(__xludf.DUMMYFUNCTION("""COMPUTED_VALUE"""),781.0)</f>
        <v>781</v>
      </c>
      <c r="E892" s="6">
        <f>IFERROR(__xludf.DUMMYFUNCTION("""COMPUTED_VALUE"""),790.45)</f>
        <v>790.45</v>
      </c>
      <c r="F892" s="7">
        <f>IFERROR(__xludf.DUMMYFUNCTION("""COMPUTED_VALUE"""),2773445.0)</f>
        <v>2773445</v>
      </c>
      <c r="G892" s="7" t="str">
        <f>IFERROR(__xludf.DUMMYFUNCTION("""COMPUTED_VALUE"""),"ADANIENSOL.NS")</f>
        <v>ADANIENSOL.NS</v>
      </c>
      <c r="H892" s="8">
        <f t="shared" si="1"/>
        <v>-0.02893120393</v>
      </c>
      <c r="I892" s="8">
        <f t="shared" si="2"/>
        <v>0.02893120393</v>
      </c>
      <c r="J892" s="7" t="str">
        <f t="shared" si="3"/>
        <v>Jan-2025</v>
      </c>
      <c r="K892" s="9">
        <f t="shared" si="4"/>
        <v>45658</v>
      </c>
      <c r="L892" s="7" t="str">
        <f t="shared" si="5"/>
        <v/>
      </c>
      <c r="M892" s="7" t="str">
        <f>IFERROR(__xludf.DUMMYFUNCTION("IFERROR(
  IF(
    F892 &gt;
    3*AVERAGE(
       FILTER($F$2:$F10491,
         $G$2:$G10491=G892,
         $A$2:$A10491&gt;=A892-20,
         $A$2:$A10491&lt;=A892
       )
    ),
    ""VOL_SPIKE_3X"",""""
  ),
"""")
"),"")</f>
        <v/>
      </c>
      <c r="N892" s="7" t="str">
        <f t="shared" si="6"/>
        <v/>
      </c>
      <c r="O892" s="7" t="str">
        <f t="shared" si="7"/>
        <v/>
      </c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>
        <f>IFERROR(__xludf.DUMMYFUNCTION("""COMPUTED_VALUE"""),45681.0)</f>
        <v>45681</v>
      </c>
      <c r="B893" s="6">
        <f>IFERROR(__xludf.DUMMYFUNCTION("""COMPUTED_VALUE"""),1037.25)</f>
        <v>1037.25</v>
      </c>
      <c r="C893" s="6">
        <f>IFERROR(__xludf.DUMMYFUNCTION("""COMPUTED_VALUE"""),1065.0)</f>
        <v>1065</v>
      </c>
      <c r="D893" s="6">
        <f>IFERROR(__xludf.DUMMYFUNCTION("""COMPUTED_VALUE"""),1006.0)</f>
        <v>1006</v>
      </c>
      <c r="E893" s="6">
        <f>IFERROR(__xludf.DUMMYFUNCTION("""COMPUTED_VALUE"""),1012.1)</f>
        <v>1012.1</v>
      </c>
      <c r="F893" s="7">
        <f>IFERROR(__xludf.DUMMYFUNCTION("""COMPUTED_VALUE"""),4978974.0)</f>
        <v>4978974</v>
      </c>
      <c r="G893" s="7" t="str">
        <f>IFERROR(__xludf.DUMMYFUNCTION("""COMPUTED_VALUE"""),"ADANIGREEN.NS")</f>
        <v>ADANIGREEN.NS</v>
      </c>
      <c r="H893" s="8">
        <f t="shared" si="1"/>
        <v>-0.02424680646</v>
      </c>
      <c r="I893" s="8">
        <f t="shared" si="2"/>
        <v>0.02424680646</v>
      </c>
      <c r="J893" s="7" t="str">
        <f t="shared" si="3"/>
        <v>Jan-2025</v>
      </c>
      <c r="K893" s="9">
        <f t="shared" si="4"/>
        <v>45658</v>
      </c>
      <c r="L893" s="7" t="str">
        <f t="shared" si="5"/>
        <v/>
      </c>
      <c r="M893" s="7" t="str">
        <f>IFERROR(__xludf.DUMMYFUNCTION("IFERROR(
  IF(
    F893 &gt;
    3*AVERAGE(
       FILTER($F$2:$F10491,
         $G$2:$G10491=G893,
         $A$2:$A10491&gt;=A893-20,
         $A$2:$A10491&lt;=A893
       )
    ),
    ""VOL_SPIKE_3X"",""""
  ),
"""")
"),"")</f>
        <v/>
      </c>
      <c r="N893" s="7" t="str">
        <f t="shared" si="6"/>
        <v/>
      </c>
      <c r="O893" s="7" t="str">
        <f t="shared" si="7"/>
        <v/>
      </c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>
        <f>IFERROR(__xludf.DUMMYFUNCTION("""COMPUTED_VALUE"""),45681.0)</f>
        <v>45681</v>
      </c>
      <c r="B894" s="6">
        <f>IFERROR(__xludf.DUMMYFUNCTION("""COMPUTED_VALUE"""),274.0)</f>
        <v>274</v>
      </c>
      <c r="C894" s="6">
        <f>IFERROR(__xludf.DUMMYFUNCTION("""COMPUTED_VALUE"""),279.4)</f>
        <v>279.4</v>
      </c>
      <c r="D894" s="6">
        <f>IFERROR(__xludf.DUMMYFUNCTION("""COMPUTED_VALUE"""),263.0)</f>
        <v>263</v>
      </c>
      <c r="E894" s="6">
        <f>IFERROR(__xludf.DUMMYFUNCTION("""COMPUTED_VALUE"""),263.8)</f>
        <v>263.8</v>
      </c>
      <c r="F894" s="7">
        <f>IFERROR(__xludf.DUMMYFUNCTION("""COMPUTED_VALUE"""),1.8480516E7)</f>
        <v>18480516</v>
      </c>
      <c r="G894" s="7" t="str">
        <f>IFERROR(__xludf.DUMMYFUNCTION("""COMPUTED_VALUE"""),"BPCL.NS")</f>
        <v>BPCL.NS</v>
      </c>
      <c r="H894" s="8">
        <f t="shared" si="1"/>
        <v>-0.03722627737</v>
      </c>
      <c r="I894" s="8">
        <f t="shared" si="2"/>
        <v>0.03722627737</v>
      </c>
      <c r="J894" s="7" t="str">
        <f t="shared" si="3"/>
        <v>Jan-2025</v>
      </c>
      <c r="K894" s="9">
        <f t="shared" si="4"/>
        <v>45658</v>
      </c>
      <c r="L894" s="7" t="str">
        <f t="shared" si="5"/>
        <v/>
      </c>
      <c r="M894" s="7" t="str">
        <f>IFERROR(__xludf.DUMMYFUNCTION("IFERROR(
  IF(
    F894 &gt;
    3*AVERAGE(
       FILTER($F$2:$F10491,
         $G$2:$G10491=G894,
         $A$2:$A10491&gt;=A894-20,
         $A$2:$A10491&lt;=A894
       )
    ),
    ""VOL_SPIKE_3X"",""""
  ),
"""")
"),"")</f>
        <v/>
      </c>
      <c r="N894" s="7" t="str">
        <f t="shared" si="6"/>
        <v/>
      </c>
      <c r="O894" s="7" t="str">
        <f t="shared" si="7"/>
        <v/>
      </c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>
        <f>IFERROR(__xludf.DUMMYFUNCTION("""COMPUTED_VALUE"""),45681.0)</f>
        <v>45681</v>
      </c>
      <c r="B895" s="6">
        <f>IFERROR(__xludf.DUMMYFUNCTION("""COMPUTED_VALUE"""),386.05)</f>
        <v>386.05</v>
      </c>
      <c r="C895" s="6">
        <f>IFERROR(__xludf.DUMMYFUNCTION("""COMPUTED_VALUE"""),392.25)</f>
        <v>392.25</v>
      </c>
      <c r="D895" s="6">
        <f>IFERROR(__xludf.DUMMYFUNCTION("""COMPUTED_VALUE"""),381.7)</f>
        <v>381.7</v>
      </c>
      <c r="E895" s="6">
        <f>IFERROR(__xludf.DUMMYFUNCTION("""COMPUTED_VALUE"""),383.05)</f>
        <v>383.05</v>
      </c>
      <c r="F895" s="7">
        <f>IFERROR(__xludf.DUMMYFUNCTION("""COMPUTED_VALUE"""),5351964.0)</f>
        <v>5351964</v>
      </c>
      <c r="G895" s="7" t="str">
        <f>IFERROR(__xludf.DUMMYFUNCTION("""COMPUTED_VALUE"""),"COALINDIA.NS")</f>
        <v>COALINDIA.NS</v>
      </c>
      <c r="H895" s="8">
        <f t="shared" si="1"/>
        <v>-0.007771014117</v>
      </c>
      <c r="I895" s="8">
        <f t="shared" si="2"/>
        <v>0.007771014117</v>
      </c>
      <c r="J895" s="7" t="str">
        <f t="shared" si="3"/>
        <v>Jan-2025</v>
      </c>
      <c r="K895" s="9">
        <f t="shared" si="4"/>
        <v>45658</v>
      </c>
      <c r="L895" s="7" t="str">
        <f t="shared" si="5"/>
        <v/>
      </c>
      <c r="M895" s="7" t="str">
        <f>IFERROR(__xludf.DUMMYFUNCTION("IFERROR(
  IF(
    F895 &gt;
    3*AVERAGE(
       FILTER($F$2:$F10491,
         $G$2:$G10491=G895,
         $A$2:$A10491&gt;=A895-20,
         $A$2:$A10491&lt;=A895
       )
    ),
    ""VOL_SPIKE_3X"",""""
  ),
"""")
"),"")</f>
        <v/>
      </c>
      <c r="N895" s="7" t="str">
        <f t="shared" si="6"/>
        <v/>
      </c>
      <c r="O895" s="7" t="str">
        <f t="shared" si="7"/>
        <v/>
      </c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>
        <f>IFERROR(__xludf.DUMMYFUNCTION("""COMPUTED_VALUE"""),45681.0)</f>
        <v>45681</v>
      </c>
      <c r="B896" s="6">
        <f>IFERROR(__xludf.DUMMYFUNCTION("""COMPUTED_VALUE"""),374.2)</f>
        <v>374.2</v>
      </c>
      <c r="C896" s="6">
        <f>IFERROR(__xludf.DUMMYFUNCTION("""COMPUTED_VALUE"""),379.95)</f>
        <v>379.95</v>
      </c>
      <c r="D896" s="6">
        <f>IFERROR(__xludf.DUMMYFUNCTION("""COMPUTED_VALUE"""),351.25)</f>
        <v>351.25</v>
      </c>
      <c r="E896" s="6">
        <f>IFERROR(__xludf.DUMMYFUNCTION("""COMPUTED_VALUE"""),352.85)</f>
        <v>352.85</v>
      </c>
      <c r="F896" s="7">
        <f>IFERROR(__xludf.DUMMYFUNCTION("""COMPUTED_VALUE"""),1.8088473E7)</f>
        <v>18088473</v>
      </c>
      <c r="G896" s="7" t="str">
        <f>IFERROR(__xludf.DUMMYFUNCTION("""COMPUTED_VALUE"""),"HINDPETRO.NS")</f>
        <v>HINDPETRO.NS</v>
      </c>
      <c r="H896" s="8">
        <f t="shared" si="1"/>
        <v>-0.05705505077</v>
      </c>
      <c r="I896" s="8">
        <f t="shared" si="2"/>
        <v>0.05705505077</v>
      </c>
      <c r="J896" s="7" t="str">
        <f t="shared" si="3"/>
        <v>Jan-2025</v>
      </c>
      <c r="K896" s="9">
        <f t="shared" si="4"/>
        <v>45658</v>
      </c>
      <c r="L896" s="7" t="str">
        <f t="shared" si="5"/>
        <v>PRICE_MOVE_5PCT+</v>
      </c>
      <c r="M896" s="7" t="str">
        <f>IFERROR(__xludf.DUMMYFUNCTION("IFERROR(
  IF(
    F896 &gt;
    3*AVERAGE(
       FILTER($F$2:$F10491,
         $G$2:$G10491=G896,
         $A$2:$A10491&gt;=A896-20,
         $A$2:$A10491&lt;=A896
       )
    ),
    ""VOL_SPIKE_3X"",""""
  ),
"""")
"),"")</f>
        <v/>
      </c>
      <c r="N896" s="7" t="str">
        <f t="shared" si="6"/>
        <v>PRICE_MOVE_5PCT+</v>
      </c>
      <c r="O896" s="7" t="str">
        <f t="shared" si="7"/>
        <v/>
      </c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>
        <f>IFERROR(__xludf.DUMMYFUNCTION("""COMPUTED_VALUE"""),45681.0)</f>
        <v>45681</v>
      </c>
      <c r="B897" s="6">
        <f>IFERROR(__xludf.DUMMYFUNCTION("""COMPUTED_VALUE"""),130.99)</f>
        <v>130.99</v>
      </c>
      <c r="C897" s="6">
        <f>IFERROR(__xludf.DUMMYFUNCTION("""COMPUTED_VALUE"""),132.75)</f>
        <v>132.75</v>
      </c>
      <c r="D897" s="6">
        <f>IFERROR(__xludf.DUMMYFUNCTION("""COMPUTED_VALUE"""),127.9)</f>
        <v>127.9</v>
      </c>
      <c r="E897" s="6">
        <f>IFERROR(__xludf.DUMMYFUNCTION("""COMPUTED_VALUE"""),128.26)</f>
        <v>128.26</v>
      </c>
      <c r="F897" s="7">
        <f>IFERROR(__xludf.DUMMYFUNCTION("""COMPUTED_VALUE"""),1.2630632E7)</f>
        <v>12630632</v>
      </c>
      <c r="G897" s="7" t="str">
        <f>IFERROR(__xludf.DUMMYFUNCTION("""COMPUTED_VALUE"""),"IOC.NS")</f>
        <v>IOC.NS</v>
      </c>
      <c r="H897" s="8">
        <f t="shared" si="1"/>
        <v>-0.02084128559</v>
      </c>
      <c r="I897" s="8">
        <f t="shared" si="2"/>
        <v>0.02084128559</v>
      </c>
      <c r="J897" s="7" t="str">
        <f t="shared" si="3"/>
        <v>Jan-2025</v>
      </c>
      <c r="K897" s="9">
        <f t="shared" si="4"/>
        <v>45658</v>
      </c>
      <c r="L897" s="7" t="str">
        <f t="shared" si="5"/>
        <v/>
      </c>
      <c r="M897" s="7" t="str">
        <f>IFERROR(__xludf.DUMMYFUNCTION("IFERROR(
  IF(
    F897 &gt;
    3*AVERAGE(
       FILTER($F$2:$F10491,
         $G$2:$G10491=G897,
         $A$2:$A10491&gt;=A897-20,
         $A$2:$A10491&lt;=A897
       )
    ),
    ""VOL_SPIKE_3X"",""""
  ),
"""")
"),"")</f>
        <v/>
      </c>
      <c r="N897" s="7" t="str">
        <f t="shared" si="6"/>
        <v/>
      </c>
      <c r="O897" s="7" t="str">
        <f t="shared" si="7"/>
        <v/>
      </c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>
        <f>IFERROR(__xludf.DUMMYFUNCTION("""COMPUTED_VALUE"""),45681.0)</f>
        <v>45681</v>
      </c>
      <c r="B898" s="6">
        <f>IFERROR(__xludf.DUMMYFUNCTION("""COMPUTED_VALUE"""),324.8)</f>
        <v>324.8</v>
      </c>
      <c r="C898" s="6">
        <f>IFERROR(__xludf.DUMMYFUNCTION("""COMPUTED_VALUE"""),329.9)</f>
        <v>329.9</v>
      </c>
      <c r="D898" s="6">
        <f>IFERROR(__xludf.DUMMYFUNCTION("""COMPUTED_VALUE"""),322.1)</f>
        <v>322.1</v>
      </c>
      <c r="E898" s="6">
        <f>IFERROR(__xludf.DUMMYFUNCTION("""COMPUTED_VALUE"""),323.65)</f>
        <v>323.65</v>
      </c>
      <c r="F898" s="7">
        <f>IFERROR(__xludf.DUMMYFUNCTION("""COMPUTED_VALUE"""),7492600.0)</f>
        <v>7492600</v>
      </c>
      <c r="G898" s="7" t="str">
        <f>IFERROR(__xludf.DUMMYFUNCTION("""COMPUTED_VALUE"""),"NTPC.NS")</f>
        <v>NTPC.NS</v>
      </c>
      <c r="H898" s="8">
        <f t="shared" si="1"/>
        <v>-0.003540640394</v>
      </c>
      <c r="I898" s="8">
        <f t="shared" si="2"/>
        <v>0.003540640394</v>
      </c>
      <c r="J898" s="7" t="str">
        <f t="shared" si="3"/>
        <v>Jan-2025</v>
      </c>
      <c r="K898" s="9">
        <f t="shared" si="4"/>
        <v>45658</v>
      </c>
      <c r="L898" s="7" t="str">
        <f t="shared" si="5"/>
        <v/>
      </c>
      <c r="M898" s="7" t="str">
        <f>IFERROR(__xludf.DUMMYFUNCTION("IFERROR(
  IF(
    F898 &gt;
    3*AVERAGE(
       FILTER($F$2:$F10491,
         $G$2:$G10491=G898,
         $A$2:$A10491&gt;=A898-20,
         $A$2:$A10491&lt;=A898
       )
    ),
    ""VOL_SPIKE_3X"",""""
  ),
"""")
"),"")</f>
        <v/>
      </c>
      <c r="N898" s="7" t="str">
        <f t="shared" si="6"/>
        <v/>
      </c>
      <c r="O898" s="7" t="str">
        <f t="shared" si="7"/>
        <v/>
      </c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>
        <f>IFERROR(__xludf.DUMMYFUNCTION("""COMPUTED_VALUE"""),45681.0)</f>
        <v>45681</v>
      </c>
      <c r="B899" s="6">
        <f>IFERROR(__xludf.DUMMYFUNCTION("""COMPUTED_VALUE"""),262.99)</f>
        <v>262.99</v>
      </c>
      <c r="C899" s="6">
        <f>IFERROR(__xludf.DUMMYFUNCTION("""COMPUTED_VALUE"""),265.64)</f>
        <v>265.64</v>
      </c>
      <c r="D899" s="6">
        <f>IFERROR(__xludf.DUMMYFUNCTION("""COMPUTED_VALUE"""),255.75)</f>
        <v>255.75</v>
      </c>
      <c r="E899" s="6">
        <f>IFERROR(__xludf.DUMMYFUNCTION("""COMPUTED_VALUE"""),256.51)</f>
        <v>256.51</v>
      </c>
      <c r="F899" s="7">
        <f>IFERROR(__xludf.DUMMYFUNCTION("""COMPUTED_VALUE"""),6306281.0)</f>
        <v>6306281</v>
      </c>
      <c r="G899" s="7" t="str">
        <f>IFERROR(__xludf.DUMMYFUNCTION("""COMPUTED_VALUE"""),"ONGC.NS")</f>
        <v>ONGC.NS</v>
      </c>
      <c r="H899" s="8">
        <f t="shared" si="1"/>
        <v>-0.02463972014</v>
      </c>
      <c r="I899" s="8">
        <f t="shared" si="2"/>
        <v>0.02463972014</v>
      </c>
      <c r="J899" s="7" t="str">
        <f t="shared" si="3"/>
        <v>Jan-2025</v>
      </c>
      <c r="K899" s="9">
        <f t="shared" si="4"/>
        <v>45658</v>
      </c>
      <c r="L899" s="7" t="str">
        <f t="shared" si="5"/>
        <v/>
      </c>
      <c r="M899" s="7" t="str">
        <f>IFERROR(__xludf.DUMMYFUNCTION("IFERROR(
  IF(
    F899 &gt;
    3*AVERAGE(
       FILTER($F$2:$F10491,
         $G$2:$G10491=G899,
         $A$2:$A10491&gt;=A899-20,
         $A$2:$A10491&lt;=A899
       )
    ),
    ""VOL_SPIKE_3X"",""""
  ),
"""")
"),"")</f>
        <v/>
      </c>
      <c r="N899" s="7" t="str">
        <f t="shared" si="6"/>
        <v/>
      </c>
      <c r="O899" s="7" t="str">
        <f t="shared" si="7"/>
        <v/>
      </c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>
        <f>IFERROR(__xludf.DUMMYFUNCTION("""COMPUTED_VALUE"""),45681.0)</f>
        <v>45681</v>
      </c>
      <c r="B900" s="6">
        <f>IFERROR(__xludf.DUMMYFUNCTION("""COMPUTED_VALUE"""),295.3)</f>
        <v>295.3</v>
      </c>
      <c r="C900" s="6">
        <f>IFERROR(__xludf.DUMMYFUNCTION("""COMPUTED_VALUE"""),302.5)</f>
        <v>302.5</v>
      </c>
      <c r="D900" s="6">
        <f>IFERROR(__xludf.DUMMYFUNCTION("""COMPUTED_VALUE"""),294.35)</f>
        <v>294.35</v>
      </c>
      <c r="E900" s="6">
        <f>IFERROR(__xludf.DUMMYFUNCTION("""COMPUTED_VALUE"""),295.85)</f>
        <v>295.85</v>
      </c>
      <c r="F900" s="7">
        <f>IFERROR(__xludf.DUMMYFUNCTION("""COMPUTED_VALUE"""),1.1142914E7)</f>
        <v>11142914</v>
      </c>
      <c r="G900" s="7" t="str">
        <f>IFERROR(__xludf.DUMMYFUNCTION("""COMPUTED_VALUE"""),"POWERGRID.NS")</f>
        <v>POWERGRID.NS</v>
      </c>
      <c r="H900" s="8">
        <f t="shared" si="1"/>
        <v>0.001862512699</v>
      </c>
      <c r="I900" s="8">
        <f t="shared" si="2"/>
        <v>0.001862512699</v>
      </c>
      <c r="J900" s="7" t="str">
        <f t="shared" si="3"/>
        <v>Jan-2025</v>
      </c>
      <c r="K900" s="9">
        <f t="shared" si="4"/>
        <v>45658</v>
      </c>
      <c r="L900" s="7" t="str">
        <f t="shared" si="5"/>
        <v/>
      </c>
      <c r="M900" s="7" t="str">
        <f>IFERROR(__xludf.DUMMYFUNCTION("IFERROR(
  IF(
    F900 &gt;
    3*AVERAGE(
       FILTER($F$2:$F10491,
         $G$2:$G10491=G900,
         $A$2:$A10491&gt;=A900-20,
         $A$2:$A10491&lt;=A900
       )
    ),
    ""VOL_SPIKE_3X"",""""
  ),
"""")
"),"")</f>
        <v/>
      </c>
      <c r="N900" s="7" t="str">
        <f t="shared" si="6"/>
        <v/>
      </c>
      <c r="O900" s="7" t="str">
        <f t="shared" si="7"/>
        <v/>
      </c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>
        <f>IFERROR(__xludf.DUMMYFUNCTION("""COMPUTED_VALUE"""),45681.0)</f>
        <v>45681</v>
      </c>
      <c r="B901" s="6">
        <f>IFERROR(__xludf.DUMMYFUNCTION("""COMPUTED_VALUE"""),1266.0)</f>
        <v>1266</v>
      </c>
      <c r="C901" s="6">
        <f>IFERROR(__xludf.DUMMYFUNCTION("""COMPUTED_VALUE"""),1273.0)</f>
        <v>1273</v>
      </c>
      <c r="D901" s="6">
        <f>IFERROR(__xludf.DUMMYFUNCTION("""COMPUTED_VALUE"""),1243.5)</f>
        <v>1243.5</v>
      </c>
      <c r="E901" s="6">
        <f>IFERROR(__xludf.DUMMYFUNCTION("""COMPUTED_VALUE"""),1246.3)</f>
        <v>1246.3</v>
      </c>
      <c r="F901" s="7">
        <f>IFERROR(__xludf.DUMMYFUNCTION("""COMPUTED_VALUE"""),1.423597E7)</f>
        <v>14235970</v>
      </c>
      <c r="G901" s="7" t="str">
        <f>IFERROR(__xludf.DUMMYFUNCTION("""COMPUTED_VALUE"""),"RELIANCE.NS")</f>
        <v>RELIANCE.NS</v>
      </c>
      <c r="H901" s="8">
        <f t="shared" si="1"/>
        <v>-0.01556082148</v>
      </c>
      <c r="I901" s="8">
        <f t="shared" si="2"/>
        <v>0.01556082148</v>
      </c>
      <c r="J901" s="7" t="str">
        <f t="shared" si="3"/>
        <v>Jan-2025</v>
      </c>
      <c r="K901" s="9">
        <f t="shared" si="4"/>
        <v>45658</v>
      </c>
      <c r="L901" s="7" t="str">
        <f t="shared" si="5"/>
        <v/>
      </c>
      <c r="M901" s="7" t="str">
        <f>IFERROR(__xludf.DUMMYFUNCTION("IFERROR(
  IF(
    F901 &gt;
    3*AVERAGE(
       FILTER($F$2:$F10491,
         $G$2:$G10491=G901,
         $A$2:$A10491&gt;=A901-20,
         $A$2:$A10491&lt;=A901
       )
    ),
    ""VOL_SPIKE_3X"",""""
  ),
"""")
"),"")</f>
        <v/>
      </c>
      <c r="N901" s="7" t="str">
        <f t="shared" si="6"/>
        <v/>
      </c>
      <c r="O901" s="7" t="str">
        <f t="shared" si="7"/>
        <v/>
      </c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>
        <f>IFERROR(__xludf.DUMMYFUNCTION("""COMPUTED_VALUE"""),45684.0)</f>
        <v>45684</v>
      </c>
      <c r="B902" s="6">
        <f>IFERROR(__xludf.DUMMYFUNCTION("""COMPUTED_VALUE"""),779.25)</f>
        <v>779.25</v>
      </c>
      <c r="C902" s="6">
        <f>IFERROR(__xludf.DUMMYFUNCTION("""COMPUTED_VALUE"""),781.3)</f>
        <v>781.3</v>
      </c>
      <c r="D902" s="6">
        <f>IFERROR(__xludf.DUMMYFUNCTION("""COMPUTED_VALUE"""),750.8)</f>
        <v>750.8</v>
      </c>
      <c r="E902" s="6">
        <f>IFERROR(__xludf.DUMMYFUNCTION("""COMPUTED_VALUE"""),755.65)</f>
        <v>755.65</v>
      </c>
      <c r="F902" s="7">
        <f>IFERROR(__xludf.DUMMYFUNCTION("""COMPUTED_VALUE"""),2319145.0)</f>
        <v>2319145</v>
      </c>
      <c r="G902" s="7" t="str">
        <f>IFERROR(__xludf.DUMMYFUNCTION("""COMPUTED_VALUE"""),"ADANIENSOL.NS")</f>
        <v>ADANIENSOL.NS</v>
      </c>
      <c r="H902" s="8">
        <f t="shared" si="1"/>
        <v>-0.03028553096</v>
      </c>
      <c r="I902" s="8">
        <f t="shared" si="2"/>
        <v>0.03028553096</v>
      </c>
      <c r="J902" s="7" t="str">
        <f t="shared" si="3"/>
        <v>Jan-2025</v>
      </c>
      <c r="K902" s="9">
        <f t="shared" si="4"/>
        <v>45658</v>
      </c>
      <c r="L902" s="7" t="str">
        <f t="shared" si="5"/>
        <v/>
      </c>
      <c r="M902" s="7" t="str">
        <f>IFERROR(__xludf.DUMMYFUNCTION("IFERROR(
  IF(
    F902 &gt;
    3*AVERAGE(
       FILTER($F$2:$F10491,
         $G$2:$G10491=G902,
         $A$2:$A10491&gt;=A902-20,
         $A$2:$A10491&lt;=A902
       )
    ),
    ""VOL_SPIKE_3X"",""""
  ),
"""")
"),"")</f>
        <v/>
      </c>
      <c r="N902" s="7" t="str">
        <f t="shared" si="6"/>
        <v/>
      </c>
      <c r="O902" s="7" t="str">
        <f t="shared" si="7"/>
        <v/>
      </c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>
        <f>IFERROR(__xludf.DUMMYFUNCTION("""COMPUTED_VALUE"""),45684.0)</f>
        <v>45684</v>
      </c>
      <c r="B903" s="6">
        <f>IFERROR(__xludf.DUMMYFUNCTION("""COMPUTED_VALUE"""),995.1)</f>
        <v>995.1</v>
      </c>
      <c r="C903" s="6">
        <f>IFERROR(__xludf.DUMMYFUNCTION("""COMPUTED_VALUE"""),1003.0)</f>
        <v>1003</v>
      </c>
      <c r="D903" s="6">
        <f>IFERROR(__xludf.DUMMYFUNCTION("""COMPUTED_VALUE"""),982.95)</f>
        <v>982.95</v>
      </c>
      <c r="E903" s="6">
        <f>IFERROR(__xludf.DUMMYFUNCTION("""COMPUTED_VALUE"""),998.95)</f>
        <v>998.95</v>
      </c>
      <c r="F903" s="7">
        <f>IFERROR(__xludf.DUMMYFUNCTION("""COMPUTED_VALUE"""),2286903.0)</f>
        <v>2286903</v>
      </c>
      <c r="G903" s="7" t="str">
        <f>IFERROR(__xludf.DUMMYFUNCTION("""COMPUTED_VALUE"""),"ADANIGREEN.NS")</f>
        <v>ADANIGREEN.NS</v>
      </c>
      <c r="H903" s="8">
        <f t="shared" si="1"/>
        <v>0.003868957894</v>
      </c>
      <c r="I903" s="8">
        <f t="shared" si="2"/>
        <v>0.003868957894</v>
      </c>
      <c r="J903" s="7" t="str">
        <f t="shared" si="3"/>
        <v>Jan-2025</v>
      </c>
      <c r="K903" s="9">
        <f t="shared" si="4"/>
        <v>45658</v>
      </c>
      <c r="L903" s="7" t="str">
        <f t="shared" si="5"/>
        <v/>
      </c>
      <c r="M903" s="7" t="str">
        <f>IFERROR(__xludf.DUMMYFUNCTION("IFERROR(
  IF(
    F903 &gt;
    3*AVERAGE(
       FILTER($F$2:$F10491,
         $G$2:$G10491=G903,
         $A$2:$A10491&gt;=A903-20,
         $A$2:$A10491&lt;=A903
       )
    ),
    ""VOL_SPIKE_3X"",""""
  ),
"""")
"),"")</f>
        <v/>
      </c>
      <c r="N903" s="7" t="str">
        <f t="shared" si="6"/>
        <v/>
      </c>
      <c r="O903" s="7" t="str">
        <f t="shared" si="7"/>
        <v/>
      </c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>
        <f>IFERROR(__xludf.DUMMYFUNCTION("""COMPUTED_VALUE"""),45684.0)</f>
        <v>45684</v>
      </c>
      <c r="B904" s="6">
        <f>IFERROR(__xludf.DUMMYFUNCTION("""COMPUTED_VALUE"""),263.7)</f>
        <v>263.7</v>
      </c>
      <c r="C904" s="6">
        <f>IFERROR(__xludf.DUMMYFUNCTION("""COMPUTED_VALUE"""),263.7)</f>
        <v>263.7</v>
      </c>
      <c r="D904" s="6">
        <f>IFERROR(__xludf.DUMMYFUNCTION("""COMPUTED_VALUE"""),258.35)</f>
        <v>258.35</v>
      </c>
      <c r="E904" s="6">
        <f>IFERROR(__xludf.DUMMYFUNCTION("""COMPUTED_VALUE"""),261.3)</f>
        <v>261.3</v>
      </c>
      <c r="F904" s="7">
        <f>IFERROR(__xludf.DUMMYFUNCTION("""COMPUTED_VALUE"""),1.0083126E7)</f>
        <v>10083126</v>
      </c>
      <c r="G904" s="7" t="str">
        <f>IFERROR(__xludf.DUMMYFUNCTION("""COMPUTED_VALUE"""),"BPCL.NS")</f>
        <v>BPCL.NS</v>
      </c>
      <c r="H904" s="8">
        <f t="shared" si="1"/>
        <v>-0.009101251422</v>
      </c>
      <c r="I904" s="8">
        <f t="shared" si="2"/>
        <v>0.009101251422</v>
      </c>
      <c r="J904" s="7" t="str">
        <f t="shared" si="3"/>
        <v>Jan-2025</v>
      </c>
      <c r="K904" s="9">
        <f t="shared" si="4"/>
        <v>45658</v>
      </c>
      <c r="L904" s="7" t="str">
        <f t="shared" si="5"/>
        <v/>
      </c>
      <c r="M904" s="7" t="str">
        <f>IFERROR(__xludf.DUMMYFUNCTION("IFERROR(
  IF(
    F904 &gt;
    3*AVERAGE(
       FILTER($F$2:$F10491,
         $G$2:$G10491=G904,
         $A$2:$A10491&gt;=A904-20,
         $A$2:$A10491&lt;=A904
       )
    ),
    ""VOL_SPIKE_3X"",""""
  ),
"""")
"),"")</f>
        <v/>
      </c>
      <c r="N904" s="7" t="str">
        <f t="shared" si="6"/>
        <v/>
      </c>
      <c r="O904" s="7" t="str">
        <f t="shared" si="7"/>
        <v/>
      </c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>
        <f>IFERROR(__xludf.DUMMYFUNCTION("""COMPUTED_VALUE"""),45684.0)</f>
        <v>45684</v>
      </c>
      <c r="B905" s="6">
        <f>IFERROR(__xludf.DUMMYFUNCTION("""COMPUTED_VALUE"""),380.9)</f>
        <v>380.9</v>
      </c>
      <c r="C905" s="6">
        <f>IFERROR(__xludf.DUMMYFUNCTION("""COMPUTED_VALUE"""),383.0)</f>
        <v>383</v>
      </c>
      <c r="D905" s="6">
        <f>IFERROR(__xludf.DUMMYFUNCTION("""COMPUTED_VALUE"""),372.75)</f>
        <v>372.75</v>
      </c>
      <c r="E905" s="6">
        <f>IFERROR(__xludf.DUMMYFUNCTION("""COMPUTED_VALUE"""),375.75)</f>
        <v>375.75</v>
      </c>
      <c r="F905" s="7">
        <f>IFERROR(__xludf.DUMMYFUNCTION("""COMPUTED_VALUE"""),6645109.0)</f>
        <v>6645109</v>
      </c>
      <c r="G905" s="7" t="str">
        <f>IFERROR(__xludf.DUMMYFUNCTION("""COMPUTED_VALUE"""),"COALINDIA.NS")</f>
        <v>COALINDIA.NS</v>
      </c>
      <c r="H905" s="8">
        <f t="shared" si="1"/>
        <v>-0.01352060908</v>
      </c>
      <c r="I905" s="8">
        <f t="shared" si="2"/>
        <v>0.01352060908</v>
      </c>
      <c r="J905" s="7" t="str">
        <f t="shared" si="3"/>
        <v>Jan-2025</v>
      </c>
      <c r="K905" s="9">
        <f t="shared" si="4"/>
        <v>45658</v>
      </c>
      <c r="L905" s="7" t="str">
        <f t="shared" si="5"/>
        <v/>
      </c>
      <c r="M905" s="7" t="str">
        <f>IFERROR(__xludf.DUMMYFUNCTION("IFERROR(
  IF(
    F905 &gt;
    3*AVERAGE(
       FILTER($F$2:$F10491,
         $G$2:$G10491=G905,
         $A$2:$A10491&gt;=A905-20,
         $A$2:$A10491&lt;=A905
       )
    ),
    ""VOL_SPIKE_3X"",""""
  ),
"""")
"),"")</f>
        <v/>
      </c>
      <c r="N905" s="7" t="str">
        <f t="shared" si="6"/>
        <v/>
      </c>
      <c r="O905" s="7" t="str">
        <f t="shared" si="7"/>
        <v/>
      </c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>
        <f>IFERROR(__xludf.DUMMYFUNCTION("""COMPUTED_VALUE"""),45684.0)</f>
        <v>45684</v>
      </c>
      <c r="B906" s="6">
        <f>IFERROR(__xludf.DUMMYFUNCTION("""COMPUTED_VALUE"""),350.4)</f>
        <v>350.4</v>
      </c>
      <c r="C906" s="6">
        <f>IFERROR(__xludf.DUMMYFUNCTION("""COMPUTED_VALUE"""),350.9)</f>
        <v>350.9</v>
      </c>
      <c r="D906" s="6">
        <f>IFERROR(__xludf.DUMMYFUNCTION("""COMPUTED_VALUE"""),343.35)</f>
        <v>343.35</v>
      </c>
      <c r="E906" s="6">
        <f>IFERROR(__xludf.DUMMYFUNCTION("""COMPUTED_VALUE"""),345.95)</f>
        <v>345.95</v>
      </c>
      <c r="F906" s="7">
        <f>IFERROR(__xludf.DUMMYFUNCTION("""COMPUTED_VALUE"""),4454025.0)</f>
        <v>4454025</v>
      </c>
      <c r="G906" s="7" t="str">
        <f>IFERROR(__xludf.DUMMYFUNCTION("""COMPUTED_VALUE"""),"HINDPETRO.NS")</f>
        <v>HINDPETRO.NS</v>
      </c>
      <c r="H906" s="8">
        <f t="shared" si="1"/>
        <v>-0.01269977169</v>
      </c>
      <c r="I906" s="8">
        <f t="shared" si="2"/>
        <v>0.01269977169</v>
      </c>
      <c r="J906" s="7" t="str">
        <f t="shared" si="3"/>
        <v>Jan-2025</v>
      </c>
      <c r="K906" s="9">
        <f t="shared" si="4"/>
        <v>45658</v>
      </c>
      <c r="L906" s="7" t="str">
        <f t="shared" si="5"/>
        <v/>
      </c>
      <c r="M906" s="7" t="str">
        <f>IFERROR(__xludf.DUMMYFUNCTION("IFERROR(
  IF(
    F906 &gt;
    3*AVERAGE(
       FILTER($F$2:$F10491,
         $G$2:$G10491=G906,
         $A$2:$A10491&gt;=A906-20,
         $A$2:$A10491&lt;=A906
       )
    ),
    ""VOL_SPIKE_3X"",""""
  ),
"""")
"),"")</f>
        <v/>
      </c>
      <c r="N906" s="7" t="str">
        <f t="shared" si="6"/>
        <v/>
      </c>
      <c r="O906" s="7" t="str">
        <f t="shared" si="7"/>
        <v/>
      </c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>
        <f>IFERROR(__xludf.DUMMYFUNCTION("""COMPUTED_VALUE"""),45684.0)</f>
        <v>45684</v>
      </c>
      <c r="B907" s="6">
        <f>IFERROR(__xludf.DUMMYFUNCTION("""COMPUTED_VALUE"""),127.97)</f>
        <v>127.97</v>
      </c>
      <c r="C907" s="6">
        <f>IFERROR(__xludf.DUMMYFUNCTION("""COMPUTED_VALUE"""),127.97)</f>
        <v>127.97</v>
      </c>
      <c r="D907" s="6">
        <f>IFERROR(__xludf.DUMMYFUNCTION("""COMPUTED_VALUE"""),122.5)</f>
        <v>122.5</v>
      </c>
      <c r="E907" s="6">
        <f>IFERROR(__xludf.DUMMYFUNCTION("""COMPUTED_VALUE"""),124.17)</f>
        <v>124.17</v>
      </c>
      <c r="F907" s="7">
        <f>IFERROR(__xludf.DUMMYFUNCTION("""COMPUTED_VALUE"""),1.8934026E7)</f>
        <v>18934026</v>
      </c>
      <c r="G907" s="7" t="str">
        <f>IFERROR(__xludf.DUMMYFUNCTION("""COMPUTED_VALUE"""),"IOC.NS")</f>
        <v>IOC.NS</v>
      </c>
      <c r="H907" s="8">
        <f t="shared" si="1"/>
        <v>-0.02969445964</v>
      </c>
      <c r="I907" s="8">
        <f t="shared" si="2"/>
        <v>0.02969445964</v>
      </c>
      <c r="J907" s="7" t="str">
        <f t="shared" si="3"/>
        <v>Jan-2025</v>
      </c>
      <c r="K907" s="9">
        <f t="shared" si="4"/>
        <v>45658</v>
      </c>
      <c r="L907" s="7" t="str">
        <f t="shared" si="5"/>
        <v/>
      </c>
      <c r="M907" s="7" t="str">
        <f>IFERROR(__xludf.DUMMYFUNCTION("IFERROR(
  IF(
    F907 &gt;
    3*AVERAGE(
       FILTER($F$2:$F10491,
         $G$2:$G10491=G907,
         $A$2:$A10491&gt;=A907-20,
         $A$2:$A10491&lt;=A907
       )
    ),
    ""VOL_SPIKE_3X"",""""
  ),
"""")
"),"")</f>
        <v/>
      </c>
      <c r="N907" s="7" t="str">
        <f t="shared" si="6"/>
        <v/>
      </c>
      <c r="O907" s="7" t="str">
        <f t="shared" si="7"/>
        <v/>
      </c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>
        <f>IFERROR(__xludf.DUMMYFUNCTION("""COMPUTED_VALUE"""),45684.0)</f>
        <v>45684</v>
      </c>
      <c r="B908" s="6">
        <f>IFERROR(__xludf.DUMMYFUNCTION("""COMPUTED_VALUE"""),323.65)</f>
        <v>323.65</v>
      </c>
      <c r="C908" s="6">
        <f>IFERROR(__xludf.DUMMYFUNCTION("""COMPUTED_VALUE"""),325.05)</f>
        <v>325.05</v>
      </c>
      <c r="D908" s="6">
        <f>IFERROR(__xludf.DUMMYFUNCTION("""COMPUTED_VALUE"""),315.0)</f>
        <v>315</v>
      </c>
      <c r="E908" s="6">
        <f>IFERROR(__xludf.DUMMYFUNCTION("""COMPUTED_VALUE"""),322.2)</f>
        <v>322.2</v>
      </c>
      <c r="F908" s="7">
        <f>IFERROR(__xludf.DUMMYFUNCTION("""COMPUTED_VALUE"""),1.3803855E7)</f>
        <v>13803855</v>
      </c>
      <c r="G908" s="7" t="str">
        <f>IFERROR(__xludf.DUMMYFUNCTION("""COMPUTED_VALUE"""),"NTPC.NS")</f>
        <v>NTPC.NS</v>
      </c>
      <c r="H908" s="8">
        <f t="shared" si="1"/>
        <v>-0.004480148308</v>
      </c>
      <c r="I908" s="8">
        <f t="shared" si="2"/>
        <v>0.004480148308</v>
      </c>
      <c r="J908" s="7" t="str">
        <f t="shared" si="3"/>
        <v>Jan-2025</v>
      </c>
      <c r="K908" s="9">
        <f t="shared" si="4"/>
        <v>45658</v>
      </c>
      <c r="L908" s="7" t="str">
        <f t="shared" si="5"/>
        <v/>
      </c>
      <c r="M908" s="7" t="str">
        <f>IFERROR(__xludf.DUMMYFUNCTION("IFERROR(
  IF(
    F908 &gt;
    3*AVERAGE(
       FILTER($F$2:$F10491,
         $G$2:$G10491=G908,
         $A$2:$A10491&gt;=A908-20,
         $A$2:$A10491&lt;=A908
       )
    ),
    ""VOL_SPIKE_3X"",""""
  ),
"""")
"),"")</f>
        <v/>
      </c>
      <c r="N908" s="7" t="str">
        <f t="shared" si="6"/>
        <v/>
      </c>
      <c r="O908" s="7" t="str">
        <f t="shared" si="7"/>
        <v/>
      </c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>
        <f>IFERROR(__xludf.DUMMYFUNCTION("""COMPUTED_VALUE"""),45684.0)</f>
        <v>45684</v>
      </c>
      <c r="B909" s="6">
        <f>IFERROR(__xludf.DUMMYFUNCTION("""COMPUTED_VALUE"""),255.0)</f>
        <v>255</v>
      </c>
      <c r="C909" s="6">
        <f>IFERROR(__xludf.DUMMYFUNCTION("""COMPUTED_VALUE"""),256.44)</f>
        <v>256.44</v>
      </c>
      <c r="D909" s="6">
        <f>IFERROR(__xludf.DUMMYFUNCTION("""COMPUTED_VALUE"""),249.51)</f>
        <v>249.51</v>
      </c>
      <c r="E909" s="6">
        <f>IFERROR(__xludf.DUMMYFUNCTION("""COMPUTED_VALUE"""),250.78)</f>
        <v>250.78</v>
      </c>
      <c r="F909" s="7">
        <f>IFERROR(__xludf.DUMMYFUNCTION("""COMPUTED_VALUE"""),6944911.0)</f>
        <v>6944911</v>
      </c>
      <c r="G909" s="7" t="str">
        <f>IFERROR(__xludf.DUMMYFUNCTION("""COMPUTED_VALUE"""),"ONGC.NS")</f>
        <v>ONGC.NS</v>
      </c>
      <c r="H909" s="8">
        <f t="shared" si="1"/>
        <v>-0.01654901961</v>
      </c>
      <c r="I909" s="8">
        <f t="shared" si="2"/>
        <v>0.01654901961</v>
      </c>
      <c r="J909" s="7" t="str">
        <f t="shared" si="3"/>
        <v>Jan-2025</v>
      </c>
      <c r="K909" s="9">
        <f t="shared" si="4"/>
        <v>45658</v>
      </c>
      <c r="L909" s="7" t="str">
        <f t="shared" si="5"/>
        <v/>
      </c>
      <c r="M909" s="7" t="str">
        <f>IFERROR(__xludf.DUMMYFUNCTION("IFERROR(
  IF(
    F909 &gt;
    3*AVERAGE(
       FILTER($F$2:$F10491,
         $G$2:$G10491=G909,
         $A$2:$A10491&gt;=A909-20,
         $A$2:$A10491&lt;=A909
       )
    ),
    ""VOL_SPIKE_3X"",""""
  ),
"""")
"),"")</f>
        <v/>
      </c>
      <c r="N909" s="7" t="str">
        <f t="shared" si="6"/>
        <v/>
      </c>
      <c r="O909" s="7" t="str">
        <f t="shared" si="7"/>
        <v/>
      </c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>
        <f>IFERROR(__xludf.DUMMYFUNCTION("""COMPUTED_VALUE"""),45684.0)</f>
        <v>45684</v>
      </c>
      <c r="B910" s="6">
        <f>IFERROR(__xludf.DUMMYFUNCTION("""COMPUTED_VALUE"""),295.0)</f>
        <v>295</v>
      </c>
      <c r="C910" s="6">
        <f>IFERROR(__xludf.DUMMYFUNCTION("""COMPUTED_VALUE"""),295.0)</f>
        <v>295</v>
      </c>
      <c r="D910" s="6">
        <f>IFERROR(__xludf.DUMMYFUNCTION("""COMPUTED_VALUE"""),283.75)</f>
        <v>283.75</v>
      </c>
      <c r="E910" s="6">
        <f>IFERROR(__xludf.DUMMYFUNCTION("""COMPUTED_VALUE"""),287.0)</f>
        <v>287</v>
      </c>
      <c r="F910" s="7">
        <f>IFERROR(__xludf.DUMMYFUNCTION("""COMPUTED_VALUE"""),1.3477947E7)</f>
        <v>13477947</v>
      </c>
      <c r="G910" s="7" t="str">
        <f>IFERROR(__xludf.DUMMYFUNCTION("""COMPUTED_VALUE"""),"POWERGRID.NS")</f>
        <v>POWERGRID.NS</v>
      </c>
      <c r="H910" s="8">
        <f t="shared" si="1"/>
        <v>-0.02711864407</v>
      </c>
      <c r="I910" s="8">
        <f t="shared" si="2"/>
        <v>0.02711864407</v>
      </c>
      <c r="J910" s="7" t="str">
        <f t="shared" si="3"/>
        <v>Jan-2025</v>
      </c>
      <c r="K910" s="9">
        <f t="shared" si="4"/>
        <v>45658</v>
      </c>
      <c r="L910" s="7" t="str">
        <f t="shared" si="5"/>
        <v/>
      </c>
      <c r="M910" s="7" t="str">
        <f>IFERROR(__xludf.DUMMYFUNCTION("IFERROR(
  IF(
    F910 &gt;
    3*AVERAGE(
       FILTER($F$2:$F10491,
         $G$2:$G10491=G910,
         $A$2:$A10491&gt;=A910-20,
         $A$2:$A10491&lt;=A910
       )
    ),
    ""VOL_SPIKE_3X"",""""
  ),
"""")
"),"")</f>
        <v/>
      </c>
      <c r="N910" s="7" t="str">
        <f t="shared" si="6"/>
        <v/>
      </c>
      <c r="O910" s="7" t="str">
        <f t="shared" si="7"/>
        <v/>
      </c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>
        <f>IFERROR(__xludf.DUMMYFUNCTION("""COMPUTED_VALUE"""),45684.0)</f>
        <v>45684</v>
      </c>
      <c r="B911" s="6">
        <f>IFERROR(__xludf.DUMMYFUNCTION("""COMPUTED_VALUE"""),1239.1)</f>
        <v>1239.1</v>
      </c>
      <c r="C911" s="6">
        <f>IFERROR(__xludf.DUMMYFUNCTION("""COMPUTED_VALUE"""),1240.45)</f>
        <v>1240.45</v>
      </c>
      <c r="D911" s="6">
        <f>IFERROR(__xludf.DUMMYFUNCTION("""COMPUTED_VALUE"""),1220.0)</f>
        <v>1220</v>
      </c>
      <c r="E911" s="6">
        <f>IFERROR(__xludf.DUMMYFUNCTION("""COMPUTED_VALUE"""),1229.35)</f>
        <v>1229.35</v>
      </c>
      <c r="F911" s="7">
        <f>IFERROR(__xludf.DUMMYFUNCTION("""COMPUTED_VALUE"""),9536019.0)</f>
        <v>9536019</v>
      </c>
      <c r="G911" s="7" t="str">
        <f>IFERROR(__xludf.DUMMYFUNCTION("""COMPUTED_VALUE"""),"RELIANCE.NS")</f>
        <v>RELIANCE.NS</v>
      </c>
      <c r="H911" s="8">
        <f t="shared" si="1"/>
        <v>-0.007868614317</v>
      </c>
      <c r="I911" s="8">
        <f t="shared" si="2"/>
        <v>0.007868614317</v>
      </c>
      <c r="J911" s="7" t="str">
        <f t="shared" si="3"/>
        <v>Jan-2025</v>
      </c>
      <c r="K911" s="9">
        <f t="shared" si="4"/>
        <v>45658</v>
      </c>
      <c r="L911" s="7" t="str">
        <f t="shared" si="5"/>
        <v/>
      </c>
      <c r="M911" s="7" t="str">
        <f>IFERROR(__xludf.DUMMYFUNCTION("IFERROR(
  IF(
    F911 &gt;
    3*AVERAGE(
       FILTER($F$2:$F10491,
         $G$2:$G10491=G911,
         $A$2:$A10491&gt;=A911-20,
         $A$2:$A10491&lt;=A911
       )
    ),
    ""VOL_SPIKE_3X"",""""
  ),
"""")
"),"")</f>
        <v/>
      </c>
      <c r="N911" s="7" t="str">
        <f t="shared" si="6"/>
        <v/>
      </c>
      <c r="O911" s="7" t="str">
        <f t="shared" si="7"/>
        <v/>
      </c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>
        <f>IFERROR(__xludf.DUMMYFUNCTION("""COMPUTED_VALUE"""),45685.0)</f>
        <v>45685</v>
      </c>
      <c r="B912" s="6">
        <f>IFERROR(__xludf.DUMMYFUNCTION("""COMPUTED_VALUE"""),753.0)</f>
        <v>753</v>
      </c>
      <c r="C912" s="6">
        <f>IFERROR(__xludf.DUMMYFUNCTION("""COMPUTED_VALUE"""),769.9)</f>
        <v>769.9</v>
      </c>
      <c r="D912" s="6">
        <f>IFERROR(__xludf.DUMMYFUNCTION("""COMPUTED_VALUE"""),735.3)</f>
        <v>735.3</v>
      </c>
      <c r="E912" s="6">
        <f>IFERROR(__xludf.DUMMYFUNCTION("""COMPUTED_VALUE"""),747.6)</f>
        <v>747.6</v>
      </c>
      <c r="F912" s="7">
        <f>IFERROR(__xludf.DUMMYFUNCTION("""COMPUTED_VALUE"""),1860951.0)</f>
        <v>1860951</v>
      </c>
      <c r="G912" s="7" t="str">
        <f>IFERROR(__xludf.DUMMYFUNCTION("""COMPUTED_VALUE"""),"ADANIENSOL.NS")</f>
        <v>ADANIENSOL.NS</v>
      </c>
      <c r="H912" s="8">
        <f t="shared" si="1"/>
        <v>-0.007171314741</v>
      </c>
      <c r="I912" s="8">
        <f t="shared" si="2"/>
        <v>0.007171314741</v>
      </c>
      <c r="J912" s="7" t="str">
        <f t="shared" si="3"/>
        <v>Jan-2025</v>
      </c>
      <c r="K912" s="9">
        <f t="shared" si="4"/>
        <v>45658</v>
      </c>
      <c r="L912" s="7" t="str">
        <f t="shared" si="5"/>
        <v/>
      </c>
      <c r="M912" s="7" t="str">
        <f>IFERROR(__xludf.DUMMYFUNCTION("IFERROR(
  IF(
    F912 &gt;
    3*AVERAGE(
       FILTER($F$2:$F10491,
         $G$2:$G10491=G912,
         $A$2:$A10491&gt;=A912-20,
         $A$2:$A10491&lt;=A912
       )
    ),
    ""VOL_SPIKE_3X"",""""
  ),
"""")
"),"")</f>
        <v/>
      </c>
      <c r="N912" s="7" t="str">
        <f t="shared" si="6"/>
        <v/>
      </c>
      <c r="O912" s="7" t="str">
        <f t="shared" si="7"/>
        <v/>
      </c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>
        <f>IFERROR(__xludf.DUMMYFUNCTION("""COMPUTED_VALUE"""),45685.0)</f>
        <v>45685</v>
      </c>
      <c r="B913" s="6">
        <f>IFERROR(__xludf.DUMMYFUNCTION("""COMPUTED_VALUE"""),999.0)</f>
        <v>999</v>
      </c>
      <c r="C913" s="6">
        <f>IFERROR(__xludf.DUMMYFUNCTION("""COMPUTED_VALUE"""),1012.75)</f>
        <v>1012.75</v>
      </c>
      <c r="D913" s="6">
        <f>IFERROR(__xludf.DUMMYFUNCTION("""COMPUTED_VALUE"""),965.7)</f>
        <v>965.7</v>
      </c>
      <c r="E913" s="6">
        <f>IFERROR(__xludf.DUMMYFUNCTION("""COMPUTED_VALUE"""),987.3)</f>
        <v>987.3</v>
      </c>
      <c r="F913" s="7">
        <f>IFERROR(__xludf.DUMMYFUNCTION("""COMPUTED_VALUE"""),2102556.0)</f>
        <v>2102556</v>
      </c>
      <c r="G913" s="7" t="str">
        <f>IFERROR(__xludf.DUMMYFUNCTION("""COMPUTED_VALUE"""),"ADANIGREEN.NS")</f>
        <v>ADANIGREEN.NS</v>
      </c>
      <c r="H913" s="8">
        <f t="shared" si="1"/>
        <v>-0.01171171171</v>
      </c>
      <c r="I913" s="8">
        <f t="shared" si="2"/>
        <v>0.01171171171</v>
      </c>
      <c r="J913" s="7" t="str">
        <f t="shared" si="3"/>
        <v>Jan-2025</v>
      </c>
      <c r="K913" s="9">
        <f t="shared" si="4"/>
        <v>45658</v>
      </c>
      <c r="L913" s="7" t="str">
        <f t="shared" si="5"/>
        <v/>
      </c>
      <c r="M913" s="7" t="str">
        <f>IFERROR(__xludf.DUMMYFUNCTION("IFERROR(
  IF(
    F913 &gt;
    3*AVERAGE(
       FILTER($F$2:$F10491,
         $G$2:$G10491=G913,
         $A$2:$A10491&gt;=A913-20,
         $A$2:$A10491&lt;=A913
       )
    ),
    ""VOL_SPIKE_3X"",""""
  ),
"""")
"),"")</f>
        <v/>
      </c>
      <c r="N913" s="7" t="str">
        <f t="shared" si="6"/>
        <v/>
      </c>
      <c r="O913" s="7" t="str">
        <f t="shared" si="7"/>
        <v/>
      </c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>
        <f>IFERROR(__xludf.DUMMYFUNCTION("""COMPUTED_VALUE"""),45685.0)</f>
        <v>45685</v>
      </c>
      <c r="B914" s="6">
        <f>IFERROR(__xludf.DUMMYFUNCTION("""COMPUTED_VALUE"""),262.25)</f>
        <v>262.25</v>
      </c>
      <c r="C914" s="6">
        <f>IFERROR(__xludf.DUMMYFUNCTION("""COMPUTED_VALUE"""),263.9)</f>
        <v>263.9</v>
      </c>
      <c r="D914" s="6">
        <f>IFERROR(__xludf.DUMMYFUNCTION("""COMPUTED_VALUE"""),254.3)</f>
        <v>254.3</v>
      </c>
      <c r="E914" s="6">
        <f>IFERROR(__xludf.DUMMYFUNCTION("""COMPUTED_VALUE"""),258.05)</f>
        <v>258.05</v>
      </c>
      <c r="F914" s="7">
        <f>IFERROR(__xludf.DUMMYFUNCTION("""COMPUTED_VALUE"""),1.3321189E7)</f>
        <v>13321189</v>
      </c>
      <c r="G914" s="7" t="str">
        <f>IFERROR(__xludf.DUMMYFUNCTION("""COMPUTED_VALUE"""),"BPCL.NS")</f>
        <v>BPCL.NS</v>
      </c>
      <c r="H914" s="8">
        <f t="shared" si="1"/>
        <v>-0.01601525262</v>
      </c>
      <c r="I914" s="8">
        <f t="shared" si="2"/>
        <v>0.01601525262</v>
      </c>
      <c r="J914" s="7" t="str">
        <f t="shared" si="3"/>
        <v>Jan-2025</v>
      </c>
      <c r="K914" s="9">
        <f t="shared" si="4"/>
        <v>45658</v>
      </c>
      <c r="L914" s="7" t="str">
        <f t="shared" si="5"/>
        <v/>
      </c>
      <c r="M914" s="7" t="str">
        <f>IFERROR(__xludf.DUMMYFUNCTION("IFERROR(
  IF(
    F914 &gt;
    3*AVERAGE(
       FILTER($F$2:$F10491,
         $G$2:$G10491=G914,
         $A$2:$A10491&gt;=A914-20,
         $A$2:$A10491&lt;=A914
       )
    ),
    ""VOL_SPIKE_3X"",""""
  ),
"""")
"),"")</f>
        <v/>
      </c>
      <c r="N914" s="7" t="str">
        <f t="shared" si="6"/>
        <v/>
      </c>
      <c r="O914" s="7" t="str">
        <f t="shared" si="7"/>
        <v/>
      </c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>
        <f>IFERROR(__xludf.DUMMYFUNCTION("""COMPUTED_VALUE"""),45685.0)</f>
        <v>45685</v>
      </c>
      <c r="B915" s="6">
        <f>IFERROR(__xludf.DUMMYFUNCTION("""COMPUTED_VALUE"""),376.0)</f>
        <v>376</v>
      </c>
      <c r="C915" s="6">
        <f>IFERROR(__xludf.DUMMYFUNCTION("""COMPUTED_VALUE"""),377.6)</f>
        <v>377.6</v>
      </c>
      <c r="D915" s="6">
        <f>IFERROR(__xludf.DUMMYFUNCTION("""COMPUTED_VALUE"""),367.75)</f>
        <v>367.75</v>
      </c>
      <c r="E915" s="6">
        <f>IFERROR(__xludf.DUMMYFUNCTION("""COMPUTED_VALUE"""),370.65)</f>
        <v>370.65</v>
      </c>
      <c r="F915" s="7">
        <f>IFERROR(__xludf.DUMMYFUNCTION("""COMPUTED_VALUE"""),1.0866038E7)</f>
        <v>10866038</v>
      </c>
      <c r="G915" s="7" t="str">
        <f>IFERROR(__xludf.DUMMYFUNCTION("""COMPUTED_VALUE"""),"COALINDIA.NS")</f>
        <v>COALINDIA.NS</v>
      </c>
      <c r="H915" s="8">
        <f t="shared" si="1"/>
        <v>-0.0142287234</v>
      </c>
      <c r="I915" s="8">
        <f t="shared" si="2"/>
        <v>0.0142287234</v>
      </c>
      <c r="J915" s="7" t="str">
        <f t="shared" si="3"/>
        <v>Jan-2025</v>
      </c>
      <c r="K915" s="9">
        <f t="shared" si="4"/>
        <v>45658</v>
      </c>
      <c r="L915" s="7" t="str">
        <f t="shared" si="5"/>
        <v/>
      </c>
      <c r="M915" s="7" t="str">
        <f>IFERROR(__xludf.DUMMYFUNCTION("IFERROR(
  IF(
    F915 &gt;
    3*AVERAGE(
       FILTER($F$2:$F10491,
         $G$2:$G10491=G915,
         $A$2:$A10491&gt;=A915-20,
         $A$2:$A10491&lt;=A915
       )
    ),
    ""VOL_SPIKE_3X"",""""
  ),
"""")
"),"")</f>
        <v/>
      </c>
      <c r="N915" s="7" t="str">
        <f t="shared" si="6"/>
        <v/>
      </c>
      <c r="O915" s="7" t="str">
        <f t="shared" si="7"/>
        <v/>
      </c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>
        <f>IFERROR(__xludf.DUMMYFUNCTION("""COMPUTED_VALUE"""),45685.0)</f>
        <v>45685</v>
      </c>
      <c r="B916" s="6">
        <f>IFERROR(__xludf.DUMMYFUNCTION("""COMPUTED_VALUE"""),350.0)</f>
        <v>350</v>
      </c>
      <c r="C916" s="6">
        <f>IFERROR(__xludf.DUMMYFUNCTION("""COMPUTED_VALUE"""),351.75)</f>
        <v>351.75</v>
      </c>
      <c r="D916" s="6">
        <f>IFERROR(__xludf.DUMMYFUNCTION("""COMPUTED_VALUE"""),341.45)</f>
        <v>341.45</v>
      </c>
      <c r="E916" s="6">
        <f>IFERROR(__xludf.DUMMYFUNCTION("""COMPUTED_VALUE"""),349.5)</f>
        <v>349.5</v>
      </c>
      <c r="F916" s="7">
        <f>IFERROR(__xludf.DUMMYFUNCTION("""COMPUTED_VALUE"""),5097372.0)</f>
        <v>5097372</v>
      </c>
      <c r="G916" s="7" t="str">
        <f>IFERROR(__xludf.DUMMYFUNCTION("""COMPUTED_VALUE"""),"HINDPETRO.NS")</f>
        <v>HINDPETRO.NS</v>
      </c>
      <c r="H916" s="8">
        <f t="shared" si="1"/>
        <v>-0.001428571429</v>
      </c>
      <c r="I916" s="8">
        <f t="shared" si="2"/>
        <v>0.001428571429</v>
      </c>
      <c r="J916" s="7" t="str">
        <f t="shared" si="3"/>
        <v>Jan-2025</v>
      </c>
      <c r="K916" s="9">
        <f t="shared" si="4"/>
        <v>45658</v>
      </c>
      <c r="L916" s="7" t="str">
        <f t="shared" si="5"/>
        <v/>
      </c>
      <c r="M916" s="7" t="str">
        <f>IFERROR(__xludf.DUMMYFUNCTION("IFERROR(
  IF(
    F916 &gt;
    3*AVERAGE(
       FILTER($F$2:$F10491,
         $G$2:$G10491=G916,
         $A$2:$A10491&gt;=A916-20,
         $A$2:$A10491&lt;=A916
       )
    ),
    ""VOL_SPIKE_3X"",""""
  ),
"""")
"),"")</f>
        <v/>
      </c>
      <c r="N916" s="7" t="str">
        <f t="shared" si="6"/>
        <v/>
      </c>
      <c r="O916" s="7" t="str">
        <f t="shared" si="7"/>
        <v/>
      </c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>
        <f>IFERROR(__xludf.DUMMYFUNCTION("""COMPUTED_VALUE"""),45685.0)</f>
        <v>45685</v>
      </c>
      <c r="B917" s="6">
        <f>IFERROR(__xludf.DUMMYFUNCTION("""COMPUTED_VALUE"""),124.17)</f>
        <v>124.17</v>
      </c>
      <c r="C917" s="6">
        <f>IFERROR(__xludf.DUMMYFUNCTION("""COMPUTED_VALUE"""),125.85)</f>
        <v>125.85</v>
      </c>
      <c r="D917" s="6">
        <f>IFERROR(__xludf.DUMMYFUNCTION("""COMPUTED_VALUE"""),121.84)</f>
        <v>121.84</v>
      </c>
      <c r="E917" s="6">
        <f>IFERROR(__xludf.DUMMYFUNCTION("""COMPUTED_VALUE"""),122.58)</f>
        <v>122.58</v>
      </c>
      <c r="F917" s="7">
        <f>IFERROR(__xludf.DUMMYFUNCTION("""COMPUTED_VALUE"""),1.9861475E7)</f>
        <v>19861475</v>
      </c>
      <c r="G917" s="7" t="str">
        <f>IFERROR(__xludf.DUMMYFUNCTION("""COMPUTED_VALUE"""),"IOC.NS")</f>
        <v>IOC.NS</v>
      </c>
      <c r="H917" s="8">
        <f t="shared" si="1"/>
        <v>-0.01280502537</v>
      </c>
      <c r="I917" s="8">
        <f t="shared" si="2"/>
        <v>0.01280502537</v>
      </c>
      <c r="J917" s="7" t="str">
        <f t="shared" si="3"/>
        <v>Jan-2025</v>
      </c>
      <c r="K917" s="9">
        <f t="shared" si="4"/>
        <v>45658</v>
      </c>
      <c r="L917" s="7" t="str">
        <f t="shared" si="5"/>
        <v/>
      </c>
      <c r="M917" s="7" t="str">
        <f>IFERROR(__xludf.DUMMYFUNCTION("IFERROR(
  IF(
    F917 &gt;
    3*AVERAGE(
       FILTER($F$2:$F10491,
         $G$2:$G10491=G917,
         $A$2:$A10491&gt;=A917-20,
         $A$2:$A10491&lt;=A917
       )
    ),
    ""VOL_SPIKE_3X"",""""
  ),
"""")
"),"")</f>
        <v/>
      </c>
      <c r="N917" s="7" t="str">
        <f t="shared" si="6"/>
        <v/>
      </c>
      <c r="O917" s="7" t="str">
        <f t="shared" si="7"/>
        <v/>
      </c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>
        <f>IFERROR(__xludf.DUMMYFUNCTION("""COMPUTED_VALUE"""),45685.0)</f>
        <v>45685</v>
      </c>
      <c r="B918" s="6">
        <f>IFERROR(__xludf.DUMMYFUNCTION("""COMPUTED_VALUE"""),322.5)</f>
        <v>322.5</v>
      </c>
      <c r="C918" s="6">
        <f>IFERROR(__xludf.DUMMYFUNCTION("""COMPUTED_VALUE"""),323.85)</f>
        <v>323.85</v>
      </c>
      <c r="D918" s="6">
        <f>IFERROR(__xludf.DUMMYFUNCTION("""COMPUTED_VALUE"""),308.15)</f>
        <v>308.15</v>
      </c>
      <c r="E918" s="6">
        <f>IFERROR(__xludf.DUMMYFUNCTION("""COMPUTED_VALUE"""),318.25)</f>
        <v>318.25</v>
      </c>
      <c r="F918" s="7">
        <f>IFERROR(__xludf.DUMMYFUNCTION("""COMPUTED_VALUE"""),2.2008929E7)</f>
        <v>22008929</v>
      </c>
      <c r="G918" s="7" t="str">
        <f>IFERROR(__xludf.DUMMYFUNCTION("""COMPUTED_VALUE"""),"NTPC.NS")</f>
        <v>NTPC.NS</v>
      </c>
      <c r="H918" s="8">
        <f t="shared" si="1"/>
        <v>-0.01317829457</v>
      </c>
      <c r="I918" s="8">
        <f t="shared" si="2"/>
        <v>0.01317829457</v>
      </c>
      <c r="J918" s="7" t="str">
        <f t="shared" si="3"/>
        <v>Jan-2025</v>
      </c>
      <c r="K918" s="9">
        <f t="shared" si="4"/>
        <v>45658</v>
      </c>
      <c r="L918" s="7" t="str">
        <f t="shared" si="5"/>
        <v/>
      </c>
      <c r="M918" s="7" t="str">
        <f>IFERROR(__xludf.DUMMYFUNCTION("IFERROR(
  IF(
    F918 &gt;
    3*AVERAGE(
       FILTER($F$2:$F10491,
         $G$2:$G10491=G918,
         $A$2:$A10491&gt;=A918-20,
         $A$2:$A10491&lt;=A918
       )
    ),
    ""VOL_SPIKE_3X"",""""
  ),
"""")
"),"")</f>
        <v/>
      </c>
      <c r="N918" s="7" t="str">
        <f t="shared" si="6"/>
        <v/>
      </c>
      <c r="O918" s="7" t="str">
        <f t="shared" si="7"/>
        <v/>
      </c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>
        <f>IFERROR(__xludf.DUMMYFUNCTION("""COMPUTED_VALUE"""),45685.0)</f>
        <v>45685</v>
      </c>
      <c r="B919" s="6">
        <f>IFERROR(__xludf.DUMMYFUNCTION("""COMPUTED_VALUE"""),250.0)</f>
        <v>250</v>
      </c>
      <c r="C919" s="6">
        <f>IFERROR(__xludf.DUMMYFUNCTION("""COMPUTED_VALUE"""),252.4)</f>
        <v>252.4</v>
      </c>
      <c r="D919" s="6">
        <f>IFERROR(__xludf.DUMMYFUNCTION("""COMPUTED_VALUE"""),246.71)</f>
        <v>246.71</v>
      </c>
      <c r="E919" s="6">
        <f>IFERROR(__xludf.DUMMYFUNCTION("""COMPUTED_VALUE"""),248.68)</f>
        <v>248.68</v>
      </c>
      <c r="F919" s="7">
        <f>IFERROR(__xludf.DUMMYFUNCTION("""COMPUTED_VALUE"""),8029472.0)</f>
        <v>8029472</v>
      </c>
      <c r="G919" s="7" t="str">
        <f>IFERROR(__xludf.DUMMYFUNCTION("""COMPUTED_VALUE"""),"ONGC.NS")</f>
        <v>ONGC.NS</v>
      </c>
      <c r="H919" s="8">
        <f t="shared" si="1"/>
        <v>-0.00528</v>
      </c>
      <c r="I919" s="8">
        <f t="shared" si="2"/>
        <v>0.00528</v>
      </c>
      <c r="J919" s="7" t="str">
        <f t="shared" si="3"/>
        <v>Jan-2025</v>
      </c>
      <c r="K919" s="9">
        <f t="shared" si="4"/>
        <v>45658</v>
      </c>
      <c r="L919" s="7" t="str">
        <f t="shared" si="5"/>
        <v/>
      </c>
      <c r="M919" s="7" t="str">
        <f>IFERROR(__xludf.DUMMYFUNCTION("IFERROR(
  IF(
    F919 &gt;
    3*AVERAGE(
       FILTER($F$2:$F10491,
         $G$2:$G10491=G919,
         $A$2:$A10491&gt;=A919-20,
         $A$2:$A10491&lt;=A919
       )
    ),
    ""VOL_SPIKE_3X"",""""
  ),
"""")
"),"")</f>
        <v/>
      </c>
      <c r="N919" s="7" t="str">
        <f t="shared" si="6"/>
        <v/>
      </c>
      <c r="O919" s="7" t="str">
        <f t="shared" si="7"/>
        <v/>
      </c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>
        <f>IFERROR(__xludf.DUMMYFUNCTION("""COMPUTED_VALUE"""),45685.0)</f>
        <v>45685</v>
      </c>
      <c r="B920" s="6">
        <f>IFERROR(__xludf.DUMMYFUNCTION("""COMPUTED_VALUE"""),287.15)</f>
        <v>287.15</v>
      </c>
      <c r="C920" s="6">
        <f>IFERROR(__xludf.DUMMYFUNCTION("""COMPUTED_VALUE"""),288.8)</f>
        <v>288.8</v>
      </c>
      <c r="D920" s="6">
        <f>IFERROR(__xludf.DUMMYFUNCTION("""COMPUTED_VALUE"""),279.35)</f>
        <v>279.35</v>
      </c>
      <c r="E920" s="6">
        <f>IFERROR(__xludf.DUMMYFUNCTION("""COMPUTED_VALUE"""),283.95)</f>
        <v>283.95</v>
      </c>
      <c r="F920" s="7">
        <f>IFERROR(__xludf.DUMMYFUNCTION("""COMPUTED_VALUE"""),1.1298068E7)</f>
        <v>11298068</v>
      </c>
      <c r="G920" s="7" t="str">
        <f>IFERROR(__xludf.DUMMYFUNCTION("""COMPUTED_VALUE"""),"POWERGRID.NS")</f>
        <v>POWERGRID.NS</v>
      </c>
      <c r="H920" s="8">
        <f t="shared" si="1"/>
        <v>-0.01114400139</v>
      </c>
      <c r="I920" s="8">
        <f t="shared" si="2"/>
        <v>0.01114400139</v>
      </c>
      <c r="J920" s="7" t="str">
        <f t="shared" si="3"/>
        <v>Jan-2025</v>
      </c>
      <c r="K920" s="9">
        <f t="shared" si="4"/>
        <v>45658</v>
      </c>
      <c r="L920" s="7" t="str">
        <f t="shared" si="5"/>
        <v/>
      </c>
      <c r="M920" s="7" t="str">
        <f>IFERROR(__xludf.DUMMYFUNCTION("IFERROR(
  IF(
    F920 &gt;
    3*AVERAGE(
       FILTER($F$2:$F10491,
         $G$2:$G10491=G920,
         $A$2:$A10491&gt;=A920-20,
         $A$2:$A10491&lt;=A920
       )
    ),
    ""VOL_SPIKE_3X"",""""
  ),
"""")
"),"")</f>
        <v/>
      </c>
      <c r="N920" s="7" t="str">
        <f t="shared" si="6"/>
        <v/>
      </c>
      <c r="O920" s="7" t="str">
        <f t="shared" si="7"/>
        <v/>
      </c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>
        <f>IFERROR(__xludf.DUMMYFUNCTION("""COMPUTED_VALUE"""),45685.0)</f>
        <v>45685</v>
      </c>
      <c r="B921" s="6">
        <f>IFERROR(__xludf.DUMMYFUNCTION("""COMPUTED_VALUE"""),1238.0)</f>
        <v>1238</v>
      </c>
      <c r="C921" s="6">
        <f>IFERROR(__xludf.DUMMYFUNCTION("""COMPUTED_VALUE"""),1244.75)</f>
        <v>1244.75</v>
      </c>
      <c r="D921" s="6">
        <f>IFERROR(__xludf.DUMMYFUNCTION("""COMPUTED_VALUE"""),1218.5)</f>
        <v>1218.5</v>
      </c>
      <c r="E921" s="6">
        <f>IFERROR(__xludf.DUMMYFUNCTION("""COMPUTED_VALUE"""),1234.4)</f>
        <v>1234.4</v>
      </c>
      <c r="F921" s="7">
        <f>IFERROR(__xludf.DUMMYFUNCTION("""COMPUTED_VALUE"""),1.0568025E7)</f>
        <v>10568025</v>
      </c>
      <c r="G921" s="7" t="str">
        <f>IFERROR(__xludf.DUMMYFUNCTION("""COMPUTED_VALUE"""),"RELIANCE.NS")</f>
        <v>RELIANCE.NS</v>
      </c>
      <c r="H921" s="8">
        <f t="shared" si="1"/>
        <v>-0.002907915994</v>
      </c>
      <c r="I921" s="8">
        <f t="shared" si="2"/>
        <v>0.002907915994</v>
      </c>
      <c r="J921" s="7" t="str">
        <f t="shared" si="3"/>
        <v>Jan-2025</v>
      </c>
      <c r="K921" s="9">
        <f t="shared" si="4"/>
        <v>45658</v>
      </c>
      <c r="L921" s="7" t="str">
        <f t="shared" si="5"/>
        <v/>
      </c>
      <c r="M921" s="7" t="str">
        <f>IFERROR(__xludf.DUMMYFUNCTION("IFERROR(
  IF(
    F921 &gt;
    3*AVERAGE(
       FILTER($F$2:$F10491,
         $G$2:$G10491=G921,
         $A$2:$A10491&gt;=A921-20,
         $A$2:$A10491&lt;=A921
       )
    ),
    ""VOL_SPIKE_3X"",""""
  ),
"""")
"),"")</f>
        <v/>
      </c>
      <c r="N921" s="7" t="str">
        <f t="shared" si="6"/>
        <v/>
      </c>
      <c r="O921" s="7" t="str">
        <f t="shared" si="7"/>
        <v/>
      </c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>
        <f>IFERROR(__xludf.DUMMYFUNCTION("""COMPUTED_VALUE"""),45686.0)</f>
        <v>45686</v>
      </c>
      <c r="B922" s="6">
        <f>IFERROR(__xludf.DUMMYFUNCTION("""COMPUTED_VALUE"""),750.95)</f>
        <v>750.95</v>
      </c>
      <c r="C922" s="6">
        <f>IFERROR(__xludf.DUMMYFUNCTION("""COMPUTED_VALUE"""),759.75)</f>
        <v>759.75</v>
      </c>
      <c r="D922" s="6">
        <f>IFERROR(__xludf.DUMMYFUNCTION("""COMPUTED_VALUE"""),738.1)</f>
        <v>738.1</v>
      </c>
      <c r="E922" s="6">
        <f>IFERROR(__xludf.DUMMYFUNCTION("""COMPUTED_VALUE"""),744.7)</f>
        <v>744.7</v>
      </c>
      <c r="F922" s="7">
        <f>IFERROR(__xludf.DUMMYFUNCTION("""COMPUTED_VALUE"""),1398816.0)</f>
        <v>1398816</v>
      </c>
      <c r="G922" s="7" t="str">
        <f>IFERROR(__xludf.DUMMYFUNCTION("""COMPUTED_VALUE"""),"ADANIENSOL.NS")</f>
        <v>ADANIENSOL.NS</v>
      </c>
      <c r="H922" s="8">
        <f t="shared" si="1"/>
        <v>-0.008322791131</v>
      </c>
      <c r="I922" s="8">
        <f t="shared" si="2"/>
        <v>0.008322791131</v>
      </c>
      <c r="J922" s="7" t="str">
        <f t="shared" si="3"/>
        <v>Jan-2025</v>
      </c>
      <c r="K922" s="9">
        <f t="shared" si="4"/>
        <v>45658</v>
      </c>
      <c r="L922" s="7" t="str">
        <f t="shared" si="5"/>
        <v/>
      </c>
      <c r="M922" s="7" t="str">
        <f>IFERROR(__xludf.DUMMYFUNCTION("IFERROR(
  IF(
    F922 &gt;
    3*AVERAGE(
       FILTER($F$2:$F10491,
         $G$2:$G10491=G922,
         $A$2:$A10491&gt;=A922-20,
         $A$2:$A10491&lt;=A922
       )
    ),
    ""VOL_SPIKE_3X"",""""
  ),
"""")
"),"")</f>
        <v/>
      </c>
      <c r="N922" s="7" t="str">
        <f t="shared" si="6"/>
        <v/>
      </c>
      <c r="O922" s="7" t="str">
        <f t="shared" si="7"/>
        <v/>
      </c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>
        <f>IFERROR(__xludf.DUMMYFUNCTION("""COMPUTED_VALUE"""),45686.0)</f>
        <v>45686</v>
      </c>
      <c r="B923" s="6">
        <f>IFERROR(__xludf.DUMMYFUNCTION("""COMPUTED_VALUE"""),989.0)</f>
        <v>989</v>
      </c>
      <c r="C923" s="6">
        <f>IFERROR(__xludf.DUMMYFUNCTION("""COMPUTED_VALUE"""),1006.35)</f>
        <v>1006.35</v>
      </c>
      <c r="D923" s="6">
        <f>IFERROR(__xludf.DUMMYFUNCTION("""COMPUTED_VALUE"""),982.4)</f>
        <v>982.4</v>
      </c>
      <c r="E923" s="6">
        <f>IFERROR(__xludf.DUMMYFUNCTION("""COMPUTED_VALUE"""),987.65)</f>
        <v>987.65</v>
      </c>
      <c r="F923" s="7">
        <f>IFERROR(__xludf.DUMMYFUNCTION("""COMPUTED_VALUE"""),1865241.0)</f>
        <v>1865241</v>
      </c>
      <c r="G923" s="7" t="str">
        <f>IFERROR(__xludf.DUMMYFUNCTION("""COMPUTED_VALUE"""),"ADANIGREEN.NS")</f>
        <v>ADANIGREEN.NS</v>
      </c>
      <c r="H923" s="8">
        <f t="shared" si="1"/>
        <v>-0.001365015167</v>
      </c>
      <c r="I923" s="8">
        <f t="shared" si="2"/>
        <v>0.001365015167</v>
      </c>
      <c r="J923" s="7" t="str">
        <f t="shared" si="3"/>
        <v>Jan-2025</v>
      </c>
      <c r="K923" s="9">
        <f t="shared" si="4"/>
        <v>45658</v>
      </c>
      <c r="L923" s="7" t="str">
        <f t="shared" si="5"/>
        <v/>
      </c>
      <c r="M923" s="7" t="str">
        <f>IFERROR(__xludf.DUMMYFUNCTION("IFERROR(
  IF(
    F923 &gt;
    3*AVERAGE(
       FILTER($F$2:$F10491,
         $G$2:$G10491=G923,
         $A$2:$A10491&gt;=A923-20,
         $A$2:$A10491&lt;=A923
       )
    ),
    ""VOL_SPIKE_3X"",""""
  ),
"""")
"),"")</f>
        <v/>
      </c>
      <c r="N923" s="7" t="str">
        <f t="shared" si="6"/>
        <v/>
      </c>
      <c r="O923" s="7" t="str">
        <f t="shared" si="7"/>
        <v/>
      </c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>
        <f>IFERROR(__xludf.DUMMYFUNCTION("""COMPUTED_VALUE"""),45686.0)</f>
        <v>45686</v>
      </c>
      <c r="B924" s="6">
        <f>IFERROR(__xludf.DUMMYFUNCTION("""COMPUTED_VALUE"""),256.95)</f>
        <v>256.95</v>
      </c>
      <c r="C924" s="6">
        <f>IFERROR(__xludf.DUMMYFUNCTION("""COMPUTED_VALUE"""),257.95)</f>
        <v>257.95</v>
      </c>
      <c r="D924" s="6">
        <f>IFERROR(__xludf.DUMMYFUNCTION("""COMPUTED_VALUE"""),251.5)</f>
        <v>251.5</v>
      </c>
      <c r="E924" s="6">
        <f>IFERROR(__xludf.DUMMYFUNCTION("""COMPUTED_VALUE"""),257.0)</f>
        <v>257</v>
      </c>
      <c r="F924" s="7">
        <f>IFERROR(__xludf.DUMMYFUNCTION("""COMPUTED_VALUE"""),9435973.0)</f>
        <v>9435973</v>
      </c>
      <c r="G924" s="7" t="str">
        <f>IFERROR(__xludf.DUMMYFUNCTION("""COMPUTED_VALUE"""),"BPCL.NS")</f>
        <v>BPCL.NS</v>
      </c>
      <c r="H924" s="8">
        <f t="shared" si="1"/>
        <v>0.0001945903872</v>
      </c>
      <c r="I924" s="8">
        <f t="shared" si="2"/>
        <v>0.0001945903872</v>
      </c>
      <c r="J924" s="7" t="str">
        <f t="shared" si="3"/>
        <v>Jan-2025</v>
      </c>
      <c r="K924" s="9">
        <f t="shared" si="4"/>
        <v>45658</v>
      </c>
      <c r="L924" s="7" t="str">
        <f t="shared" si="5"/>
        <v/>
      </c>
      <c r="M924" s="7" t="str">
        <f>IFERROR(__xludf.DUMMYFUNCTION("IFERROR(
  IF(
    F924 &gt;
    3*AVERAGE(
       FILTER($F$2:$F10491,
         $G$2:$G10491=G924,
         $A$2:$A10491&gt;=A924-20,
         $A$2:$A10491&lt;=A924
       )
    ),
    ""VOL_SPIKE_3X"",""""
  ),
"""")
"),"")</f>
        <v/>
      </c>
      <c r="N924" s="7" t="str">
        <f t="shared" si="6"/>
        <v/>
      </c>
      <c r="O924" s="7" t="str">
        <f t="shared" si="7"/>
        <v/>
      </c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>
        <f>IFERROR(__xludf.DUMMYFUNCTION("""COMPUTED_VALUE"""),45686.0)</f>
        <v>45686</v>
      </c>
      <c r="B925" s="6">
        <f>IFERROR(__xludf.DUMMYFUNCTION("""COMPUTED_VALUE"""),372.5)</f>
        <v>372.5</v>
      </c>
      <c r="C925" s="6">
        <f>IFERROR(__xludf.DUMMYFUNCTION("""COMPUTED_VALUE"""),385.0)</f>
        <v>385</v>
      </c>
      <c r="D925" s="6">
        <f>IFERROR(__xludf.DUMMYFUNCTION("""COMPUTED_VALUE"""),370.8)</f>
        <v>370.8</v>
      </c>
      <c r="E925" s="6">
        <f>IFERROR(__xludf.DUMMYFUNCTION("""COMPUTED_VALUE"""),379.45)</f>
        <v>379.45</v>
      </c>
      <c r="F925" s="7">
        <f>IFERROR(__xludf.DUMMYFUNCTION("""COMPUTED_VALUE"""),6680927.0)</f>
        <v>6680927</v>
      </c>
      <c r="G925" s="7" t="str">
        <f>IFERROR(__xludf.DUMMYFUNCTION("""COMPUTED_VALUE"""),"COALINDIA.NS")</f>
        <v>COALINDIA.NS</v>
      </c>
      <c r="H925" s="8">
        <f t="shared" si="1"/>
        <v>0.01865771812</v>
      </c>
      <c r="I925" s="8">
        <f t="shared" si="2"/>
        <v>0.01865771812</v>
      </c>
      <c r="J925" s="7" t="str">
        <f t="shared" si="3"/>
        <v>Jan-2025</v>
      </c>
      <c r="K925" s="9">
        <f t="shared" si="4"/>
        <v>45658</v>
      </c>
      <c r="L925" s="7" t="str">
        <f t="shared" si="5"/>
        <v/>
      </c>
      <c r="M925" s="7" t="str">
        <f>IFERROR(__xludf.DUMMYFUNCTION("IFERROR(
  IF(
    F925 &gt;
    3*AVERAGE(
       FILTER($F$2:$F10491,
         $G$2:$G10491=G925,
         $A$2:$A10491&gt;=A925-20,
         $A$2:$A10491&lt;=A925
       )
    ),
    ""VOL_SPIKE_3X"",""""
  ),
"""")
"),"")</f>
        <v/>
      </c>
      <c r="N925" s="7" t="str">
        <f t="shared" si="6"/>
        <v/>
      </c>
      <c r="O925" s="7" t="str">
        <f t="shared" si="7"/>
        <v/>
      </c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>
        <f>IFERROR(__xludf.DUMMYFUNCTION("""COMPUTED_VALUE"""),45686.0)</f>
        <v>45686</v>
      </c>
      <c r="B926" s="6">
        <f>IFERROR(__xludf.DUMMYFUNCTION("""COMPUTED_VALUE"""),350.85)</f>
        <v>350.85</v>
      </c>
      <c r="C926" s="6">
        <f>IFERROR(__xludf.DUMMYFUNCTION("""COMPUTED_VALUE"""),352.25)</f>
        <v>352.25</v>
      </c>
      <c r="D926" s="6">
        <f>IFERROR(__xludf.DUMMYFUNCTION("""COMPUTED_VALUE"""),343.7)</f>
        <v>343.7</v>
      </c>
      <c r="E926" s="6">
        <f>IFERROR(__xludf.DUMMYFUNCTION("""COMPUTED_VALUE"""),345.25)</f>
        <v>345.25</v>
      </c>
      <c r="F926" s="7">
        <f>IFERROR(__xludf.DUMMYFUNCTION("""COMPUTED_VALUE"""),3747258.0)</f>
        <v>3747258</v>
      </c>
      <c r="G926" s="7" t="str">
        <f>IFERROR(__xludf.DUMMYFUNCTION("""COMPUTED_VALUE"""),"HINDPETRO.NS")</f>
        <v>HINDPETRO.NS</v>
      </c>
      <c r="H926" s="8">
        <f t="shared" si="1"/>
        <v>-0.015961237</v>
      </c>
      <c r="I926" s="8">
        <f t="shared" si="2"/>
        <v>0.015961237</v>
      </c>
      <c r="J926" s="7" t="str">
        <f t="shared" si="3"/>
        <v>Jan-2025</v>
      </c>
      <c r="K926" s="9">
        <f t="shared" si="4"/>
        <v>45658</v>
      </c>
      <c r="L926" s="7" t="str">
        <f t="shared" si="5"/>
        <v/>
      </c>
      <c r="M926" s="7" t="str">
        <f>IFERROR(__xludf.DUMMYFUNCTION("IFERROR(
  IF(
    F926 &gt;
    3*AVERAGE(
       FILTER($F$2:$F10491,
         $G$2:$G10491=G926,
         $A$2:$A10491&gt;=A926-20,
         $A$2:$A10491&lt;=A926
       )
    ),
    ""VOL_SPIKE_3X"",""""
  ),
"""")
"),"")</f>
        <v/>
      </c>
      <c r="N926" s="7" t="str">
        <f t="shared" si="6"/>
        <v/>
      </c>
      <c r="O926" s="7" t="str">
        <f t="shared" si="7"/>
        <v/>
      </c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>
        <f>IFERROR(__xludf.DUMMYFUNCTION("""COMPUTED_VALUE"""),45686.0)</f>
        <v>45686</v>
      </c>
      <c r="B927" s="6">
        <f>IFERROR(__xludf.DUMMYFUNCTION("""COMPUTED_VALUE"""),123.19)</f>
        <v>123.19</v>
      </c>
      <c r="C927" s="6">
        <f>IFERROR(__xludf.DUMMYFUNCTION("""COMPUTED_VALUE"""),124.39)</f>
        <v>124.39</v>
      </c>
      <c r="D927" s="6">
        <f>IFERROR(__xludf.DUMMYFUNCTION("""COMPUTED_VALUE"""),122.9)</f>
        <v>122.9</v>
      </c>
      <c r="E927" s="6">
        <f>IFERROR(__xludf.DUMMYFUNCTION("""COMPUTED_VALUE"""),123.64)</f>
        <v>123.64</v>
      </c>
      <c r="F927" s="7">
        <f>IFERROR(__xludf.DUMMYFUNCTION("""COMPUTED_VALUE"""),1.2017314E7)</f>
        <v>12017314</v>
      </c>
      <c r="G927" s="7" t="str">
        <f>IFERROR(__xludf.DUMMYFUNCTION("""COMPUTED_VALUE"""),"IOC.NS")</f>
        <v>IOC.NS</v>
      </c>
      <c r="H927" s="8">
        <f t="shared" si="1"/>
        <v>0.003652893904</v>
      </c>
      <c r="I927" s="8">
        <f t="shared" si="2"/>
        <v>0.003652893904</v>
      </c>
      <c r="J927" s="7" t="str">
        <f t="shared" si="3"/>
        <v>Jan-2025</v>
      </c>
      <c r="K927" s="9">
        <f t="shared" si="4"/>
        <v>45658</v>
      </c>
      <c r="L927" s="7" t="str">
        <f t="shared" si="5"/>
        <v/>
      </c>
      <c r="M927" s="7" t="str">
        <f>IFERROR(__xludf.DUMMYFUNCTION("IFERROR(
  IF(
    F927 &gt;
    3*AVERAGE(
       FILTER($F$2:$F10491,
         $G$2:$G10491=G927,
         $A$2:$A10491&gt;=A927-20,
         $A$2:$A10491&lt;=A927
       )
    ),
    ""VOL_SPIKE_3X"",""""
  ),
"""")
"),"")</f>
        <v/>
      </c>
      <c r="N927" s="7" t="str">
        <f t="shared" si="6"/>
        <v/>
      </c>
      <c r="O927" s="7" t="str">
        <f t="shared" si="7"/>
        <v/>
      </c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>
        <f>IFERROR(__xludf.DUMMYFUNCTION("""COMPUTED_VALUE"""),45686.0)</f>
        <v>45686</v>
      </c>
      <c r="B928" s="6">
        <f>IFERROR(__xludf.DUMMYFUNCTION("""COMPUTED_VALUE"""),320.0)</f>
        <v>320</v>
      </c>
      <c r="C928" s="6">
        <f>IFERROR(__xludf.DUMMYFUNCTION("""COMPUTED_VALUE"""),322.9)</f>
        <v>322.9</v>
      </c>
      <c r="D928" s="6">
        <f>IFERROR(__xludf.DUMMYFUNCTION("""COMPUTED_VALUE"""),313.3)</f>
        <v>313.3</v>
      </c>
      <c r="E928" s="6">
        <f>IFERROR(__xludf.DUMMYFUNCTION("""COMPUTED_VALUE"""),321.25)</f>
        <v>321.25</v>
      </c>
      <c r="F928" s="7">
        <f>IFERROR(__xludf.DUMMYFUNCTION("""COMPUTED_VALUE"""),1.6056888E7)</f>
        <v>16056888</v>
      </c>
      <c r="G928" s="7" t="str">
        <f>IFERROR(__xludf.DUMMYFUNCTION("""COMPUTED_VALUE"""),"NTPC.NS")</f>
        <v>NTPC.NS</v>
      </c>
      <c r="H928" s="8">
        <f t="shared" si="1"/>
        <v>0.00390625</v>
      </c>
      <c r="I928" s="8">
        <f t="shared" si="2"/>
        <v>0.00390625</v>
      </c>
      <c r="J928" s="7" t="str">
        <f t="shared" si="3"/>
        <v>Jan-2025</v>
      </c>
      <c r="K928" s="9">
        <f t="shared" si="4"/>
        <v>45658</v>
      </c>
      <c r="L928" s="7" t="str">
        <f t="shared" si="5"/>
        <v/>
      </c>
      <c r="M928" s="7" t="str">
        <f>IFERROR(__xludf.DUMMYFUNCTION("IFERROR(
  IF(
    F928 &gt;
    3*AVERAGE(
       FILTER($F$2:$F10491,
         $G$2:$G10491=G928,
         $A$2:$A10491&gt;=A928-20,
         $A$2:$A10491&lt;=A928
       )
    ),
    ""VOL_SPIKE_3X"",""""
  ),
"""")
"),"")</f>
        <v/>
      </c>
      <c r="N928" s="7" t="str">
        <f t="shared" si="6"/>
        <v/>
      </c>
      <c r="O928" s="7" t="str">
        <f t="shared" si="7"/>
        <v/>
      </c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>
        <f>IFERROR(__xludf.DUMMYFUNCTION("""COMPUTED_VALUE"""),45686.0)</f>
        <v>45686</v>
      </c>
      <c r="B929" s="6">
        <f>IFERROR(__xludf.DUMMYFUNCTION("""COMPUTED_VALUE"""),248.9)</f>
        <v>248.9</v>
      </c>
      <c r="C929" s="6">
        <f>IFERROR(__xludf.DUMMYFUNCTION("""COMPUTED_VALUE"""),252.0)</f>
        <v>252</v>
      </c>
      <c r="D929" s="6">
        <f>IFERROR(__xludf.DUMMYFUNCTION("""COMPUTED_VALUE"""),247.0)</f>
        <v>247</v>
      </c>
      <c r="E929" s="6">
        <f>IFERROR(__xludf.DUMMYFUNCTION("""COMPUTED_VALUE"""),251.4)</f>
        <v>251.4</v>
      </c>
      <c r="F929" s="7">
        <f>IFERROR(__xludf.DUMMYFUNCTION("""COMPUTED_VALUE"""),5651586.0)</f>
        <v>5651586</v>
      </c>
      <c r="G929" s="7" t="str">
        <f>IFERROR(__xludf.DUMMYFUNCTION("""COMPUTED_VALUE"""),"ONGC.NS")</f>
        <v>ONGC.NS</v>
      </c>
      <c r="H929" s="8">
        <f t="shared" si="1"/>
        <v>0.01004419446</v>
      </c>
      <c r="I929" s="8">
        <f t="shared" si="2"/>
        <v>0.01004419446</v>
      </c>
      <c r="J929" s="7" t="str">
        <f t="shared" si="3"/>
        <v>Jan-2025</v>
      </c>
      <c r="K929" s="9">
        <f t="shared" si="4"/>
        <v>45658</v>
      </c>
      <c r="L929" s="7" t="str">
        <f t="shared" si="5"/>
        <v/>
      </c>
      <c r="M929" s="7" t="str">
        <f>IFERROR(__xludf.DUMMYFUNCTION("IFERROR(
  IF(
    F929 &gt;
    3*AVERAGE(
       FILTER($F$2:$F10491,
         $G$2:$G10491=G929,
         $A$2:$A10491&gt;=A929-20,
         $A$2:$A10491&lt;=A929
       )
    ),
    ""VOL_SPIKE_3X"",""""
  ),
"""")
"),"")</f>
        <v/>
      </c>
      <c r="N929" s="7" t="str">
        <f t="shared" si="6"/>
        <v/>
      </c>
      <c r="O929" s="7" t="str">
        <f t="shared" si="7"/>
        <v/>
      </c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>
        <f>IFERROR(__xludf.DUMMYFUNCTION("""COMPUTED_VALUE"""),45686.0)</f>
        <v>45686</v>
      </c>
      <c r="B930" s="6">
        <f>IFERROR(__xludf.DUMMYFUNCTION("""COMPUTED_VALUE"""),285.35)</f>
        <v>285.35</v>
      </c>
      <c r="C930" s="6">
        <f>IFERROR(__xludf.DUMMYFUNCTION("""COMPUTED_VALUE"""),289.15)</f>
        <v>289.15</v>
      </c>
      <c r="D930" s="6">
        <f>IFERROR(__xludf.DUMMYFUNCTION("""COMPUTED_VALUE"""),283.3)</f>
        <v>283.3</v>
      </c>
      <c r="E930" s="6">
        <f>IFERROR(__xludf.DUMMYFUNCTION("""COMPUTED_VALUE"""),287.85)</f>
        <v>287.85</v>
      </c>
      <c r="F930" s="7">
        <f>IFERROR(__xludf.DUMMYFUNCTION("""COMPUTED_VALUE"""),4800024.0)</f>
        <v>4800024</v>
      </c>
      <c r="G930" s="7" t="str">
        <f>IFERROR(__xludf.DUMMYFUNCTION("""COMPUTED_VALUE"""),"POWERGRID.NS")</f>
        <v>POWERGRID.NS</v>
      </c>
      <c r="H930" s="8">
        <f t="shared" si="1"/>
        <v>0.008761170492</v>
      </c>
      <c r="I930" s="8">
        <f t="shared" si="2"/>
        <v>0.008761170492</v>
      </c>
      <c r="J930" s="7" t="str">
        <f t="shared" si="3"/>
        <v>Jan-2025</v>
      </c>
      <c r="K930" s="9">
        <f t="shared" si="4"/>
        <v>45658</v>
      </c>
      <c r="L930" s="7" t="str">
        <f t="shared" si="5"/>
        <v/>
      </c>
      <c r="M930" s="7" t="str">
        <f>IFERROR(__xludf.DUMMYFUNCTION("IFERROR(
  IF(
    F930 &gt;
    3*AVERAGE(
       FILTER($F$2:$F10491,
         $G$2:$G10491=G930,
         $A$2:$A10491&gt;=A930-20,
         $A$2:$A10491&lt;=A930
       )
    ),
    ""VOL_SPIKE_3X"",""""
  ),
"""")
"),"")</f>
        <v/>
      </c>
      <c r="N930" s="7" t="str">
        <f t="shared" si="6"/>
        <v/>
      </c>
      <c r="O930" s="7" t="str">
        <f t="shared" si="7"/>
        <v/>
      </c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>
        <f>IFERROR(__xludf.DUMMYFUNCTION("""COMPUTED_VALUE"""),45686.0)</f>
        <v>45686</v>
      </c>
      <c r="B931" s="6">
        <f>IFERROR(__xludf.DUMMYFUNCTION("""COMPUTED_VALUE"""),1236.0)</f>
        <v>1236</v>
      </c>
      <c r="C931" s="6">
        <f>IFERROR(__xludf.DUMMYFUNCTION("""COMPUTED_VALUE"""),1242.75)</f>
        <v>1242.75</v>
      </c>
      <c r="D931" s="6">
        <f>IFERROR(__xludf.DUMMYFUNCTION("""COMPUTED_VALUE"""),1228.05)</f>
        <v>1228.05</v>
      </c>
      <c r="E931" s="6">
        <f>IFERROR(__xludf.DUMMYFUNCTION("""COMPUTED_VALUE"""),1235.5)</f>
        <v>1235.5</v>
      </c>
      <c r="F931" s="7">
        <f>IFERROR(__xludf.DUMMYFUNCTION("""COMPUTED_VALUE"""),5928156.0)</f>
        <v>5928156</v>
      </c>
      <c r="G931" s="7" t="str">
        <f>IFERROR(__xludf.DUMMYFUNCTION("""COMPUTED_VALUE"""),"RELIANCE.NS")</f>
        <v>RELIANCE.NS</v>
      </c>
      <c r="H931" s="8">
        <f t="shared" si="1"/>
        <v>-0.0004045307443</v>
      </c>
      <c r="I931" s="8">
        <f t="shared" si="2"/>
        <v>0.0004045307443</v>
      </c>
      <c r="J931" s="7" t="str">
        <f t="shared" si="3"/>
        <v>Jan-2025</v>
      </c>
      <c r="K931" s="9">
        <f t="shared" si="4"/>
        <v>45658</v>
      </c>
      <c r="L931" s="7" t="str">
        <f t="shared" si="5"/>
        <v/>
      </c>
      <c r="M931" s="7" t="str">
        <f>IFERROR(__xludf.DUMMYFUNCTION("IFERROR(
  IF(
    F931 &gt;
    3*AVERAGE(
       FILTER($F$2:$F10491,
         $G$2:$G10491=G931,
         $A$2:$A10491&gt;=A931-20,
         $A$2:$A10491&lt;=A931
       )
    ),
    ""VOL_SPIKE_3X"",""""
  ),
"""")
"),"")</f>
        <v/>
      </c>
      <c r="N931" s="7" t="str">
        <f t="shared" si="6"/>
        <v/>
      </c>
      <c r="O931" s="7" t="str">
        <f t="shared" si="7"/>
        <v/>
      </c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>
        <f>IFERROR(__xludf.DUMMYFUNCTION("""COMPUTED_VALUE"""),45687.0)</f>
        <v>45687</v>
      </c>
      <c r="B932" s="6">
        <f>IFERROR(__xludf.DUMMYFUNCTION("""COMPUTED_VALUE"""),751.95)</f>
        <v>751.95</v>
      </c>
      <c r="C932" s="6">
        <f>IFERROR(__xludf.DUMMYFUNCTION("""COMPUTED_VALUE"""),760.3)</f>
        <v>760.3</v>
      </c>
      <c r="D932" s="6">
        <f>IFERROR(__xludf.DUMMYFUNCTION("""COMPUTED_VALUE"""),728.3)</f>
        <v>728.3</v>
      </c>
      <c r="E932" s="6">
        <f>IFERROR(__xludf.DUMMYFUNCTION("""COMPUTED_VALUE"""),740.25)</f>
        <v>740.25</v>
      </c>
      <c r="F932" s="7">
        <f>IFERROR(__xludf.DUMMYFUNCTION("""COMPUTED_VALUE"""),1380777.0)</f>
        <v>1380777</v>
      </c>
      <c r="G932" s="7" t="str">
        <f>IFERROR(__xludf.DUMMYFUNCTION("""COMPUTED_VALUE"""),"ADANIENSOL.NS")</f>
        <v>ADANIENSOL.NS</v>
      </c>
      <c r="H932" s="8">
        <f t="shared" si="1"/>
        <v>-0.01555954518</v>
      </c>
      <c r="I932" s="8">
        <f t="shared" si="2"/>
        <v>0.01555954518</v>
      </c>
      <c r="J932" s="7" t="str">
        <f t="shared" si="3"/>
        <v>Jan-2025</v>
      </c>
      <c r="K932" s="9">
        <f t="shared" si="4"/>
        <v>45658</v>
      </c>
      <c r="L932" s="7" t="str">
        <f t="shared" si="5"/>
        <v/>
      </c>
      <c r="M932" s="7" t="str">
        <f>IFERROR(__xludf.DUMMYFUNCTION("IFERROR(
  IF(
    F932 &gt;
    3*AVERAGE(
       FILTER($F$2:$F10491,
         $G$2:$G10491=G932,
         $A$2:$A10491&gt;=A932-20,
         $A$2:$A10491&lt;=A932
       )
    ),
    ""VOL_SPIKE_3X"",""""
  ),
"""")
"),"")</f>
        <v/>
      </c>
      <c r="N932" s="7" t="str">
        <f t="shared" si="6"/>
        <v/>
      </c>
      <c r="O932" s="7" t="str">
        <f t="shared" si="7"/>
        <v/>
      </c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>
        <f>IFERROR(__xludf.DUMMYFUNCTION("""COMPUTED_VALUE"""),45687.0)</f>
        <v>45687</v>
      </c>
      <c r="B933" s="6">
        <f>IFERROR(__xludf.DUMMYFUNCTION("""COMPUTED_VALUE"""),986.0)</f>
        <v>986</v>
      </c>
      <c r="C933" s="6">
        <f>IFERROR(__xludf.DUMMYFUNCTION("""COMPUTED_VALUE"""),1001.9)</f>
        <v>1001.9</v>
      </c>
      <c r="D933" s="6">
        <f>IFERROR(__xludf.DUMMYFUNCTION("""COMPUTED_VALUE"""),965.7)</f>
        <v>965.7</v>
      </c>
      <c r="E933" s="6">
        <f>IFERROR(__xludf.DUMMYFUNCTION("""COMPUTED_VALUE"""),971.85)</f>
        <v>971.85</v>
      </c>
      <c r="F933" s="7">
        <f>IFERROR(__xludf.DUMMYFUNCTION("""COMPUTED_VALUE"""),1871049.0)</f>
        <v>1871049</v>
      </c>
      <c r="G933" s="7" t="str">
        <f>IFERROR(__xludf.DUMMYFUNCTION("""COMPUTED_VALUE"""),"ADANIGREEN.NS")</f>
        <v>ADANIGREEN.NS</v>
      </c>
      <c r="H933" s="8">
        <f t="shared" si="1"/>
        <v>-0.01435091278</v>
      </c>
      <c r="I933" s="8">
        <f t="shared" si="2"/>
        <v>0.01435091278</v>
      </c>
      <c r="J933" s="7" t="str">
        <f t="shared" si="3"/>
        <v>Jan-2025</v>
      </c>
      <c r="K933" s="9">
        <f t="shared" si="4"/>
        <v>45658</v>
      </c>
      <c r="L933" s="7" t="str">
        <f t="shared" si="5"/>
        <v/>
      </c>
      <c r="M933" s="7" t="str">
        <f>IFERROR(__xludf.DUMMYFUNCTION("IFERROR(
  IF(
    F933 &gt;
    3*AVERAGE(
       FILTER($F$2:$F10491,
         $G$2:$G10491=G933,
         $A$2:$A10491&gt;=A933-20,
         $A$2:$A10491&lt;=A933
       )
    ),
    ""VOL_SPIKE_3X"",""""
  ),
"""")
"),"")</f>
        <v/>
      </c>
      <c r="N933" s="7" t="str">
        <f t="shared" si="6"/>
        <v/>
      </c>
      <c r="O933" s="7" t="str">
        <f t="shared" si="7"/>
        <v/>
      </c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>
        <f>IFERROR(__xludf.DUMMYFUNCTION("""COMPUTED_VALUE"""),45687.0)</f>
        <v>45687</v>
      </c>
      <c r="B934" s="6">
        <f>IFERROR(__xludf.DUMMYFUNCTION("""COMPUTED_VALUE"""),259.9)</f>
        <v>259.9</v>
      </c>
      <c r="C934" s="6">
        <f>IFERROR(__xludf.DUMMYFUNCTION("""COMPUTED_VALUE"""),260.9)</f>
        <v>260.9</v>
      </c>
      <c r="D934" s="6">
        <f>IFERROR(__xludf.DUMMYFUNCTION("""COMPUTED_VALUE"""),256.5)</f>
        <v>256.5</v>
      </c>
      <c r="E934" s="6">
        <f>IFERROR(__xludf.DUMMYFUNCTION("""COMPUTED_VALUE"""),257.15)</f>
        <v>257.15</v>
      </c>
      <c r="F934" s="7">
        <f>IFERROR(__xludf.DUMMYFUNCTION("""COMPUTED_VALUE"""),9410974.0)</f>
        <v>9410974</v>
      </c>
      <c r="G934" s="7" t="str">
        <f>IFERROR(__xludf.DUMMYFUNCTION("""COMPUTED_VALUE"""),"BPCL.NS")</f>
        <v>BPCL.NS</v>
      </c>
      <c r="H934" s="8">
        <f t="shared" si="1"/>
        <v>-0.01058099269</v>
      </c>
      <c r="I934" s="8">
        <f t="shared" si="2"/>
        <v>0.01058099269</v>
      </c>
      <c r="J934" s="7" t="str">
        <f t="shared" si="3"/>
        <v>Jan-2025</v>
      </c>
      <c r="K934" s="9">
        <f t="shared" si="4"/>
        <v>45658</v>
      </c>
      <c r="L934" s="7" t="str">
        <f t="shared" si="5"/>
        <v/>
      </c>
      <c r="M934" s="7" t="str">
        <f>IFERROR(__xludf.DUMMYFUNCTION("IFERROR(
  IF(
    F934 &gt;
    3*AVERAGE(
       FILTER($F$2:$F10491,
         $G$2:$G10491=G934,
         $A$2:$A10491&gt;=A934-20,
         $A$2:$A10491&lt;=A934
       )
    ),
    ""VOL_SPIKE_3X"",""""
  ),
"""")
"),"")</f>
        <v/>
      </c>
      <c r="N934" s="7" t="str">
        <f t="shared" si="6"/>
        <v/>
      </c>
      <c r="O934" s="7" t="str">
        <f t="shared" si="7"/>
        <v/>
      </c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>
        <f>IFERROR(__xludf.DUMMYFUNCTION("""COMPUTED_VALUE"""),45687.0)</f>
        <v>45687</v>
      </c>
      <c r="B935" s="6">
        <f>IFERROR(__xludf.DUMMYFUNCTION("""COMPUTED_VALUE"""),381.7)</f>
        <v>381.7</v>
      </c>
      <c r="C935" s="6">
        <f>IFERROR(__xludf.DUMMYFUNCTION("""COMPUTED_VALUE"""),387.35)</f>
        <v>387.35</v>
      </c>
      <c r="D935" s="6">
        <f>IFERROR(__xludf.DUMMYFUNCTION("""COMPUTED_VALUE"""),380.4)</f>
        <v>380.4</v>
      </c>
      <c r="E935" s="6">
        <f>IFERROR(__xludf.DUMMYFUNCTION("""COMPUTED_VALUE"""),385.05)</f>
        <v>385.05</v>
      </c>
      <c r="F935" s="7">
        <f>IFERROR(__xludf.DUMMYFUNCTION("""COMPUTED_VALUE"""),6300164.0)</f>
        <v>6300164</v>
      </c>
      <c r="G935" s="7" t="str">
        <f>IFERROR(__xludf.DUMMYFUNCTION("""COMPUTED_VALUE"""),"COALINDIA.NS")</f>
        <v>COALINDIA.NS</v>
      </c>
      <c r="H935" s="8">
        <f t="shared" si="1"/>
        <v>0.008776526068</v>
      </c>
      <c r="I935" s="8">
        <f t="shared" si="2"/>
        <v>0.008776526068</v>
      </c>
      <c r="J935" s="7" t="str">
        <f t="shared" si="3"/>
        <v>Jan-2025</v>
      </c>
      <c r="K935" s="9">
        <f t="shared" si="4"/>
        <v>45658</v>
      </c>
      <c r="L935" s="7" t="str">
        <f t="shared" si="5"/>
        <v/>
      </c>
      <c r="M935" s="7" t="str">
        <f>IFERROR(__xludf.DUMMYFUNCTION("IFERROR(
  IF(
    F935 &gt;
    3*AVERAGE(
       FILTER($F$2:$F10491,
         $G$2:$G10491=G935,
         $A$2:$A10491&gt;=A935-20,
         $A$2:$A10491&lt;=A935
       )
    ),
    ""VOL_SPIKE_3X"",""""
  ),
"""")
"),"")</f>
        <v/>
      </c>
      <c r="N935" s="7" t="str">
        <f t="shared" si="6"/>
        <v/>
      </c>
      <c r="O935" s="7" t="str">
        <f t="shared" si="7"/>
        <v/>
      </c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>
        <f>IFERROR(__xludf.DUMMYFUNCTION("""COMPUTED_VALUE"""),45687.0)</f>
        <v>45687</v>
      </c>
      <c r="B936" s="6">
        <f>IFERROR(__xludf.DUMMYFUNCTION("""COMPUTED_VALUE"""),348.95)</f>
        <v>348.95</v>
      </c>
      <c r="C936" s="6">
        <f>IFERROR(__xludf.DUMMYFUNCTION("""COMPUTED_VALUE"""),354.1)</f>
        <v>354.1</v>
      </c>
      <c r="D936" s="6">
        <f>IFERROR(__xludf.DUMMYFUNCTION("""COMPUTED_VALUE"""),346.0)</f>
        <v>346</v>
      </c>
      <c r="E936" s="6">
        <f>IFERROR(__xludf.DUMMYFUNCTION("""COMPUTED_VALUE"""),351.6)</f>
        <v>351.6</v>
      </c>
      <c r="F936" s="7">
        <f>IFERROR(__xludf.DUMMYFUNCTION("""COMPUTED_VALUE"""),4412278.0)</f>
        <v>4412278</v>
      </c>
      <c r="G936" s="7" t="str">
        <f>IFERROR(__xludf.DUMMYFUNCTION("""COMPUTED_VALUE"""),"HINDPETRO.NS")</f>
        <v>HINDPETRO.NS</v>
      </c>
      <c r="H936" s="8">
        <f t="shared" si="1"/>
        <v>0.007594211205</v>
      </c>
      <c r="I936" s="8">
        <f t="shared" si="2"/>
        <v>0.007594211205</v>
      </c>
      <c r="J936" s="7" t="str">
        <f t="shared" si="3"/>
        <v>Jan-2025</v>
      </c>
      <c r="K936" s="9">
        <f t="shared" si="4"/>
        <v>45658</v>
      </c>
      <c r="L936" s="7" t="str">
        <f t="shared" si="5"/>
        <v/>
      </c>
      <c r="M936" s="7" t="str">
        <f>IFERROR(__xludf.DUMMYFUNCTION("IFERROR(
  IF(
    F936 &gt;
    3*AVERAGE(
       FILTER($F$2:$F10491,
         $G$2:$G10491=G936,
         $A$2:$A10491&gt;=A936-20,
         $A$2:$A10491&lt;=A936
       )
    ),
    ""VOL_SPIKE_3X"",""""
  ),
"""")
"),"")</f>
        <v/>
      </c>
      <c r="N936" s="7" t="str">
        <f t="shared" si="6"/>
        <v/>
      </c>
      <c r="O936" s="7" t="str">
        <f t="shared" si="7"/>
        <v/>
      </c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>
        <f>IFERROR(__xludf.DUMMYFUNCTION("""COMPUTED_VALUE"""),45687.0)</f>
        <v>45687</v>
      </c>
      <c r="B937" s="6">
        <f>IFERROR(__xludf.DUMMYFUNCTION("""COMPUTED_VALUE"""),124.4)</f>
        <v>124.4</v>
      </c>
      <c r="C937" s="6">
        <f>IFERROR(__xludf.DUMMYFUNCTION("""COMPUTED_VALUE"""),128.5)</f>
        <v>128.5</v>
      </c>
      <c r="D937" s="6">
        <f>IFERROR(__xludf.DUMMYFUNCTION("""COMPUTED_VALUE"""),123.86)</f>
        <v>123.86</v>
      </c>
      <c r="E937" s="6">
        <f>IFERROR(__xludf.DUMMYFUNCTION("""COMPUTED_VALUE"""),127.12)</f>
        <v>127.12</v>
      </c>
      <c r="F937" s="7">
        <f>IFERROR(__xludf.DUMMYFUNCTION("""COMPUTED_VALUE"""),1.7776744E7)</f>
        <v>17776744</v>
      </c>
      <c r="G937" s="7" t="str">
        <f>IFERROR(__xludf.DUMMYFUNCTION("""COMPUTED_VALUE"""),"IOC.NS")</f>
        <v>IOC.NS</v>
      </c>
      <c r="H937" s="8">
        <f t="shared" si="1"/>
        <v>0.02186495177</v>
      </c>
      <c r="I937" s="8">
        <f t="shared" si="2"/>
        <v>0.02186495177</v>
      </c>
      <c r="J937" s="7" t="str">
        <f t="shared" si="3"/>
        <v>Jan-2025</v>
      </c>
      <c r="K937" s="9">
        <f t="shared" si="4"/>
        <v>45658</v>
      </c>
      <c r="L937" s="7" t="str">
        <f t="shared" si="5"/>
        <v/>
      </c>
      <c r="M937" s="7" t="str">
        <f>IFERROR(__xludf.DUMMYFUNCTION("IFERROR(
  IF(
    F937 &gt;
    3*AVERAGE(
       FILTER($F$2:$F10491,
         $G$2:$G10491=G937,
         $A$2:$A10491&gt;=A937-20,
         $A$2:$A10491&lt;=A937
       )
    ),
    ""VOL_SPIKE_3X"",""""
  ),
"""")
"),"")</f>
        <v/>
      </c>
      <c r="N937" s="7" t="str">
        <f t="shared" si="6"/>
        <v/>
      </c>
      <c r="O937" s="7" t="str">
        <f t="shared" si="7"/>
        <v/>
      </c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>
        <f>IFERROR(__xludf.DUMMYFUNCTION("""COMPUTED_VALUE"""),45687.0)</f>
        <v>45687</v>
      </c>
      <c r="B938" s="6">
        <f>IFERROR(__xludf.DUMMYFUNCTION("""COMPUTED_VALUE"""),322.25)</f>
        <v>322.25</v>
      </c>
      <c r="C938" s="6">
        <f>IFERROR(__xludf.DUMMYFUNCTION("""COMPUTED_VALUE"""),326.8)</f>
        <v>326.8</v>
      </c>
      <c r="D938" s="6">
        <f>IFERROR(__xludf.DUMMYFUNCTION("""COMPUTED_VALUE"""),321.15)</f>
        <v>321.15</v>
      </c>
      <c r="E938" s="6">
        <f>IFERROR(__xludf.DUMMYFUNCTION("""COMPUTED_VALUE"""),323.0)</f>
        <v>323</v>
      </c>
      <c r="F938" s="7">
        <f>IFERROR(__xludf.DUMMYFUNCTION("""COMPUTED_VALUE"""),1.037572E7)</f>
        <v>10375720</v>
      </c>
      <c r="G938" s="7" t="str">
        <f>IFERROR(__xludf.DUMMYFUNCTION("""COMPUTED_VALUE"""),"NTPC.NS")</f>
        <v>NTPC.NS</v>
      </c>
      <c r="H938" s="8">
        <f t="shared" si="1"/>
        <v>0.00232738557</v>
      </c>
      <c r="I938" s="8">
        <f t="shared" si="2"/>
        <v>0.00232738557</v>
      </c>
      <c r="J938" s="7" t="str">
        <f t="shared" si="3"/>
        <v>Jan-2025</v>
      </c>
      <c r="K938" s="9">
        <f t="shared" si="4"/>
        <v>45658</v>
      </c>
      <c r="L938" s="7" t="str">
        <f t="shared" si="5"/>
        <v/>
      </c>
      <c r="M938" s="7" t="str">
        <f>IFERROR(__xludf.DUMMYFUNCTION("IFERROR(
  IF(
    F938 &gt;
    3*AVERAGE(
       FILTER($F$2:$F10491,
         $G$2:$G10491=G938,
         $A$2:$A10491&gt;=A938-20,
         $A$2:$A10491&lt;=A938
       )
    ),
    ""VOL_SPIKE_3X"",""""
  ),
"""")
"),"")</f>
        <v/>
      </c>
      <c r="N938" s="7" t="str">
        <f t="shared" si="6"/>
        <v/>
      </c>
      <c r="O938" s="7" t="str">
        <f t="shared" si="7"/>
        <v/>
      </c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>
        <f>IFERROR(__xludf.DUMMYFUNCTION("""COMPUTED_VALUE"""),45687.0)</f>
        <v>45687</v>
      </c>
      <c r="B939" s="6">
        <f>IFERROR(__xludf.DUMMYFUNCTION("""COMPUTED_VALUE"""),252.0)</f>
        <v>252</v>
      </c>
      <c r="C939" s="6">
        <f>IFERROR(__xludf.DUMMYFUNCTION("""COMPUTED_VALUE"""),259.4)</f>
        <v>259.4</v>
      </c>
      <c r="D939" s="6">
        <f>IFERROR(__xludf.DUMMYFUNCTION("""COMPUTED_VALUE"""),250.94)</f>
        <v>250.94</v>
      </c>
      <c r="E939" s="6">
        <f>IFERROR(__xludf.DUMMYFUNCTION("""COMPUTED_VALUE"""),256.72)</f>
        <v>256.72</v>
      </c>
      <c r="F939" s="7">
        <f>IFERROR(__xludf.DUMMYFUNCTION("""COMPUTED_VALUE"""),1.2588155E7)</f>
        <v>12588155</v>
      </c>
      <c r="G939" s="7" t="str">
        <f>IFERROR(__xludf.DUMMYFUNCTION("""COMPUTED_VALUE"""),"ONGC.NS")</f>
        <v>ONGC.NS</v>
      </c>
      <c r="H939" s="8">
        <f t="shared" si="1"/>
        <v>0.01873015873</v>
      </c>
      <c r="I939" s="8">
        <f t="shared" si="2"/>
        <v>0.01873015873</v>
      </c>
      <c r="J939" s="7" t="str">
        <f t="shared" si="3"/>
        <v>Jan-2025</v>
      </c>
      <c r="K939" s="9">
        <f t="shared" si="4"/>
        <v>45658</v>
      </c>
      <c r="L939" s="7" t="str">
        <f t="shared" si="5"/>
        <v/>
      </c>
      <c r="M939" s="7" t="str">
        <f>IFERROR(__xludf.DUMMYFUNCTION("IFERROR(
  IF(
    F939 &gt;
    3*AVERAGE(
       FILTER($F$2:$F10491,
         $G$2:$G10491=G939,
         $A$2:$A10491&gt;=A939-20,
         $A$2:$A10491&lt;=A939
       )
    ),
    ""VOL_SPIKE_3X"",""""
  ),
"""")
"),"")</f>
        <v/>
      </c>
      <c r="N939" s="7" t="str">
        <f t="shared" si="6"/>
        <v/>
      </c>
      <c r="O939" s="7" t="str">
        <f t="shared" si="7"/>
        <v/>
      </c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>
        <f>IFERROR(__xludf.DUMMYFUNCTION("""COMPUTED_VALUE"""),45687.0)</f>
        <v>45687</v>
      </c>
      <c r="B940" s="6">
        <f>IFERROR(__xludf.DUMMYFUNCTION("""COMPUTED_VALUE"""),287.85)</f>
        <v>287.85</v>
      </c>
      <c r="C940" s="6">
        <f>IFERROR(__xludf.DUMMYFUNCTION("""COMPUTED_VALUE"""),297.1)</f>
        <v>297.1</v>
      </c>
      <c r="D940" s="6">
        <f>IFERROR(__xludf.DUMMYFUNCTION("""COMPUTED_VALUE"""),287.85)</f>
        <v>287.85</v>
      </c>
      <c r="E940" s="6">
        <f>IFERROR(__xludf.DUMMYFUNCTION("""COMPUTED_VALUE"""),295.35)</f>
        <v>295.35</v>
      </c>
      <c r="F940" s="7">
        <f>IFERROR(__xludf.DUMMYFUNCTION("""COMPUTED_VALUE"""),1.0969499E7)</f>
        <v>10969499</v>
      </c>
      <c r="G940" s="7" t="str">
        <f>IFERROR(__xludf.DUMMYFUNCTION("""COMPUTED_VALUE"""),"POWERGRID.NS")</f>
        <v>POWERGRID.NS</v>
      </c>
      <c r="H940" s="8">
        <f t="shared" si="1"/>
        <v>0.0260552371</v>
      </c>
      <c r="I940" s="8">
        <f t="shared" si="2"/>
        <v>0.0260552371</v>
      </c>
      <c r="J940" s="7" t="str">
        <f t="shared" si="3"/>
        <v>Jan-2025</v>
      </c>
      <c r="K940" s="9">
        <f t="shared" si="4"/>
        <v>45658</v>
      </c>
      <c r="L940" s="7" t="str">
        <f t="shared" si="5"/>
        <v/>
      </c>
      <c r="M940" s="7" t="str">
        <f>IFERROR(__xludf.DUMMYFUNCTION("IFERROR(
  IF(
    F940 &gt;
    3*AVERAGE(
       FILTER($F$2:$F10491,
         $G$2:$G10491=G940,
         $A$2:$A10491&gt;=A940-20,
         $A$2:$A10491&lt;=A940
       )
    ),
    ""VOL_SPIKE_3X"",""""
  ),
"""")
"),"")</f>
        <v/>
      </c>
      <c r="N940" s="7" t="str">
        <f t="shared" si="6"/>
        <v/>
      </c>
      <c r="O940" s="7" t="str">
        <f t="shared" si="7"/>
        <v/>
      </c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>
        <f>IFERROR(__xludf.DUMMYFUNCTION("""COMPUTED_VALUE"""),45687.0)</f>
        <v>45687</v>
      </c>
      <c r="B941" s="6">
        <f>IFERROR(__xludf.DUMMYFUNCTION("""COMPUTED_VALUE"""),1235.55)</f>
        <v>1235.55</v>
      </c>
      <c r="C941" s="6">
        <f>IFERROR(__xludf.DUMMYFUNCTION("""COMPUTED_VALUE"""),1257.0)</f>
        <v>1257</v>
      </c>
      <c r="D941" s="6">
        <f>IFERROR(__xludf.DUMMYFUNCTION("""COMPUTED_VALUE"""),1232.4)</f>
        <v>1232.4</v>
      </c>
      <c r="E941" s="6">
        <f>IFERROR(__xludf.DUMMYFUNCTION("""COMPUTED_VALUE"""),1253.05)</f>
        <v>1253.05</v>
      </c>
      <c r="F941" s="7">
        <f>IFERROR(__xludf.DUMMYFUNCTION("""COMPUTED_VALUE"""),9269259.0)</f>
        <v>9269259</v>
      </c>
      <c r="G941" s="7" t="str">
        <f>IFERROR(__xludf.DUMMYFUNCTION("""COMPUTED_VALUE"""),"RELIANCE.NS")</f>
        <v>RELIANCE.NS</v>
      </c>
      <c r="H941" s="8">
        <f t="shared" si="1"/>
        <v>0.01416373275</v>
      </c>
      <c r="I941" s="8">
        <f t="shared" si="2"/>
        <v>0.01416373275</v>
      </c>
      <c r="J941" s="7" t="str">
        <f t="shared" si="3"/>
        <v>Jan-2025</v>
      </c>
      <c r="K941" s="9">
        <f t="shared" si="4"/>
        <v>45658</v>
      </c>
      <c r="L941" s="7" t="str">
        <f t="shared" si="5"/>
        <v/>
      </c>
      <c r="M941" s="7" t="str">
        <f>IFERROR(__xludf.DUMMYFUNCTION("IFERROR(
  IF(
    F941 &gt;
    3*AVERAGE(
       FILTER($F$2:$F10491,
         $G$2:$G10491=G941,
         $A$2:$A10491&gt;=A941-20,
         $A$2:$A10491&lt;=A941
       )
    ),
    ""VOL_SPIKE_3X"",""""
  ),
"""")
"),"")</f>
        <v/>
      </c>
      <c r="N941" s="7" t="str">
        <f t="shared" si="6"/>
        <v/>
      </c>
      <c r="O941" s="7" t="str">
        <f t="shared" si="7"/>
        <v/>
      </c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>
        <f>IFERROR(__xludf.DUMMYFUNCTION("""COMPUTED_VALUE"""),45688.0)</f>
        <v>45688</v>
      </c>
      <c r="B942" s="6">
        <f>IFERROR(__xludf.DUMMYFUNCTION("""COMPUTED_VALUE"""),748.9)</f>
        <v>748.9</v>
      </c>
      <c r="C942" s="6">
        <f>IFERROR(__xludf.DUMMYFUNCTION("""COMPUTED_VALUE"""),763.3)</f>
        <v>763.3</v>
      </c>
      <c r="D942" s="6">
        <f>IFERROR(__xludf.DUMMYFUNCTION("""COMPUTED_VALUE"""),737.85)</f>
        <v>737.85</v>
      </c>
      <c r="E942" s="6">
        <f>IFERROR(__xludf.DUMMYFUNCTION("""COMPUTED_VALUE"""),748.35)</f>
        <v>748.35</v>
      </c>
      <c r="F942" s="7">
        <f>IFERROR(__xludf.DUMMYFUNCTION("""COMPUTED_VALUE"""),3073984.0)</f>
        <v>3073984</v>
      </c>
      <c r="G942" s="7" t="str">
        <f>IFERROR(__xludf.DUMMYFUNCTION("""COMPUTED_VALUE"""),"ADANIENSOL.NS")</f>
        <v>ADANIENSOL.NS</v>
      </c>
      <c r="H942" s="8">
        <f t="shared" si="1"/>
        <v>-0.0007344104687</v>
      </c>
      <c r="I942" s="8">
        <f t="shared" si="2"/>
        <v>0.0007344104687</v>
      </c>
      <c r="J942" s="7" t="str">
        <f t="shared" si="3"/>
        <v>Jan-2025</v>
      </c>
      <c r="K942" s="9">
        <f t="shared" si="4"/>
        <v>45658</v>
      </c>
      <c r="L942" s="7" t="str">
        <f t="shared" si="5"/>
        <v/>
      </c>
      <c r="M942" s="7" t="str">
        <f>IFERROR(__xludf.DUMMYFUNCTION("IFERROR(
  IF(
    F942 &gt;
    3*AVERAGE(
       FILTER($F$2:$F10491,
         $G$2:$G10491=G942,
         $A$2:$A10491&gt;=A942-20,
         $A$2:$A10491&lt;=A942
       )
    ),
    ""VOL_SPIKE_3X"",""""
  ),
"""")
"),"")</f>
        <v/>
      </c>
      <c r="N942" s="7" t="str">
        <f t="shared" si="6"/>
        <v/>
      </c>
      <c r="O942" s="7" t="str">
        <f t="shared" si="7"/>
        <v/>
      </c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>
        <f>IFERROR(__xludf.DUMMYFUNCTION("""COMPUTED_VALUE"""),45688.0)</f>
        <v>45688</v>
      </c>
      <c r="B943" s="6">
        <f>IFERROR(__xludf.DUMMYFUNCTION("""COMPUTED_VALUE"""),973.9)</f>
        <v>973.9</v>
      </c>
      <c r="C943" s="6">
        <f>IFERROR(__xludf.DUMMYFUNCTION("""COMPUTED_VALUE"""),1006.8)</f>
        <v>1006.8</v>
      </c>
      <c r="D943" s="6">
        <f>IFERROR(__xludf.DUMMYFUNCTION("""COMPUTED_VALUE"""),971.55)</f>
        <v>971.55</v>
      </c>
      <c r="E943" s="6">
        <f>IFERROR(__xludf.DUMMYFUNCTION("""COMPUTED_VALUE"""),997.55)</f>
        <v>997.55</v>
      </c>
      <c r="F943" s="7">
        <f>IFERROR(__xludf.DUMMYFUNCTION("""COMPUTED_VALUE"""),3123886.0)</f>
        <v>3123886</v>
      </c>
      <c r="G943" s="7" t="str">
        <f>IFERROR(__xludf.DUMMYFUNCTION("""COMPUTED_VALUE"""),"ADANIGREEN.NS")</f>
        <v>ADANIGREEN.NS</v>
      </c>
      <c r="H943" s="8">
        <f t="shared" si="1"/>
        <v>0.02428380737</v>
      </c>
      <c r="I943" s="8">
        <f t="shared" si="2"/>
        <v>0.02428380737</v>
      </c>
      <c r="J943" s="7" t="str">
        <f t="shared" si="3"/>
        <v>Jan-2025</v>
      </c>
      <c r="K943" s="9">
        <f t="shared" si="4"/>
        <v>45658</v>
      </c>
      <c r="L943" s="7" t="str">
        <f t="shared" si="5"/>
        <v/>
      </c>
      <c r="M943" s="7" t="str">
        <f>IFERROR(__xludf.DUMMYFUNCTION("IFERROR(
  IF(
    F943 &gt;
    3*AVERAGE(
       FILTER($F$2:$F10491,
         $G$2:$G10491=G943,
         $A$2:$A10491&gt;=A943-20,
         $A$2:$A10491&lt;=A943
       )
    ),
    ""VOL_SPIKE_3X"",""""
  ),
"""")
"),"")</f>
        <v/>
      </c>
      <c r="N943" s="7" t="str">
        <f t="shared" si="6"/>
        <v/>
      </c>
      <c r="O943" s="7" t="str">
        <f t="shared" si="7"/>
        <v/>
      </c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>
        <f>IFERROR(__xludf.DUMMYFUNCTION("""COMPUTED_VALUE"""),45688.0)</f>
        <v>45688</v>
      </c>
      <c r="B944" s="6">
        <f>IFERROR(__xludf.DUMMYFUNCTION("""COMPUTED_VALUE"""),257.9)</f>
        <v>257.9</v>
      </c>
      <c r="C944" s="6">
        <f>IFERROR(__xludf.DUMMYFUNCTION("""COMPUTED_VALUE"""),262.0)</f>
        <v>262</v>
      </c>
      <c r="D944" s="6">
        <f>IFERROR(__xludf.DUMMYFUNCTION("""COMPUTED_VALUE"""),254.25)</f>
        <v>254.25</v>
      </c>
      <c r="E944" s="6">
        <f>IFERROR(__xludf.DUMMYFUNCTION("""COMPUTED_VALUE"""),261.1)</f>
        <v>261.1</v>
      </c>
      <c r="F944" s="7">
        <f>IFERROR(__xludf.DUMMYFUNCTION("""COMPUTED_VALUE"""),8790578.0)</f>
        <v>8790578</v>
      </c>
      <c r="G944" s="7" t="str">
        <f>IFERROR(__xludf.DUMMYFUNCTION("""COMPUTED_VALUE"""),"BPCL.NS")</f>
        <v>BPCL.NS</v>
      </c>
      <c r="H944" s="8">
        <f t="shared" si="1"/>
        <v>0.01240791004</v>
      </c>
      <c r="I944" s="8">
        <f t="shared" si="2"/>
        <v>0.01240791004</v>
      </c>
      <c r="J944" s="7" t="str">
        <f t="shared" si="3"/>
        <v>Jan-2025</v>
      </c>
      <c r="K944" s="9">
        <f t="shared" si="4"/>
        <v>45658</v>
      </c>
      <c r="L944" s="7" t="str">
        <f t="shared" si="5"/>
        <v/>
      </c>
      <c r="M944" s="7" t="str">
        <f>IFERROR(__xludf.DUMMYFUNCTION("IFERROR(
  IF(
    F944 &gt;
    3*AVERAGE(
       FILTER($F$2:$F10491,
         $G$2:$G10491=G944,
         $A$2:$A10491&gt;=A944-20,
         $A$2:$A10491&lt;=A944
       )
    ),
    ""VOL_SPIKE_3X"",""""
  ),
"""")
"),"")</f>
        <v/>
      </c>
      <c r="N944" s="7" t="str">
        <f t="shared" si="6"/>
        <v/>
      </c>
      <c r="O944" s="7" t="str">
        <f t="shared" si="7"/>
        <v/>
      </c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>
        <f>IFERROR(__xludf.DUMMYFUNCTION("""COMPUTED_VALUE"""),45688.0)</f>
        <v>45688</v>
      </c>
      <c r="B945" s="6">
        <f>IFERROR(__xludf.DUMMYFUNCTION("""COMPUTED_VALUE"""),379.5)</f>
        <v>379.5</v>
      </c>
      <c r="C945" s="6">
        <f>IFERROR(__xludf.DUMMYFUNCTION("""COMPUTED_VALUE"""),396.95)</f>
        <v>396.95</v>
      </c>
      <c r="D945" s="6">
        <f>IFERROR(__xludf.DUMMYFUNCTION("""COMPUTED_VALUE"""),374.65)</f>
        <v>374.65</v>
      </c>
      <c r="E945" s="6">
        <f>IFERROR(__xludf.DUMMYFUNCTION("""COMPUTED_VALUE"""),395.9)</f>
        <v>395.9</v>
      </c>
      <c r="F945" s="7">
        <f>IFERROR(__xludf.DUMMYFUNCTION("""COMPUTED_VALUE"""),1.0339434E7)</f>
        <v>10339434</v>
      </c>
      <c r="G945" s="7" t="str">
        <f>IFERROR(__xludf.DUMMYFUNCTION("""COMPUTED_VALUE"""),"COALINDIA.NS")</f>
        <v>COALINDIA.NS</v>
      </c>
      <c r="H945" s="8">
        <f t="shared" si="1"/>
        <v>0.04321475626</v>
      </c>
      <c r="I945" s="8">
        <f t="shared" si="2"/>
        <v>0.04321475626</v>
      </c>
      <c r="J945" s="7" t="str">
        <f t="shared" si="3"/>
        <v>Jan-2025</v>
      </c>
      <c r="K945" s="9">
        <f t="shared" si="4"/>
        <v>45658</v>
      </c>
      <c r="L945" s="7" t="str">
        <f t="shared" si="5"/>
        <v/>
      </c>
      <c r="M945" s="7" t="str">
        <f>IFERROR(__xludf.DUMMYFUNCTION("IFERROR(
  IF(
    F945 &gt;
    3*AVERAGE(
       FILTER($F$2:$F10491,
         $G$2:$G10491=G945,
         $A$2:$A10491&gt;=A945-20,
         $A$2:$A10491&lt;=A945
       )
    ),
    ""VOL_SPIKE_3X"",""""
  ),
"""")
"),"")</f>
        <v/>
      </c>
      <c r="N945" s="7" t="str">
        <f t="shared" si="6"/>
        <v/>
      </c>
      <c r="O945" s="7" t="str">
        <f t="shared" si="7"/>
        <v/>
      </c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>
        <f>IFERROR(__xludf.DUMMYFUNCTION("""COMPUTED_VALUE"""),45688.0)</f>
        <v>45688</v>
      </c>
      <c r="B946" s="6">
        <f>IFERROR(__xludf.DUMMYFUNCTION("""COMPUTED_VALUE"""),351.0)</f>
        <v>351</v>
      </c>
      <c r="C946" s="6">
        <f>IFERROR(__xludf.DUMMYFUNCTION("""COMPUTED_VALUE"""),359.45)</f>
        <v>359.45</v>
      </c>
      <c r="D946" s="6">
        <f>IFERROR(__xludf.DUMMYFUNCTION("""COMPUTED_VALUE"""),349.4)</f>
        <v>349.4</v>
      </c>
      <c r="E946" s="6">
        <f>IFERROR(__xludf.DUMMYFUNCTION("""COMPUTED_VALUE"""),358.25)</f>
        <v>358.25</v>
      </c>
      <c r="F946" s="7">
        <f>IFERROR(__xludf.DUMMYFUNCTION("""COMPUTED_VALUE"""),2019592.0)</f>
        <v>2019592</v>
      </c>
      <c r="G946" s="7" t="str">
        <f>IFERROR(__xludf.DUMMYFUNCTION("""COMPUTED_VALUE"""),"HINDPETRO.NS")</f>
        <v>HINDPETRO.NS</v>
      </c>
      <c r="H946" s="8">
        <f t="shared" si="1"/>
        <v>0.02065527066</v>
      </c>
      <c r="I946" s="8">
        <f t="shared" si="2"/>
        <v>0.02065527066</v>
      </c>
      <c r="J946" s="7" t="str">
        <f t="shared" si="3"/>
        <v>Jan-2025</v>
      </c>
      <c r="K946" s="9">
        <f t="shared" si="4"/>
        <v>45658</v>
      </c>
      <c r="L946" s="7" t="str">
        <f t="shared" si="5"/>
        <v/>
      </c>
      <c r="M946" s="7" t="str">
        <f>IFERROR(__xludf.DUMMYFUNCTION("IFERROR(
  IF(
    F946 &gt;
    3*AVERAGE(
       FILTER($F$2:$F10491,
         $G$2:$G10491=G946,
         $A$2:$A10491&gt;=A946-20,
         $A$2:$A10491&lt;=A946
       )
    ),
    ""VOL_SPIKE_3X"",""""
  ),
"""")
"),"")</f>
        <v/>
      </c>
      <c r="N946" s="7" t="str">
        <f t="shared" si="6"/>
        <v/>
      </c>
      <c r="O946" s="7" t="str">
        <f t="shared" si="7"/>
        <v/>
      </c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>
        <f>IFERROR(__xludf.DUMMYFUNCTION("""COMPUTED_VALUE"""),45688.0)</f>
        <v>45688</v>
      </c>
      <c r="B947" s="6">
        <f>IFERROR(__xludf.DUMMYFUNCTION("""COMPUTED_VALUE"""),127.12)</f>
        <v>127.12</v>
      </c>
      <c r="C947" s="6">
        <f>IFERROR(__xludf.DUMMYFUNCTION("""COMPUTED_VALUE"""),128.85)</f>
        <v>128.85</v>
      </c>
      <c r="D947" s="6">
        <f>IFERROR(__xludf.DUMMYFUNCTION("""COMPUTED_VALUE"""),126.15)</f>
        <v>126.15</v>
      </c>
      <c r="E947" s="6">
        <f>IFERROR(__xludf.DUMMYFUNCTION("""COMPUTED_VALUE"""),128.49)</f>
        <v>128.49</v>
      </c>
      <c r="F947" s="7">
        <f>IFERROR(__xludf.DUMMYFUNCTION("""COMPUTED_VALUE"""),9686000.0)</f>
        <v>9686000</v>
      </c>
      <c r="G947" s="7" t="str">
        <f>IFERROR(__xludf.DUMMYFUNCTION("""COMPUTED_VALUE"""),"IOC.NS")</f>
        <v>IOC.NS</v>
      </c>
      <c r="H947" s="8">
        <f t="shared" si="1"/>
        <v>0.01077721838</v>
      </c>
      <c r="I947" s="8">
        <f t="shared" si="2"/>
        <v>0.01077721838</v>
      </c>
      <c r="J947" s="7" t="str">
        <f t="shared" si="3"/>
        <v>Jan-2025</v>
      </c>
      <c r="K947" s="9">
        <f t="shared" si="4"/>
        <v>45658</v>
      </c>
      <c r="L947" s="7" t="str">
        <f t="shared" si="5"/>
        <v/>
      </c>
      <c r="M947" s="7" t="str">
        <f>IFERROR(__xludf.DUMMYFUNCTION("IFERROR(
  IF(
    F947 &gt;
    3*AVERAGE(
       FILTER($F$2:$F10491,
         $G$2:$G10491=G947,
         $A$2:$A10491&gt;=A947-20,
         $A$2:$A10491&lt;=A947
       )
    ),
    ""VOL_SPIKE_3X"",""""
  ),
"""")
"),"")</f>
        <v/>
      </c>
      <c r="N947" s="7" t="str">
        <f t="shared" si="6"/>
        <v/>
      </c>
      <c r="O947" s="7" t="str">
        <f t="shared" si="7"/>
        <v/>
      </c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>
        <f>IFERROR(__xludf.DUMMYFUNCTION("""COMPUTED_VALUE"""),45688.0)</f>
        <v>45688</v>
      </c>
      <c r="B948" s="6">
        <f>IFERROR(__xludf.DUMMYFUNCTION("""COMPUTED_VALUE"""),322.45)</f>
        <v>322.45</v>
      </c>
      <c r="C948" s="6">
        <f>IFERROR(__xludf.DUMMYFUNCTION("""COMPUTED_VALUE"""),326.25)</f>
        <v>326.25</v>
      </c>
      <c r="D948" s="6">
        <f>IFERROR(__xludf.DUMMYFUNCTION("""COMPUTED_VALUE"""),317.55)</f>
        <v>317.55</v>
      </c>
      <c r="E948" s="6">
        <f>IFERROR(__xludf.DUMMYFUNCTION("""COMPUTED_VALUE"""),324.0)</f>
        <v>324</v>
      </c>
      <c r="F948" s="7">
        <f>IFERROR(__xludf.DUMMYFUNCTION("""COMPUTED_VALUE"""),1.3195557E7)</f>
        <v>13195557</v>
      </c>
      <c r="G948" s="7" t="str">
        <f>IFERROR(__xludf.DUMMYFUNCTION("""COMPUTED_VALUE"""),"NTPC.NS")</f>
        <v>NTPC.NS</v>
      </c>
      <c r="H948" s="8">
        <f t="shared" si="1"/>
        <v>0.004806946813</v>
      </c>
      <c r="I948" s="8">
        <f t="shared" si="2"/>
        <v>0.004806946813</v>
      </c>
      <c r="J948" s="7" t="str">
        <f t="shared" si="3"/>
        <v>Jan-2025</v>
      </c>
      <c r="K948" s="9">
        <f t="shared" si="4"/>
        <v>45658</v>
      </c>
      <c r="L948" s="7" t="str">
        <f t="shared" si="5"/>
        <v/>
      </c>
      <c r="M948" s="7" t="str">
        <f>IFERROR(__xludf.DUMMYFUNCTION("IFERROR(
  IF(
    F948 &gt;
    3*AVERAGE(
       FILTER($F$2:$F10491,
         $G$2:$G10491=G948,
         $A$2:$A10491&gt;=A948-20,
         $A$2:$A10491&lt;=A948
       )
    ),
    ""VOL_SPIKE_3X"",""""
  ),
"""")
"),"")</f>
        <v/>
      </c>
      <c r="N948" s="7" t="str">
        <f t="shared" si="6"/>
        <v/>
      </c>
      <c r="O948" s="7" t="str">
        <f t="shared" si="7"/>
        <v/>
      </c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>
        <f>IFERROR(__xludf.DUMMYFUNCTION("""COMPUTED_VALUE"""),45688.0)</f>
        <v>45688</v>
      </c>
      <c r="B949" s="6">
        <f>IFERROR(__xludf.DUMMYFUNCTION("""COMPUTED_VALUE"""),257.01)</f>
        <v>257.01</v>
      </c>
      <c r="C949" s="6">
        <f>IFERROR(__xludf.DUMMYFUNCTION("""COMPUTED_VALUE"""),263.49)</f>
        <v>263.49</v>
      </c>
      <c r="D949" s="6">
        <f>IFERROR(__xludf.DUMMYFUNCTION("""COMPUTED_VALUE"""),255.21)</f>
        <v>255.21</v>
      </c>
      <c r="E949" s="6">
        <f>IFERROR(__xludf.DUMMYFUNCTION("""COMPUTED_VALUE"""),262.61)</f>
        <v>262.61</v>
      </c>
      <c r="F949" s="7">
        <f>IFERROR(__xludf.DUMMYFUNCTION("""COMPUTED_VALUE"""),8850307.0)</f>
        <v>8850307</v>
      </c>
      <c r="G949" s="7" t="str">
        <f>IFERROR(__xludf.DUMMYFUNCTION("""COMPUTED_VALUE"""),"ONGC.NS")</f>
        <v>ONGC.NS</v>
      </c>
      <c r="H949" s="8">
        <f t="shared" si="1"/>
        <v>0.02178903545</v>
      </c>
      <c r="I949" s="8">
        <f t="shared" si="2"/>
        <v>0.02178903545</v>
      </c>
      <c r="J949" s="7" t="str">
        <f t="shared" si="3"/>
        <v>Jan-2025</v>
      </c>
      <c r="K949" s="9">
        <f t="shared" si="4"/>
        <v>45658</v>
      </c>
      <c r="L949" s="7" t="str">
        <f t="shared" si="5"/>
        <v/>
      </c>
      <c r="M949" s="7" t="str">
        <f>IFERROR(__xludf.DUMMYFUNCTION("IFERROR(
  IF(
    F949 &gt;
    3*AVERAGE(
       FILTER($F$2:$F10491,
         $G$2:$G10491=G949,
         $A$2:$A10491&gt;=A949-20,
         $A$2:$A10491&lt;=A949
       )
    ),
    ""VOL_SPIKE_3X"",""""
  ),
"""")
"),"")</f>
        <v/>
      </c>
      <c r="N949" s="7" t="str">
        <f t="shared" si="6"/>
        <v/>
      </c>
      <c r="O949" s="7" t="str">
        <f t="shared" si="7"/>
        <v/>
      </c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>
        <f>IFERROR(__xludf.DUMMYFUNCTION("""COMPUTED_VALUE"""),45688.0)</f>
        <v>45688</v>
      </c>
      <c r="B950" s="6">
        <f>IFERROR(__xludf.DUMMYFUNCTION("""COMPUTED_VALUE"""),297.0)</f>
        <v>297</v>
      </c>
      <c r="C950" s="6">
        <f>IFERROR(__xludf.DUMMYFUNCTION("""COMPUTED_VALUE"""),303.45)</f>
        <v>303.45</v>
      </c>
      <c r="D950" s="6">
        <f>IFERROR(__xludf.DUMMYFUNCTION("""COMPUTED_VALUE"""),295.9)</f>
        <v>295.9</v>
      </c>
      <c r="E950" s="6">
        <f>IFERROR(__xludf.DUMMYFUNCTION("""COMPUTED_VALUE"""),301.65)</f>
        <v>301.65</v>
      </c>
      <c r="F950" s="7">
        <f>IFERROR(__xludf.DUMMYFUNCTION("""COMPUTED_VALUE"""),1.4141459E7)</f>
        <v>14141459</v>
      </c>
      <c r="G950" s="7" t="str">
        <f>IFERROR(__xludf.DUMMYFUNCTION("""COMPUTED_VALUE"""),"POWERGRID.NS")</f>
        <v>POWERGRID.NS</v>
      </c>
      <c r="H950" s="8">
        <f t="shared" si="1"/>
        <v>0.01565656566</v>
      </c>
      <c r="I950" s="8">
        <f t="shared" si="2"/>
        <v>0.01565656566</v>
      </c>
      <c r="J950" s="7" t="str">
        <f t="shared" si="3"/>
        <v>Jan-2025</v>
      </c>
      <c r="K950" s="9">
        <f t="shared" si="4"/>
        <v>45658</v>
      </c>
      <c r="L950" s="7" t="str">
        <f t="shared" si="5"/>
        <v/>
      </c>
      <c r="M950" s="7" t="str">
        <f>IFERROR(__xludf.DUMMYFUNCTION("IFERROR(
  IF(
    F950 &gt;
    3*AVERAGE(
       FILTER($F$2:$F10491,
         $G$2:$G10491=G950,
         $A$2:$A10491&gt;=A950-20,
         $A$2:$A10491&lt;=A950
       )
    ),
    ""VOL_SPIKE_3X"",""""
  ),
"""")
"),"")</f>
        <v/>
      </c>
      <c r="N950" s="7" t="str">
        <f t="shared" si="6"/>
        <v/>
      </c>
      <c r="O950" s="7" t="str">
        <f t="shared" si="7"/>
        <v/>
      </c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>
        <f>IFERROR(__xludf.DUMMYFUNCTION("""COMPUTED_VALUE"""),45688.0)</f>
        <v>45688</v>
      </c>
      <c r="B951" s="6">
        <f>IFERROR(__xludf.DUMMYFUNCTION("""COMPUTED_VALUE"""),1255.85)</f>
        <v>1255.85</v>
      </c>
      <c r="C951" s="6">
        <f>IFERROR(__xludf.DUMMYFUNCTION("""COMPUTED_VALUE"""),1267.0)</f>
        <v>1267</v>
      </c>
      <c r="D951" s="6">
        <f>IFERROR(__xludf.DUMMYFUNCTION("""COMPUTED_VALUE"""),1249.0)</f>
        <v>1249</v>
      </c>
      <c r="E951" s="6">
        <f>IFERROR(__xludf.DUMMYFUNCTION("""COMPUTED_VALUE"""),1265.1)</f>
        <v>1265.1</v>
      </c>
      <c r="F951" s="7">
        <f>IFERROR(__xludf.DUMMYFUNCTION("""COMPUTED_VALUE"""),6584612.0)</f>
        <v>6584612</v>
      </c>
      <c r="G951" s="7" t="str">
        <f>IFERROR(__xludf.DUMMYFUNCTION("""COMPUTED_VALUE"""),"RELIANCE.NS")</f>
        <v>RELIANCE.NS</v>
      </c>
      <c r="H951" s="8">
        <f t="shared" si="1"/>
        <v>0.007365529323</v>
      </c>
      <c r="I951" s="8">
        <f t="shared" si="2"/>
        <v>0.007365529323</v>
      </c>
      <c r="J951" s="7" t="str">
        <f t="shared" si="3"/>
        <v>Jan-2025</v>
      </c>
      <c r="K951" s="9">
        <f t="shared" si="4"/>
        <v>45658</v>
      </c>
      <c r="L951" s="7" t="str">
        <f t="shared" si="5"/>
        <v/>
      </c>
      <c r="M951" s="7" t="str">
        <f>IFERROR(__xludf.DUMMYFUNCTION("IFERROR(
  IF(
    F951 &gt;
    3*AVERAGE(
       FILTER($F$2:$F10491,
         $G$2:$G10491=G951,
         $A$2:$A10491&gt;=A951-20,
         $A$2:$A10491&lt;=A951
       )
    ),
    ""VOL_SPIKE_3X"",""""
  ),
"""")
"),"")</f>
        <v/>
      </c>
      <c r="N951" s="7" t="str">
        <f t="shared" si="6"/>
        <v/>
      </c>
      <c r="O951" s="7" t="str">
        <f t="shared" si="7"/>
        <v/>
      </c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>
        <f>IFERROR(__xludf.DUMMYFUNCTION("""COMPUTED_VALUE"""),45691.0)</f>
        <v>45691</v>
      </c>
      <c r="B952" s="6">
        <f>IFERROR(__xludf.DUMMYFUNCTION("""COMPUTED_VALUE"""),740.0)</f>
        <v>740</v>
      </c>
      <c r="C952" s="6">
        <f>IFERROR(__xludf.DUMMYFUNCTION("""COMPUTED_VALUE"""),742.7)</f>
        <v>742.7</v>
      </c>
      <c r="D952" s="6">
        <f>IFERROR(__xludf.DUMMYFUNCTION("""COMPUTED_VALUE"""),725.35)</f>
        <v>725.35</v>
      </c>
      <c r="E952" s="6">
        <f>IFERROR(__xludf.DUMMYFUNCTION("""COMPUTED_VALUE"""),728.15)</f>
        <v>728.15</v>
      </c>
      <c r="F952" s="7">
        <f>IFERROR(__xludf.DUMMYFUNCTION("""COMPUTED_VALUE"""),861101.0)</f>
        <v>861101</v>
      </c>
      <c r="G952" s="7" t="str">
        <f>IFERROR(__xludf.DUMMYFUNCTION("""COMPUTED_VALUE"""),"ADANIENSOL.NS")</f>
        <v>ADANIENSOL.NS</v>
      </c>
      <c r="H952" s="8">
        <f t="shared" si="1"/>
        <v>-0.01601351351</v>
      </c>
      <c r="I952" s="8">
        <f t="shared" si="2"/>
        <v>0.01601351351</v>
      </c>
      <c r="J952" s="7" t="str">
        <f t="shared" si="3"/>
        <v>Feb-2025</v>
      </c>
      <c r="K952" s="9">
        <f t="shared" si="4"/>
        <v>45689</v>
      </c>
      <c r="L952" s="7" t="str">
        <f t="shared" si="5"/>
        <v/>
      </c>
      <c r="M952" s="7" t="str">
        <f>IFERROR(__xludf.DUMMYFUNCTION("IFERROR(
  IF(
    F952 &gt;
    3*AVERAGE(
       FILTER($F$2:$F10491,
         $G$2:$G10491=G952,
         $A$2:$A10491&gt;=A952-20,
         $A$2:$A10491&lt;=A952
       )
    ),
    ""VOL_SPIKE_3X"",""""
  ),
"""")
"),"")</f>
        <v/>
      </c>
      <c r="N952" s="7" t="str">
        <f t="shared" si="6"/>
        <v/>
      </c>
      <c r="O952" s="7" t="str">
        <f t="shared" si="7"/>
        <v/>
      </c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>
        <f>IFERROR(__xludf.DUMMYFUNCTION("""COMPUTED_VALUE"""),45691.0)</f>
        <v>45691</v>
      </c>
      <c r="B953" s="6">
        <f>IFERROR(__xludf.DUMMYFUNCTION("""COMPUTED_VALUE"""),994.9)</f>
        <v>994.9</v>
      </c>
      <c r="C953" s="6">
        <f>IFERROR(__xludf.DUMMYFUNCTION("""COMPUTED_VALUE"""),994.9)</f>
        <v>994.9</v>
      </c>
      <c r="D953" s="6">
        <f>IFERROR(__xludf.DUMMYFUNCTION("""COMPUTED_VALUE"""),967.5)</f>
        <v>967.5</v>
      </c>
      <c r="E953" s="6">
        <f>IFERROR(__xludf.DUMMYFUNCTION("""COMPUTED_VALUE"""),970.1)</f>
        <v>970.1</v>
      </c>
      <c r="F953" s="7">
        <f>IFERROR(__xludf.DUMMYFUNCTION("""COMPUTED_VALUE"""),1672435.0)</f>
        <v>1672435</v>
      </c>
      <c r="G953" s="7" t="str">
        <f>IFERROR(__xludf.DUMMYFUNCTION("""COMPUTED_VALUE"""),"ADANIGREEN.NS")</f>
        <v>ADANIGREEN.NS</v>
      </c>
      <c r="H953" s="8">
        <f t="shared" si="1"/>
        <v>-0.02492712835</v>
      </c>
      <c r="I953" s="8">
        <f t="shared" si="2"/>
        <v>0.02492712835</v>
      </c>
      <c r="J953" s="7" t="str">
        <f t="shared" si="3"/>
        <v>Feb-2025</v>
      </c>
      <c r="K953" s="9">
        <f t="shared" si="4"/>
        <v>45689</v>
      </c>
      <c r="L953" s="7" t="str">
        <f t="shared" si="5"/>
        <v/>
      </c>
      <c r="M953" s="7" t="str">
        <f>IFERROR(__xludf.DUMMYFUNCTION("IFERROR(
  IF(
    F953 &gt;
    3*AVERAGE(
       FILTER($F$2:$F10491,
         $G$2:$G10491=G953,
         $A$2:$A10491&gt;=A953-20,
         $A$2:$A10491&lt;=A953
       )
    ),
    ""VOL_SPIKE_3X"",""""
  ),
"""")
"),"")</f>
        <v/>
      </c>
      <c r="N953" s="7" t="str">
        <f t="shared" si="6"/>
        <v/>
      </c>
      <c r="O953" s="7" t="str">
        <f t="shared" si="7"/>
        <v/>
      </c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>
        <f>IFERROR(__xludf.DUMMYFUNCTION("""COMPUTED_VALUE"""),45691.0)</f>
        <v>45691</v>
      </c>
      <c r="B954" s="6">
        <f>IFERROR(__xludf.DUMMYFUNCTION("""COMPUTED_VALUE"""),250.95)</f>
        <v>250.95</v>
      </c>
      <c r="C954" s="6">
        <f>IFERROR(__xludf.DUMMYFUNCTION("""COMPUTED_VALUE"""),251.8)</f>
        <v>251.8</v>
      </c>
      <c r="D954" s="6">
        <f>IFERROR(__xludf.DUMMYFUNCTION("""COMPUTED_VALUE"""),242.2)</f>
        <v>242.2</v>
      </c>
      <c r="E954" s="6">
        <f>IFERROR(__xludf.DUMMYFUNCTION("""COMPUTED_VALUE"""),249.55)</f>
        <v>249.55</v>
      </c>
      <c r="F954" s="7">
        <f>IFERROR(__xludf.DUMMYFUNCTION("""COMPUTED_VALUE"""),2.1517136E7)</f>
        <v>21517136</v>
      </c>
      <c r="G954" s="7" t="str">
        <f>IFERROR(__xludf.DUMMYFUNCTION("""COMPUTED_VALUE"""),"BPCL.NS")</f>
        <v>BPCL.NS</v>
      </c>
      <c r="H954" s="8">
        <f t="shared" si="1"/>
        <v>-0.005578800558</v>
      </c>
      <c r="I954" s="8">
        <f t="shared" si="2"/>
        <v>0.005578800558</v>
      </c>
      <c r="J954" s="7" t="str">
        <f t="shared" si="3"/>
        <v>Feb-2025</v>
      </c>
      <c r="K954" s="9">
        <f t="shared" si="4"/>
        <v>45689</v>
      </c>
      <c r="L954" s="7" t="str">
        <f t="shared" si="5"/>
        <v/>
      </c>
      <c r="M954" s="7" t="str">
        <f>IFERROR(__xludf.DUMMYFUNCTION("IFERROR(
  IF(
    F954 &gt;
    3*AVERAGE(
       FILTER($F$2:$F10491,
         $G$2:$G10491=G954,
         $A$2:$A10491&gt;=A954-20,
         $A$2:$A10491&lt;=A954
       )
    ),
    ""VOL_SPIKE_3X"",""""
  ),
"""")
"),"")</f>
        <v/>
      </c>
      <c r="N954" s="7" t="str">
        <f t="shared" si="6"/>
        <v/>
      </c>
      <c r="O954" s="7" t="str">
        <f t="shared" si="7"/>
        <v/>
      </c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>
        <f>IFERROR(__xludf.DUMMYFUNCTION("""COMPUTED_VALUE"""),45691.0)</f>
        <v>45691</v>
      </c>
      <c r="B955" s="6">
        <f>IFERROR(__xludf.DUMMYFUNCTION("""COMPUTED_VALUE"""),384.0)</f>
        <v>384</v>
      </c>
      <c r="C955" s="6">
        <f>IFERROR(__xludf.DUMMYFUNCTION("""COMPUTED_VALUE"""),384.15)</f>
        <v>384.15</v>
      </c>
      <c r="D955" s="6">
        <f>IFERROR(__xludf.DUMMYFUNCTION("""COMPUTED_VALUE"""),366.5)</f>
        <v>366.5</v>
      </c>
      <c r="E955" s="6">
        <f>IFERROR(__xludf.DUMMYFUNCTION("""COMPUTED_VALUE"""),374.0)</f>
        <v>374</v>
      </c>
      <c r="F955" s="7">
        <f>IFERROR(__xludf.DUMMYFUNCTION("""COMPUTED_VALUE"""),7689700.0)</f>
        <v>7689700</v>
      </c>
      <c r="G955" s="7" t="str">
        <f>IFERROR(__xludf.DUMMYFUNCTION("""COMPUTED_VALUE"""),"COALINDIA.NS")</f>
        <v>COALINDIA.NS</v>
      </c>
      <c r="H955" s="8">
        <f t="shared" si="1"/>
        <v>-0.02604166667</v>
      </c>
      <c r="I955" s="8">
        <f t="shared" si="2"/>
        <v>0.02604166667</v>
      </c>
      <c r="J955" s="7" t="str">
        <f t="shared" si="3"/>
        <v>Feb-2025</v>
      </c>
      <c r="K955" s="9">
        <f t="shared" si="4"/>
        <v>45689</v>
      </c>
      <c r="L955" s="7" t="str">
        <f t="shared" si="5"/>
        <v/>
      </c>
      <c r="M955" s="7" t="str">
        <f>IFERROR(__xludf.DUMMYFUNCTION("IFERROR(
  IF(
    F955 &gt;
    3*AVERAGE(
       FILTER($F$2:$F10491,
         $G$2:$G10491=G955,
         $A$2:$A10491&gt;=A955-20,
         $A$2:$A10491&lt;=A955
       )
    ),
    ""VOL_SPIKE_3X"",""""
  ),
"""")
"),"")</f>
        <v/>
      </c>
      <c r="N955" s="7" t="str">
        <f t="shared" si="6"/>
        <v/>
      </c>
      <c r="O955" s="7" t="str">
        <f t="shared" si="7"/>
        <v/>
      </c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>
        <f>IFERROR(__xludf.DUMMYFUNCTION("""COMPUTED_VALUE"""),45691.0)</f>
        <v>45691</v>
      </c>
      <c r="B956" s="6">
        <f>IFERROR(__xludf.DUMMYFUNCTION("""COMPUTED_VALUE"""),330.0)</f>
        <v>330</v>
      </c>
      <c r="C956" s="6">
        <f>IFERROR(__xludf.DUMMYFUNCTION("""COMPUTED_VALUE"""),333.3)</f>
        <v>333.3</v>
      </c>
      <c r="D956" s="6">
        <f>IFERROR(__xludf.DUMMYFUNCTION("""COMPUTED_VALUE"""),318.7)</f>
        <v>318.7</v>
      </c>
      <c r="E956" s="6">
        <f>IFERROR(__xludf.DUMMYFUNCTION("""COMPUTED_VALUE"""),324.9)</f>
        <v>324.9</v>
      </c>
      <c r="F956" s="7">
        <f>IFERROR(__xludf.DUMMYFUNCTION("""COMPUTED_VALUE"""),2.6282943E7)</f>
        <v>26282943</v>
      </c>
      <c r="G956" s="7" t="str">
        <f>IFERROR(__xludf.DUMMYFUNCTION("""COMPUTED_VALUE"""),"HINDPETRO.NS")</f>
        <v>HINDPETRO.NS</v>
      </c>
      <c r="H956" s="8">
        <f t="shared" si="1"/>
        <v>-0.01545454545</v>
      </c>
      <c r="I956" s="8">
        <f t="shared" si="2"/>
        <v>0.01545454545</v>
      </c>
      <c r="J956" s="7" t="str">
        <f t="shared" si="3"/>
        <v>Feb-2025</v>
      </c>
      <c r="K956" s="9">
        <f t="shared" si="4"/>
        <v>45689</v>
      </c>
      <c r="L956" s="7" t="str">
        <f t="shared" si="5"/>
        <v/>
      </c>
      <c r="M956" s="7" t="str">
        <f>IFERROR(__xludf.DUMMYFUNCTION("IFERROR(
  IF(
    F956 &gt;
    3*AVERAGE(
       FILTER($F$2:$F10491,
         $G$2:$G10491=G956,
         $A$2:$A10491&gt;=A956-20,
         $A$2:$A10491&lt;=A956
       )
    ),
    ""VOL_SPIKE_3X"",""""
  ),
"""")
"),"VOL_SPIKE_3X")</f>
        <v>VOL_SPIKE_3X</v>
      </c>
      <c r="N956" s="7" t="str">
        <f t="shared" si="6"/>
        <v>VOL_SPIKE_3X</v>
      </c>
      <c r="O956" s="7" t="str">
        <f t="shared" si="7"/>
        <v/>
      </c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>
        <f>IFERROR(__xludf.DUMMYFUNCTION("""COMPUTED_VALUE"""),45691.0)</f>
        <v>45691</v>
      </c>
      <c r="B957" s="6">
        <f>IFERROR(__xludf.DUMMYFUNCTION("""COMPUTED_VALUE"""),124.11)</f>
        <v>124.11</v>
      </c>
      <c r="C957" s="6">
        <f>IFERROR(__xludf.DUMMYFUNCTION("""COMPUTED_VALUE"""),124.2)</f>
        <v>124.2</v>
      </c>
      <c r="D957" s="6">
        <f>IFERROR(__xludf.DUMMYFUNCTION("""COMPUTED_VALUE"""),120.1)</f>
        <v>120.1</v>
      </c>
      <c r="E957" s="6">
        <f>IFERROR(__xludf.DUMMYFUNCTION("""COMPUTED_VALUE"""),120.96)</f>
        <v>120.96</v>
      </c>
      <c r="F957" s="7">
        <f>IFERROR(__xludf.DUMMYFUNCTION("""COMPUTED_VALUE"""),2.6047332E7)</f>
        <v>26047332</v>
      </c>
      <c r="G957" s="7" t="str">
        <f>IFERROR(__xludf.DUMMYFUNCTION("""COMPUTED_VALUE"""),"IOC.NS")</f>
        <v>IOC.NS</v>
      </c>
      <c r="H957" s="8">
        <f t="shared" si="1"/>
        <v>-0.02538071066</v>
      </c>
      <c r="I957" s="8">
        <f t="shared" si="2"/>
        <v>0.02538071066</v>
      </c>
      <c r="J957" s="7" t="str">
        <f t="shared" si="3"/>
        <v>Feb-2025</v>
      </c>
      <c r="K957" s="9">
        <f t="shared" si="4"/>
        <v>45689</v>
      </c>
      <c r="L957" s="7" t="str">
        <f t="shared" si="5"/>
        <v/>
      </c>
      <c r="M957" s="7" t="str">
        <f>IFERROR(__xludf.DUMMYFUNCTION("IFERROR(
  IF(
    F957 &gt;
    3*AVERAGE(
       FILTER($F$2:$F10491,
         $G$2:$G10491=G957,
         $A$2:$A10491&gt;=A957-20,
         $A$2:$A10491&lt;=A957
       )
    ),
    ""VOL_SPIKE_3X"",""""
  ),
"""")
"),"")</f>
        <v/>
      </c>
      <c r="N957" s="7" t="str">
        <f t="shared" si="6"/>
        <v/>
      </c>
      <c r="O957" s="7" t="str">
        <f t="shared" si="7"/>
        <v/>
      </c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>
        <f>IFERROR(__xludf.DUMMYFUNCTION("""COMPUTED_VALUE"""),45691.0)</f>
        <v>45691</v>
      </c>
      <c r="B958" s="6">
        <f>IFERROR(__xludf.DUMMYFUNCTION("""COMPUTED_VALUE"""),310.1)</f>
        <v>310.1</v>
      </c>
      <c r="C958" s="6">
        <f>IFERROR(__xludf.DUMMYFUNCTION("""COMPUTED_VALUE"""),314.05)</f>
        <v>314.05</v>
      </c>
      <c r="D958" s="6">
        <f>IFERROR(__xludf.DUMMYFUNCTION("""COMPUTED_VALUE"""),304.0)</f>
        <v>304</v>
      </c>
      <c r="E958" s="6">
        <f>IFERROR(__xludf.DUMMYFUNCTION("""COMPUTED_VALUE"""),311.25)</f>
        <v>311.25</v>
      </c>
      <c r="F958" s="7">
        <f>IFERROR(__xludf.DUMMYFUNCTION("""COMPUTED_VALUE"""),1.5881217E7)</f>
        <v>15881217</v>
      </c>
      <c r="G958" s="7" t="str">
        <f>IFERROR(__xludf.DUMMYFUNCTION("""COMPUTED_VALUE"""),"NTPC.NS")</f>
        <v>NTPC.NS</v>
      </c>
      <c r="H958" s="8">
        <f t="shared" si="1"/>
        <v>0.003708481135</v>
      </c>
      <c r="I958" s="8">
        <f t="shared" si="2"/>
        <v>0.003708481135</v>
      </c>
      <c r="J958" s="7" t="str">
        <f t="shared" si="3"/>
        <v>Feb-2025</v>
      </c>
      <c r="K958" s="9">
        <f t="shared" si="4"/>
        <v>45689</v>
      </c>
      <c r="L958" s="7" t="str">
        <f t="shared" si="5"/>
        <v/>
      </c>
      <c r="M958" s="7" t="str">
        <f>IFERROR(__xludf.DUMMYFUNCTION("IFERROR(
  IF(
    F958 &gt;
    3*AVERAGE(
       FILTER($F$2:$F10491,
         $G$2:$G10491=G958,
         $A$2:$A10491&gt;=A958-20,
         $A$2:$A10491&lt;=A958
       )
    ),
    ""VOL_SPIKE_3X"",""""
  ),
"""")
"),"")</f>
        <v/>
      </c>
      <c r="N958" s="7" t="str">
        <f t="shared" si="6"/>
        <v/>
      </c>
      <c r="O958" s="7" t="str">
        <f t="shared" si="7"/>
        <v/>
      </c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>
        <f>IFERROR(__xludf.DUMMYFUNCTION("""COMPUTED_VALUE"""),45691.0)</f>
        <v>45691</v>
      </c>
      <c r="B959" s="6">
        <f>IFERROR(__xludf.DUMMYFUNCTION("""COMPUTED_VALUE"""),255.6)</f>
        <v>255.6</v>
      </c>
      <c r="C959" s="6">
        <f>IFERROR(__xludf.DUMMYFUNCTION("""COMPUTED_VALUE"""),256.35)</f>
        <v>256.35</v>
      </c>
      <c r="D959" s="6">
        <f>IFERROR(__xludf.DUMMYFUNCTION("""COMPUTED_VALUE"""),244.85)</f>
        <v>244.85</v>
      </c>
      <c r="E959" s="6">
        <f>IFERROR(__xludf.DUMMYFUNCTION("""COMPUTED_VALUE"""),249.0)</f>
        <v>249</v>
      </c>
      <c r="F959" s="7">
        <f>IFERROR(__xludf.DUMMYFUNCTION("""COMPUTED_VALUE"""),2.5719512E7)</f>
        <v>25719512</v>
      </c>
      <c r="G959" s="7" t="str">
        <f>IFERROR(__xludf.DUMMYFUNCTION("""COMPUTED_VALUE"""),"ONGC.NS")</f>
        <v>ONGC.NS</v>
      </c>
      <c r="H959" s="8">
        <f t="shared" si="1"/>
        <v>-0.02582159624</v>
      </c>
      <c r="I959" s="8">
        <f t="shared" si="2"/>
        <v>0.02582159624</v>
      </c>
      <c r="J959" s="7" t="str">
        <f t="shared" si="3"/>
        <v>Feb-2025</v>
      </c>
      <c r="K959" s="9">
        <f t="shared" si="4"/>
        <v>45689</v>
      </c>
      <c r="L959" s="7" t="str">
        <f t="shared" si="5"/>
        <v/>
      </c>
      <c r="M959" s="7" t="str">
        <f>IFERROR(__xludf.DUMMYFUNCTION("IFERROR(
  IF(
    F959 &gt;
    3*AVERAGE(
       FILTER($F$2:$F10491,
         $G$2:$G10491=G959,
         $A$2:$A10491&gt;=A959-20,
         $A$2:$A10491&lt;=A959
       )
    ),
    ""VOL_SPIKE_3X"",""""
  ),
"""")
"),"")</f>
        <v/>
      </c>
      <c r="N959" s="7" t="str">
        <f t="shared" si="6"/>
        <v/>
      </c>
      <c r="O959" s="7" t="str">
        <f t="shared" si="7"/>
        <v/>
      </c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>
        <f>IFERROR(__xludf.DUMMYFUNCTION("""COMPUTED_VALUE"""),45691.0)</f>
        <v>45691</v>
      </c>
      <c r="B960" s="6">
        <f>IFERROR(__xludf.DUMMYFUNCTION("""COMPUTED_VALUE"""),290.0)</f>
        <v>290</v>
      </c>
      <c r="C960" s="6">
        <f>IFERROR(__xludf.DUMMYFUNCTION("""COMPUTED_VALUE"""),292.0)</f>
        <v>292</v>
      </c>
      <c r="D960" s="6">
        <f>IFERROR(__xludf.DUMMYFUNCTION("""COMPUTED_VALUE"""),278.0)</f>
        <v>278</v>
      </c>
      <c r="E960" s="6">
        <f>IFERROR(__xludf.DUMMYFUNCTION("""COMPUTED_VALUE"""),283.8)</f>
        <v>283.8</v>
      </c>
      <c r="F960" s="7">
        <f>IFERROR(__xludf.DUMMYFUNCTION("""COMPUTED_VALUE"""),1.4978897E7)</f>
        <v>14978897</v>
      </c>
      <c r="G960" s="7" t="str">
        <f>IFERROR(__xludf.DUMMYFUNCTION("""COMPUTED_VALUE"""),"POWERGRID.NS")</f>
        <v>POWERGRID.NS</v>
      </c>
      <c r="H960" s="8">
        <f t="shared" si="1"/>
        <v>-0.02137931034</v>
      </c>
      <c r="I960" s="8">
        <f t="shared" si="2"/>
        <v>0.02137931034</v>
      </c>
      <c r="J960" s="7" t="str">
        <f t="shared" si="3"/>
        <v>Feb-2025</v>
      </c>
      <c r="K960" s="9">
        <f t="shared" si="4"/>
        <v>45689</v>
      </c>
      <c r="L960" s="7" t="str">
        <f t="shared" si="5"/>
        <v/>
      </c>
      <c r="M960" s="7" t="str">
        <f>IFERROR(__xludf.DUMMYFUNCTION("IFERROR(
  IF(
    F960 &gt;
    3*AVERAGE(
       FILTER($F$2:$F10491,
         $G$2:$G10491=G960,
         $A$2:$A10491&gt;=A960-20,
         $A$2:$A10491&lt;=A960
       )
    ),
    ""VOL_SPIKE_3X"",""""
  ),
"""")
"),"")</f>
        <v/>
      </c>
      <c r="N960" s="7" t="str">
        <f t="shared" si="6"/>
        <v/>
      </c>
      <c r="O960" s="7" t="str">
        <f t="shared" si="7"/>
        <v/>
      </c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>
        <f>IFERROR(__xludf.DUMMYFUNCTION("""COMPUTED_VALUE"""),45691.0)</f>
        <v>45691</v>
      </c>
      <c r="B961" s="6">
        <f>IFERROR(__xludf.DUMMYFUNCTION("""COMPUTED_VALUE"""),1251.0)</f>
        <v>1251</v>
      </c>
      <c r="C961" s="6">
        <f>IFERROR(__xludf.DUMMYFUNCTION("""COMPUTED_VALUE"""),1256.0)</f>
        <v>1256</v>
      </c>
      <c r="D961" s="6">
        <f>IFERROR(__xludf.DUMMYFUNCTION("""COMPUTED_VALUE"""),1237.55)</f>
        <v>1237.55</v>
      </c>
      <c r="E961" s="6">
        <f>IFERROR(__xludf.DUMMYFUNCTION("""COMPUTED_VALUE"""),1245.9)</f>
        <v>1245.9</v>
      </c>
      <c r="F961" s="7">
        <f>IFERROR(__xludf.DUMMYFUNCTION("""COMPUTED_VALUE"""),9252345.0)</f>
        <v>9252345</v>
      </c>
      <c r="G961" s="7" t="str">
        <f>IFERROR(__xludf.DUMMYFUNCTION("""COMPUTED_VALUE"""),"RELIANCE.NS")</f>
        <v>RELIANCE.NS</v>
      </c>
      <c r="H961" s="8">
        <f t="shared" si="1"/>
        <v>-0.004076738609</v>
      </c>
      <c r="I961" s="8">
        <f t="shared" si="2"/>
        <v>0.004076738609</v>
      </c>
      <c r="J961" s="7" t="str">
        <f t="shared" si="3"/>
        <v>Feb-2025</v>
      </c>
      <c r="K961" s="9">
        <f t="shared" si="4"/>
        <v>45689</v>
      </c>
      <c r="L961" s="7" t="str">
        <f t="shared" si="5"/>
        <v/>
      </c>
      <c r="M961" s="7" t="str">
        <f>IFERROR(__xludf.DUMMYFUNCTION("IFERROR(
  IF(
    F961 &gt;
    3*AVERAGE(
       FILTER($F$2:$F10491,
         $G$2:$G10491=G961,
         $A$2:$A10491&gt;=A961-20,
         $A$2:$A10491&lt;=A961
       )
    ),
    ""VOL_SPIKE_3X"",""""
  ),
"""")
"),"")</f>
        <v/>
      </c>
      <c r="N961" s="7" t="str">
        <f t="shared" si="6"/>
        <v/>
      </c>
      <c r="O961" s="7" t="str">
        <f t="shared" si="7"/>
        <v/>
      </c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>
        <f>IFERROR(__xludf.DUMMYFUNCTION("""COMPUTED_VALUE"""),45692.0)</f>
        <v>45692</v>
      </c>
      <c r="B962" s="6">
        <f>IFERROR(__xludf.DUMMYFUNCTION("""COMPUTED_VALUE"""),734.9)</f>
        <v>734.9</v>
      </c>
      <c r="C962" s="6">
        <f>IFERROR(__xludf.DUMMYFUNCTION("""COMPUTED_VALUE"""),753.45)</f>
        <v>753.45</v>
      </c>
      <c r="D962" s="6">
        <f>IFERROR(__xludf.DUMMYFUNCTION("""COMPUTED_VALUE"""),731.0)</f>
        <v>731</v>
      </c>
      <c r="E962" s="6">
        <f>IFERROR(__xludf.DUMMYFUNCTION("""COMPUTED_VALUE"""),751.8)</f>
        <v>751.8</v>
      </c>
      <c r="F962" s="7">
        <f>IFERROR(__xludf.DUMMYFUNCTION("""COMPUTED_VALUE"""),1007055.0)</f>
        <v>1007055</v>
      </c>
      <c r="G962" s="7" t="str">
        <f>IFERROR(__xludf.DUMMYFUNCTION("""COMPUTED_VALUE"""),"ADANIENSOL.NS")</f>
        <v>ADANIENSOL.NS</v>
      </c>
      <c r="H962" s="8">
        <f t="shared" si="1"/>
        <v>0.02299632603</v>
      </c>
      <c r="I962" s="8">
        <f t="shared" si="2"/>
        <v>0.02299632603</v>
      </c>
      <c r="J962" s="7" t="str">
        <f t="shared" si="3"/>
        <v>Feb-2025</v>
      </c>
      <c r="K962" s="9">
        <f t="shared" si="4"/>
        <v>45689</v>
      </c>
      <c r="L962" s="7" t="str">
        <f t="shared" si="5"/>
        <v/>
      </c>
      <c r="M962" s="7" t="str">
        <f>IFERROR(__xludf.DUMMYFUNCTION("IFERROR(
  IF(
    F962 &gt;
    3*AVERAGE(
       FILTER($F$2:$F10491,
         $G$2:$G10491=G962,
         $A$2:$A10491&gt;=A962-20,
         $A$2:$A10491&lt;=A962
       )
    ),
    ""VOL_SPIKE_3X"",""""
  ),
"""")
"),"")</f>
        <v/>
      </c>
      <c r="N962" s="7" t="str">
        <f t="shared" si="6"/>
        <v/>
      </c>
      <c r="O962" s="7" t="str">
        <f t="shared" si="7"/>
        <v/>
      </c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>
        <f>IFERROR(__xludf.DUMMYFUNCTION("""COMPUTED_VALUE"""),45692.0)</f>
        <v>45692</v>
      </c>
      <c r="B963" s="6">
        <f>IFERROR(__xludf.DUMMYFUNCTION("""COMPUTED_VALUE"""),973.2)</f>
        <v>973.2</v>
      </c>
      <c r="C963" s="6">
        <f>IFERROR(__xludf.DUMMYFUNCTION("""COMPUTED_VALUE"""),990.0)</f>
        <v>990</v>
      </c>
      <c r="D963" s="6">
        <f>IFERROR(__xludf.DUMMYFUNCTION("""COMPUTED_VALUE"""),973.2)</f>
        <v>973.2</v>
      </c>
      <c r="E963" s="6">
        <f>IFERROR(__xludf.DUMMYFUNCTION("""COMPUTED_VALUE"""),983.15)</f>
        <v>983.15</v>
      </c>
      <c r="F963" s="7">
        <f>IFERROR(__xludf.DUMMYFUNCTION("""COMPUTED_VALUE"""),1333100.0)</f>
        <v>1333100</v>
      </c>
      <c r="G963" s="7" t="str">
        <f>IFERROR(__xludf.DUMMYFUNCTION("""COMPUTED_VALUE"""),"ADANIGREEN.NS")</f>
        <v>ADANIGREEN.NS</v>
      </c>
      <c r="H963" s="8">
        <f t="shared" si="1"/>
        <v>0.01022400329</v>
      </c>
      <c r="I963" s="8">
        <f t="shared" si="2"/>
        <v>0.01022400329</v>
      </c>
      <c r="J963" s="7" t="str">
        <f t="shared" si="3"/>
        <v>Feb-2025</v>
      </c>
      <c r="K963" s="9">
        <f t="shared" si="4"/>
        <v>45689</v>
      </c>
      <c r="L963" s="7" t="str">
        <f t="shared" si="5"/>
        <v/>
      </c>
      <c r="M963" s="7" t="str">
        <f>IFERROR(__xludf.DUMMYFUNCTION("IFERROR(
  IF(
    F963 &gt;
    3*AVERAGE(
       FILTER($F$2:$F10491,
         $G$2:$G10491=G963,
         $A$2:$A10491&gt;=A963-20,
         $A$2:$A10491&lt;=A963
       )
    ),
    ""VOL_SPIKE_3X"",""""
  ),
"""")
"),"")</f>
        <v/>
      </c>
      <c r="N963" s="7" t="str">
        <f t="shared" si="6"/>
        <v/>
      </c>
      <c r="O963" s="7" t="str">
        <f t="shared" si="7"/>
        <v/>
      </c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>
        <f>IFERROR(__xludf.DUMMYFUNCTION("""COMPUTED_VALUE"""),45692.0)</f>
        <v>45692</v>
      </c>
      <c r="B964" s="6">
        <f>IFERROR(__xludf.DUMMYFUNCTION("""COMPUTED_VALUE"""),250.65)</f>
        <v>250.65</v>
      </c>
      <c r="C964" s="6">
        <f>IFERROR(__xludf.DUMMYFUNCTION("""COMPUTED_VALUE"""),256.65)</f>
        <v>256.65</v>
      </c>
      <c r="D964" s="6">
        <f>IFERROR(__xludf.DUMMYFUNCTION("""COMPUTED_VALUE"""),250.2)</f>
        <v>250.2</v>
      </c>
      <c r="E964" s="6">
        <f>IFERROR(__xludf.DUMMYFUNCTION("""COMPUTED_VALUE"""),255.95)</f>
        <v>255.95</v>
      </c>
      <c r="F964" s="7">
        <f>IFERROR(__xludf.DUMMYFUNCTION("""COMPUTED_VALUE"""),7000612.0)</f>
        <v>7000612</v>
      </c>
      <c r="G964" s="7" t="str">
        <f>IFERROR(__xludf.DUMMYFUNCTION("""COMPUTED_VALUE"""),"BPCL.NS")</f>
        <v>BPCL.NS</v>
      </c>
      <c r="H964" s="8">
        <f t="shared" si="1"/>
        <v>0.02114502294</v>
      </c>
      <c r="I964" s="8">
        <f t="shared" si="2"/>
        <v>0.02114502294</v>
      </c>
      <c r="J964" s="7" t="str">
        <f t="shared" si="3"/>
        <v>Feb-2025</v>
      </c>
      <c r="K964" s="9">
        <f t="shared" si="4"/>
        <v>45689</v>
      </c>
      <c r="L964" s="7" t="str">
        <f t="shared" si="5"/>
        <v/>
      </c>
      <c r="M964" s="7" t="str">
        <f>IFERROR(__xludf.DUMMYFUNCTION("IFERROR(
  IF(
    F964 &gt;
    3*AVERAGE(
       FILTER($F$2:$F10491,
         $G$2:$G10491=G964,
         $A$2:$A10491&gt;=A964-20,
         $A$2:$A10491&lt;=A964
       )
    ),
    ""VOL_SPIKE_3X"",""""
  ),
"""")
"),"")</f>
        <v/>
      </c>
      <c r="N964" s="7" t="str">
        <f t="shared" si="6"/>
        <v/>
      </c>
      <c r="O964" s="7" t="str">
        <f t="shared" si="7"/>
        <v/>
      </c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>
        <f>IFERROR(__xludf.DUMMYFUNCTION("""COMPUTED_VALUE"""),45692.0)</f>
        <v>45692</v>
      </c>
      <c r="B965" s="6">
        <f>IFERROR(__xludf.DUMMYFUNCTION("""COMPUTED_VALUE"""),377.5)</f>
        <v>377.5</v>
      </c>
      <c r="C965" s="6">
        <f>IFERROR(__xludf.DUMMYFUNCTION("""COMPUTED_VALUE"""),380.7)</f>
        <v>380.7</v>
      </c>
      <c r="D965" s="6">
        <f>IFERROR(__xludf.DUMMYFUNCTION("""COMPUTED_VALUE"""),374.9)</f>
        <v>374.9</v>
      </c>
      <c r="E965" s="6">
        <f>IFERROR(__xludf.DUMMYFUNCTION("""COMPUTED_VALUE"""),376.55)</f>
        <v>376.55</v>
      </c>
      <c r="F965" s="7">
        <f>IFERROR(__xludf.DUMMYFUNCTION("""COMPUTED_VALUE"""),4649921.0)</f>
        <v>4649921</v>
      </c>
      <c r="G965" s="7" t="str">
        <f>IFERROR(__xludf.DUMMYFUNCTION("""COMPUTED_VALUE"""),"COALINDIA.NS")</f>
        <v>COALINDIA.NS</v>
      </c>
      <c r="H965" s="8">
        <f t="shared" si="1"/>
        <v>-0.002516556291</v>
      </c>
      <c r="I965" s="8">
        <f t="shared" si="2"/>
        <v>0.002516556291</v>
      </c>
      <c r="J965" s="7" t="str">
        <f t="shared" si="3"/>
        <v>Feb-2025</v>
      </c>
      <c r="K965" s="9">
        <f t="shared" si="4"/>
        <v>45689</v>
      </c>
      <c r="L965" s="7" t="str">
        <f t="shared" si="5"/>
        <v/>
      </c>
      <c r="M965" s="7" t="str">
        <f>IFERROR(__xludf.DUMMYFUNCTION("IFERROR(
  IF(
    F965 &gt;
    3*AVERAGE(
       FILTER($F$2:$F10491,
         $G$2:$G10491=G965,
         $A$2:$A10491&gt;=A965-20,
         $A$2:$A10491&lt;=A965
       )
    ),
    ""VOL_SPIKE_3X"",""""
  ),
"""")
"),"")</f>
        <v/>
      </c>
      <c r="N965" s="7" t="str">
        <f t="shared" si="6"/>
        <v/>
      </c>
      <c r="O965" s="7" t="str">
        <f t="shared" si="7"/>
        <v/>
      </c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>
        <f>IFERROR(__xludf.DUMMYFUNCTION("""COMPUTED_VALUE"""),45692.0)</f>
        <v>45692</v>
      </c>
      <c r="B966" s="6">
        <f>IFERROR(__xludf.DUMMYFUNCTION("""COMPUTED_VALUE"""),328.5)</f>
        <v>328.5</v>
      </c>
      <c r="C966" s="6">
        <f>IFERROR(__xludf.DUMMYFUNCTION("""COMPUTED_VALUE"""),334.85)</f>
        <v>334.85</v>
      </c>
      <c r="D966" s="6">
        <f>IFERROR(__xludf.DUMMYFUNCTION("""COMPUTED_VALUE"""),327.15)</f>
        <v>327.15</v>
      </c>
      <c r="E966" s="6">
        <f>IFERROR(__xludf.DUMMYFUNCTION("""COMPUTED_VALUE"""),333.7)</f>
        <v>333.7</v>
      </c>
      <c r="F966" s="7">
        <f>IFERROR(__xludf.DUMMYFUNCTION("""COMPUTED_VALUE"""),7377189.0)</f>
        <v>7377189</v>
      </c>
      <c r="G966" s="7" t="str">
        <f>IFERROR(__xludf.DUMMYFUNCTION("""COMPUTED_VALUE"""),"HINDPETRO.NS")</f>
        <v>HINDPETRO.NS</v>
      </c>
      <c r="H966" s="8">
        <f t="shared" si="1"/>
        <v>0.01582952816</v>
      </c>
      <c r="I966" s="8">
        <f t="shared" si="2"/>
        <v>0.01582952816</v>
      </c>
      <c r="J966" s="7" t="str">
        <f t="shared" si="3"/>
        <v>Feb-2025</v>
      </c>
      <c r="K966" s="9">
        <f t="shared" si="4"/>
        <v>45689</v>
      </c>
      <c r="L966" s="7" t="str">
        <f t="shared" si="5"/>
        <v/>
      </c>
      <c r="M966" s="7" t="str">
        <f>IFERROR(__xludf.DUMMYFUNCTION("IFERROR(
  IF(
    F966 &gt;
    3*AVERAGE(
       FILTER($F$2:$F10491,
         $G$2:$G10491=G966,
         $A$2:$A10491&gt;=A966-20,
         $A$2:$A10491&lt;=A966
       )
    ),
    ""VOL_SPIKE_3X"",""""
  ),
"""")
"),"")</f>
        <v/>
      </c>
      <c r="N966" s="7" t="str">
        <f t="shared" si="6"/>
        <v/>
      </c>
      <c r="O966" s="7" t="str">
        <f t="shared" si="7"/>
        <v/>
      </c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>
        <f>IFERROR(__xludf.DUMMYFUNCTION("""COMPUTED_VALUE"""),45692.0)</f>
        <v>45692</v>
      </c>
      <c r="B967" s="6">
        <f>IFERROR(__xludf.DUMMYFUNCTION("""COMPUTED_VALUE"""),122.7)</f>
        <v>122.7</v>
      </c>
      <c r="C967" s="6">
        <f>IFERROR(__xludf.DUMMYFUNCTION("""COMPUTED_VALUE"""),124.68)</f>
        <v>124.68</v>
      </c>
      <c r="D967" s="6">
        <f>IFERROR(__xludf.DUMMYFUNCTION("""COMPUTED_VALUE"""),122.5)</f>
        <v>122.5</v>
      </c>
      <c r="E967" s="6">
        <f>IFERROR(__xludf.DUMMYFUNCTION("""COMPUTED_VALUE"""),124.46)</f>
        <v>124.46</v>
      </c>
      <c r="F967" s="7">
        <f>IFERROR(__xludf.DUMMYFUNCTION("""COMPUTED_VALUE"""),1.4405748E7)</f>
        <v>14405748</v>
      </c>
      <c r="G967" s="7" t="str">
        <f>IFERROR(__xludf.DUMMYFUNCTION("""COMPUTED_VALUE"""),"IOC.NS")</f>
        <v>IOC.NS</v>
      </c>
      <c r="H967" s="8">
        <f t="shared" si="1"/>
        <v>0.01434392828</v>
      </c>
      <c r="I967" s="8">
        <f t="shared" si="2"/>
        <v>0.01434392828</v>
      </c>
      <c r="J967" s="7" t="str">
        <f t="shared" si="3"/>
        <v>Feb-2025</v>
      </c>
      <c r="K967" s="9">
        <f t="shared" si="4"/>
        <v>45689</v>
      </c>
      <c r="L967" s="7" t="str">
        <f t="shared" si="5"/>
        <v/>
      </c>
      <c r="M967" s="7" t="str">
        <f>IFERROR(__xludf.DUMMYFUNCTION("IFERROR(
  IF(
    F967 &gt;
    3*AVERAGE(
       FILTER($F$2:$F10491,
         $G$2:$G10491=G967,
         $A$2:$A10491&gt;=A967-20,
         $A$2:$A10491&lt;=A967
       )
    ),
    ""VOL_SPIKE_3X"",""""
  ),
"""")
"),"")</f>
        <v/>
      </c>
      <c r="N967" s="7" t="str">
        <f t="shared" si="6"/>
        <v/>
      </c>
      <c r="O967" s="7" t="str">
        <f t="shared" si="7"/>
        <v/>
      </c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>
        <f>IFERROR(__xludf.DUMMYFUNCTION("""COMPUTED_VALUE"""),45692.0)</f>
        <v>45692</v>
      </c>
      <c r="B968" s="6">
        <f>IFERROR(__xludf.DUMMYFUNCTION("""COMPUTED_VALUE"""),314.85)</f>
        <v>314.85</v>
      </c>
      <c r="C968" s="6">
        <f>IFERROR(__xludf.DUMMYFUNCTION("""COMPUTED_VALUE"""),320.45)</f>
        <v>320.45</v>
      </c>
      <c r="D968" s="6">
        <f>IFERROR(__xludf.DUMMYFUNCTION("""COMPUTED_VALUE"""),310.3)</f>
        <v>310.3</v>
      </c>
      <c r="E968" s="6">
        <f>IFERROR(__xludf.DUMMYFUNCTION("""COMPUTED_VALUE"""),319.1)</f>
        <v>319.1</v>
      </c>
      <c r="F968" s="7">
        <f>IFERROR(__xludf.DUMMYFUNCTION("""COMPUTED_VALUE"""),1.2141064E7)</f>
        <v>12141064</v>
      </c>
      <c r="G968" s="7" t="str">
        <f>IFERROR(__xludf.DUMMYFUNCTION("""COMPUTED_VALUE"""),"NTPC.NS")</f>
        <v>NTPC.NS</v>
      </c>
      <c r="H968" s="8">
        <f t="shared" si="1"/>
        <v>0.01349849135</v>
      </c>
      <c r="I968" s="8">
        <f t="shared" si="2"/>
        <v>0.01349849135</v>
      </c>
      <c r="J968" s="7" t="str">
        <f t="shared" si="3"/>
        <v>Feb-2025</v>
      </c>
      <c r="K968" s="9">
        <f t="shared" si="4"/>
        <v>45689</v>
      </c>
      <c r="L968" s="7" t="str">
        <f t="shared" si="5"/>
        <v/>
      </c>
      <c r="M968" s="7" t="str">
        <f>IFERROR(__xludf.DUMMYFUNCTION("IFERROR(
  IF(
    F968 &gt;
    3*AVERAGE(
       FILTER($F$2:$F10491,
         $G$2:$G10491=G968,
         $A$2:$A10491&gt;=A968-20,
         $A$2:$A10491&lt;=A968
       )
    ),
    ""VOL_SPIKE_3X"",""""
  ),
"""")
"),"")</f>
        <v/>
      </c>
      <c r="N968" s="7" t="str">
        <f t="shared" si="6"/>
        <v/>
      </c>
      <c r="O968" s="7" t="str">
        <f t="shared" si="7"/>
        <v/>
      </c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>
        <f>IFERROR(__xludf.DUMMYFUNCTION("""COMPUTED_VALUE"""),45692.0)</f>
        <v>45692</v>
      </c>
      <c r="B969" s="6">
        <f>IFERROR(__xludf.DUMMYFUNCTION("""COMPUTED_VALUE"""),252.4)</f>
        <v>252.4</v>
      </c>
      <c r="C969" s="6">
        <f>IFERROR(__xludf.DUMMYFUNCTION("""COMPUTED_VALUE"""),257.5)</f>
        <v>257.5</v>
      </c>
      <c r="D969" s="6">
        <f>IFERROR(__xludf.DUMMYFUNCTION("""COMPUTED_VALUE"""),252.0)</f>
        <v>252</v>
      </c>
      <c r="E969" s="6">
        <f>IFERROR(__xludf.DUMMYFUNCTION("""COMPUTED_VALUE"""),254.1)</f>
        <v>254.1</v>
      </c>
      <c r="F969" s="7">
        <f>IFERROR(__xludf.DUMMYFUNCTION("""COMPUTED_VALUE"""),8402532.0)</f>
        <v>8402532</v>
      </c>
      <c r="G969" s="7" t="str">
        <f>IFERROR(__xludf.DUMMYFUNCTION("""COMPUTED_VALUE"""),"ONGC.NS")</f>
        <v>ONGC.NS</v>
      </c>
      <c r="H969" s="8">
        <f t="shared" si="1"/>
        <v>0.006735340729</v>
      </c>
      <c r="I969" s="8">
        <f t="shared" si="2"/>
        <v>0.006735340729</v>
      </c>
      <c r="J969" s="7" t="str">
        <f t="shared" si="3"/>
        <v>Feb-2025</v>
      </c>
      <c r="K969" s="9">
        <f t="shared" si="4"/>
        <v>45689</v>
      </c>
      <c r="L969" s="7" t="str">
        <f t="shared" si="5"/>
        <v/>
      </c>
      <c r="M969" s="7" t="str">
        <f>IFERROR(__xludf.DUMMYFUNCTION("IFERROR(
  IF(
    F969 &gt;
    3*AVERAGE(
       FILTER($F$2:$F10491,
         $G$2:$G10491=G969,
         $A$2:$A10491&gt;=A969-20,
         $A$2:$A10491&lt;=A969
       )
    ),
    ""VOL_SPIKE_3X"",""""
  ),
"""")
"),"")</f>
        <v/>
      </c>
      <c r="N969" s="7" t="str">
        <f t="shared" si="6"/>
        <v/>
      </c>
      <c r="O969" s="7" t="str">
        <f t="shared" si="7"/>
        <v/>
      </c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>
        <f>IFERROR(__xludf.DUMMYFUNCTION("""COMPUTED_VALUE"""),45692.0)</f>
        <v>45692</v>
      </c>
      <c r="B970" s="6">
        <f>IFERROR(__xludf.DUMMYFUNCTION("""COMPUTED_VALUE"""),281.0)</f>
        <v>281</v>
      </c>
      <c r="C970" s="6">
        <f>IFERROR(__xludf.DUMMYFUNCTION("""COMPUTED_VALUE"""),286.4)</f>
        <v>286.4</v>
      </c>
      <c r="D970" s="6">
        <f>IFERROR(__xludf.DUMMYFUNCTION("""COMPUTED_VALUE"""),272.1)</f>
        <v>272.1</v>
      </c>
      <c r="E970" s="6">
        <f>IFERROR(__xludf.DUMMYFUNCTION("""COMPUTED_VALUE"""),285.65)</f>
        <v>285.65</v>
      </c>
      <c r="F970" s="7">
        <f>IFERROR(__xludf.DUMMYFUNCTION("""COMPUTED_VALUE"""),1.9836427E7)</f>
        <v>19836427</v>
      </c>
      <c r="G970" s="7" t="str">
        <f>IFERROR(__xludf.DUMMYFUNCTION("""COMPUTED_VALUE"""),"POWERGRID.NS")</f>
        <v>POWERGRID.NS</v>
      </c>
      <c r="H970" s="8">
        <f t="shared" si="1"/>
        <v>0.0165480427</v>
      </c>
      <c r="I970" s="8">
        <f t="shared" si="2"/>
        <v>0.0165480427</v>
      </c>
      <c r="J970" s="7" t="str">
        <f t="shared" si="3"/>
        <v>Feb-2025</v>
      </c>
      <c r="K970" s="9">
        <f t="shared" si="4"/>
        <v>45689</v>
      </c>
      <c r="L970" s="7" t="str">
        <f t="shared" si="5"/>
        <v/>
      </c>
      <c r="M970" s="7" t="str">
        <f>IFERROR(__xludf.DUMMYFUNCTION("IFERROR(
  IF(
    F970 &gt;
    3*AVERAGE(
       FILTER($F$2:$F10491,
         $G$2:$G10491=G970,
         $A$2:$A10491&gt;=A970-20,
         $A$2:$A10491&lt;=A970
       )
    ),
    ""VOL_SPIKE_3X"",""""
  ),
"""")
"),"")</f>
        <v/>
      </c>
      <c r="N970" s="7" t="str">
        <f t="shared" si="6"/>
        <v/>
      </c>
      <c r="O970" s="7" t="str">
        <f t="shared" si="7"/>
        <v/>
      </c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>
        <f>IFERROR(__xludf.DUMMYFUNCTION("""COMPUTED_VALUE"""),45692.0)</f>
        <v>45692</v>
      </c>
      <c r="B971" s="6">
        <f>IFERROR(__xludf.DUMMYFUNCTION("""COMPUTED_VALUE"""),1248.05)</f>
        <v>1248.05</v>
      </c>
      <c r="C971" s="6">
        <f>IFERROR(__xludf.DUMMYFUNCTION("""COMPUTED_VALUE"""),1288.8)</f>
        <v>1288.8</v>
      </c>
      <c r="D971" s="6">
        <f>IFERROR(__xludf.DUMMYFUNCTION("""COMPUTED_VALUE"""),1246.6)</f>
        <v>1246.6</v>
      </c>
      <c r="E971" s="6">
        <f>IFERROR(__xludf.DUMMYFUNCTION("""COMPUTED_VALUE"""),1285.2)</f>
        <v>1285.2</v>
      </c>
      <c r="F971" s="7">
        <f>IFERROR(__xludf.DUMMYFUNCTION("""COMPUTED_VALUE"""),1.6691069E7)</f>
        <v>16691069</v>
      </c>
      <c r="G971" s="7" t="str">
        <f>IFERROR(__xludf.DUMMYFUNCTION("""COMPUTED_VALUE"""),"RELIANCE.NS")</f>
        <v>RELIANCE.NS</v>
      </c>
      <c r="H971" s="8">
        <f t="shared" si="1"/>
        <v>0.02976643564</v>
      </c>
      <c r="I971" s="8">
        <f t="shared" si="2"/>
        <v>0.02976643564</v>
      </c>
      <c r="J971" s="7" t="str">
        <f t="shared" si="3"/>
        <v>Feb-2025</v>
      </c>
      <c r="K971" s="9">
        <f t="shared" si="4"/>
        <v>45689</v>
      </c>
      <c r="L971" s="7" t="str">
        <f t="shared" si="5"/>
        <v/>
      </c>
      <c r="M971" s="7" t="str">
        <f>IFERROR(__xludf.DUMMYFUNCTION("IFERROR(
  IF(
    F971 &gt;
    3*AVERAGE(
       FILTER($F$2:$F10491,
         $G$2:$G10491=G971,
         $A$2:$A10491&gt;=A971-20,
         $A$2:$A10491&lt;=A971
       )
    ),
    ""VOL_SPIKE_3X"",""""
  ),
"""")
"),"")</f>
        <v/>
      </c>
      <c r="N971" s="7" t="str">
        <f t="shared" si="6"/>
        <v/>
      </c>
      <c r="O971" s="7" t="str">
        <f t="shared" si="7"/>
        <v/>
      </c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>
        <f>IFERROR(__xludf.DUMMYFUNCTION("""COMPUTED_VALUE"""),45693.0)</f>
        <v>45693</v>
      </c>
      <c r="B972" s="6">
        <f>IFERROR(__xludf.DUMMYFUNCTION("""COMPUTED_VALUE"""),752.0)</f>
        <v>752</v>
      </c>
      <c r="C972" s="6">
        <f>IFERROR(__xludf.DUMMYFUNCTION("""COMPUTED_VALUE"""),782.7)</f>
        <v>782.7</v>
      </c>
      <c r="D972" s="6">
        <f>IFERROR(__xludf.DUMMYFUNCTION("""COMPUTED_VALUE"""),751.8)</f>
        <v>751.8</v>
      </c>
      <c r="E972" s="6">
        <f>IFERROR(__xludf.DUMMYFUNCTION("""COMPUTED_VALUE"""),775.5)</f>
        <v>775.5</v>
      </c>
      <c r="F972" s="7">
        <f>IFERROR(__xludf.DUMMYFUNCTION("""COMPUTED_VALUE"""),1664111.0)</f>
        <v>1664111</v>
      </c>
      <c r="G972" s="7" t="str">
        <f>IFERROR(__xludf.DUMMYFUNCTION("""COMPUTED_VALUE"""),"ADANIENSOL.NS")</f>
        <v>ADANIENSOL.NS</v>
      </c>
      <c r="H972" s="8">
        <f t="shared" si="1"/>
        <v>0.03125</v>
      </c>
      <c r="I972" s="8">
        <f t="shared" si="2"/>
        <v>0.03125</v>
      </c>
      <c r="J972" s="7" t="str">
        <f t="shared" si="3"/>
        <v>Feb-2025</v>
      </c>
      <c r="K972" s="9">
        <f t="shared" si="4"/>
        <v>45689</v>
      </c>
      <c r="L972" s="7" t="str">
        <f t="shared" si="5"/>
        <v/>
      </c>
      <c r="M972" s="7" t="str">
        <f>IFERROR(__xludf.DUMMYFUNCTION("IFERROR(
  IF(
    F972 &gt;
    3*AVERAGE(
       FILTER($F$2:$F10491,
         $G$2:$G10491=G972,
         $A$2:$A10491&gt;=A972-20,
         $A$2:$A10491&lt;=A972
       )
    ),
    ""VOL_SPIKE_3X"",""""
  ),
"""")
"),"")</f>
        <v/>
      </c>
      <c r="N972" s="7" t="str">
        <f t="shared" si="6"/>
        <v/>
      </c>
      <c r="O972" s="7" t="str">
        <f t="shared" si="7"/>
        <v/>
      </c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>
        <f>IFERROR(__xludf.DUMMYFUNCTION("""COMPUTED_VALUE"""),45693.0)</f>
        <v>45693</v>
      </c>
      <c r="B973" s="6">
        <f>IFERROR(__xludf.DUMMYFUNCTION("""COMPUTED_VALUE"""),987.05)</f>
        <v>987.05</v>
      </c>
      <c r="C973" s="6">
        <f>IFERROR(__xludf.DUMMYFUNCTION("""COMPUTED_VALUE"""),1028.7)</f>
        <v>1028.7</v>
      </c>
      <c r="D973" s="6">
        <f>IFERROR(__xludf.DUMMYFUNCTION("""COMPUTED_VALUE"""),987.05)</f>
        <v>987.05</v>
      </c>
      <c r="E973" s="6">
        <f>IFERROR(__xludf.DUMMYFUNCTION("""COMPUTED_VALUE"""),1017.8)</f>
        <v>1017.8</v>
      </c>
      <c r="F973" s="7">
        <f>IFERROR(__xludf.DUMMYFUNCTION("""COMPUTED_VALUE"""),2434579.0)</f>
        <v>2434579</v>
      </c>
      <c r="G973" s="7" t="str">
        <f>IFERROR(__xludf.DUMMYFUNCTION("""COMPUTED_VALUE"""),"ADANIGREEN.NS")</f>
        <v>ADANIGREEN.NS</v>
      </c>
      <c r="H973" s="8">
        <f t="shared" si="1"/>
        <v>0.03115343701</v>
      </c>
      <c r="I973" s="8">
        <f t="shared" si="2"/>
        <v>0.03115343701</v>
      </c>
      <c r="J973" s="7" t="str">
        <f t="shared" si="3"/>
        <v>Feb-2025</v>
      </c>
      <c r="K973" s="9">
        <f t="shared" si="4"/>
        <v>45689</v>
      </c>
      <c r="L973" s="7" t="str">
        <f t="shared" si="5"/>
        <v/>
      </c>
      <c r="M973" s="7" t="str">
        <f>IFERROR(__xludf.DUMMYFUNCTION("IFERROR(
  IF(
    F973 &gt;
    3*AVERAGE(
       FILTER($F$2:$F10491,
         $G$2:$G10491=G973,
         $A$2:$A10491&gt;=A973-20,
         $A$2:$A10491&lt;=A973
       )
    ),
    ""VOL_SPIKE_3X"",""""
  ),
"""")
"),"")</f>
        <v/>
      </c>
      <c r="N973" s="7" t="str">
        <f t="shared" si="6"/>
        <v/>
      </c>
      <c r="O973" s="7" t="str">
        <f t="shared" si="7"/>
        <v/>
      </c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>
        <f>IFERROR(__xludf.DUMMYFUNCTION("""COMPUTED_VALUE"""),45693.0)</f>
        <v>45693</v>
      </c>
      <c r="B974" s="6">
        <f>IFERROR(__xludf.DUMMYFUNCTION("""COMPUTED_VALUE"""),260.25)</f>
        <v>260.25</v>
      </c>
      <c r="C974" s="6">
        <f>IFERROR(__xludf.DUMMYFUNCTION("""COMPUTED_VALUE"""),265.65)</f>
        <v>265.65</v>
      </c>
      <c r="D974" s="6">
        <f>IFERROR(__xludf.DUMMYFUNCTION("""COMPUTED_VALUE"""),260.25)</f>
        <v>260.25</v>
      </c>
      <c r="E974" s="6">
        <f>IFERROR(__xludf.DUMMYFUNCTION("""COMPUTED_VALUE"""),261.25)</f>
        <v>261.25</v>
      </c>
      <c r="F974" s="7">
        <f>IFERROR(__xludf.DUMMYFUNCTION("""COMPUTED_VALUE"""),1.0088345E7)</f>
        <v>10088345</v>
      </c>
      <c r="G974" s="7" t="str">
        <f>IFERROR(__xludf.DUMMYFUNCTION("""COMPUTED_VALUE"""),"BPCL.NS")</f>
        <v>BPCL.NS</v>
      </c>
      <c r="H974" s="8">
        <f t="shared" si="1"/>
        <v>0.003842459174</v>
      </c>
      <c r="I974" s="8">
        <f t="shared" si="2"/>
        <v>0.003842459174</v>
      </c>
      <c r="J974" s="7" t="str">
        <f t="shared" si="3"/>
        <v>Feb-2025</v>
      </c>
      <c r="K974" s="9">
        <f t="shared" si="4"/>
        <v>45689</v>
      </c>
      <c r="L974" s="7" t="str">
        <f t="shared" si="5"/>
        <v/>
      </c>
      <c r="M974" s="7" t="str">
        <f>IFERROR(__xludf.DUMMYFUNCTION("IFERROR(
  IF(
    F974 &gt;
    3*AVERAGE(
       FILTER($F$2:$F10491,
         $G$2:$G10491=G974,
         $A$2:$A10491&gt;=A974-20,
         $A$2:$A10491&lt;=A974
       )
    ),
    ""VOL_SPIKE_3X"",""""
  ),
"""")
"),"")</f>
        <v/>
      </c>
      <c r="N974" s="7" t="str">
        <f t="shared" si="6"/>
        <v/>
      </c>
      <c r="O974" s="7" t="str">
        <f t="shared" si="7"/>
        <v/>
      </c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>
        <f>IFERROR(__xludf.DUMMYFUNCTION("""COMPUTED_VALUE"""),45693.0)</f>
        <v>45693</v>
      </c>
      <c r="B975" s="6">
        <f>IFERROR(__xludf.DUMMYFUNCTION("""COMPUTED_VALUE"""),378.0)</f>
        <v>378</v>
      </c>
      <c r="C975" s="6">
        <f>IFERROR(__xludf.DUMMYFUNCTION("""COMPUTED_VALUE"""),385.1)</f>
        <v>385.1</v>
      </c>
      <c r="D975" s="6">
        <f>IFERROR(__xludf.DUMMYFUNCTION("""COMPUTED_VALUE"""),377.9)</f>
        <v>377.9</v>
      </c>
      <c r="E975" s="6">
        <f>IFERROR(__xludf.DUMMYFUNCTION("""COMPUTED_VALUE"""),382.85)</f>
        <v>382.85</v>
      </c>
      <c r="F975" s="7">
        <f>IFERROR(__xludf.DUMMYFUNCTION("""COMPUTED_VALUE"""),5914200.0)</f>
        <v>5914200</v>
      </c>
      <c r="G975" s="7" t="str">
        <f>IFERROR(__xludf.DUMMYFUNCTION("""COMPUTED_VALUE"""),"COALINDIA.NS")</f>
        <v>COALINDIA.NS</v>
      </c>
      <c r="H975" s="8">
        <f t="shared" si="1"/>
        <v>0.01283068783</v>
      </c>
      <c r="I975" s="8">
        <f t="shared" si="2"/>
        <v>0.01283068783</v>
      </c>
      <c r="J975" s="7" t="str">
        <f t="shared" si="3"/>
        <v>Feb-2025</v>
      </c>
      <c r="K975" s="9">
        <f t="shared" si="4"/>
        <v>45689</v>
      </c>
      <c r="L975" s="7" t="str">
        <f t="shared" si="5"/>
        <v/>
      </c>
      <c r="M975" s="7" t="str">
        <f>IFERROR(__xludf.DUMMYFUNCTION("IFERROR(
  IF(
    F975 &gt;
    3*AVERAGE(
       FILTER($F$2:$F10491,
         $G$2:$G10491=G975,
         $A$2:$A10491&gt;=A975-20,
         $A$2:$A10491&lt;=A975
       )
    ),
    ""VOL_SPIKE_3X"",""""
  ),
"""")
"),"")</f>
        <v/>
      </c>
      <c r="N975" s="7" t="str">
        <f t="shared" si="6"/>
        <v/>
      </c>
      <c r="O975" s="7" t="str">
        <f t="shared" si="7"/>
        <v/>
      </c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>
        <f>IFERROR(__xludf.DUMMYFUNCTION("""COMPUTED_VALUE"""),45693.0)</f>
        <v>45693</v>
      </c>
      <c r="B976" s="6">
        <f>IFERROR(__xludf.DUMMYFUNCTION("""COMPUTED_VALUE"""),342.1)</f>
        <v>342.1</v>
      </c>
      <c r="C976" s="6">
        <f>IFERROR(__xludf.DUMMYFUNCTION("""COMPUTED_VALUE"""),349.65)</f>
        <v>349.65</v>
      </c>
      <c r="D976" s="6">
        <f>IFERROR(__xludf.DUMMYFUNCTION("""COMPUTED_VALUE"""),340.1)</f>
        <v>340.1</v>
      </c>
      <c r="E976" s="6">
        <f>IFERROR(__xludf.DUMMYFUNCTION("""COMPUTED_VALUE"""),342.9)</f>
        <v>342.9</v>
      </c>
      <c r="F976" s="7">
        <f>IFERROR(__xludf.DUMMYFUNCTION("""COMPUTED_VALUE"""),7113783.0)</f>
        <v>7113783</v>
      </c>
      <c r="G976" s="7" t="str">
        <f>IFERROR(__xludf.DUMMYFUNCTION("""COMPUTED_VALUE"""),"HINDPETRO.NS")</f>
        <v>HINDPETRO.NS</v>
      </c>
      <c r="H976" s="8">
        <f t="shared" si="1"/>
        <v>0.002338497515</v>
      </c>
      <c r="I976" s="8">
        <f t="shared" si="2"/>
        <v>0.002338497515</v>
      </c>
      <c r="J976" s="7" t="str">
        <f t="shared" si="3"/>
        <v>Feb-2025</v>
      </c>
      <c r="K976" s="9">
        <f t="shared" si="4"/>
        <v>45689</v>
      </c>
      <c r="L976" s="7" t="str">
        <f t="shared" si="5"/>
        <v/>
      </c>
      <c r="M976" s="7" t="str">
        <f>IFERROR(__xludf.DUMMYFUNCTION("IFERROR(
  IF(
    F976 &gt;
    3*AVERAGE(
       FILTER($F$2:$F10491,
         $G$2:$G10491=G976,
         $A$2:$A10491&gt;=A976-20,
         $A$2:$A10491&lt;=A976
       )
    ),
    ""VOL_SPIKE_3X"",""""
  ),
"""")
"),"")</f>
        <v/>
      </c>
      <c r="N976" s="7" t="str">
        <f t="shared" si="6"/>
        <v/>
      </c>
      <c r="O976" s="7" t="str">
        <f t="shared" si="7"/>
        <v/>
      </c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>
        <f>IFERROR(__xludf.DUMMYFUNCTION("""COMPUTED_VALUE"""),45693.0)</f>
        <v>45693</v>
      </c>
      <c r="B977" s="6">
        <f>IFERROR(__xludf.DUMMYFUNCTION("""COMPUTED_VALUE"""),125.49)</f>
        <v>125.49</v>
      </c>
      <c r="C977" s="6">
        <f>IFERROR(__xludf.DUMMYFUNCTION("""COMPUTED_VALUE"""),128.48)</f>
        <v>128.48</v>
      </c>
      <c r="D977" s="6">
        <f>IFERROR(__xludf.DUMMYFUNCTION("""COMPUTED_VALUE"""),125.46)</f>
        <v>125.46</v>
      </c>
      <c r="E977" s="6">
        <f>IFERROR(__xludf.DUMMYFUNCTION("""COMPUTED_VALUE"""),126.43)</f>
        <v>126.43</v>
      </c>
      <c r="F977" s="7">
        <f>IFERROR(__xludf.DUMMYFUNCTION("""COMPUTED_VALUE"""),1.1469878E7)</f>
        <v>11469878</v>
      </c>
      <c r="G977" s="7" t="str">
        <f>IFERROR(__xludf.DUMMYFUNCTION("""COMPUTED_VALUE"""),"IOC.NS")</f>
        <v>IOC.NS</v>
      </c>
      <c r="H977" s="8">
        <f t="shared" si="1"/>
        <v>0.007490636704</v>
      </c>
      <c r="I977" s="8">
        <f t="shared" si="2"/>
        <v>0.007490636704</v>
      </c>
      <c r="J977" s="7" t="str">
        <f t="shared" si="3"/>
        <v>Feb-2025</v>
      </c>
      <c r="K977" s="9">
        <f t="shared" si="4"/>
        <v>45689</v>
      </c>
      <c r="L977" s="7" t="str">
        <f t="shared" si="5"/>
        <v/>
      </c>
      <c r="M977" s="7" t="str">
        <f>IFERROR(__xludf.DUMMYFUNCTION("IFERROR(
  IF(
    F977 &gt;
    3*AVERAGE(
       FILTER($F$2:$F10491,
         $G$2:$G10491=G977,
         $A$2:$A10491&gt;=A977-20,
         $A$2:$A10491&lt;=A977
       )
    ),
    ""VOL_SPIKE_3X"",""""
  ),
"""")
"),"")</f>
        <v/>
      </c>
      <c r="N977" s="7" t="str">
        <f t="shared" si="6"/>
        <v/>
      </c>
      <c r="O977" s="7" t="str">
        <f t="shared" si="7"/>
        <v/>
      </c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>
        <f>IFERROR(__xludf.DUMMYFUNCTION("""COMPUTED_VALUE"""),45693.0)</f>
        <v>45693</v>
      </c>
      <c r="B978" s="6">
        <f>IFERROR(__xludf.DUMMYFUNCTION("""COMPUTED_VALUE"""),321.0)</f>
        <v>321</v>
      </c>
      <c r="C978" s="6">
        <f>IFERROR(__xludf.DUMMYFUNCTION("""COMPUTED_VALUE"""),323.05)</f>
        <v>323.05</v>
      </c>
      <c r="D978" s="6">
        <f>IFERROR(__xludf.DUMMYFUNCTION("""COMPUTED_VALUE"""),318.4)</f>
        <v>318.4</v>
      </c>
      <c r="E978" s="6">
        <f>IFERROR(__xludf.DUMMYFUNCTION("""COMPUTED_VALUE"""),319.6)</f>
        <v>319.6</v>
      </c>
      <c r="F978" s="7">
        <f>IFERROR(__xludf.DUMMYFUNCTION("""COMPUTED_VALUE"""),1.2226722E7)</f>
        <v>12226722</v>
      </c>
      <c r="G978" s="7" t="str">
        <f>IFERROR(__xludf.DUMMYFUNCTION("""COMPUTED_VALUE"""),"NTPC.NS")</f>
        <v>NTPC.NS</v>
      </c>
      <c r="H978" s="8">
        <f t="shared" si="1"/>
        <v>-0.004361370717</v>
      </c>
      <c r="I978" s="8">
        <f t="shared" si="2"/>
        <v>0.004361370717</v>
      </c>
      <c r="J978" s="7" t="str">
        <f t="shared" si="3"/>
        <v>Feb-2025</v>
      </c>
      <c r="K978" s="9">
        <f t="shared" si="4"/>
        <v>45689</v>
      </c>
      <c r="L978" s="7" t="str">
        <f t="shared" si="5"/>
        <v/>
      </c>
      <c r="M978" s="7" t="str">
        <f>IFERROR(__xludf.DUMMYFUNCTION("IFERROR(
  IF(
    F978 &gt;
    3*AVERAGE(
       FILTER($F$2:$F10491,
         $G$2:$G10491=G978,
         $A$2:$A10491&gt;=A978-20,
         $A$2:$A10491&lt;=A978
       )
    ),
    ""VOL_SPIKE_3X"",""""
  ),
"""")
"),"")</f>
        <v/>
      </c>
      <c r="N978" s="7" t="str">
        <f t="shared" si="6"/>
        <v/>
      </c>
      <c r="O978" s="7" t="str">
        <f t="shared" si="7"/>
        <v/>
      </c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>
        <f>IFERROR(__xludf.DUMMYFUNCTION("""COMPUTED_VALUE"""),45693.0)</f>
        <v>45693</v>
      </c>
      <c r="B979" s="6">
        <f>IFERROR(__xludf.DUMMYFUNCTION("""COMPUTED_VALUE"""),259.0)</f>
        <v>259</v>
      </c>
      <c r="C979" s="6">
        <f>IFERROR(__xludf.DUMMYFUNCTION("""COMPUTED_VALUE"""),263.0)</f>
        <v>263</v>
      </c>
      <c r="D979" s="6">
        <f>IFERROR(__xludf.DUMMYFUNCTION("""COMPUTED_VALUE"""),257.75)</f>
        <v>257.75</v>
      </c>
      <c r="E979" s="6">
        <f>IFERROR(__xludf.DUMMYFUNCTION("""COMPUTED_VALUE"""),261.65)</f>
        <v>261.65</v>
      </c>
      <c r="F979" s="7">
        <f>IFERROR(__xludf.DUMMYFUNCTION("""COMPUTED_VALUE"""),1.1590755E7)</f>
        <v>11590755</v>
      </c>
      <c r="G979" s="7" t="str">
        <f>IFERROR(__xludf.DUMMYFUNCTION("""COMPUTED_VALUE"""),"ONGC.NS")</f>
        <v>ONGC.NS</v>
      </c>
      <c r="H979" s="8">
        <f t="shared" si="1"/>
        <v>0.01023166023</v>
      </c>
      <c r="I979" s="8">
        <f t="shared" si="2"/>
        <v>0.01023166023</v>
      </c>
      <c r="J979" s="7" t="str">
        <f t="shared" si="3"/>
        <v>Feb-2025</v>
      </c>
      <c r="K979" s="9">
        <f t="shared" si="4"/>
        <v>45689</v>
      </c>
      <c r="L979" s="7" t="str">
        <f t="shared" si="5"/>
        <v/>
      </c>
      <c r="M979" s="7" t="str">
        <f>IFERROR(__xludf.DUMMYFUNCTION("IFERROR(
  IF(
    F979 &gt;
    3*AVERAGE(
       FILTER($F$2:$F10491,
         $G$2:$G10491=G979,
         $A$2:$A10491&gt;=A979-20,
         $A$2:$A10491&lt;=A979
       )
    ),
    ""VOL_SPIKE_3X"",""""
  ),
"""")
"),"")</f>
        <v/>
      </c>
      <c r="N979" s="7" t="str">
        <f t="shared" si="6"/>
        <v/>
      </c>
      <c r="O979" s="7" t="str">
        <f t="shared" si="7"/>
        <v/>
      </c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>
        <f>IFERROR(__xludf.DUMMYFUNCTION("""COMPUTED_VALUE"""),45693.0)</f>
        <v>45693</v>
      </c>
      <c r="B980" s="6">
        <f>IFERROR(__xludf.DUMMYFUNCTION("""COMPUTED_VALUE"""),285.6)</f>
        <v>285.6</v>
      </c>
      <c r="C980" s="6">
        <f>IFERROR(__xludf.DUMMYFUNCTION("""COMPUTED_VALUE"""),290.75)</f>
        <v>290.75</v>
      </c>
      <c r="D980" s="6">
        <f>IFERROR(__xludf.DUMMYFUNCTION("""COMPUTED_VALUE"""),284.55)</f>
        <v>284.55</v>
      </c>
      <c r="E980" s="6">
        <f>IFERROR(__xludf.DUMMYFUNCTION("""COMPUTED_VALUE"""),285.2)</f>
        <v>285.2</v>
      </c>
      <c r="F980" s="7">
        <f>IFERROR(__xludf.DUMMYFUNCTION("""COMPUTED_VALUE"""),1.5337191E7)</f>
        <v>15337191</v>
      </c>
      <c r="G980" s="7" t="str">
        <f>IFERROR(__xludf.DUMMYFUNCTION("""COMPUTED_VALUE"""),"POWERGRID.NS")</f>
        <v>POWERGRID.NS</v>
      </c>
      <c r="H980" s="8">
        <f t="shared" si="1"/>
        <v>-0.001400560224</v>
      </c>
      <c r="I980" s="8">
        <f t="shared" si="2"/>
        <v>0.001400560224</v>
      </c>
      <c r="J980" s="7" t="str">
        <f t="shared" si="3"/>
        <v>Feb-2025</v>
      </c>
      <c r="K980" s="9">
        <f t="shared" si="4"/>
        <v>45689</v>
      </c>
      <c r="L980" s="7" t="str">
        <f t="shared" si="5"/>
        <v/>
      </c>
      <c r="M980" s="7" t="str">
        <f>IFERROR(__xludf.DUMMYFUNCTION("IFERROR(
  IF(
    F980 &gt;
    3*AVERAGE(
       FILTER($F$2:$F10491,
         $G$2:$G10491=G980,
         $A$2:$A10491&gt;=A980-20,
         $A$2:$A10491&lt;=A980
       )
    ),
    ""VOL_SPIKE_3X"",""""
  ),
"""")
"),"")</f>
        <v/>
      </c>
      <c r="N980" s="7" t="str">
        <f t="shared" si="6"/>
        <v/>
      </c>
      <c r="O980" s="7" t="str">
        <f t="shared" si="7"/>
        <v/>
      </c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>
        <f>IFERROR(__xludf.DUMMYFUNCTION("""COMPUTED_VALUE"""),45693.0)</f>
        <v>45693</v>
      </c>
      <c r="B981" s="6">
        <f>IFERROR(__xludf.DUMMYFUNCTION("""COMPUTED_VALUE"""),1282.65)</f>
        <v>1282.65</v>
      </c>
      <c r="C981" s="6">
        <f>IFERROR(__xludf.DUMMYFUNCTION("""COMPUTED_VALUE"""),1290.5)</f>
        <v>1290.5</v>
      </c>
      <c r="D981" s="6">
        <f>IFERROR(__xludf.DUMMYFUNCTION("""COMPUTED_VALUE"""),1276.7)</f>
        <v>1276.7</v>
      </c>
      <c r="E981" s="6">
        <f>IFERROR(__xludf.DUMMYFUNCTION("""COMPUTED_VALUE"""),1278.2)</f>
        <v>1278.2</v>
      </c>
      <c r="F981" s="7">
        <f>IFERROR(__xludf.DUMMYFUNCTION("""COMPUTED_VALUE"""),1.0112028E7)</f>
        <v>10112028</v>
      </c>
      <c r="G981" s="7" t="str">
        <f>IFERROR(__xludf.DUMMYFUNCTION("""COMPUTED_VALUE"""),"RELIANCE.NS")</f>
        <v>RELIANCE.NS</v>
      </c>
      <c r="H981" s="8">
        <f t="shared" si="1"/>
        <v>-0.0034693798</v>
      </c>
      <c r="I981" s="8">
        <f t="shared" si="2"/>
        <v>0.0034693798</v>
      </c>
      <c r="J981" s="7" t="str">
        <f t="shared" si="3"/>
        <v>Feb-2025</v>
      </c>
      <c r="K981" s="9">
        <f t="shared" si="4"/>
        <v>45689</v>
      </c>
      <c r="L981" s="7" t="str">
        <f t="shared" si="5"/>
        <v/>
      </c>
      <c r="M981" s="7" t="str">
        <f>IFERROR(__xludf.DUMMYFUNCTION("IFERROR(
  IF(
    F981 &gt;
    3*AVERAGE(
       FILTER($F$2:$F10491,
         $G$2:$G10491=G981,
         $A$2:$A10491&gt;=A981-20,
         $A$2:$A10491&lt;=A981
       )
    ),
    ""VOL_SPIKE_3X"",""""
  ),
"""")
"),"")</f>
        <v/>
      </c>
      <c r="N981" s="7" t="str">
        <f t="shared" si="6"/>
        <v/>
      </c>
      <c r="O981" s="7" t="str">
        <f t="shared" si="7"/>
        <v/>
      </c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>
        <f>IFERROR(__xludf.DUMMYFUNCTION("""COMPUTED_VALUE"""),45694.0)</f>
        <v>45694</v>
      </c>
      <c r="B982" s="6">
        <f>IFERROR(__xludf.DUMMYFUNCTION("""COMPUTED_VALUE"""),780.9)</f>
        <v>780.9</v>
      </c>
      <c r="C982" s="6">
        <f>IFERROR(__xludf.DUMMYFUNCTION("""COMPUTED_VALUE"""),788.2)</f>
        <v>788.2</v>
      </c>
      <c r="D982" s="6">
        <f>IFERROR(__xludf.DUMMYFUNCTION("""COMPUTED_VALUE"""),767.15)</f>
        <v>767.15</v>
      </c>
      <c r="E982" s="6">
        <f>IFERROR(__xludf.DUMMYFUNCTION("""COMPUTED_VALUE"""),773.15)</f>
        <v>773.15</v>
      </c>
      <c r="F982" s="7">
        <f>IFERROR(__xludf.DUMMYFUNCTION("""COMPUTED_VALUE"""),1009247.0)</f>
        <v>1009247</v>
      </c>
      <c r="G982" s="7" t="str">
        <f>IFERROR(__xludf.DUMMYFUNCTION("""COMPUTED_VALUE"""),"ADANIENSOL.NS")</f>
        <v>ADANIENSOL.NS</v>
      </c>
      <c r="H982" s="8">
        <f t="shared" si="1"/>
        <v>-0.009924446152</v>
      </c>
      <c r="I982" s="8">
        <f t="shared" si="2"/>
        <v>0.009924446152</v>
      </c>
      <c r="J982" s="7" t="str">
        <f t="shared" si="3"/>
        <v>Feb-2025</v>
      </c>
      <c r="K982" s="9">
        <f t="shared" si="4"/>
        <v>45689</v>
      </c>
      <c r="L982" s="7" t="str">
        <f t="shared" si="5"/>
        <v/>
      </c>
      <c r="M982" s="7" t="str">
        <f>IFERROR(__xludf.DUMMYFUNCTION("IFERROR(
  IF(
    F982 &gt;
    3*AVERAGE(
       FILTER($F$2:$F10491,
         $G$2:$G10491=G982,
         $A$2:$A10491&gt;=A982-20,
         $A$2:$A10491&lt;=A982
       )
    ),
    ""VOL_SPIKE_3X"",""""
  ),
"""")
"),"")</f>
        <v/>
      </c>
      <c r="N982" s="7" t="str">
        <f t="shared" si="6"/>
        <v/>
      </c>
      <c r="O982" s="7" t="str">
        <f t="shared" si="7"/>
        <v/>
      </c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>
        <f>IFERROR(__xludf.DUMMYFUNCTION("""COMPUTED_VALUE"""),45694.0)</f>
        <v>45694</v>
      </c>
      <c r="B983" s="6">
        <f>IFERROR(__xludf.DUMMYFUNCTION("""COMPUTED_VALUE"""),1025.9)</f>
        <v>1025.9</v>
      </c>
      <c r="C983" s="6">
        <f>IFERROR(__xludf.DUMMYFUNCTION("""COMPUTED_VALUE"""),1025.9)</f>
        <v>1025.9</v>
      </c>
      <c r="D983" s="6">
        <f>IFERROR(__xludf.DUMMYFUNCTION("""COMPUTED_VALUE"""),993.5)</f>
        <v>993.5</v>
      </c>
      <c r="E983" s="6">
        <f>IFERROR(__xludf.DUMMYFUNCTION("""COMPUTED_VALUE"""),997.6)</f>
        <v>997.6</v>
      </c>
      <c r="F983" s="7">
        <f>IFERROR(__xludf.DUMMYFUNCTION("""COMPUTED_VALUE"""),1097383.0)</f>
        <v>1097383</v>
      </c>
      <c r="G983" s="7" t="str">
        <f>IFERROR(__xludf.DUMMYFUNCTION("""COMPUTED_VALUE"""),"ADANIGREEN.NS")</f>
        <v>ADANIGREEN.NS</v>
      </c>
      <c r="H983" s="8">
        <f t="shared" si="1"/>
        <v>-0.02758553465</v>
      </c>
      <c r="I983" s="8">
        <f t="shared" si="2"/>
        <v>0.02758553465</v>
      </c>
      <c r="J983" s="7" t="str">
        <f t="shared" si="3"/>
        <v>Feb-2025</v>
      </c>
      <c r="K983" s="9">
        <f t="shared" si="4"/>
        <v>45689</v>
      </c>
      <c r="L983" s="7" t="str">
        <f t="shared" si="5"/>
        <v/>
      </c>
      <c r="M983" s="7" t="str">
        <f>IFERROR(__xludf.DUMMYFUNCTION("IFERROR(
  IF(
    F983 &gt;
    3*AVERAGE(
       FILTER($F$2:$F10491,
         $G$2:$G10491=G983,
         $A$2:$A10491&gt;=A983-20,
         $A$2:$A10491&lt;=A983
       )
    ),
    ""VOL_SPIKE_3X"",""""
  ),
"""")
"),"")</f>
        <v/>
      </c>
      <c r="N983" s="7" t="str">
        <f t="shared" si="6"/>
        <v/>
      </c>
      <c r="O983" s="7" t="str">
        <f t="shared" si="7"/>
        <v/>
      </c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>
        <f>IFERROR(__xludf.DUMMYFUNCTION("""COMPUTED_VALUE"""),45694.0)</f>
        <v>45694</v>
      </c>
      <c r="B984" s="6">
        <f>IFERROR(__xludf.DUMMYFUNCTION("""COMPUTED_VALUE"""),263.0)</f>
        <v>263</v>
      </c>
      <c r="C984" s="6">
        <f>IFERROR(__xludf.DUMMYFUNCTION("""COMPUTED_VALUE"""),267.2)</f>
        <v>267.2</v>
      </c>
      <c r="D984" s="6">
        <f>IFERROR(__xludf.DUMMYFUNCTION("""COMPUTED_VALUE"""),261.65)</f>
        <v>261.65</v>
      </c>
      <c r="E984" s="6">
        <f>IFERROR(__xludf.DUMMYFUNCTION("""COMPUTED_VALUE"""),262.55)</f>
        <v>262.55</v>
      </c>
      <c r="F984" s="7">
        <f>IFERROR(__xludf.DUMMYFUNCTION("""COMPUTED_VALUE"""),1.4058587E7)</f>
        <v>14058587</v>
      </c>
      <c r="G984" s="7" t="str">
        <f>IFERROR(__xludf.DUMMYFUNCTION("""COMPUTED_VALUE"""),"BPCL.NS")</f>
        <v>BPCL.NS</v>
      </c>
      <c r="H984" s="8">
        <f t="shared" si="1"/>
        <v>-0.001711026616</v>
      </c>
      <c r="I984" s="8">
        <f t="shared" si="2"/>
        <v>0.001711026616</v>
      </c>
      <c r="J984" s="7" t="str">
        <f t="shared" si="3"/>
        <v>Feb-2025</v>
      </c>
      <c r="K984" s="9">
        <f t="shared" si="4"/>
        <v>45689</v>
      </c>
      <c r="L984" s="7" t="str">
        <f t="shared" si="5"/>
        <v/>
      </c>
      <c r="M984" s="7" t="str">
        <f>IFERROR(__xludf.DUMMYFUNCTION("IFERROR(
  IF(
    F984 &gt;
    3*AVERAGE(
       FILTER($F$2:$F10491,
         $G$2:$G10491=G984,
         $A$2:$A10491&gt;=A984-20,
         $A$2:$A10491&lt;=A984
       )
    ),
    ""VOL_SPIKE_3X"",""""
  ),
"""")
"),"")</f>
        <v/>
      </c>
      <c r="N984" s="7" t="str">
        <f t="shared" si="6"/>
        <v/>
      </c>
      <c r="O984" s="7" t="str">
        <f t="shared" si="7"/>
        <v/>
      </c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>
        <f>IFERROR(__xludf.DUMMYFUNCTION("""COMPUTED_VALUE"""),45694.0)</f>
        <v>45694</v>
      </c>
      <c r="B985" s="6">
        <f>IFERROR(__xludf.DUMMYFUNCTION("""COMPUTED_VALUE"""),382.8)</f>
        <v>382.8</v>
      </c>
      <c r="C985" s="6">
        <f>IFERROR(__xludf.DUMMYFUNCTION("""COMPUTED_VALUE"""),384.65)</f>
        <v>384.65</v>
      </c>
      <c r="D985" s="6">
        <f>IFERROR(__xludf.DUMMYFUNCTION("""COMPUTED_VALUE"""),377.2)</f>
        <v>377.2</v>
      </c>
      <c r="E985" s="6">
        <f>IFERROR(__xludf.DUMMYFUNCTION("""COMPUTED_VALUE"""),379.6)</f>
        <v>379.6</v>
      </c>
      <c r="F985" s="7">
        <f>IFERROR(__xludf.DUMMYFUNCTION("""COMPUTED_VALUE"""),4652107.0)</f>
        <v>4652107</v>
      </c>
      <c r="G985" s="7" t="str">
        <f>IFERROR(__xludf.DUMMYFUNCTION("""COMPUTED_VALUE"""),"COALINDIA.NS")</f>
        <v>COALINDIA.NS</v>
      </c>
      <c r="H985" s="8">
        <f t="shared" si="1"/>
        <v>-0.008359456635</v>
      </c>
      <c r="I985" s="8">
        <f t="shared" si="2"/>
        <v>0.008359456635</v>
      </c>
      <c r="J985" s="7" t="str">
        <f t="shared" si="3"/>
        <v>Feb-2025</v>
      </c>
      <c r="K985" s="9">
        <f t="shared" si="4"/>
        <v>45689</v>
      </c>
      <c r="L985" s="7" t="str">
        <f t="shared" si="5"/>
        <v/>
      </c>
      <c r="M985" s="7" t="str">
        <f>IFERROR(__xludf.DUMMYFUNCTION("IFERROR(
  IF(
    F985 &gt;
    3*AVERAGE(
       FILTER($F$2:$F10491,
         $G$2:$G10491=G985,
         $A$2:$A10491&gt;=A985-20,
         $A$2:$A10491&lt;=A985
       )
    ),
    ""VOL_SPIKE_3X"",""""
  ),
"""")
"),"")</f>
        <v/>
      </c>
      <c r="N985" s="7" t="str">
        <f t="shared" si="6"/>
        <v/>
      </c>
      <c r="O985" s="7" t="str">
        <f t="shared" si="7"/>
        <v/>
      </c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>
        <f>IFERROR(__xludf.DUMMYFUNCTION("""COMPUTED_VALUE"""),45694.0)</f>
        <v>45694</v>
      </c>
      <c r="B986" s="6">
        <f>IFERROR(__xludf.DUMMYFUNCTION("""COMPUTED_VALUE"""),348.6)</f>
        <v>348.6</v>
      </c>
      <c r="C986" s="6">
        <f>IFERROR(__xludf.DUMMYFUNCTION("""COMPUTED_VALUE"""),349.15)</f>
        <v>349.15</v>
      </c>
      <c r="D986" s="6">
        <f>IFERROR(__xludf.DUMMYFUNCTION("""COMPUTED_VALUE"""),340.6)</f>
        <v>340.6</v>
      </c>
      <c r="E986" s="6">
        <f>IFERROR(__xludf.DUMMYFUNCTION("""COMPUTED_VALUE"""),343.1)</f>
        <v>343.1</v>
      </c>
      <c r="F986" s="7">
        <f>IFERROR(__xludf.DUMMYFUNCTION("""COMPUTED_VALUE"""),3123836.0)</f>
        <v>3123836</v>
      </c>
      <c r="G986" s="7" t="str">
        <f>IFERROR(__xludf.DUMMYFUNCTION("""COMPUTED_VALUE"""),"HINDPETRO.NS")</f>
        <v>HINDPETRO.NS</v>
      </c>
      <c r="H986" s="8">
        <f t="shared" si="1"/>
        <v>-0.0157773953</v>
      </c>
      <c r="I986" s="8">
        <f t="shared" si="2"/>
        <v>0.0157773953</v>
      </c>
      <c r="J986" s="7" t="str">
        <f t="shared" si="3"/>
        <v>Feb-2025</v>
      </c>
      <c r="K986" s="9">
        <f t="shared" si="4"/>
        <v>45689</v>
      </c>
      <c r="L986" s="7" t="str">
        <f t="shared" si="5"/>
        <v/>
      </c>
      <c r="M986" s="7" t="str">
        <f>IFERROR(__xludf.DUMMYFUNCTION("IFERROR(
  IF(
    F986 &gt;
    3*AVERAGE(
       FILTER($F$2:$F10491,
         $G$2:$G10491=G986,
         $A$2:$A10491&gt;=A986-20,
         $A$2:$A10491&lt;=A986
       )
    ),
    ""VOL_SPIKE_3X"",""""
  ),
"""")
"),"")</f>
        <v/>
      </c>
      <c r="N986" s="7" t="str">
        <f t="shared" si="6"/>
        <v/>
      </c>
      <c r="O986" s="7" t="str">
        <f t="shared" si="7"/>
        <v/>
      </c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>
        <f>IFERROR(__xludf.DUMMYFUNCTION("""COMPUTED_VALUE"""),45694.0)</f>
        <v>45694</v>
      </c>
      <c r="B987" s="6">
        <f>IFERROR(__xludf.DUMMYFUNCTION("""COMPUTED_VALUE"""),128.05)</f>
        <v>128.05</v>
      </c>
      <c r="C987" s="6">
        <f>IFERROR(__xludf.DUMMYFUNCTION("""COMPUTED_VALUE"""),128.22)</f>
        <v>128.22</v>
      </c>
      <c r="D987" s="6">
        <f>IFERROR(__xludf.DUMMYFUNCTION("""COMPUTED_VALUE"""),125.32)</f>
        <v>125.32</v>
      </c>
      <c r="E987" s="6">
        <f>IFERROR(__xludf.DUMMYFUNCTION("""COMPUTED_VALUE"""),126.02)</f>
        <v>126.02</v>
      </c>
      <c r="F987" s="7">
        <f>IFERROR(__xludf.DUMMYFUNCTION("""COMPUTED_VALUE"""),9804040.0)</f>
        <v>9804040</v>
      </c>
      <c r="G987" s="7" t="str">
        <f>IFERROR(__xludf.DUMMYFUNCTION("""COMPUTED_VALUE"""),"IOC.NS")</f>
        <v>IOC.NS</v>
      </c>
      <c r="H987" s="8">
        <f t="shared" si="1"/>
        <v>-0.01585318235</v>
      </c>
      <c r="I987" s="8">
        <f t="shared" si="2"/>
        <v>0.01585318235</v>
      </c>
      <c r="J987" s="7" t="str">
        <f t="shared" si="3"/>
        <v>Feb-2025</v>
      </c>
      <c r="K987" s="9">
        <f t="shared" si="4"/>
        <v>45689</v>
      </c>
      <c r="L987" s="7" t="str">
        <f t="shared" si="5"/>
        <v/>
      </c>
      <c r="M987" s="7" t="str">
        <f>IFERROR(__xludf.DUMMYFUNCTION("IFERROR(
  IF(
    F987 &gt;
    3*AVERAGE(
       FILTER($F$2:$F10491,
         $G$2:$G10491=G987,
         $A$2:$A10491&gt;=A987-20,
         $A$2:$A10491&lt;=A987
       )
    ),
    ""VOL_SPIKE_3X"",""""
  ),
"""")
"),"")</f>
        <v/>
      </c>
      <c r="N987" s="7" t="str">
        <f t="shared" si="6"/>
        <v/>
      </c>
      <c r="O987" s="7" t="str">
        <f t="shared" si="7"/>
        <v/>
      </c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>
        <f>IFERROR(__xludf.DUMMYFUNCTION("""COMPUTED_VALUE"""),45694.0)</f>
        <v>45694</v>
      </c>
      <c r="B988" s="6">
        <f>IFERROR(__xludf.DUMMYFUNCTION("""COMPUTED_VALUE"""),322.6)</f>
        <v>322.6</v>
      </c>
      <c r="C988" s="6">
        <f>IFERROR(__xludf.DUMMYFUNCTION("""COMPUTED_VALUE"""),322.7)</f>
        <v>322.7</v>
      </c>
      <c r="D988" s="6">
        <f>IFERROR(__xludf.DUMMYFUNCTION("""COMPUTED_VALUE"""),311.4)</f>
        <v>311.4</v>
      </c>
      <c r="E988" s="6">
        <f>IFERROR(__xludf.DUMMYFUNCTION("""COMPUTED_VALUE"""),312.8)</f>
        <v>312.8</v>
      </c>
      <c r="F988" s="7">
        <f>IFERROR(__xludf.DUMMYFUNCTION("""COMPUTED_VALUE"""),1.3384442E7)</f>
        <v>13384442</v>
      </c>
      <c r="G988" s="7" t="str">
        <f>IFERROR(__xludf.DUMMYFUNCTION("""COMPUTED_VALUE"""),"NTPC.NS")</f>
        <v>NTPC.NS</v>
      </c>
      <c r="H988" s="8">
        <f t="shared" si="1"/>
        <v>-0.03037817731</v>
      </c>
      <c r="I988" s="8">
        <f t="shared" si="2"/>
        <v>0.03037817731</v>
      </c>
      <c r="J988" s="7" t="str">
        <f t="shared" si="3"/>
        <v>Feb-2025</v>
      </c>
      <c r="K988" s="9">
        <f t="shared" si="4"/>
        <v>45689</v>
      </c>
      <c r="L988" s="7" t="str">
        <f t="shared" si="5"/>
        <v/>
      </c>
      <c r="M988" s="7" t="str">
        <f>IFERROR(__xludf.DUMMYFUNCTION("IFERROR(
  IF(
    F988 &gt;
    3*AVERAGE(
       FILTER($F$2:$F10491,
         $G$2:$G10491=G988,
         $A$2:$A10491&gt;=A988-20,
         $A$2:$A10491&lt;=A988
       )
    ),
    ""VOL_SPIKE_3X"",""""
  ),
"""")
"),"")</f>
        <v/>
      </c>
      <c r="N988" s="7" t="str">
        <f t="shared" si="6"/>
        <v/>
      </c>
      <c r="O988" s="7" t="str">
        <f t="shared" si="7"/>
        <v/>
      </c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>
        <f>IFERROR(__xludf.DUMMYFUNCTION("""COMPUTED_VALUE"""),45694.0)</f>
        <v>45694</v>
      </c>
      <c r="B989" s="6">
        <f>IFERROR(__xludf.DUMMYFUNCTION("""COMPUTED_VALUE"""),262.65)</f>
        <v>262.65</v>
      </c>
      <c r="C989" s="6">
        <f>IFERROR(__xludf.DUMMYFUNCTION("""COMPUTED_VALUE"""),262.95)</f>
        <v>262.95</v>
      </c>
      <c r="D989" s="6">
        <f>IFERROR(__xludf.DUMMYFUNCTION("""COMPUTED_VALUE"""),254.3)</f>
        <v>254.3</v>
      </c>
      <c r="E989" s="6">
        <f>IFERROR(__xludf.DUMMYFUNCTION("""COMPUTED_VALUE"""),256.15)</f>
        <v>256.15</v>
      </c>
      <c r="F989" s="7">
        <f>IFERROR(__xludf.DUMMYFUNCTION("""COMPUTED_VALUE"""),1.2327998E7)</f>
        <v>12327998</v>
      </c>
      <c r="G989" s="7" t="str">
        <f>IFERROR(__xludf.DUMMYFUNCTION("""COMPUTED_VALUE"""),"ONGC.NS")</f>
        <v>ONGC.NS</v>
      </c>
      <c r="H989" s="8">
        <f t="shared" si="1"/>
        <v>-0.02474776318</v>
      </c>
      <c r="I989" s="8">
        <f t="shared" si="2"/>
        <v>0.02474776318</v>
      </c>
      <c r="J989" s="7" t="str">
        <f t="shared" si="3"/>
        <v>Feb-2025</v>
      </c>
      <c r="K989" s="9">
        <f t="shared" si="4"/>
        <v>45689</v>
      </c>
      <c r="L989" s="7" t="str">
        <f t="shared" si="5"/>
        <v/>
      </c>
      <c r="M989" s="7" t="str">
        <f>IFERROR(__xludf.DUMMYFUNCTION("IFERROR(
  IF(
    F989 &gt;
    3*AVERAGE(
       FILTER($F$2:$F10491,
         $G$2:$G10491=G989,
         $A$2:$A10491&gt;=A989-20,
         $A$2:$A10491&lt;=A989
       )
    ),
    ""VOL_SPIKE_3X"",""""
  ),
"""")
"),"")</f>
        <v/>
      </c>
      <c r="N989" s="7" t="str">
        <f t="shared" si="6"/>
        <v/>
      </c>
      <c r="O989" s="7" t="str">
        <f t="shared" si="7"/>
        <v/>
      </c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>
        <f>IFERROR(__xludf.DUMMYFUNCTION("""COMPUTED_VALUE"""),45694.0)</f>
        <v>45694</v>
      </c>
      <c r="B990" s="6">
        <f>IFERROR(__xludf.DUMMYFUNCTION("""COMPUTED_VALUE"""),287.5)</f>
        <v>287.5</v>
      </c>
      <c r="C990" s="6">
        <f>IFERROR(__xludf.DUMMYFUNCTION("""COMPUTED_VALUE"""),290.95)</f>
        <v>290.95</v>
      </c>
      <c r="D990" s="6">
        <f>IFERROR(__xludf.DUMMYFUNCTION("""COMPUTED_VALUE"""),279.75)</f>
        <v>279.75</v>
      </c>
      <c r="E990" s="6">
        <f>IFERROR(__xludf.DUMMYFUNCTION("""COMPUTED_VALUE"""),281.15)</f>
        <v>281.15</v>
      </c>
      <c r="F990" s="7">
        <f>IFERROR(__xludf.DUMMYFUNCTION("""COMPUTED_VALUE"""),2.1418561E7)</f>
        <v>21418561</v>
      </c>
      <c r="G990" s="7" t="str">
        <f>IFERROR(__xludf.DUMMYFUNCTION("""COMPUTED_VALUE"""),"POWERGRID.NS")</f>
        <v>POWERGRID.NS</v>
      </c>
      <c r="H990" s="8">
        <f t="shared" si="1"/>
        <v>-0.02208695652</v>
      </c>
      <c r="I990" s="8">
        <f t="shared" si="2"/>
        <v>0.02208695652</v>
      </c>
      <c r="J990" s="7" t="str">
        <f t="shared" si="3"/>
        <v>Feb-2025</v>
      </c>
      <c r="K990" s="9">
        <f t="shared" si="4"/>
        <v>45689</v>
      </c>
      <c r="L990" s="7" t="str">
        <f t="shared" si="5"/>
        <v/>
      </c>
      <c r="M990" s="7" t="str">
        <f>IFERROR(__xludf.DUMMYFUNCTION("IFERROR(
  IF(
    F990 &gt;
    3*AVERAGE(
       FILTER($F$2:$F10491,
         $G$2:$G10491=G990,
         $A$2:$A10491&gt;=A990-20,
         $A$2:$A10491&lt;=A990
       )
    ),
    ""VOL_SPIKE_3X"",""""
  ),
"""")
"),"")</f>
        <v/>
      </c>
      <c r="N990" s="7" t="str">
        <f t="shared" si="6"/>
        <v/>
      </c>
      <c r="O990" s="7" t="str">
        <f t="shared" si="7"/>
        <v/>
      </c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>
        <f>IFERROR(__xludf.DUMMYFUNCTION("""COMPUTED_VALUE"""),45694.0)</f>
        <v>45694</v>
      </c>
      <c r="B991" s="6">
        <f>IFERROR(__xludf.DUMMYFUNCTION("""COMPUTED_VALUE"""),1273.7)</f>
        <v>1273.7</v>
      </c>
      <c r="C991" s="6">
        <f>IFERROR(__xludf.DUMMYFUNCTION("""COMPUTED_VALUE"""),1288.0)</f>
        <v>1288</v>
      </c>
      <c r="D991" s="6">
        <f>IFERROR(__xludf.DUMMYFUNCTION("""COMPUTED_VALUE"""),1270.35)</f>
        <v>1270.35</v>
      </c>
      <c r="E991" s="6">
        <f>IFERROR(__xludf.DUMMYFUNCTION("""COMPUTED_VALUE"""),1281.55)</f>
        <v>1281.55</v>
      </c>
      <c r="F991" s="7">
        <f>IFERROR(__xludf.DUMMYFUNCTION("""COMPUTED_VALUE"""),9956001.0)</f>
        <v>9956001</v>
      </c>
      <c r="G991" s="7" t="str">
        <f>IFERROR(__xludf.DUMMYFUNCTION("""COMPUTED_VALUE"""),"RELIANCE.NS")</f>
        <v>RELIANCE.NS</v>
      </c>
      <c r="H991" s="8">
        <f t="shared" si="1"/>
        <v>0.006163146738</v>
      </c>
      <c r="I991" s="8">
        <f t="shared" si="2"/>
        <v>0.006163146738</v>
      </c>
      <c r="J991" s="7" t="str">
        <f t="shared" si="3"/>
        <v>Feb-2025</v>
      </c>
      <c r="K991" s="9">
        <f t="shared" si="4"/>
        <v>45689</v>
      </c>
      <c r="L991" s="7" t="str">
        <f t="shared" si="5"/>
        <v/>
      </c>
      <c r="M991" s="7" t="str">
        <f>IFERROR(__xludf.DUMMYFUNCTION("IFERROR(
  IF(
    F991 &gt;
    3*AVERAGE(
       FILTER($F$2:$F10491,
         $G$2:$G10491=G991,
         $A$2:$A10491&gt;=A991-20,
         $A$2:$A10491&lt;=A991
       )
    ),
    ""VOL_SPIKE_3X"",""""
  ),
"""")
"),"")</f>
        <v/>
      </c>
      <c r="N991" s="7" t="str">
        <f t="shared" si="6"/>
        <v/>
      </c>
      <c r="O991" s="7" t="str">
        <f t="shared" si="7"/>
        <v/>
      </c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>
        <f>IFERROR(__xludf.DUMMYFUNCTION("""COMPUTED_VALUE"""),45695.0)</f>
        <v>45695</v>
      </c>
      <c r="B992" s="6">
        <f>IFERROR(__xludf.DUMMYFUNCTION("""COMPUTED_VALUE"""),773.95)</f>
        <v>773.95</v>
      </c>
      <c r="C992" s="6">
        <f>IFERROR(__xludf.DUMMYFUNCTION("""COMPUTED_VALUE"""),782.9)</f>
        <v>782.9</v>
      </c>
      <c r="D992" s="6">
        <f>IFERROR(__xludf.DUMMYFUNCTION("""COMPUTED_VALUE"""),759.2)</f>
        <v>759.2</v>
      </c>
      <c r="E992" s="6">
        <f>IFERROR(__xludf.DUMMYFUNCTION("""COMPUTED_VALUE"""),773.4)</f>
        <v>773.4</v>
      </c>
      <c r="F992" s="7">
        <f>IFERROR(__xludf.DUMMYFUNCTION("""COMPUTED_VALUE"""),771037.0)</f>
        <v>771037</v>
      </c>
      <c r="G992" s="7" t="str">
        <f>IFERROR(__xludf.DUMMYFUNCTION("""COMPUTED_VALUE"""),"ADANIENSOL.NS")</f>
        <v>ADANIENSOL.NS</v>
      </c>
      <c r="H992" s="8">
        <f t="shared" si="1"/>
        <v>-0.0007106402222</v>
      </c>
      <c r="I992" s="8">
        <f t="shared" si="2"/>
        <v>0.0007106402222</v>
      </c>
      <c r="J992" s="7" t="str">
        <f t="shared" si="3"/>
        <v>Feb-2025</v>
      </c>
      <c r="K992" s="9">
        <f t="shared" si="4"/>
        <v>45689</v>
      </c>
      <c r="L992" s="7" t="str">
        <f t="shared" si="5"/>
        <v/>
      </c>
      <c r="M992" s="7" t="str">
        <f>IFERROR(__xludf.DUMMYFUNCTION("IFERROR(
  IF(
    F992 &gt;
    3*AVERAGE(
       FILTER($F$2:$F10491,
         $G$2:$G10491=G992,
         $A$2:$A10491&gt;=A992-20,
         $A$2:$A10491&lt;=A992
       )
    ),
    ""VOL_SPIKE_3X"",""""
  ),
"""")
"),"")</f>
        <v/>
      </c>
      <c r="N992" s="7" t="str">
        <f t="shared" si="6"/>
        <v/>
      </c>
      <c r="O992" s="7" t="str">
        <f t="shared" si="7"/>
        <v/>
      </c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>
        <f>IFERROR(__xludf.DUMMYFUNCTION("""COMPUTED_VALUE"""),45695.0)</f>
        <v>45695</v>
      </c>
      <c r="B993" s="6">
        <f>IFERROR(__xludf.DUMMYFUNCTION("""COMPUTED_VALUE"""),999.9)</f>
        <v>999.9</v>
      </c>
      <c r="C993" s="6">
        <f>IFERROR(__xludf.DUMMYFUNCTION("""COMPUTED_VALUE"""),1009.55)</f>
        <v>1009.55</v>
      </c>
      <c r="D993" s="6">
        <f>IFERROR(__xludf.DUMMYFUNCTION("""COMPUTED_VALUE"""),984.1)</f>
        <v>984.1</v>
      </c>
      <c r="E993" s="6">
        <f>IFERROR(__xludf.DUMMYFUNCTION("""COMPUTED_VALUE"""),989.5)</f>
        <v>989.5</v>
      </c>
      <c r="F993" s="7">
        <f>IFERROR(__xludf.DUMMYFUNCTION("""COMPUTED_VALUE"""),1238324.0)</f>
        <v>1238324</v>
      </c>
      <c r="G993" s="7" t="str">
        <f>IFERROR(__xludf.DUMMYFUNCTION("""COMPUTED_VALUE"""),"ADANIGREEN.NS")</f>
        <v>ADANIGREEN.NS</v>
      </c>
      <c r="H993" s="8">
        <f t="shared" si="1"/>
        <v>-0.0104010401</v>
      </c>
      <c r="I993" s="8">
        <f t="shared" si="2"/>
        <v>0.0104010401</v>
      </c>
      <c r="J993" s="7" t="str">
        <f t="shared" si="3"/>
        <v>Feb-2025</v>
      </c>
      <c r="K993" s="9">
        <f t="shared" si="4"/>
        <v>45689</v>
      </c>
      <c r="L993" s="7" t="str">
        <f t="shared" si="5"/>
        <v/>
      </c>
      <c r="M993" s="7" t="str">
        <f>IFERROR(__xludf.DUMMYFUNCTION("IFERROR(
  IF(
    F993 &gt;
    3*AVERAGE(
       FILTER($F$2:$F10491,
         $G$2:$G10491=G993,
         $A$2:$A10491&gt;=A993-20,
         $A$2:$A10491&lt;=A993
       )
    ),
    ""VOL_SPIKE_3X"",""""
  ),
"""")
"),"")</f>
        <v/>
      </c>
      <c r="N993" s="7" t="str">
        <f t="shared" si="6"/>
        <v/>
      </c>
      <c r="O993" s="7" t="str">
        <f t="shared" si="7"/>
        <v/>
      </c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>
        <f>IFERROR(__xludf.DUMMYFUNCTION("""COMPUTED_VALUE"""),45695.0)</f>
        <v>45695</v>
      </c>
      <c r="B994" s="6">
        <f>IFERROR(__xludf.DUMMYFUNCTION("""COMPUTED_VALUE"""),262.1)</f>
        <v>262.1</v>
      </c>
      <c r="C994" s="6">
        <f>IFERROR(__xludf.DUMMYFUNCTION("""COMPUTED_VALUE"""),264.9)</f>
        <v>264.9</v>
      </c>
      <c r="D994" s="6">
        <f>IFERROR(__xludf.DUMMYFUNCTION("""COMPUTED_VALUE"""),260.05)</f>
        <v>260.05</v>
      </c>
      <c r="E994" s="6">
        <f>IFERROR(__xludf.DUMMYFUNCTION("""COMPUTED_VALUE"""),264.3)</f>
        <v>264.3</v>
      </c>
      <c r="F994" s="7">
        <f>IFERROR(__xludf.DUMMYFUNCTION("""COMPUTED_VALUE"""),6557480.0)</f>
        <v>6557480</v>
      </c>
      <c r="G994" s="7" t="str">
        <f>IFERROR(__xludf.DUMMYFUNCTION("""COMPUTED_VALUE"""),"BPCL.NS")</f>
        <v>BPCL.NS</v>
      </c>
      <c r="H994" s="8">
        <f t="shared" si="1"/>
        <v>0.008393742846</v>
      </c>
      <c r="I994" s="8">
        <f t="shared" si="2"/>
        <v>0.008393742846</v>
      </c>
      <c r="J994" s="7" t="str">
        <f t="shared" si="3"/>
        <v>Feb-2025</v>
      </c>
      <c r="K994" s="9">
        <f t="shared" si="4"/>
        <v>45689</v>
      </c>
      <c r="L994" s="7" t="str">
        <f t="shared" si="5"/>
        <v/>
      </c>
      <c r="M994" s="7" t="str">
        <f>IFERROR(__xludf.DUMMYFUNCTION("IFERROR(
  IF(
    F994 &gt;
    3*AVERAGE(
       FILTER($F$2:$F10491,
         $G$2:$G10491=G994,
         $A$2:$A10491&gt;=A994-20,
         $A$2:$A10491&lt;=A994
       )
    ),
    ""VOL_SPIKE_3X"",""""
  ),
"""")
"),"")</f>
        <v/>
      </c>
      <c r="N994" s="7" t="str">
        <f t="shared" si="6"/>
        <v/>
      </c>
      <c r="O994" s="7" t="str">
        <f t="shared" si="7"/>
        <v/>
      </c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>
        <f>IFERROR(__xludf.DUMMYFUNCTION("""COMPUTED_VALUE"""),45695.0)</f>
        <v>45695</v>
      </c>
      <c r="B995" s="6">
        <f>IFERROR(__xludf.DUMMYFUNCTION("""COMPUTED_VALUE"""),379.5)</f>
        <v>379.5</v>
      </c>
      <c r="C995" s="6">
        <f>IFERROR(__xludf.DUMMYFUNCTION("""COMPUTED_VALUE"""),383.0)</f>
        <v>383</v>
      </c>
      <c r="D995" s="6">
        <f>IFERROR(__xludf.DUMMYFUNCTION("""COMPUTED_VALUE"""),376.0)</f>
        <v>376</v>
      </c>
      <c r="E995" s="6">
        <f>IFERROR(__xludf.DUMMYFUNCTION("""COMPUTED_VALUE"""),378.25)</f>
        <v>378.25</v>
      </c>
      <c r="F995" s="7">
        <f>IFERROR(__xludf.DUMMYFUNCTION("""COMPUTED_VALUE"""),3006598.0)</f>
        <v>3006598</v>
      </c>
      <c r="G995" s="7" t="str">
        <f>IFERROR(__xludf.DUMMYFUNCTION("""COMPUTED_VALUE"""),"COALINDIA.NS")</f>
        <v>COALINDIA.NS</v>
      </c>
      <c r="H995" s="8">
        <f t="shared" si="1"/>
        <v>-0.003293807642</v>
      </c>
      <c r="I995" s="8">
        <f t="shared" si="2"/>
        <v>0.003293807642</v>
      </c>
      <c r="J995" s="7" t="str">
        <f t="shared" si="3"/>
        <v>Feb-2025</v>
      </c>
      <c r="K995" s="9">
        <f t="shared" si="4"/>
        <v>45689</v>
      </c>
      <c r="L995" s="7" t="str">
        <f t="shared" si="5"/>
        <v/>
      </c>
      <c r="M995" s="7" t="str">
        <f>IFERROR(__xludf.DUMMYFUNCTION("IFERROR(
  IF(
    F995 &gt;
    3*AVERAGE(
       FILTER($F$2:$F10491,
         $G$2:$G10491=G995,
         $A$2:$A10491&gt;=A995-20,
         $A$2:$A10491&lt;=A995
       )
    ),
    ""VOL_SPIKE_3X"",""""
  ),
"""")
"),"")</f>
        <v/>
      </c>
      <c r="N995" s="7" t="str">
        <f t="shared" si="6"/>
        <v/>
      </c>
      <c r="O995" s="7" t="str">
        <f t="shared" si="7"/>
        <v/>
      </c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>
        <f>IFERROR(__xludf.DUMMYFUNCTION("""COMPUTED_VALUE"""),45695.0)</f>
        <v>45695</v>
      </c>
      <c r="B996" s="6">
        <f>IFERROR(__xludf.DUMMYFUNCTION("""COMPUTED_VALUE"""),345.0)</f>
        <v>345</v>
      </c>
      <c r="C996" s="6">
        <f>IFERROR(__xludf.DUMMYFUNCTION("""COMPUTED_VALUE"""),346.7)</f>
        <v>346.7</v>
      </c>
      <c r="D996" s="6">
        <f>IFERROR(__xludf.DUMMYFUNCTION("""COMPUTED_VALUE"""),339.55)</f>
        <v>339.55</v>
      </c>
      <c r="E996" s="6">
        <f>IFERROR(__xludf.DUMMYFUNCTION("""COMPUTED_VALUE"""),342.5)</f>
        <v>342.5</v>
      </c>
      <c r="F996" s="7">
        <f>IFERROR(__xludf.DUMMYFUNCTION("""COMPUTED_VALUE"""),1712683.0)</f>
        <v>1712683</v>
      </c>
      <c r="G996" s="7" t="str">
        <f>IFERROR(__xludf.DUMMYFUNCTION("""COMPUTED_VALUE"""),"HINDPETRO.NS")</f>
        <v>HINDPETRO.NS</v>
      </c>
      <c r="H996" s="8">
        <f t="shared" si="1"/>
        <v>-0.007246376812</v>
      </c>
      <c r="I996" s="8">
        <f t="shared" si="2"/>
        <v>0.007246376812</v>
      </c>
      <c r="J996" s="7" t="str">
        <f t="shared" si="3"/>
        <v>Feb-2025</v>
      </c>
      <c r="K996" s="9">
        <f t="shared" si="4"/>
        <v>45689</v>
      </c>
      <c r="L996" s="7" t="str">
        <f t="shared" si="5"/>
        <v/>
      </c>
      <c r="M996" s="7" t="str">
        <f>IFERROR(__xludf.DUMMYFUNCTION("IFERROR(
  IF(
    F996 &gt;
    3*AVERAGE(
       FILTER($F$2:$F10491,
         $G$2:$G10491=G996,
         $A$2:$A10491&gt;=A996-20,
         $A$2:$A10491&lt;=A996
       )
    ),
    ""VOL_SPIKE_3X"",""""
  ),
"""")
"),"")</f>
        <v/>
      </c>
      <c r="N996" s="7" t="str">
        <f t="shared" si="6"/>
        <v/>
      </c>
      <c r="O996" s="7" t="str">
        <f t="shared" si="7"/>
        <v/>
      </c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>
        <f>IFERROR(__xludf.DUMMYFUNCTION("""COMPUTED_VALUE"""),45695.0)</f>
        <v>45695</v>
      </c>
      <c r="B997" s="6">
        <f>IFERROR(__xludf.DUMMYFUNCTION("""COMPUTED_VALUE"""),126.03)</f>
        <v>126.03</v>
      </c>
      <c r="C997" s="6">
        <f>IFERROR(__xludf.DUMMYFUNCTION("""COMPUTED_VALUE"""),126.75)</f>
        <v>126.75</v>
      </c>
      <c r="D997" s="6">
        <f>IFERROR(__xludf.DUMMYFUNCTION("""COMPUTED_VALUE"""),124.43)</f>
        <v>124.43</v>
      </c>
      <c r="E997" s="6">
        <f>IFERROR(__xludf.DUMMYFUNCTION("""COMPUTED_VALUE"""),125.11)</f>
        <v>125.11</v>
      </c>
      <c r="F997" s="7">
        <f>IFERROR(__xludf.DUMMYFUNCTION("""COMPUTED_VALUE"""),8892600.0)</f>
        <v>8892600</v>
      </c>
      <c r="G997" s="7" t="str">
        <f>IFERROR(__xludf.DUMMYFUNCTION("""COMPUTED_VALUE"""),"IOC.NS")</f>
        <v>IOC.NS</v>
      </c>
      <c r="H997" s="8">
        <f t="shared" si="1"/>
        <v>-0.007299849242</v>
      </c>
      <c r="I997" s="8">
        <f t="shared" si="2"/>
        <v>0.007299849242</v>
      </c>
      <c r="J997" s="7" t="str">
        <f t="shared" si="3"/>
        <v>Feb-2025</v>
      </c>
      <c r="K997" s="9">
        <f t="shared" si="4"/>
        <v>45689</v>
      </c>
      <c r="L997" s="7" t="str">
        <f t="shared" si="5"/>
        <v/>
      </c>
      <c r="M997" s="7" t="str">
        <f>IFERROR(__xludf.DUMMYFUNCTION("IFERROR(
  IF(
    F997 &gt;
    3*AVERAGE(
       FILTER($F$2:$F10491,
         $G$2:$G10491=G997,
         $A$2:$A10491&gt;=A997-20,
         $A$2:$A10491&lt;=A997
       )
    ),
    ""VOL_SPIKE_3X"",""""
  ),
"""")
"),"")</f>
        <v/>
      </c>
      <c r="N997" s="7" t="str">
        <f t="shared" si="6"/>
        <v/>
      </c>
      <c r="O997" s="7" t="str">
        <f t="shared" si="7"/>
        <v/>
      </c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>
        <f>IFERROR(__xludf.DUMMYFUNCTION("""COMPUTED_VALUE"""),45695.0)</f>
        <v>45695</v>
      </c>
      <c r="B998" s="6">
        <f>IFERROR(__xludf.DUMMYFUNCTION("""COMPUTED_VALUE"""),313.5)</f>
        <v>313.5</v>
      </c>
      <c r="C998" s="6">
        <f>IFERROR(__xludf.DUMMYFUNCTION("""COMPUTED_VALUE"""),319.25)</f>
        <v>319.25</v>
      </c>
      <c r="D998" s="6">
        <f>IFERROR(__xludf.DUMMYFUNCTION("""COMPUTED_VALUE"""),312.1)</f>
        <v>312.1</v>
      </c>
      <c r="E998" s="6">
        <f>IFERROR(__xludf.DUMMYFUNCTION("""COMPUTED_VALUE"""),316.95)</f>
        <v>316.95</v>
      </c>
      <c r="F998" s="7">
        <f>IFERROR(__xludf.DUMMYFUNCTION("""COMPUTED_VALUE"""),8937447.0)</f>
        <v>8937447</v>
      </c>
      <c r="G998" s="7" t="str">
        <f>IFERROR(__xludf.DUMMYFUNCTION("""COMPUTED_VALUE"""),"NTPC.NS")</f>
        <v>NTPC.NS</v>
      </c>
      <c r="H998" s="8">
        <f t="shared" si="1"/>
        <v>0.01100478469</v>
      </c>
      <c r="I998" s="8">
        <f t="shared" si="2"/>
        <v>0.01100478469</v>
      </c>
      <c r="J998" s="7" t="str">
        <f t="shared" si="3"/>
        <v>Feb-2025</v>
      </c>
      <c r="K998" s="9">
        <f t="shared" si="4"/>
        <v>45689</v>
      </c>
      <c r="L998" s="7" t="str">
        <f t="shared" si="5"/>
        <v/>
      </c>
      <c r="M998" s="7" t="str">
        <f>IFERROR(__xludf.DUMMYFUNCTION("IFERROR(
  IF(
    F998 &gt;
    3*AVERAGE(
       FILTER($F$2:$F10491,
         $G$2:$G10491=G998,
         $A$2:$A10491&gt;=A998-20,
         $A$2:$A10491&lt;=A998
       )
    ),
    ""VOL_SPIKE_3X"",""""
  ),
"""")
"),"")</f>
        <v/>
      </c>
      <c r="N998" s="7" t="str">
        <f t="shared" si="6"/>
        <v/>
      </c>
      <c r="O998" s="7" t="str">
        <f t="shared" si="7"/>
        <v/>
      </c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>
        <f>IFERROR(__xludf.DUMMYFUNCTION("""COMPUTED_VALUE"""),45695.0)</f>
        <v>45695</v>
      </c>
      <c r="B999" s="6">
        <f>IFERROR(__xludf.DUMMYFUNCTION("""COMPUTED_VALUE"""),252.95)</f>
        <v>252.95</v>
      </c>
      <c r="C999" s="6">
        <f>IFERROR(__xludf.DUMMYFUNCTION("""COMPUTED_VALUE"""),253.85)</f>
        <v>253.85</v>
      </c>
      <c r="D999" s="6">
        <f>IFERROR(__xludf.DUMMYFUNCTION("""COMPUTED_VALUE"""),247.5)</f>
        <v>247.5</v>
      </c>
      <c r="E999" s="6">
        <f>IFERROR(__xludf.DUMMYFUNCTION("""COMPUTED_VALUE"""),248.9)</f>
        <v>248.9</v>
      </c>
      <c r="F999" s="7">
        <f>IFERROR(__xludf.DUMMYFUNCTION("""COMPUTED_VALUE"""),1.0098454E7)</f>
        <v>10098454</v>
      </c>
      <c r="G999" s="7" t="str">
        <f>IFERROR(__xludf.DUMMYFUNCTION("""COMPUTED_VALUE"""),"ONGC.NS")</f>
        <v>ONGC.NS</v>
      </c>
      <c r="H999" s="8">
        <f t="shared" si="1"/>
        <v>-0.01601106938</v>
      </c>
      <c r="I999" s="8">
        <f t="shared" si="2"/>
        <v>0.01601106938</v>
      </c>
      <c r="J999" s="7" t="str">
        <f t="shared" si="3"/>
        <v>Feb-2025</v>
      </c>
      <c r="K999" s="9">
        <f t="shared" si="4"/>
        <v>45689</v>
      </c>
      <c r="L999" s="7" t="str">
        <f t="shared" si="5"/>
        <v/>
      </c>
      <c r="M999" s="7" t="str">
        <f>IFERROR(__xludf.DUMMYFUNCTION("IFERROR(
  IF(
    F999 &gt;
    3*AVERAGE(
       FILTER($F$2:$F10491,
         $G$2:$G10491=G999,
         $A$2:$A10491&gt;=A999-20,
         $A$2:$A10491&lt;=A999
       )
    ),
    ""VOL_SPIKE_3X"",""""
  ),
"""")
"),"")</f>
        <v/>
      </c>
      <c r="N999" s="7" t="str">
        <f t="shared" si="6"/>
        <v/>
      </c>
      <c r="O999" s="7" t="str">
        <f t="shared" si="7"/>
        <v/>
      </c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>
        <f>IFERROR(__xludf.DUMMYFUNCTION("""COMPUTED_VALUE"""),45695.0)</f>
        <v>45695</v>
      </c>
      <c r="B1000" s="6">
        <f>IFERROR(__xludf.DUMMYFUNCTION("""COMPUTED_VALUE"""),273.1)</f>
        <v>273.1</v>
      </c>
      <c r="C1000" s="6">
        <f>IFERROR(__xludf.DUMMYFUNCTION("""COMPUTED_VALUE"""),281.9)</f>
        <v>281.9</v>
      </c>
      <c r="D1000" s="6">
        <f>IFERROR(__xludf.DUMMYFUNCTION("""COMPUTED_VALUE"""),270.0)</f>
        <v>270</v>
      </c>
      <c r="E1000" s="6">
        <f>IFERROR(__xludf.DUMMYFUNCTION("""COMPUTED_VALUE"""),278.15)</f>
        <v>278.15</v>
      </c>
      <c r="F1000" s="7">
        <f>IFERROR(__xludf.DUMMYFUNCTION("""COMPUTED_VALUE"""),1.7193482E7)</f>
        <v>17193482</v>
      </c>
      <c r="G1000" s="7" t="str">
        <f>IFERROR(__xludf.DUMMYFUNCTION("""COMPUTED_VALUE"""),"POWERGRID.NS")</f>
        <v>POWERGRID.NS</v>
      </c>
      <c r="H1000" s="8">
        <f t="shared" si="1"/>
        <v>0.01849139509</v>
      </c>
      <c r="I1000" s="8">
        <f t="shared" si="2"/>
        <v>0.01849139509</v>
      </c>
      <c r="J1000" s="7" t="str">
        <f t="shared" si="3"/>
        <v>Feb-2025</v>
      </c>
      <c r="K1000" s="9">
        <f t="shared" si="4"/>
        <v>45689</v>
      </c>
      <c r="L1000" s="7" t="str">
        <f t="shared" si="5"/>
        <v/>
      </c>
      <c r="M1000" s="7" t="str">
        <f>IFERROR(__xludf.DUMMYFUNCTION("IFERROR(
  IF(
    F1000 &gt;
    3*AVERAGE(
       FILTER($F$2:$F10491,
         $G$2:$G10491=G1000,
         $A$2:$A10491&gt;=A1000-20,
         $A$2:$A10491&lt;=A1000
       )
    ),
    ""VOL_SPIKE_3X"",""""
  ),
"""")
"),"")</f>
        <v/>
      </c>
      <c r="N1000" s="7" t="str">
        <f t="shared" si="6"/>
        <v/>
      </c>
      <c r="O1000" s="7" t="str">
        <f t="shared" si="7"/>
        <v/>
      </c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5">
        <f>IFERROR(__xludf.DUMMYFUNCTION("""COMPUTED_VALUE"""),45695.0)</f>
        <v>45695</v>
      </c>
      <c r="B1001" s="6">
        <f>IFERROR(__xludf.DUMMYFUNCTION("""COMPUTED_VALUE"""),1276.15)</f>
        <v>1276.15</v>
      </c>
      <c r="C1001" s="6">
        <f>IFERROR(__xludf.DUMMYFUNCTION("""COMPUTED_VALUE"""),1283.7)</f>
        <v>1283.7</v>
      </c>
      <c r="D1001" s="6">
        <f>IFERROR(__xludf.DUMMYFUNCTION("""COMPUTED_VALUE"""),1262.0)</f>
        <v>1262</v>
      </c>
      <c r="E1001" s="6">
        <f>IFERROR(__xludf.DUMMYFUNCTION("""COMPUTED_VALUE"""),1266.7)</f>
        <v>1266.7</v>
      </c>
      <c r="F1001" s="7">
        <f>IFERROR(__xludf.DUMMYFUNCTION("""COMPUTED_VALUE"""),8764283.0)</f>
        <v>8764283</v>
      </c>
      <c r="G1001" s="7" t="str">
        <f>IFERROR(__xludf.DUMMYFUNCTION("""COMPUTED_VALUE"""),"RELIANCE.NS")</f>
        <v>RELIANCE.NS</v>
      </c>
      <c r="H1001" s="8">
        <f t="shared" si="1"/>
        <v>-0.007405085609</v>
      </c>
      <c r="I1001" s="8">
        <f t="shared" si="2"/>
        <v>0.007405085609</v>
      </c>
      <c r="J1001" s="7" t="str">
        <f t="shared" si="3"/>
        <v>Feb-2025</v>
      </c>
      <c r="K1001" s="9">
        <f t="shared" si="4"/>
        <v>45689</v>
      </c>
      <c r="L1001" s="7" t="str">
        <f t="shared" si="5"/>
        <v/>
      </c>
      <c r="M1001" s="7" t="str">
        <f>IFERROR(__xludf.DUMMYFUNCTION("IFERROR(
  IF(
    F1001 &gt;
    3*AVERAGE(
       FILTER($F$2:$F10491,
         $G$2:$G10491=G1001,
         $A$2:$A10491&gt;=A1001-20,
         $A$2:$A10491&lt;=A1001
       )
    ),
    ""VOL_SPIKE_3X"",""""
  ),
"""")
"),"")</f>
        <v/>
      </c>
      <c r="N1001" s="7" t="str">
        <f t="shared" si="6"/>
        <v/>
      </c>
      <c r="O1001" s="7" t="str">
        <f t="shared" si="7"/>
        <v/>
      </c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5">
        <f>IFERROR(__xludf.DUMMYFUNCTION("""COMPUTED_VALUE"""),45698.0)</f>
        <v>45698</v>
      </c>
      <c r="B1002" s="6">
        <f>IFERROR(__xludf.DUMMYFUNCTION("""COMPUTED_VALUE"""),776.9)</f>
        <v>776.9</v>
      </c>
      <c r="C1002" s="6">
        <f>IFERROR(__xludf.DUMMYFUNCTION("""COMPUTED_VALUE"""),777.0)</f>
        <v>777</v>
      </c>
      <c r="D1002" s="6">
        <f>IFERROR(__xludf.DUMMYFUNCTION("""COMPUTED_VALUE"""),738.05)</f>
        <v>738.05</v>
      </c>
      <c r="E1002" s="6">
        <f>IFERROR(__xludf.DUMMYFUNCTION("""COMPUTED_VALUE"""),741.7)</f>
        <v>741.7</v>
      </c>
      <c r="F1002" s="7">
        <f>IFERROR(__xludf.DUMMYFUNCTION("""COMPUTED_VALUE"""),1132859.0)</f>
        <v>1132859</v>
      </c>
      <c r="G1002" s="7" t="str">
        <f>IFERROR(__xludf.DUMMYFUNCTION("""COMPUTED_VALUE"""),"ADANIENSOL.NS")</f>
        <v>ADANIENSOL.NS</v>
      </c>
      <c r="H1002" s="8">
        <f t="shared" si="1"/>
        <v>-0.04530827648</v>
      </c>
      <c r="I1002" s="8">
        <f t="shared" si="2"/>
        <v>0.04530827648</v>
      </c>
      <c r="J1002" s="7" t="str">
        <f t="shared" si="3"/>
        <v>Feb-2025</v>
      </c>
      <c r="K1002" s="9">
        <f t="shared" si="4"/>
        <v>45689</v>
      </c>
      <c r="L1002" s="7" t="str">
        <f t="shared" si="5"/>
        <v/>
      </c>
      <c r="M1002" s="7" t="str">
        <f>IFERROR(__xludf.DUMMYFUNCTION("IFERROR(
  IF(
    F1002 &gt;
    3*AVERAGE(
       FILTER($F$2:$F10491,
         $G$2:$G10491=G1002,
         $A$2:$A10491&gt;=A1002-20,
         $A$2:$A10491&lt;=A1002
       )
    ),
    ""VOL_SPIKE_3X"",""""
  ),
"""")
"),"")</f>
        <v/>
      </c>
      <c r="N1002" s="7" t="str">
        <f t="shared" si="6"/>
        <v/>
      </c>
      <c r="O1002" s="7" t="str">
        <f t="shared" si="7"/>
        <v/>
      </c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5">
        <f>IFERROR(__xludf.DUMMYFUNCTION("""COMPUTED_VALUE"""),45698.0)</f>
        <v>45698</v>
      </c>
      <c r="B1003" s="6">
        <f>IFERROR(__xludf.DUMMYFUNCTION("""COMPUTED_VALUE"""),996.0)</f>
        <v>996</v>
      </c>
      <c r="C1003" s="6">
        <f>IFERROR(__xludf.DUMMYFUNCTION("""COMPUTED_VALUE"""),998.95)</f>
        <v>998.95</v>
      </c>
      <c r="D1003" s="6">
        <f>IFERROR(__xludf.DUMMYFUNCTION("""COMPUTED_VALUE"""),950.05)</f>
        <v>950.05</v>
      </c>
      <c r="E1003" s="6">
        <f>IFERROR(__xludf.DUMMYFUNCTION("""COMPUTED_VALUE"""),954.05)</f>
        <v>954.05</v>
      </c>
      <c r="F1003" s="7">
        <f>IFERROR(__xludf.DUMMYFUNCTION("""COMPUTED_VALUE"""),1527205.0)</f>
        <v>1527205</v>
      </c>
      <c r="G1003" s="7" t="str">
        <f>IFERROR(__xludf.DUMMYFUNCTION("""COMPUTED_VALUE"""),"ADANIGREEN.NS")</f>
        <v>ADANIGREEN.NS</v>
      </c>
      <c r="H1003" s="8">
        <f t="shared" si="1"/>
        <v>-0.0421184739</v>
      </c>
      <c r="I1003" s="8">
        <f t="shared" si="2"/>
        <v>0.0421184739</v>
      </c>
      <c r="J1003" s="7" t="str">
        <f t="shared" si="3"/>
        <v>Feb-2025</v>
      </c>
      <c r="K1003" s="9">
        <f t="shared" si="4"/>
        <v>45689</v>
      </c>
      <c r="L1003" s="7" t="str">
        <f t="shared" si="5"/>
        <v/>
      </c>
      <c r="M1003" s="7" t="str">
        <f>IFERROR(__xludf.DUMMYFUNCTION("IFERROR(
  IF(
    F1003 &gt;
    3*AVERAGE(
       FILTER($F$2:$F10491,
         $G$2:$G10491=G1003,
         $A$2:$A10491&gt;=A1003-20,
         $A$2:$A10491&lt;=A1003
       )
    ),
    ""VOL_SPIKE_3X"",""""
  ),
"""")
"),"")</f>
        <v/>
      </c>
      <c r="N1003" s="7" t="str">
        <f t="shared" si="6"/>
        <v/>
      </c>
      <c r="O1003" s="7" t="str">
        <f t="shared" si="7"/>
        <v/>
      </c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5">
        <f>IFERROR(__xludf.DUMMYFUNCTION("""COMPUTED_VALUE"""),45698.0)</f>
        <v>45698</v>
      </c>
      <c r="B1004" s="6">
        <f>IFERROR(__xludf.DUMMYFUNCTION("""COMPUTED_VALUE"""),264.55)</f>
        <v>264.55</v>
      </c>
      <c r="C1004" s="6">
        <f>IFERROR(__xludf.DUMMYFUNCTION("""COMPUTED_VALUE"""),265.8)</f>
        <v>265.8</v>
      </c>
      <c r="D1004" s="6">
        <f>IFERROR(__xludf.DUMMYFUNCTION("""COMPUTED_VALUE"""),257.5)</f>
        <v>257.5</v>
      </c>
      <c r="E1004" s="6">
        <f>IFERROR(__xludf.DUMMYFUNCTION("""COMPUTED_VALUE"""),259.9)</f>
        <v>259.9</v>
      </c>
      <c r="F1004" s="7">
        <f>IFERROR(__xludf.DUMMYFUNCTION("""COMPUTED_VALUE"""),8052376.0)</f>
        <v>8052376</v>
      </c>
      <c r="G1004" s="7" t="str">
        <f>IFERROR(__xludf.DUMMYFUNCTION("""COMPUTED_VALUE"""),"BPCL.NS")</f>
        <v>BPCL.NS</v>
      </c>
      <c r="H1004" s="8">
        <f t="shared" si="1"/>
        <v>-0.01757701758</v>
      </c>
      <c r="I1004" s="8">
        <f t="shared" si="2"/>
        <v>0.01757701758</v>
      </c>
      <c r="J1004" s="7" t="str">
        <f t="shared" si="3"/>
        <v>Feb-2025</v>
      </c>
      <c r="K1004" s="9">
        <f t="shared" si="4"/>
        <v>45689</v>
      </c>
      <c r="L1004" s="7" t="str">
        <f t="shared" si="5"/>
        <v/>
      </c>
      <c r="M1004" s="7" t="str">
        <f>IFERROR(__xludf.DUMMYFUNCTION("IFERROR(
  IF(
    F1004 &gt;
    3*AVERAGE(
       FILTER($F$2:$F10491,
         $G$2:$G10491=G1004,
         $A$2:$A10491&gt;=A1004-20,
         $A$2:$A10491&lt;=A1004
       )
    ),
    ""VOL_SPIKE_3X"",""""
  ),
"""")
"),"")</f>
        <v/>
      </c>
      <c r="N1004" s="7" t="str">
        <f t="shared" si="6"/>
        <v/>
      </c>
      <c r="O1004" s="7" t="str">
        <f t="shared" si="7"/>
        <v/>
      </c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5">
        <f>IFERROR(__xludf.DUMMYFUNCTION("""COMPUTED_VALUE"""),45698.0)</f>
        <v>45698</v>
      </c>
      <c r="B1005" s="6">
        <f>IFERROR(__xludf.DUMMYFUNCTION("""COMPUTED_VALUE"""),377.0)</f>
        <v>377</v>
      </c>
      <c r="C1005" s="6">
        <f>IFERROR(__xludf.DUMMYFUNCTION("""COMPUTED_VALUE"""),379.85)</f>
        <v>379.85</v>
      </c>
      <c r="D1005" s="6">
        <f>IFERROR(__xludf.DUMMYFUNCTION("""COMPUTED_VALUE"""),369.0)</f>
        <v>369</v>
      </c>
      <c r="E1005" s="6">
        <f>IFERROR(__xludf.DUMMYFUNCTION("""COMPUTED_VALUE"""),370.5)</f>
        <v>370.5</v>
      </c>
      <c r="F1005" s="7">
        <f>IFERROR(__xludf.DUMMYFUNCTION("""COMPUTED_VALUE"""),3380494.0)</f>
        <v>3380494</v>
      </c>
      <c r="G1005" s="7" t="str">
        <f>IFERROR(__xludf.DUMMYFUNCTION("""COMPUTED_VALUE"""),"COALINDIA.NS")</f>
        <v>COALINDIA.NS</v>
      </c>
      <c r="H1005" s="8">
        <f t="shared" si="1"/>
        <v>-0.01724137931</v>
      </c>
      <c r="I1005" s="8">
        <f t="shared" si="2"/>
        <v>0.01724137931</v>
      </c>
      <c r="J1005" s="7" t="str">
        <f t="shared" si="3"/>
        <v>Feb-2025</v>
      </c>
      <c r="K1005" s="9">
        <f t="shared" si="4"/>
        <v>45689</v>
      </c>
      <c r="L1005" s="7" t="str">
        <f t="shared" si="5"/>
        <v/>
      </c>
      <c r="M1005" s="7" t="str">
        <f>IFERROR(__xludf.DUMMYFUNCTION("IFERROR(
  IF(
    F1005 &gt;
    3*AVERAGE(
       FILTER($F$2:$F10491,
         $G$2:$G10491=G1005,
         $A$2:$A10491&gt;=A1005-20,
         $A$2:$A10491&lt;=A1005
       )
    ),
    ""VOL_SPIKE_3X"",""""
  ),
"""")
"),"")</f>
        <v/>
      </c>
      <c r="N1005" s="7" t="str">
        <f t="shared" si="6"/>
        <v/>
      </c>
      <c r="O1005" s="7" t="str">
        <f t="shared" si="7"/>
        <v/>
      </c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5">
        <f>IFERROR(__xludf.DUMMYFUNCTION("""COMPUTED_VALUE"""),45698.0)</f>
        <v>45698</v>
      </c>
      <c r="B1006" s="6">
        <f>IFERROR(__xludf.DUMMYFUNCTION("""COMPUTED_VALUE"""),343.0)</f>
        <v>343</v>
      </c>
      <c r="C1006" s="6">
        <f>IFERROR(__xludf.DUMMYFUNCTION("""COMPUTED_VALUE"""),344.0)</f>
        <v>344</v>
      </c>
      <c r="D1006" s="6">
        <f>IFERROR(__xludf.DUMMYFUNCTION("""COMPUTED_VALUE"""),335.05)</f>
        <v>335.05</v>
      </c>
      <c r="E1006" s="6">
        <f>IFERROR(__xludf.DUMMYFUNCTION("""COMPUTED_VALUE"""),338.3)</f>
        <v>338.3</v>
      </c>
      <c r="F1006" s="7">
        <f>IFERROR(__xludf.DUMMYFUNCTION("""COMPUTED_VALUE"""),1957224.0)</f>
        <v>1957224</v>
      </c>
      <c r="G1006" s="7" t="str">
        <f>IFERROR(__xludf.DUMMYFUNCTION("""COMPUTED_VALUE"""),"HINDPETRO.NS")</f>
        <v>HINDPETRO.NS</v>
      </c>
      <c r="H1006" s="8">
        <f t="shared" si="1"/>
        <v>-0.01370262391</v>
      </c>
      <c r="I1006" s="8">
        <f t="shared" si="2"/>
        <v>0.01370262391</v>
      </c>
      <c r="J1006" s="7" t="str">
        <f t="shared" si="3"/>
        <v>Feb-2025</v>
      </c>
      <c r="K1006" s="9">
        <f t="shared" si="4"/>
        <v>45689</v>
      </c>
      <c r="L1006" s="7" t="str">
        <f t="shared" si="5"/>
        <v/>
      </c>
      <c r="M1006" s="7" t="str">
        <f>IFERROR(__xludf.DUMMYFUNCTION("IFERROR(
  IF(
    F1006 &gt;
    3*AVERAGE(
       FILTER($F$2:$F10491,
         $G$2:$G10491=G1006,
         $A$2:$A10491&gt;=A1006-20,
         $A$2:$A10491&lt;=A1006
       )
    ),
    ""VOL_SPIKE_3X"",""""
  ),
"""")
"),"")</f>
        <v/>
      </c>
      <c r="N1006" s="7" t="str">
        <f t="shared" si="6"/>
        <v/>
      </c>
      <c r="O1006" s="7" t="str">
        <f t="shared" si="7"/>
        <v/>
      </c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5">
        <f>IFERROR(__xludf.DUMMYFUNCTION("""COMPUTED_VALUE"""),45698.0)</f>
        <v>45698</v>
      </c>
      <c r="B1007" s="6">
        <f>IFERROR(__xludf.DUMMYFUNCTION("""COMPUTED_VALUE"""),125.0)</f>
        <v>125</v>
      </c>
      <c r="C1007" s="6">
        <f>IFERROR(__xludf.DUMMYFUNCTION("""COMPUTED_VALUE"""),126.62)</f>
        <v>126.62</v>
      </c>
      <c r="D1007" s="6">
        <f>IFERROR(__xludf.DUMMYFUNCTION("""COMPUTED_VALUE"""),122.86)</f>
        <v>122.86</v>
      </c>
      <c r="E1007" s="6">
        <f>IFERROR(__xludf.DUMMYFUNCTION("""COMPUTED_VALUE"""),123.18)</f>
        <v>123.18</v>
      </c>
      <c r="F1007" s="7">
        <f>IFERROR(__xludf.DUMMYFUNCTION("""COMPUTED_VALUE"""),1.2773729E7)</f>
        <v>12773729</v>
      </c>
      <c r="G1007" s="7" t="str">
        <f>IFERROR(__xludf.DUMMYFUNCTION("""COMPUTED_VALUE"""),"IOC.NS")</f>
        <v>IOC.NS</v>
      </c>
      <c r="H1007" s="8">
        <f t="shared" si="1"/>
        <v>-0.01456</v>
      </c>
      <c r="I1007" s="8">
        <f t="shared" si="2"/>
        <v>0.01456</v>
      </c>
      <c r="J1007" s="7" t="str">
        <f t="shared" si="3"/>
        <v>Feb-2025</v>
      </c>
      <c r="K1007" s="9">
        <f t="shared" si="4"/>
        <v>45689</v>
      </c>
      <c r="L1007" s="7" t="str">
        <f t="shared" si="5"/>
        <v/>
      </c>
      <c r="M1007" s="7" t="str">
        <f>IFERROR(__xludf.DUMMYFUNCTION("IFERROR(
  IF(
    F1007 &gt;
    3*AVERAGE(
       FILTER($F$2:$F10491,
         $G$2:$G10491=G1007,
         $A$2:$A10491&gt;=A1007-20,
         $A$2:$A10491&lt;=A1007
       )
    ),
    ""VOL_SPIKE_3X"",""""
  ),
"""")
"),"")</f>
        <v/>
      </c>
      <c r="N1007" s="7" t="str">
        <f t="shared" si="6"/>
        <v/>
      </c>
      <c r="O1007" s="7" t="str">
        <f t="shared" si="7"/>
        <v/>
      </c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5">
        <f>IFERROR(__xludf.DUMMYFUNCTION("""COMPUTED_VALUE"""),45698.0)</f>
        <v>45698</v>
      </c>
      <c r="B1008" s="6">
        <f>IFERROR(__xludf.DUMMYFUNCTION("""COMPUTED_VALUE"""),316.5)</f>
        <v>316.5</v>
      </c>
      <c r="C1008" s="6">
        <f>IFERROR(__xludf.DUMMYFUNCTION("""COMPUTED_VALUE"""),316.85)</f>
        <v>316.85</v>
      </c>
      <c r="D1008" s="6">
        <f>IFERROR(__xludf.DUMMYFUNCTION("""COMPUTED_VALUE"""),309.0)</f>
        <v>309</v>
      </c>
      <c r="E1008" s="6">
        <f>IFERROR(__xludf.DUMMYFUNCTION("""COMPUTED_VALUE"""),310.5)</f>
        <v>310.5</v>
      </c>
      <c r="F1008" s="7">
        <f>IFERROR(__xludf.DUMMYFUNCTION("""COMPUTED_VALUE"""),6806132.0)</f>
        <v>6806132</v>
      </c>
      <c r="G1008" s="7" t="str">
        <f>IFERROR(__xludf.DUMMYFUNCTION("""COMPUTED_VALUE"""),"NTPC.NS")</f>
        <v>NTPC.NS</v>
      </c>
      <c r="H1008" s="8">
        <f t="shared" si="1"/>
        <v>-0.01895734597</v>
      </c>
      <c r="I1008" s="8">
        <f t="shared" si="2"/>
        <v>0.01895734597</v>
      </c>
      <c r="J1008" s="7" t="str">
        <f t="shared" si="3"/>
        <v>Feb-2025</v>
      </c>
      <c r="K1008" s="9">
        <f t="shared" si="4"/>
        <v>45689</v>
      </c>
      <c r="L1008" s="7" t="str">
        <f t="shared" si="5"/>
        <v/>
      </c>
      <c r="M1008" s="7" t="str">
        <f>IFERROR(__xludf.DUMMYFUNCTION("IFERROR(
  IF(
    F1008 &gt;
    3*AVERAGE(
       FILTER($F$2:$F10491,
         $G$2:$G10491=G1008,
         $A$2:$A10491&gt;=A1008-20,
         $A$2:$A10491&lt;=A1008
       )
    ),
    ""VOL_SPIKE_3X"",""""
  ),
"""")
"),"")</f>
        <v/>
      </c>
      <c r="N1008" s="7" t="str">
        <f t="shared" si="6"/>
        <v/>
      </c>
      <c r="O1008" s="7" t="str">
        <f t="shared" si="7"/>
        <v/>
      </c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5">
        <f>IFERROR(__xludf.DUMMYFUNCTION("""COMPUTED_VALUE"""),45698.0)</f>
        <v>45698</v>
      </c>
      <c r="B1009" s="6">
        <f>IFERROR(__xludf.DUMMYFUNCTION("""COMPUTED_VALUE"""),248.95)</f>
        <v>248.95</v>
      </c>
      <c r="C1009" s="6">
        <f>IFERROR(__xludf.DUMMYFUNCTION("""COMPUTED_VALUE"""),249.6)</f>
        <v>249.6</v>
      </c>
      <c r="D1009" s="6">
        <f>IFERROR(__xludf.DUMMYFUNCTION("""COMPUTED_VALUE"""),241.8)</f>
        <v>241.8</v>
      </c>
      <c r="E1009" s="6">
        <f>IFERROR(__xludf.DUMMYFUNCTION("""COMPUTED_VALUE"""),242.45)</f>
        <v>242.45</v>
      </c>
      <c r="F1009" s="7">
        <f>IFERROR(__xludf.DUMMYFUNCTION("""COMPUTED_VALUE"""),7582536.0)</f>
        <v>7582536</v>
      </c>
      <c r="G1009" s="7" t="str">
        <f>IFERROR(__xludf.DUMMYFUNCTION("""COMPUTED_VALUE"""),"ONGC.NS")</f>
        <v>ONGC.NS</v>
      </c>
      <c r="H1009" s="8">
        <f t="shared" si="1"/>
        <v>-0.02610966057</v>
      </c>
      <c r="I1009" s="8">
        <f t="shared" si="2"/>
        <v>0.02610966057</v>
      </c>
      <c r="J1009" s="7" t="str">
        <f t="shared" si="3"/>
        <v>Feb-2025</v>
      </c>
      <c r="K1009" s="9">
        <f t="shared" si="4"/>
        <v>45689</v>
      </c>
      <c r="L1009" s="7" t="str">
        <f t="shared" si="5"/>
        <v/>
      </c>
      <c r="M1009" s="7" t="str">
        <f>IFERROR(__xludf.DUMMYFUNCTION("IFERROR(
  IF(
    F1009 &gt;
    3*AVERAGE(
       FILTER($F$2:$F10491,
         $G$2:$G10491=G1009,
         $A$2:$A10491&gt;=A1009-20,
         $A$2:$A10491&lt;=A1009
       )
    ),
    ""VOL_SPIKE_3X"",""""
  ),
"""")
"),"")</f>
        <v/>
      </c>
      <c r="N1009" s="7" t="str">
        <f t="shared" si="6"/>
        <v/>
      </c>
      <c r="O1009" s="7" t="str">
        <f t="shared" si="7"/>
        <v/>
      </c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5">
        <f>IFERROR(__xludf.DUMMYFUNCTION("""COMPUTED_VALUE"""),45698.0)</f>
        <v>45698</v>
      </c>
      <c r="B1010" s="6">
        <f>IFERROR(__xludf.DUMMYFUNCTION("""COMPUTED_VALUE"""),275.0)</f>
        <v>275</v>
      </c>
      <c r="C1010" s="6">
        <f>IFERROR(__xludf.DUMMYFUNCTION("""COMPUTED_VALUE"""),276.0)</f>
        <v>276</v>
      </c>
      <c r="D1010" s="6">
        <f>IFERROR(__xludf.DUMMYFUNCTION("""COMPUTED_VALUE"""),268.1)</f>
        <v>268.1</v>
      </c>
      <c r="E1010" s="6">
        <f>IFERROR(__xludf.DUMMYFUNCTION("""COMPUTED_VALUE"""),268.7)</f>
        <v>268.7</v>
      </c>
      <c r="F1010" s="7">
        <f>IFERROR(__xludf.DUMMYFUNCTION("""COMPUTED_VALUE"""),1.670967E7)</f>
        <v>16709670</v>
      </c>
      <c r="G1010" s="7" t="str">
        <f>IFERROR(__xludf.DUMMYFUNCTION("""COMPUTED_VALUE"""),"POWERGRID.NS")</f>
        <v>POWERGRID.NS</v>
      </c>
      <c r="H1010" s="8">
        <f t="shared" si="1"/>
        <v>-0.02290909091</v>
      </c>
      <c r="I1010" s="8">
        <f t="shared" si="2"/>
        <v>0.02290909091</v>
      </c>
      <c r="J1010" s="7" t="str">
        <f t="shared" si="3"/>
        <v>Feb-2025</v>
      </c>
      <c r="K1010" s="9">
        <f t="shared" si="4"/>
        <v>45689</v>
      </c>
      <c r="L1010" s="7" t="str">
        <f t="shared" si="5"/>
        <v/>
      </c>
      <c r="M1010" s="7" t="str">
        <f>IFERROR(__xludf.DUMMYFUNCTION("IFERROR(
  IF(
    F1010 &gt;
    3*AVERAGE(
       FILTER($F$2:$F10491,
         $G$2:$G10491=G1010,
         $A$2:$A10491&gt;=A1010-20,
         $A$2:$A10491&lt;=A1010
       )
    ),
    ""VOL_SPIKE_3X"",""""
  ),
"""")
"),"")</f>
        <v/>
      </c>
      <c r="N1010" s="7" t="str">
        <f t="shared" si="6"/>
        <v/>
      </c>
      <c r="O1010" s="7" t="str">
        <f t="shared" si="7"/>
        <v/>
      </c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5">
        <f>IFERROR(__xludf.DUMMYFUNCTION("""COMPUTED_VALUE"""),45698.0)</f>
        <v>45698</v>
      </c>
      <c r="B1011" s="6">
        <f>IFERROR(__xludf.DUMMYFUNCTION("""COMPUTED_VALUE"""),1264.5)</f>
        <v>1264.5</v>
      </c>
      <c r="C1011" s="6">
        <f>IFERROR(__xludf.DUMMYFUNCTION("""COMPUTED_VALUE"""),1266.5)</f>
        <v>1266.5</v>
      </c>
      <c r="D1011" s="6">
        <f>IFERROR(__xludf.DUMMYFUNCTION("""COMPUTED_VALUE"""),1245.55)</f>
        <v>1245.55</v>
      </c>
      <c r="E1011" s="6">
        <f>IFERROR(__xludf.DUMMYFUNCTION("""COMPUTED_VALUE"""),1253.65)</f>
        <v>1253.65</v>
      </c>
      <c r="F1011" s="7">
        <f>IFERROR(__xludf.DUMMYFUNCTION("""COMPUTED_VALUE"""),6970972.0)</f>
        <v>6970972</v>
      </c>
      <c r="G1011" s="7" t="str">
        <f>IFERROR(__xludf.DUMMYFUNCTION("""COMPUTED_VALUE"""),"RELIANCE.NS")</f>
        <v>RELIANCE.NS</v>
      </c>
      <c r="H1011" s="8">
        <f t="shared" si="1"/>
        <v>-0.008580466588</v>
      </c>
      <c r="I1011" s="8">
        <f t="shared" si="2"/>
        <v>0.008580466588</v>
      </c>
      <c r="J1011" s="7" t="str">
        <f t="shared" si="3"/>
        <v>Feb-2025</v>
      </c>
      <c r="K1011" s="9">
        <f t="shared" si="4"/>
        <v>45689</v>
      </c>
      <c r="L1011" s="7" t="str">
        <f t="shared" si="5"/>
        <v/>
      </c>
      <c r="M1011" s="7" t="str">
        <f>IFERROR(__xludf.DUMMYFUNCTION("IFERROR(
  IF(
    F1011 &gt;
    3*AVERAGE(
       FILTER($F$2:$F10491,
         $G$2:$G10491=G1011,
         $A$2:$A10491&gt;=A1011-20,
         $A$2:$A10491&lt;=A1011
       )
    ),
    ""VOL_SPIKE_3X"",""""
  ),
"""")
"),"")</f>
        <v/>
      </c>
      <c r="N1011" s="7" t="str">
        <f t="shared" si="6"/>
        <v/>
      </c>
      <c r="O1011" s="7" t="str">
        <f t="shared" si="7"/>
        <v/>
      </c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5">
        <f>IFERROR(__xludf.DUMMYFUNCTION("""COMPUTED_VALUE"""),45699.0)</f>
        <v>45699</v>
      </c>
      <c r="B1012" s="6">
        <f>IFERROR(__xludf.DUMMYFUNCTION("""COMPUTED_VALUE"""),741.8)</f>
        <v>741.8</v>
      </c>
      <c r="C1012" s="6">
        <f>IFERROR(__xludf.DUMMYFUNCTION("""COMPUTED_VALUE"""),763.6)</f>
        <v>763.6</v>
      </c>
      <c r="D1012" s="6">
        <f>IFERROR(__xludf.DUMMYFUNCTION("""COMPUTED_VALUE"""),725.2)</f>
        <v>725.2</v>
      </c>
      <c r="E1012" s="6">
        <f>IFERROR(__xludf.DUMMYFUNCTION("""COMPUTED_VALUE"""),732.05)</f>
        <v>732.05</v>
      </c>
      <c r="F1012" s="7">
        <f>IFERROR(__xludf.DUMMYFUNCTION("""COMPUTED_VALUE"""),1530185.0)</f>
        <v>1530185</v>
      </c>
      <c r="G1012" s="7" t="str">
        <f>IFERROR(__xludf.DUMMYFUNCTION("""COMPUTED_VALUE"""),"ADANIENSOL.NS")</f>
        <v>ADANIENSOL.NS</v>
      </c>
      <c r="H1012" s="8">
        <f t="shared" si="1"/>
        <v>-0.0131437045</v>
      </c>
      <c r="I1012" s="8">
        <f t="shared" si="2"/>
        <v>0.0131437045</v>
      </c>
      <c r="J1012" s="7" t="str">
        <f t="shared" si="3"/>
        <v>Feb-2025</v>
      </c>
      <c r="K1012" s="9">
        <f t="shared" si="4"/>
        <v>45689</v>
      </c>
      <c r="L1012" s="7" t="str">
        <f t="shared" si="5"/>
        <v/>
      </c>
      <c r="M1012" s="7" t="str">
        <f>IFERROR(__xludf.DUMMYFUNCTION("IFERROR(
  IF(
    F1012 &gt;
    3*AVERAGE(
       FILTER($F$2:$F10491,
         $G$2:$G10491=G1012,
         $A$2:$A10491&gt;=A1012-20,
         $A$2:$A10491&lt;=A1012
       )
    ),
    ""VOL_SPIKE_3X"",""""
  ),
"""")
"),"")</f>
        <v/>
      </c>
      <c r="N1012" s="7" t="str">
        <f t="shared" si="6"/>
        <v/>
      </c>
      <c r="O1012" s="7" t="str">
        <f t="shared" si="7"/>
        <v/>
      </c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5">
        <f>IFERROR(__xludf.DUMMYFUNCTION("""COMPUTED_VALUE"""),45699.0)</f>
        <v>45699</v>
      </c>
      <c r="B1013" s="6">
        <f>IFERROR(__xludf.DUMMYFUNCTION("""COMPUTED_VALUE"""),965.0)</f>
        <v>965</v>
      </c>
      <c r="C1013" s="6">
        <f>IFERROR(__xludf.DUMMYFUNCTION("""COMPUTED_VALUE"""),985.9)</f>
        <v>985.9</v>
      </c>
      <c r="D1013" s="6">
        <f>IFERROR(__xludf.DUMMYFUNCTION("""COMPUTED_VALUE"""),938.05)</f>
        <v>938.05</v>
      </c>
      <c r="E1013" s="6">
        <f>IFERROR(__xludf.DUMMYFUNCTION("""COMPUTED_VALUE"""),946.2)</f>
        <v>946.2</v>
      </c>
      <c r="F1013" s="7">
        <f>IFERROR(__xludf.DUMMYFUNCTION("""COMPUTED_VALUE"""),3770394.0)</f>
        <v>3770394</v>
      </c>
      <c r="G1013" s="7" t="str">
        <f>IFERROR(__xludf.DUMMYFUNCTION("""COMPUTED_VALUE"""),"ADANIGREEN.NS")</f>
        <v>ADANIGREEN.NS</v>
      </c>
      <c r="H1013" s="8">
        <f t="shared" si="1"/>
        <v>-0.01948186528</v>
      </c>
      <c r="I1013" s="8">
        <f t="shared" si="2"/>
        <v>0.01948186528</v>
      </c>
      <c r="J1013" s="7" t="str">
        <f t="shared" si="3"/>
        <v>Feb-2025</v>
      </c>
      <c r="K1013" s="9">
        <f t="shared" si="4"/>
        <v>45689</v>
      </c>
      <c r="L1013" s="7" t="str">
        <f t="shared" si="5"/>
        <v/>
      </c>
      <c r="M1013" s="7" t="str">
        <f>IFERROR(__xludf.DUMMYFUNCTION("IFERROR(
  IF(
    F1013 &gt;
    3*AVERAGE(
       FILTER($F$2:$F10491,
         $G$2:$G10491=G1013,
         $A$2:$A10491&gt;=A1013-20,
         $A$2:$A10491&lt;=A1013
       )
    ),
    ""VOL_SPIKE_3X"",""""
  ),
"""")
"),"")</f>
        <v/>
      </c>
      <c r="N1013" s="7" t="str">
        <f t="shared" si="6"/>
        <v/>
      </c>
      <c r="O1013" s="7" t="str">
        <f t="shared" si="7"/>
        <v/>
      </c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5">
        <f>IFERROR(__xludf.DUMMYFUNCTION("""COMPUTED_VALUE"""),45699.0)</f>
        <v>45699</v>
      </c>
      <c r="B1014" s="6">
        <f>IFERROR(__xludf.DUMMYFUNCTION("""COMPUTED_VALUE"""),259.5)</f>
        <v>259.5</v>
      </c>
      <c r="C1014" s="6">
        <f>IFERROR(__xludf.DUMMYFUNCTION("""COMPUTED_VALUE"""),259.75)</f>
        <v>259.75</v>
      </c>
      <c r="D1014" s="6">
        <f>IFERROR(__xludf.DUMMYFUNCTION("""COMPUTED_VALUE"""),253.75)</f>
        <v>253.75</v>
      </c>
      <c r="E1014" s="6">
        <f>IFERROR(__xludf.DUMMYFUNCTION("""COMPUTED_VALUE"""),255.15)</f>
        <v>255.15</v>
      </c>
      <c r="F1014" s="7">
        <f>IFERROR(__xludf.DUMMYFUNCTION("""COMPUTED_VALUE"""),6819100.0)</f>
        <v>6819100</v>
      </c>
      <c r="G1014" s="7" t="str">
        <f>IFERROR(__xludf.DUMMYFUNCTION("""COMPUTED_VALUE"""),"BPCL.NS")</f>
        <v>BPCL.NS</v>
      </c>
      <c r="H1014" s="8">
        <f t="shared" si="1"/>
        <v>-0.01676300578</v>
      </c>
      <c r="I1014" s="8">
        <f t="shared" si="2"/>
        <v>0.01676300578</v>
      </c>
      <c r="J1014" s="7" t="str">
        <f t="shared" si="3"/>
        <v>Feb-2025</v>
      </c>
      <c r="K1014" s="9">
        <f t="shared" si="4"/>
        <v>45689</v>
      </c>
      <c r="L1014" s="7" t="str">
        <f t="shared" si="5"/>
        <v/>
      </c>
      <c r="M1014" s="7" t="str">
        <f>IFERROR(__xludf.DUMMYFUNCTION("IFERROR(
  IF(
    F1014 &gt;
    3*AVERAGE(
       FILTER($F$2:$F10491,
         $G$2:$G10491=G1014,
         $A$2:$A10491&gt;=A1014-20,
         $A$2:$A10491&lt;=A1014
       )
    ),
    ""VOL_SPIKE_3X"",""""
  ),
"""")
"),"")</f>
        <v/>
      </c>
      <c r="N1014" s="7" t="str">
        <f t="shared" si="6"/>
        <v/>
      </c>
      <c r="O1014" s="7" t="str">
        <f t="shared" si="7"/>
        <v/>
      </c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5">
        <f>IFERROR(__xludf.DUMMYFUNCTION("""COMPUTED_VALUE"""),45699.0)</f>
        <v>45699</v>
      </c>
      <c r="B1015" s="6">
        <f>IFERROR(__xludf.DUMMYFUNCTION("""COMPUTED_VALUE"""),370.0)</f>
        <v>370</v>
      </c>
      <c r="C1015" s="6">
        <f>IFERROR(__xludf.DUMMYFUNCTION("""COMPUTED_VALUE"""),370.5)</f>
        <v>370.5</v>
      </c>
      <c r="D1015" s="6">
        <f>IFERROR(__xludf.DUMMYFUNCTION("""COMPUTED_VALUE"""),357.5)</f>
        <v>357.5</v>
      </c>
      <c r="E1015" s="6">
        <f>IFERROR(__xludf.DUMMYFUNCTION("""COMPUTED_VALUE"""),359.0)</f>
        <v>359</v>
      </c>
      <c r="F1015" s="7">
        <f>IFERROR(__xludf.DUMMYFUNCTION("""COMPUTED_VALUE"""),6803431.0)</f>
        <v>6803431</v>
      </c>
      <c r="G1015" s="7" t="str">
        <f>IFERROR(__xludf.DUMMYFUNCTION("""COMPUTED_VALUE"""),"COALINDIA.NS")</f>
        <v>COALINDIA.NS</v>
      </c>
      <c r="H1015" s="8">
        <f t="shared" si="1"/>
        <v>-0.02972972973</v>
      </c>
      <c r="I1015" s="8">
        <f t="shared" si="2"/>
        <v>0.02972972973</v>
      </c>
      <c r="J1015" s="7" t="str">
        <f t="shared" si="3"/>
        <v>Feb-2025</v>
      </c>
      <c r="K1015" s="9">
        <f t="shared" si="4"/>
        <v>45689</v>
      </c>
      <c r="L1015" s="7" t="str">
        <f t="shared" si="5"/>
        <v/>
      </c>
      <c r="M1015" s="7" t="str">
        <f>IFERROR(__xludf.DUMMYFUNCTION("IFERROR(
  IF(
    F1015 &gt;
    3*AVERAGE(
       FILTER($F$2:$F10491,
         $G$2:$G10491=G1015,
         $A$2:$A10491&gt;=A1015-20,
         $A$2:$A10491&lt;=A1015
       )
    ),
    ""VOL_SPIKE_3X"",""""
  ),
"""")
"),"")</f>
        <v/>
      </c>
      <c r="N1015" s="7" t="str">
        <f t="shared" si="6"/>
        <v/>
      </c>
      <c r="O1015" s="7" t="str">
        <f t="shared" si="7"/>
        <v/>
      </c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5">
        <f>IFERROR(__xludf.DUMMYFUNCTION("""COMPUTED_VALUE"""),45699.0)</f>
        <v>45699</v>
      </c>
      <c r="B1016" s="6">
        <f>IFERROR(__xludf.DUMMYFUNCTION("""COMPUTED_VALUE"""),338.3)</f>
        <v>338.3</v>
      </c>
      <c r="C1016" s="6">
        <f>IFERROR(__xludf.DUMMYFUNCTION("""COMPUTED_VALUE"""),338.3)</f>
        <v>338.3</v>
      </c>
      <c r="D1016" s="6">
        <f>IFERROR(__xludf.DUMMYFUNCTION("""COMPUTED_VALUE"""),328.25)</f>
        <v>328.25</v>
      </c>
      <c r="E1016" s="6">
        <f>IFERROR(__xludf.DUMMYFUNCTION("""COMPUTED_VALUE"""),330.0)</f>
        <v>330</v>
      </c>
      <c r="F1016" s="7">
        <f>IFERROR(__xludf.DUMMYFUNCTION("""COMPUTED_VALUE"""),1562978.0)</f>
        <v>1562978</v>
      </c>
      <c r="G1016" s="7" t="str">
        <f>IFERROR(__xludf.DUMMYFUNCTION("""COMPUTED_VALUE"""),"HINDPETRO.NS")</f>
        <v>HINDPETRO.NS</v>
      </c>
      <c r="H1016" s="8">
        <f t="shared" si="1"/>
        <v>-0.02453443689</v>
      </c>
      <c r="I1016" s="8">
        <f t="shared" si="2"/>
        <v>0.02453443689</v>
      </c>
      <c r="J1016" s="7" t="str">
        <f t="shared" si="3"/>
        <v>Feb-2025</v>
      </c>
      <c r="K1016" s="9">
        <f t="shared" si="4"/>
        <v>45689</v>
      </c>
      <c r="L1016" s="7" t="str">
        <f t="shared" si="5"/>
        <v/>
      </c>
      <c r="M1016" s="7" t="str">
        <f>IFERROR(__xludf.DUMMYFUNCTION("IFERROR(
  IF(
    F1016 &gt;
    3*AVERAGE(
       FILTER($F$2:$F10491,
         $G$2:$G10491=G1016,
         $A$2:$A10491&gt;=A1016-20,
         $A$2:$A10491&lt;=A1016
       )
    ),
    ""VOL_SPIKE_3X"",""""
  ),
"""")
"),"")</f>
        <v/>
      </c>
      <c r="N1016" s="7" t="str">
        <f t="shared" si="6"/>
        <v/>
      </c>
      <c r="O1016" s="7" t="str">
        <f t="shared" si="7"/>
        <v/>
      </c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5">
        <f>IFERROR(__xludf.DUMMYFUNCTION("""COMPUTED_VALUE"""),45699.0)</f>
        <v>45699</v>
      </c>
      <c r="B1017" s="6">
        <f>IFERROR(__xludf.DUMMYFUNCTION("""COMPUTED_VALUE"""),123.18)</f>
        <v>123.18</v>
      </c>
      <c r="C1017" s="6">
        <f>IFERROR(__xludf.DUMMYFUNCTION("""COMPUTED_VALUE"""),123.74)</f>
        <v>123.74</v>
      </c>
      <c r="D1017" s="6">
        <f>IFERROR(__xludf.DUMMYFUNCTION("""COMPUTED_VALUE"""),120.0)</f>
        <v>120</v>
      </c>
      <c r="E1017" s="6">
        <f>IFERROR(__xludf.DUMMYFUNCTION("""COMPUTED_VALUE"""),120.47)</f>
        <v>120.47</v>
      </c>
      <c r="F1017" s="7">
        <f>IFERROR(__xludf.DUMMYFUNCTION("""COMPUTED_VALUE"""),1.453281E7)</f>
        <v>14532810</v>
      </c>
      <c r="G1017" s="7" t="str">
        <f>IFERROR(__xludf.DUMMYFUNCTION("""COMPUTED_VALUE"""),"IOC.NS")</f>
        <v>IOC.NS</v>
      </c>
      <c r="H1017" s="8">
        <f t="shared" si="1"/>
        <v>-0.02200032473</v>
      </c>
      <c r="I1017" s="8">
        <f t="shared" si="2"/>
        <v>0.02200032473</v>
      </c>
      <c r="J1017" s="7" t="str">
        <f t="shared" si="3"/>
        <v>Feb-2025</v>
      </c>
      <c r="K1017" s="9">
        <f t="shared" si="4"/>
        <v>45689</v>
      </c>
      <c r="L1017" s="7" t="str">
        <f t="shared" si="5"/>
        <v/>
      </c>
      <c r="M1017" s="7" t="str">
        <f>IFERROR(__xludf.DUMMYFUNCTION("IFERROR(
  IF(
    F1017 &gt;
    3*AVERAGE(
       FILTER($F$2:$F10491,
         $G$2:$G10491=G1017,
         $A$2:$A10491&gt;=A1017-20,
         $A$2:$A10491&lt;=A1017
       )
    ),
    ""VOL_SPIKE_3X"",""""
  ),
"""")
"),"")</f>
        <v/>
      </c>
      <c r="N1017" s="7" t="str">
        <f t="shared" si="6"/>
        <v/>
      </c>
      <c r="O1017" s="7" t="str">
        <f t="shared" si="7"/>
        <v/>
      </c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5">
        <f>IFERROR(__xludf.DUMMYFUNCTION("""COMPUTED_VALUE"""),45699.0)</f>
        <v>45699</v>
      </c>
      <c r="B1018" s="6">
        <f>IFERROR(__xludf.DUMMYFUNCTION("""COMPUTED_VALUE"""),312.35)</f>
        <v>312.35</v>
      </c>
      <c r="C1018" s="6">
        <f>IFERROR(__xludf.DUMMYFUNCTION("""COMPUTED_VALUE"""),312.35)</f>
        <v>312.35</v>
      </c>
      <c r="D1018" s="6">
        <f>IFERROR(__xludf.DUMMYFUNCTION("""COMPUTED_VALUE"""),304.15)</f>
        <v>304.15</v>
      </c>
      <c r="E1018" s="6">
        <f>IFERROR(__xludf.DUMMYFUNCTION("""COMPUTED_VALUE"""),305.6)</f>
        <v>305.6</v>
      </c>
      <c r="F1018" s="7">
        <f>IFERROR(__xludf.DUMMYFUNCTION("""COMPUTED_VALUE"""),1.324183E7)</f>
        <v>13241830</v>
      </c>
      <c r="G1018" s="7" t="str">
        <f>IFERROR(__xludf.DUMMYFUNCTION("""COMPUTED_VALUE"""),"NTPC.NS")</f>
        <v>NTPC.NS</v>
      </c>
      <c r="H1018" s="8">
        <f t="shared" si="1"/>
        <v>-0.02161037298</v>
      </c>
      <c r="I1018" s="8">
        <f t="shared" si="2"/>
        <v>0.02161037298</v>
      </c>
      <c r="J1018" s="7" t="str">
        <f t="shared" si="3"/>
        <v>Feb-2025</v>
      </c>
      <c r="K1018" s="9">
        <f t="shared" si="4"/>
        <v>45689</v>
      </c>
      <c r="L1018" s="7" t="str">
        <f t="shared" si="5"/>
        <v/>
      </c>
      <c r="M1018" s="7" t="str">
        <f>IFERROR(__xludf.DUMMYFUNCTION("IFERROR(
  IF(
    F1018 &gt;
    3*AVERAGE(
       FILTER($F$2:$F10491,
         $G$2:$G10491=G1018,
         $A$2:$A10491&gt;=A1018-20,
         $A$2:$A10491&lt;=A1018
       )
    ),
    ""VOL_SPIKE_3X"",""""
  ),
"""")
"),"")</f>
        <v/>
      </c>
      <c r="N1018" s="7" t="str">
        <f t="shared" si="6"/>
        <v/>
      </c>
      <c r="O1018" s="7" t="str">
        <f t="shared" si="7"/>
        <v/>
      </c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5">
        <f>IFERROR(__xludf.DUMMYFUNCTION("""COMPUTED_VALUE"""),45699.0)</f>
        <v>45699</v>
      </c>
      <c r="B1019" s="6">
        <f>IFERROR(__xludf.DUMMYFUNCTION("""COMPUTED_VALUE"""),242.45)</f>
        <v>242.45</v>
      </c>
      <c r="C1019" s="6">
        <f>IFERROR(__xludf.DUMMYFUNCTION("""COMPUTED_VALUE"""),242.45)</f>
        <v>242.45</v>
      </c>
      <c r="D1019" s="6">
        <f>IFERROR(__xludf.DUMMYFUNCTION("""COMPUTED_VALUE"""),236.8)</f>
        <v>236.8</v>
      </c>
      <c r="E1019" s="6">
        <f>IFERROR(__xludf.DUMMYFUNCTION("""COMPUTED_VALUE"""),238.95)</f>
        <v>238.95</v>
      </c>
      <c r="F1019" s="7">
        <f>IFERROR(__xludf.DUMMYFUNCTION("""COMPUTED_VALUE"""),6711630.0)</f>
        <v>6711630</v>
      </c>
      <c r="G1019" s="7" t="str">
        <f>IFERROR(__xludf.DUMMYFUNCTION("""COMPUTED_VALUE"""),"ONGC.NS")</f>
        <v>ONGC.NS</v>
      </c>
      <c r="H1019" s="8">
        <f t="shared" si="1"/>
        <v>-0.01443596618</v>
      </c>
      <c r="I1019" s="8">
        <f t="shared" si="2"/>
        <v>0.01443596618</v>
      </c>
      <c r="J1019" s="7" t="str">
        <f t="shared" si="3"/>
        <v>Feb-2025</v>
      </c>
      <c r="K1019" s="9">
        <f t="shared" si="4"/>
        <v>45689</v>
      </c>
      <c r="L1019" s="7" t="str">
        <f t="shared" si="5"/>
        <v/>
      </c>
      <c r="M1019" s="7" t="str">
        <f>IFERROR(__xludf.DUMMYFUNCTION("IFERROR(
  IF(
    F1019 &gt;
    3*AVERAGE(
       FILTER($F$2:$F10491,
         $G$2:$G10491=G1019,
         $A$2:$A10491&gt;=A1019-20,
         $A$2:$A10491&lt;=A1019
       )
    ),
    ""VOL_SPIKE_3X"",""""
  ),
"""")
"),"")</f>
        <v/>
      </c>
      <c r="N1019" s="7" t="str">
        <f t="shared" si="6"/>
        <v/>
      </c>
      <c r="O1019" s="7" t="str">
        <f t="shared" si="7"/>
        <v/>
      </c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5">
        <f>IFERROR(__xludf.DUMMYFUNCTION("""COMPUTED_VALUE"""),45699.0)</f>
        <v>45699</v>
      </c>
      <c r="B1020" s="6">
        <f>IFERROR(__xludf.DUMMYFUNCTION("""COMPUTED_VALUE"""),268.7)</f>
        <v>268.7</v>
      </c>
      <c r="C1020" s="6">
        <f>IFERROR(__xludf.DUMMYFUNCTION("""COMPUTED_VALUE"""),268.8)</f>
        <v>268.8</v>
      </c>
      <c r="D1020" s="6">
        <f>IFERROR(__xludf.DUMMYFUNCTION("""COMPUTED_VALUE"""),260.0)</f>
        <v>260</v>
      </c>
      <c r="E1020" s="6">
        <f>IFERROR(__xludf.DUMMYFUNCTION("""COMPUTED_VALUE"""),261.45)</f>
        <v>261.45</v>
      </c>
      <c r="F1020" s="7">
        <f>IFERROR(__xludf.DUMMYFUNCTION("""COMPUTED_VALUE"""),2.2083955E7)</f>
        <v>22083955</v>
      </c>
      <c r="G1020" s="7" t="str">
        <f>IFERROR(__xludf.DUMMYFUNCTION("""COMPUTED_VALUE"""),"POWERGRID.NS")</f>
        <v>POWERGRID.NS</v>
      </c>
      <c r="H1020" s="8">
        <f t="shared" si="1"/>
        <v>-0.02698176405</v>
      </c>
      <c r="I1020" s="8">
        <f t="shared" si="2"/>
        <v>0.02698176405</v>
      </c>
      <c r="J1020" s="7" t="str">
        <f t="shared" si="3"/>
        <v>Feb-2025</v>
      </c>
      <c r="K1020" s="9">
        <f t="shared" si="4"/>
        <v>45689</v>
      </c>
      <c r="L1020" s="7" t="str">
        <f t="shared" si="5"/>
        <v/>
      </c>
      <c r="M1020" s="7" t="str">
        <f>IFERROR(__xludf.DUMMYFUNCTION("IFERROR(
  IF(
    F1020 &gt;
    3*AVERAGE(
       FILTER($F$2:$F10491,
         $G$2:$G10491=G1020,
         $A$2:$A10491&gt;=A1020-20,
         $A$2:$A10491&lt;=A1020
       )
    ),
    ""VOL_SPIKE_3X"",""""
  ),
"""")
"),"")</f>
        <v/>
      </c>
      <c r="N1020" s="7" t="str">
        <f t="shared" si="6"/>
        <v/>
      </c>
      <c r="O1020" s="7" t="str">
        <f t="shared" si="7"/>
        <v/>
      </c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5">
        <f>IFERROR(__xludf.DUMMYFUNCTION("""COMPUTED_VALUE"""),45699.0)</f>
        <v>45699</v>
      </c>
      <c r="B1021" s="6">
        <f>IFERROR(__xludf.DUMMYFUNCTION("""COMPUTED_VALUE"""),1264.55)</f>
        <v>1264.55</v>
      </c>
      <c r="C1021" s="6">
        <f>IFERROR(__xludf.DUMMYFUNCTION("""COMPUTED_VALUE"""),1264.55)</f>
        <v>1264.55</v>
      </c>
      <c r="D1021" s="6">
        <f>IFERROR(__xludf.DUMMYFUNCTION("""COMPUTED_VALUE"""),1230.1)</f>
        <v>1230.1</v>
      </c>
      <c r="E1021" s="6">
        <f>IFERROR(__xludf.DUMMYFUNCTION("""COMPUTED_VALUE"""),1234.85)</f>
        <v>1234.85</v>
      </c>
      <c r="F1021" s="7">
        <f>IFERROR(__xludf.DUMMYFUNCTION("""COMPUTED_VALUE"""),8859714.0)</f>
        <v>8859714</v>
      </c>
      <c r="G1021" s="7" t="str">
        <f>IFERROR(__xludf.DUMMYFUNCTION("""COMPUTED_VALUE"""),"RELIANCE.NS")</f>
        <v>RELIANCE.NS</v>
      </c>
      <c r="H1021" s="8">
        <f t="shared" si="1"/>
        <v>-0.02348661579</v>
      </c>
      <c r="I1021" s="8">
        <f t="shared" si="2"/>
        <v>0.02348661579</v>
      </c>
      <c r="J1021" s="7" t="str">
        <f t="shared" si="3"/>
        <v>Feb-2025</v>
      </c>
      <c r="K1021" s="9">
        <f t="shared" si="4"/>
        <v>45689</v>
      </c>
      <c r="L1021" s="7" t="str">
        <f t="shared" si="5"/>
        <v/>
      </c>
      <c r="M1021" s="7" t="str">
        <f>IFERROR(__xludf.DUMMYFUNCTION("IFERROR(
  IF(
    F1021 &gt;
    3*AVERAGE(
       FILTER($F$2:$F10491,
         $G$2:$G10491=G1021,
         $A$2:$A10491&gt;=A1021-20,
         $A$2:$A10491&lt;=A1021
       )
    ),
    ""VOL_SPIKE_3X"",""""
  ),
"""")
"),"")</f>
        <v/>
      </c>
      <c r="N1021" s="7" t="str">
        <f t="shared" si="6"/>
        <v/>
      </c>
      <c r="O1021" s="7" t="str">
        <f t="shared" si="7"/>
        <v/>
      </c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5">
        <f>IFERROR(__xludf.DUMMYFUNCTION("""COMPUTED_VALUE"""),45700.0)</f>
        <v>45700</v>
      </c>
      <c r="B1022" s="6">
        <f>IFERROR(__xludf.DUMMYFUNCTION("""COMPUTED_VALUE"""),738.0)</f>
        <v>738</v>
      </c>
      <c r="C1022" s="6">
        <f>IFERROR(__xludf.DUMMYFUNCTION("""COMPUTED_VALUE"""),760.0)</f>
        <v>760</v>
      </c>
      <c r="D1022" s="6">
        <f>IFERROR(__xludf.DUMMYFUNCTION("""COMPUTED_VALUE"""),728.65)</f>
        <v>728.65</v>
      </c>
      <c r="E1022" s="6">
        <f>IFERROR(__xludf.DUMMYFUNCTION("""COMPUTED_VALUE"""),756.8)</f>
        <v>756.8</v>
      </c>
      <c r="F1022" s="7">
        <f>IFERROR(__xludf.DUMMYFUNCTION("""COMPUTED_VALUE"""),3137758.0)</f>
        <v>3137758</v>
      </c>
      <c r="G1022" s="7" t="str">
        <f>IFERROR(__xludf.DUMMYFUNCTION("""COMPUTED_VALUE"""),"ADANIENSOL.NS")</f>
        <v>ADANIENSOL.NS</v>
      </c>
      <c r="H1022" s="8">
        <f t="shared" si="1"/>
        <v>0.02547425474</v>
      </c>
      <c r="I1022" s="8">
        <f t="shared" si="2"/>
        <v>0.02547425474</v>
      </c>
      <c r="J1022" s="7" t="str">
        <f t="shared" si="3"/>
        <v>Feb-2025</v>
      </c>
      <c r="K1022" s="9">
        <f t="shared" si="4"/>
        <v>45689</v>
      </c>
      <c r="L1022" s="7" t="str">
        <f t="shared" si="5"/>
        <v/>
      </c>
      <c r="M1022" s="7" t="str">
        <f>IFERROR(__xludf.DUMMYFUNCTION("IFERROR(
  IF(
    F1022 &gt;
    3*AVERAGE(
       FILTER($F$2:$F10491,
         $G$2:$G10491=G1022,
         $A$2:$A10491&gt;=A1022-20,
         $A$2:$A10491&lt;=A1022
       )
    ),
    ""VOL_SPIKE_3X"",""""
  ),
"""")
"),"")</f>
        <v/>
      </c>
      <c r="N1022" s="7" t="str">
        <f t="shared" si="6"/>
        <v/>
      </c>
      <c r="O1022" s="7" t="str">
        <f t="shared" si="7"/>
        <v/>
      </c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5">
        <f>IFERROR(__xludf.DUMMYFUNCTION("""COMPUTED_VALUE"""),45700.0)</f>
        <v>45700</v>
      </c>
      <c r="B1023" s="6">
        <f>IFERROR(__xludf.DUMMYFUNCTION("""COMPUTED_VALUE"""),950.05)</f>
        <v>950.05</v>
      </c>
      <c r="C1023" s="6">
        <f>IFERROR(__xludf.DUMMYFUNCTION("""COMPUTED_VALUE"""),956.95)</f>
        <v>956.95</v>
      </c>
      <c r="D1023" s="6">
        <f>IFERROR(__xludf.DUMMYFUNCTION("""COMPUTED_VALUE"""),897.05)</f>
        <v>897.05</v>
      </c>
      <c r="E1023" s="6">
        <f>IFERROR(__xludf.DUMMYFUNCTION("""COMPUTED_VALUE"""),916.9)</f>
        <v>916.9</v>
      </c>
      <c r="F1023" s="7">
        <f>IFERROR(__xludf.DUMMYFUNCTION("""COMPUTED_VALUE"""),4095054.0)</f>
        <v>4095054</v>
      </c>
      <c r="G1023" s="7" t="str">
        <f>IFERROR(__xludf.DUMMYFUNCTION("""COMPUTED_VALUE"""),"ADANIGREEN.NS")</f>
        <v>ADANIGREEN.NS</v>
      </c>
      <c r="H1023" s="8">
        <f t="shared" si="1"/>
        <v>-0.03489290037</v>
      </c>
      <c r="I1023" s="8">
        <f t="shared" si="2"/>
        <v>0.03489290037</v>
      </c>
      <c r="J1023" s="7" t="str">
        <f t="shared" si="3"/>
        <v>Feb-2025</v>
      </c>
      <c r="K1023" s="9">
        <f t="shared" si="4"/>
        <v>45689</v>
      </c>
      <c r="L1023" s="7" t="str">
        <f t="shared" si="5"/>
        <v/>
      </c>
      <c r="M1023" s="7" t="str">
        <f>IFERROR(__xludf.DUMMYFUNCTION("IFERROR(
  IF(
    F1023 &gt;
    3*AVERAGE(
       FILTER($F$2:$F10491,
         $G$2:$G10491=G1023,
         $A$2:$A10491&gt;=A1023-20,
         $A$2:$A10491&lt;=A1023
       )
    ),
    ""VOL_SPIKE_3X"",""""
  ),
"""")
"),"")</f>
        <v/>
      </c>
      <c r="N1023" s="7" t="str">
        <f t="shared" si="6"/>
        <v/>
      </c>
      <c r="O1023" s="7" t="str">
        <f t="shared" si="7"/>
        <v/>
      </c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5">
        <f>IFERROR(__xludf.DUMMYFUNCTION("""COMPUTED_VALUE"""),45700.0)</f>
        <v>45700</v>
      </c>
      <c r="B1024" s="6">
        <f>IFERROR(__xludf.DUMMYFUNCTION("""COMPUTED_VALUE"""),255.15)</f>
        <v>255.15</v>
      </c>
      <c r="C1024" s="6">
        <f>IFERROR(__xludf.DUMMYFUNCTION("""COMPUTED_VALUE"""),256.8)</f>
        <v>256.8</v>
      </c>
      <c r="D1024" s="6">
        <f>IFERROR(__xludf.DUMMYFUNCTION("""COMPUTED_VALUE"""),249.05)</f>
        <v>249.05</v>
      </c>
      <c r="E1024" s="6">
        <f>IFERROR(__xludf.DUMMYFUNCTION("""COMPUTED_VALUE"""),255.6)</f>
        <v>255.6</v>
      </c>
      <c r="F1024" s="7">
        <f>IFERROR(__xludf.DUMMYFUNCTION("""COMPUTED_VALUE"""),6568833.0)</f>
        <v>6568833</v>
      </c>
      <c r="G1024" s="7" t="str">
        <f>IFERROR(__xludf.DUMMYFUNCTION("""COMPUTED_VALUE"""),"BPCL.NS")</f>
        <v>BPCL.NS</v>
      </c>
      <c r="H1024" s="8">
        <f t="shared" si="1"/>
        <v>0.00176366843</v>
      </c>
      <c r="I1024" s="8">
        <f t="shared" si="2"/>
        <v>0.00176366843</v>
      </c>
      <c r="J1024" s="7" t="str">
        <f t="shared" si="3"/>
        <v>Feb-2025</v>
      </c>
      <c r="K1024" s="9">
        <f t="shared" si="4"/>
        <v>45689</v>
      </c>
      <c r="L1024" s="7" t="str">
        <f t="shared" si="5"/>
        <v/>
      </c>
      <c r="M1024" s="7" t="str">
        <f>IFERROR(__xludf.DUMMYFUNCTION("IFERROR(
  IF(
    F1024 &gt;
    3*AVERAGE(
       FILTER($F$2:$F10491,
         $G$2:$G10491=G1024,
         $A$2:$A10491&gt;=A1024-20,
         $A$2:$A10491&lt;=A1024
       )
    ),
    ""VOL_SPIKE_3X"",""""
  ),
"""")
"),"")</f>
        <v/>
      </c>
      <c r="N1024" s="7" t="str">
        <f t="shared" si="6"/>
        <v/>
      </c>
      <c r="O1024" s="7" t="str">
        <f t="shared" si="7"/>
        <v/>
      </c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5">
        <f>IFERROR(__xludf.DUMMYFUNCTION("""COMPUTED_VALUE"""),45700.0)</f>
        <v>45700</v>
      </c>
      <c r="B1025" s="6">
        <f>IFERROR(__xludf.DUMMYFUNCTION("""COMPUTED_VALUE"""),359.9)</f>
        <v>359.9</v>
      </c>
      <c r="C1025" s="6">
        <f>IFERROR(__xludf.DUMMYFUNCTION("""COMPUTED_VALUE"""),361.8)</f>
        <v>361.8</v>
      </c>
      <c r="D1025" s="6">
        <f>IFERROR(__xludf.DUMMYFUNCTION("""COMPUTED_VALUE"""),351.55)</f>
        <v>351.55</v>
      </c>
      <c r="E1025" s="6">
        <f>IFERROR(__xludf.DUMMYFUNCTION("""COMPUTED_VALUE"""),360.35)</f>
        <v>360.35</v>
      </c>
      <c r="F1025" s="7">
        <f>IFERROR(__xludf.DUMMYFUNCTION("""COMPUTED_VALUE"""),4565992.0)</f>
        <v>4565992</v>
      </c>
      <c r="G1025" s="7" t="str">
        <f>IFERROR(__xludf.DUMMYFUNCTION("""COMPUTED_VALUE"""),"COALINDIA.NS")</f>
        <v>COALINDIA.NS</v>
      </c>
      <c r="H1025" s="8">
        <f t="shared" si="1"/>
        <v>0.001250347319</v>
      </c>
      <c r="I1025" s="8">
        <f t="shared" si="2"/>
        <v>0.001250347319</v>
      </c>
      <c r="J1025" s="7" t="str">
        <f t="shared" si="3"/>
        <v>Feb-2025</v>
      </c>
      <c r="K1025" s="9">
        <f t="shared" si="4"/>
        <v>45689</v>
      </c>
      <c r="L1025" s="7" t="str">
        <f t="shared" si="5"/>
        <v/>
      </c>
      <c r="M1025" s="7" t="str">
        <f>IFERROR(__xludf.DUMMYFUNCTION("IFERROR(
  IF(
    F1025 &gt;
    3*AVERAGE(
       FILTER($F$2:$F10491,
         $G$2:$G10491=G1025,
         $A$2:$A10491&gt;=A1025-20,
         $A$2:$A10491&lt;=A1025
       )
    ),
    ""VOL_SPIKE_3X"",""""
  ),
"""")
"),"")</f>
        <v/>
      </c>
      <c r="N1025" s="7" t="str">
        <f t="shared" si="6"/>
        <v/>
      </c>
      <c r="O1025" s="7" t="str">
        <f t="shared" si="7"/>
        <v/>
      </c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5">
        <f>IFERROR(__xludf.DUMMYFUNCTION("""COMPUTED_VALUE"""),45700.0)</f>
        <v>45700</v>
      </c>
      <c r="B1026" s="6">
        <f>IFERROR(__xludf.DUMMYFUNCTION("""COMPUTED_VALUE"""),330.0)</f>
        <v>330</v>
      </c>
      <c r="C1026" s="6">
        <f>IFERROR(__xludf.DUMMYFUNCTION("""COMPUTED_VALUE"""),330.3)</f>
        <v>330.3</v>
      </c>
      <c r="D1026" s="6">
        <f>IFERROR(__xludf.DUMMYFUNCTION("""COMPUTED_VALUE"""),318.65)</f>
        <v>318.65</v>
      </c>
      <c r="E1026" s="6">
        <f>IFERROR(__xludf.DUMMYFUNCTION("""COMPUTED_VALUE"""),323.95)</f>
        <v>323.95</v>
      </c>
      <c r="F1026" s="7">
        <f>IFERROR(__xludf.DUMMYFUNCTION("""COMPUTED_VALUE"""),3179345.0)</f>
        <v>3179345</v>
      </c>
      <c r="G1026" s="7" t="str">
        <f>IFERROR(__xludf.DUMMYFUNCTION("""COMPUTED_VALUE"""),"HINDPETRO.NS")</f>
        <v>HINDPETRO.NS</v>
      </c>
      <c r="H1026" s="8">
        <f t="shared" si="1"/>
        <v>-0.01833333333</v>
      </c>
      <c r="I1026" s="8">
        <f t="shared" si="2"/>
        <v>0.01833333333</v>
      </c>
      <c r="J1026" s="7" t="str">
        <f t="shared" si="3"/>
        <v>Feb-2025</v>
      </c>
      <c r="K1026" s="9">
        <f t="shared" si="4"/>
        <v>45689</v>
      </c>
      <c r="L1026" s="7" t="str">
        <f t="shared" si="5"/>
        <v/>
      </c>
      <c r="M1026" s="7" t="str">
        <f>IFERROR(__xludf.DUMMYFUNCTION("IFERROR(
  IF(
    F1026 &gt;
    3*AVERAGE(
       FILTER($F$2:$F10491,
         $G$2:$G10491=G1026,
         $A$2:$A10491&gt;=A1026-20,
         $A$2:$A10491&lt;=A1026
       )
    ),
    ""VOL_SPIKE_3X"",""""
  ),
"""")
"),"")</f>
        <v/>
      </c>
      <c r="N1026" s="7" t="str">
        <f t="shared" si="6"/>
        <v/>
      </c>
      <c r="O1026" s="7" t="str">
        <f t="shared" si="7"/>
        <v/>
      </c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5">
        <f>IFERROR(__xludf.DUMMYFUNCTION("""COMPUTED_VALUE"""),45700.0)</f>
        <v>45700</v>
      </c>
      <c r="B1027" s="6">
        <f>IFERROR(__xludf.DUMMYFUNCTION("""COMPUTED_VALUE"""),120.69)</f>
        <v>120.69</v>
      </c>
      <c r="C1027" s="6">
        <f>IFERROR(__xludf.DUMMYFUNCTION("""COMPUTED_VALUE"""),121.2)</f>
        <v>121.2</v>
      </c>
      <c r="D1027" s="6">
        <f>IFERROR(__xludf.DUMMYFUNCTION("""COMPUTED_VALUE"""),117.28)</f>
        <v>117.28</v>
      </c>
      <c r="E1027" s="6">
        <f>IFERROR(__xludf.DUMMYFUNCTION("""COMPUTED_VALUE"""),120.42)</f>
        <v>120.42</v>
      </c>
      <c r="F1027" s="7">
        <f>IFERROR(__xludf.DUMMYFUNCTION("""COMPUTED_VALUE"""),1.4799271E7)</f>
        <v>14799271</v>
      </c>
      <c r="G1027" s="7" t="str">
        <f>IFERROR(__xludf.DUMMYFUNCTION("""COMPUTED_VALUE"""),"IOC.NS")</f>
        <v>IOC.NS</v>
      </c>
      <c r="H1027" s="8">
        <f t="shared" si="1"/>
        <v>-0.002237136465</v>
      </c>
      <c r="I1027" s="8">
        <f t="shared" si="2"/>
        <v>0.002237136465</v>
      </c>
      <c r="J1027" s="7" t="str">
        <f t="shared" si="3"/>
        <v>Feb-2025</v>
      </c>
      <c r="K1027" s="9">
        <f t="shared" si="4"/>
        <v>45689</v>
      </c>
      <c r="L1027" s="7" t="str">
        <f t="shared" si="5"/>
        <v/>
      </c>
      <c r="M1027" s="7" t="str">
        <f>IFERROR(__xludf.DUMMYFUNCTION("IFERROR(
  IF(
    F1027 &gt;
    3*AVERAGE(
       FILTER($F$2:$F10491,
         $G$2:$G10491=G1027,
         $A$2:$A10491&gt;=A1027-20,
         $A$2:$A10491&lt;=A1027
       )
    ),
    ""VOL_SPIKE_3X"",""""
  ),
"""")
"),"")</f>
        <v/>
      </c>
      <c r="N1027" s="7" t="str">
        <f t="shared" si="6"/>
        <v/>
      </c>
      <c r="O1027" s="7" t="str">
        <f t="shared" si="7"/>
        <v/>
      </c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5">
        <f>IFERROR(__xludf.DUMMYFUNCTION("""COMPUTED_VALUE"""),45700.0)</f>
        <v>45700</v>
      </c>
      <c r="B1028" s="6">
        <f>IFERROR(__xludf.DUMMYFUNCTION("""COMPUTED_VALUE"""),306.2)</f>
        <v>306.2</v>
      </c>
      <c r="C1028" s="6">
        <f>IFERROR(__xludf.DUMMYFUNCTION("""COMPUTED_VALUE"""),307.5)</f>
        <v>307.5</v>
      </c>
      <c r="D1028" s="6">
        <f>IFERROR(__xludf.DUMMYFUNCTION("""COMPUTED_VALUE"""),300.0)</f>
        <v>300</v>
      </c>
      <c r="E1028" s="6">
        <f>IFERROR(__xludf.DUMMYFUNCTION("""COMPUTED_VALUE"""),306.25)</f>
        <v>306.25</v>
      </c>
      <c r="F1028" s="7">
        <f>IFERROR(__xludf.DUMMYFUNCTION("""COMPUTED_VALUE"""),7616083.0)</f>
        <v>7616083</v>
      </c>
      <c r="G1028" s="7" t="str">
        <f>IFERROR(__xludf.DUMMYFUNCTION("""COMPUTED_VALUE"""),"NTPC.NS")</f>
        <v>NTPC.NS</v>
      </c>
      <c r="H1028" s="8">
        <f t="shared" si="1"/>
        <v>0.000163291966</v>
      </c>
      <c r="I1028" s="8">
        <f t="shared" si="2"/>
        <v>0.000163291966</v>
      </c>
      <c r="J1028" s="7" t="str">
        <f t="shared" si="3"/>
        <v>Feb-2025</v>
      </c>
      <c r="K1028" s="9">
        <f t="shared" si="4"/>
        <v>45689</v>
      </c>
      <c r="L1028" s="7" t="str">
        <f t="shared" si="5"/>
        <v/>
      </c>
      <c r="M1028" s="7" t="str">
        <f>IFERROR(__xludf.DUMMYFUNCTION("IFERROR(
  IF(
    F1028 &gt;
    3*AVERAGE(
       FILTER($F$2:$F10491,
         $G$2:$G10491=G1028,
         $A$2:$A10491&gt;=A1028-20,
         $A$2:$A10491&lt;=A1028
       )
    ),
    ""VOL_SPIKE_3X"",""""
  ),
"""")
"),"")</f>
        <v/>
      </c>
      <c r="N1028" s="7" t="str">
        <f t="shared" si="6"/>
        <v/>
      </c>
      <c r="O1028" s="7" t="str">
        <f t="shared" si="7"/>
        <v/>
      </c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5">
        <f>IFERROR(__xludf.DUMMYFUNCTION("""COMPUTED_VALUE"""),45700.0)</f>
        <v>45700</v>
      </c>
      <c r="B1029" s="6">
        <f>IFERROR(__xludf.DUMMYFUNCTION("""COMPUTED_VALUE"""),239.0)</f>
        <v>239</v>
      </c>
      <c r="C1029" s="6">
        <f>IFERROR(__xludf.DUMMYFUNCTION("""COMPUTED_VALUE"""),241.25)</f>
        <v>241.25</v>
      </c>
      <c r="D1029" s="6">
        <f>IFERROR(__xludf.DUMMYFUNCTION("""COMPUTED_VALUE"""),234.15)</f>
        <v>234.15</v>
      </c>
      <c r="E1029" s="6">
        <f>IFERROR(__xludf.DUMMYFUNCTION("""COMPUTED_VALUE"""),237.4)</f>
        <v>237.4</v>
      </c>
      <c r="F1029" s="7">
        <f>IFERROR(__xludf.DUMMYFUNCTION("""COMPUTED_VALUE"""),5985956.0)</f>
        <v>5985956</v>
      </c>
      <c r="G1029" s="7" t="str">
        <f>IFERROR(__xludf.DUMMYFUNCTION("""COMPUTED_VALUE"""),"ONGC.NS")</f>
        <v>ONGC.NS</v>
      </c>
      <c r="H1029" s="8">
        <f t="shared" si="1"/>
        <v>-0.006694560669</v>
      </c>
      <c r="I1029" s="8">
        <f t="shared" si="2"/>
        <v>0.006694560669</v>
      </c>
      <c r="J1029" s="7" t="str">
        <f t="shared" si="3"/>
        <v>Feb-2025</v>
      </c>
      <c r="K1029" s="9">
        <f t="shared" si="4"/>
        <v>45689</v>
      </c>
      <c r="L1029" s="7" t="str">
        <f t="shared" si="5"/>
        <v/>
      </c>
      <c r="M1029" s="7" t="str">
        <f>IFERROR(__xludf.DUMMYFUNCTION("IFERROR(
  IF(
    F1029 &gt;
    3*AVERAGE(
       FILTER($F$2:$F10491,
         $G$2:$G10491=G1029,
         $A$2:$A10491&gt;=A1029-20,
         $A$2:$A10491&lt;=A1029
       )
    ),
    ""VOL_SPIKE_3X"",""""
  ),
"""")
"),"")</f>
        <v/>
      </c>
      <c r="N1029" s="7" t="str">
        <f t="shared" si="6"/>
        <v/>
      </c>
      <c r="O1029" s="7" t="str">
        <f t="shared" si="7"/>
        <v/>
      </c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5">
        <f>IFERROR(__xludf.DUMMYFUNCTION("""COMPUTED_VALUE"""),45700.0)</f>
        <v>45700</v>
      </c>
      <c r="B1030" s="6">
        <f>IFERROR(__xludf.DUMMYFUNCTION("""COMPUTED_VALUE"""),259.5)</f>
        <v>259.5</v>
      </c>
      <c r="C1030" s="6">
        <f>IFERROR(__xludf.DUMMYFUNCTION("""COMPUTED_VALUE"""),262.1)</f>
        <v>262.1</v>
      </c>
      <c r="D1030" s="6">
        <f>IFERROR(__xludf.DUMMYFUNCTION("""COMPUTED_VALUE"""),254.0)</f>
        <v>254</v>
      </c>
      <c r="E1030" s="6">
        <f>IFERROR(__xludf.DUMMYFUNCTION("""COMPUTED_VALUE"""),257.05)</f>
        <v>257.05</v>
      </c>
      <c r="F1030" s="7">
        <f>IFERROR(__xludf.DUMMYFUNCTION("""COMPUTED_VALUE"""),1.7861265E7)</f>
        <v>17861265</v>
      </c>
      <c r="G1030" s="7" t="str">
        <f>IFERROR(__xludf.DUMMYFUNCTION("""COMPUTED_VALUE"""),"POWERGRID.NS")</f>
        <v>POWERGRID.NS</v>
      </c>
      <c r="H1030" s="8">
        <f t="shared" si="1"/>
        <v>-0.009441233141</v>
      </c>
      <c r="I1030" s="8">
        <f t="shared" si="2"/>
        <v>0.009441233141</v>
      </c>
      <c r="J1030" s="7" t="str">
        <f t="shared" si="3"/>
        <v>Feb-2025</v>
      </c>
      <c r="K1030" s="9">
        <f t="shared" si="4"/>
        <v>45689</v>
      </c>
      <c r="L1030" s="7" t="str">
        <f t="shared" si="5"/>
        <v/>
      </c>
      <c r="M1030" s="7" t="str">
        <f>IFERROR(__xludf.DUMMYFUNCTION("IFERROR(
  IF(
    F1030 &gt;
    3*AVERAGE(
       FILTER($F$2:$F10491,
         $G$2:$G10491=G1030,
         $A$2:$A10491&gt;=A1030-20,
         $A$2:$A10491&lt;=A1030
       )
    ),
    ""VOL_SPIKE_3X"",""""
  ),
"""")
"),"")</f>
        <v/>
      </c>
      <c r="N1030" s="7" t="str">
        <f t="shared" si="6"/>
        <v/>
      </c>
      <c r="O1030" s="7" t="str">
        <f t="shared" si="7"/>
        <v/>
      </c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5">
        <f>IFERROR(__xludf.DUMMYFUNCTION("""COMPUTED_VALUE"""),45700.0)</f>
        <v>45700</v>
      </c>
      <c r="B1031" s="6">
        <f>IFERROR(__xludf.DUMMYFUNCTION("""COMPUTED_VALUE"""),1219.45)</f>
        <v>1219.45</v>
      </c>
      <c r="C1031" s="6">
        <f>IFERROR(__xludf.DUMMYFUNCTION("""COMPUTED_VALUE"""),1226.9)</f>
        <v>1226.9</v>
      </c>
      <c r="D1031" s="6">
        <f>IFERROR(__xludf.DUMMYFUNCTION("""COMPUTED_VALUE"""),1193.35)</f>
        <v>1193.35</v>
      </c>
      <c r="E1031" s="6">
        <f>IFERROR(__xludf.DUMMYFUNCTION("""COMPUTED_VALUE"""),1216.55)</f>
        <v>1216.55</v>
      </c>
      <c r="F1031" s="7">
        <f>IFERROR(__xludf.DUMMYFUNCTION("""COMPUTED_VALUE"""),2.1131654E7)</f>
        <v>21131654</v>
      </c>
      <c r="G1031" s="7" t="str">
        <f>IFERROR(__xludf.DUMMYFUNCTION("""COMPUTED_VALUE"""),"RELIANCE.NS")</f>
        <v>RELIANCE.NS</v>
      </c>
      <c r="H1031" s="8">
        <f t="shared" si="1"/>
        <v>-0.002378121284</v>
      </c>
      <c r="I1031" s="8">
        <f t="shared" si="2"/>
        <v>0.002378121284</v>
      </c>
      <c r="J1031" s="7" t="str">
        <f t="shared" si="3"/>
        <v>Feb-2025</v>
      </c>
      <c r="K1031" s="9">
        <f t="shared" si="4"/>
        <v>45689</v>
      </c>
      <c r="L1031" s="7" t="str">
        <f t="shared" si="5"/>
        <v/>
      </c>
      <c r="M1031" s="7" t="str">
        <f>IFERROR(__xludf.DUMMYFUNCTION("IFERROR(
  IF(
    F1031 &gt;
    3*AVERAGE(
       FILTER($F$2:$F10491,
         $G$2:$G10491=G1031,
         $A$2:$A10491&gt;=A1031-20,
         $A$2:$A10491&lt;=A1031
       )
    ),
    ""VOL_SPIKE_3X"",""""
  ),
"""")
"),"")</f>
        <v/>
      </c>
      <c r="N1031" s="7" t="str">
        <f t="shared" si="6"/>
        <v/>
      </c>
      <c r="O1031" s="7" t="str">
        <f t="shared" si="7"/>
        <v/>
      </c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5">
        <f>IFERROR(__xludf.DUMMYFUNCTION("""COMPUTED_VALUE"""),45701.0)</f>
        <v>45701</v>
      </c>
      <c r="B1032" s="6">
        <f>IFERROR(__xludf.DUMMYFUNCTION("""COMPUTED_VALUE"""),760.2)</f>
        <v>760.2</v>
      </c>
      <c r="C1032" s="6">
        <f>IFERROR(__xludf.DUMMYFUNCTION("""COMPUTED_VALUE"""),777.8)</f>
        <v>777.8</v>
      </c>
      <c r="D1032" s="6">
        <f>IFERROR(__xludf.DUMMYFUNCTION("""COMPUTED_VALUE"""),740.0)</f>
        <v>740</v>
      </c>
      <c r="E1032" s="6">
        <f>IFERROR(__xludf.DUMMYFUNCTION("""COMPUTED_VALUE"""),744.0)</f>
        <v>744</v>
      </c>
      <c r="F1032" s="7">
        <f>IFERROR(__xludf.DUMMYFUNCTION("""COMPUTED_VALUE"""),1310157.0)</f>
        <v>1310157</v>
      </c>
      <c r="G1032" s="7" t="str">
        <f>IFERROR(__xludf.DUMMYFUNCTION("""COMPUTED_VALUE"""),"ADANIENSOL.NS")</f>
        <v>ADANIENSOL.NS</v>
      </c>
      <c r="H1032" s="8">
        <f t="shared" si="1"/>
        <v>-0.02131018153</v>
      </c>
      <c r="I1032" s="8">
        <f t="shared" si="2"/>
        <v>0.02131018153</v>
      </c>
      <c r="J1032" s="7" t="str">
        <f t="shared" si="3"/>
        <v>Feb-2025</v>
      </c>
      <c r="K1032" s="9">
        <f t="shared" si="4"/>
        <v>45689</v>
      </c>
      <c r="L1032" s="7" t="str">
        <f t="shared" si="5"/>
        <v/>
      </c>
      <c r="M1032" s="7" t="str">
        <f>IFERROR(__xludf.DUMMYFUNCTION("IFERROR(
  IF(
    F1032 &gt;
    3*AVERAGE(
       FILTER($F$2:$F10491,
         $G$2:$G10491=G1032,
         $A$2:$A10491&gt;=A1032-20,
         $A$2:$A10491&lt;=A1032
       )
    ),
    ""VOL_SPIKE_3X"",""""
  ),
"""")
"),"")</f>
        <v/>
      </c>
      <c r="N1032" s="7" t="str">
        <f t="shared" si="6"/>
        <v/>
      </c>
      <c r="O1032" s="7" t="str">
        <f t="shared" si="7"/>
        <v/>
      </c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5">
        <f>IFERROR(__xludf.DUMMYFUNCTION("""COMPUTED_VALUE"""),45701.0)</f>
        <v>45701</v>
      </c>
      <c r="B1033" s="6">
        <f>IFERROR(__xludf.DUMMYFUNCTION("""COMPUTED_VALUE"""),927.05)</f>
        <v>927.05</v>
      </c>
      <c r="C1033" s="6">
        <f>IFERROR(__xludf.DUMMYFUNCTION("""COMPUTED_VALUE"""),945.95)</f>
        <v>945.95</v>
      </c>
      <c r="D1033" s="6">
        <f>IFERROR(__xludf.DUMMYFUNCTION("""COMPUTED_VALUE"""),908.05)</f>
        <v>908.05</v>
      </c>
      <c r="E1033" s="6">
        <f>IFERROR(__xludf.DUMMYFUNCTION("""COMPUTED_VALUE"""),913.75)</f>
        <v>913.75</v>
      </c>
      <c r="F1033" s="7">
        <f>IFERROR(__xludf.DUMMYFUNCTION("""COMPUTED_VALUE"""),2474769.0)</f>
        <v>2474769</v>
      </c>
      <c r="G1033" s="7" t="str">
        <f>IFERROR(__xludf.DUMMYFUNCTION("""COMPUTED_VALUE"""),"ADANIGREEN.NS")</f>
        <v>ADANIGREEN.NS</v>
      </c>
      <c r="H1033" s="8">
        <f t="shared" si="1"/>
        <v>-0.01434658325</v>
      </c>
      <c r="I1033" s="8">
        <f t="shared" si="2"/>
        <v>0.01434658325</v>
      </c>
      <c r="J1033" s="7" t="str">
        <f t="shared" si="3"/>
        <v>Feb-2025</v>
      </c>
      <c r="K1033" s="9">
        <f t="shared" si="4"/>
        <v>45689</v>
      </c>
      <c r="L1033" s="7" t="str">
        <f t="shared" si="5"/>
        <v/>
      </c>
      <c r="M1033" s="7" t="str">
        <f>IFERROR(__xludf.DUMMYFUNCTION("IFERROR(
  IF(
    F1033 &gt;
    3*AVERAGE(
       FILTER($F$2:$F10491,
         $G$2:$G10491=G1033,
         $A$2:$A10491&gt;=A1033-20,
         $A$2:$A10491&lt;=A1033
       )
    ),
    ""VOL_SPIKE_3X"",""""
  ),
"""")
"),"")</f>
        <v/>
      </c>
      <c r="N1033" s="7" t="str">
        <f t="shared" si="6"/>
        <v/>
      </c>
      <c r="O1033" s="7" t="str">
        <f t="shared" si="7"/>
        <v/>
      </c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5">
        <f>IFERROR(__xludf.DUMMYFUNCTION("""COMPUTED_VALUE"""),45701.0)</f>
        <v>45701</v>
      </c>
      <c r="B1034" s="6">
        <f>IFERROR(__xludf.DUMMYFUNCTION("""COMPUTED_VALUE"""),256.2)</f>
        <v>256.2</v>
      </c>
      <c r="C1034" s="6">
        <f>IFERROR(__xludf.DUMMYFUNCTION("""COMPUTED_VALUE"""),260.1)</f>
        <v>260.1</v>
      </c>
      <c r="D1034" s="6">
        <f>IFERROR(__xludf.DUMMYFUNCTION("""COMPUTED_VALUE"""),255.0)</f>
        <v>255</v>
      </c>
      <c r="E1034" s="6">
        <f>IFERROR(__xludf.DUMMYFUNCTION("""COMPUTED_VALUE"""),255.75)</f>
        <v>255.75</v>
      </c>
      <c r="F1034" s="7">
        <f>IFERROR(__xludf.DUMMYFUNCTION("""COMPUTED_VALUE"""),5514711.0)</f>
        <v>5514711</v>
      </c>
      <c r="G1034" s="7" t="str">
        <f>IFERROR(__xludf.DUMMYFUNCTION("""COMPUTED_VALUE"""),"BPCL.NS")</f>
        <v>BPCL.NS</v>
      </c>
      <c r="H1034" s="8">
        <f t="shared" si="1"/>
        <v>-0.001756440281</v>
      </c>
      <c r="I1034" s="8">
        <f t="shared" si="2"/>
        <v>0.001756440281</v>
      </c>
      <c r="J1034" s="7" t="str">
        <f t="shared" si="3"/>
        <v>Feb-2025</v>
      </c>
      <c r="K1034" s="9">
        <f t="shared" si="4"/>
        <v>45689</v>
      </c>
      <c r="L1034" s="7" t="str">
        <f t="shared" si="5"/>
        <v/>
      </c>
      <c r="M1034" s="7" t="str">
        <f>IFERROR(__xludf.DUMMYFUNCTION("IFERROR(
  IF(
    F1034 &gt;
    3*AVERAGE(
       FILTER($F$2:$F10491,
         $G$2:$G10491=G1034,
         $A$2:$A10491&gt;=A1034-20,
         $A$2:$A10491&lt;=A1034
       )
    ),
    ""VOL_SPIKE_3X"",""""
  ),
"""")
"),"")</f>
        <v/>
      </c>
      <c r="N1034" s="7" t="str">
        <f t="shared" si="6"/>
        <v/>
      </c>
      <c r="O1034" s="7" t="str">
        <f t="shared" si="7"/>
        <v/>
      </c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5">
        <f>IFERROR(__xludf.DUMMYFUNCTION("""COMPUTED_VALUE"""),45701.0)</f>
        <v>45701</v>
      </c>
      <c r="B1035" s="6">
        <f>IFERROR(__xludf.DUMMYFUNCTION("""COMPUTED_VALUE"""),362.0)</f>
        <v>362</v>
      </c>
      <c r="C1035" s="6">
        <f>IFERROR(__xludf.DUMMYFUNCTION("""COMPUTED_VALUE"""),367.55)</f>
        <v>367.55</v>
      </c>
      <c r="D1035" s="6">
        <f>IFERROR(__xludf.DUMMYFUNCTION("""COMPUTED_VALUE"""),358.6)</f>
        <v>358.6</v>
      </c>
      <c r="E1035" s="6">
        <f>IFERROR(__xludf.DUMMYFUNCTION("""COMPUTED_VALUE"""),361.65)</f>
        <v>361.65</v>
      </c>
      <c r="F1035" s="7">
        <f>IFERROR(__xludf.DUMMYFUNCTION("""COMPUTED_VALUE"""),3712240.0)</f>
        <v>3712240</v>
      </c>
      <c r="G1035" s="7" t="str">
        <f>IFERROR(__xludf.DUMMYFUNCTION("""COMPUTED_VALUE"""),"COALINDIA.NS")</f>
        <v>COALINDIA.NS</v>
      </c>
      <c r="H1035" s="8">
        <f t="shared" si="1"/>
        <v>-0.0009668508287</v>
      </c>
      <c r="I1035" s="8">
        <f t="shared" si="2"/>
        <v>0.0009668508287</v>
      </c>
      <c r="J1035" s="7" t="str">
        <f t="shared" si="3"/>
        <v>Feb-2025</v>
      </c>
      <c r="K1035" s="9">
        <f t="shared" si="4"/>
        <v>45689</v>
      </c>
      <c r="L1035" s="7" t="str">
        <f t="shared" si="5"/>
        <v/>
      </c>
      <c r="M1035" s="7" t="str">
        <f>IFERROR(__xludf.DUMMYFUNCTION("IFERROR(
  IF(
    F1035 &gt;
    3*AVERAGE(
       FILTER($F$2:$F10491,
         $G$2:$G10491=G1035,
         $A$2:$A10491&gt;=A1035-20,
         $A$2:$A10491&lt;=A1035
       )
    ),
    ""VOL_SPIKE_3X"",""""
  ),
"""")
"),"")</f>
        <v/>
      </c>
      <c r="N1035" s="7" t="str">
        <f t="shared" si="6"/>
        <v/>
      </c>
      <c r="O1035" s="7" t="str">
        <f t="shared" si="7"/>
        <v/>
      </c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5">
        <f>IFERROR(__xludf.DUMMYFUNCTION("""COMPUTED_VALUE"""),45701.0)</f>
        <v>45701</v>
      </c>
      <c r="B1036" s="6">
        <f>IFERROR(__xludf.DUMMYFUNCTION("""COMPUTED_VALUE"""),328.0)</f>
        <v>328</v>
      </c>
      <c r="C1036" s="6">
        <f>IFERROR(__xludf.DUMMYFUNCTION("""COMPUTED_VALUE"""),333.8)</f>
        <v>333.8</v>
      </c>
      <c r="D1036" s="6">
        <f>IFERROR(__xludf.DUMMYFUNCTION("""COMPUTED_VALUE"""),319.2)</f>
        <v>319.2</v>
      </c>
      <c r="E1036" s="6">
        <f>IFERROR(__xludf.DUMMYFUNCTION("""COMPUTED_VALUE"""),320.15)</f>
        <v>320.15</v>
      </c>
      <c r="F1036" s="7">
        <f>IFERROR(__xludf.DUMMYFUNCTION("""COMPUTED_VALUE"""),9771116.0)</f>
        <v>9771116</v>
      </c>
      <c r="G1036" s="7" t="str">
        <f>IFERROR(__xludf.DUMMYFUNCTION("""COMPUTED_VALUE"""),"HINDPETRO.NS")</f>
        <v>HINDPETRO.NS</v>
      </c>
      <c r="H1036" s="8">
        <f t="shared" si="1"/>
        <v>-0.02393292683</v>
      </c>
      <c r="I1036" s="8">
        <f t="shared" si="2"/>
        <v>0.02393292683</v>
      </c>
      <c r="J1036" s="7" t="str">
        <f t="shared" si="3"/>
        <v>Feb-2025</v>
      </c>
      <c r="K1036" s="9">
        <f t="shared" si="4"/>
        <v>45689</v>
      </c>
      <c r="L1036" s="7" t="str">
        <f t="shared" si="5"/>
        <v/>
      </c>
      <c r="M1036" s="7" t="str">
        <f>IFERROR(__xludf.DUMMYFUNCTION("IFERROR(
  IF(
    F1036 &gt;
    3*AVERAGE(
       FILTER($F$2:$F10491,
         $G$2:$G10491=G1036,
         $A$2:$A10491&gt;=A1036-20,
         $A$2:$A10491&lt;=A1036
       )
    ),
    ""VOL_SPIKE_3X"",""""
  ),
"""")
"),"")</f>
        <v/>
      </c>
      <c r="N1036" s="7" t="str">
        <f t="shared" si="6"/>
        <v/>
      </c>
      <c r="O1036" s="7" t="str">
        <f t="shared" si="7"/>
        <v/>
      </c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5">
        <f>IFERROR(__xludf.DUMMYFUNCTION("""COMPUTED_VALUE"""),45701.0)</f>
        <v>45701</v>
      </c>
      <c r="B1037" s="6">
        <f>IFERROR(__xludf.DUMMYFUNCTION("""COMPUTED_VALUE"""),121.0)</f>
        <v>121</v>
      </c>
      <c r="C1037" s="6">
        <f>IFERROR(__xludf.DUMMYFUNCTION("""COMPUTED_VALUE"""),122.0)</f>
        <v>122</v>
      </c>
      <c r="D1037" s="6">
        <f>IFERROR(__xludf.DUMMYFUNCTION("""COMPUTED_VALUE"""),119.95)</f>
        <v>119.95</v>
      </c>
      <c r="E1037" s="6">
        <f>IFERROR(__xludf.DUMMYFUNCTION("""COMPUTED_VALUE"""),120.08)</f>
        <v>120.08</v>
      </c>
      <c r="F1037" s="7">
        <f>IFERROR(__xludf.DUMMYFUNCTION("""COMPUTED_VALUE"""),1.0136689E7)</f>
        <v>10136689</v>
      </c>
      <c r="G1037" s="7" t="str">
        <f>IFERROR(__xludf.DUMMYFUNCTION("""COMPUTED_VALUE"""),"IOC.NS")</f>
        <v>IOC.NS</v>
      </c>
      <c r="H1037" s="8">
        <f t="shared" si="1"/>
        <v>-0.007603305785</v>
      </c>
      <c r="I1037" s="8">
        <f t="shared" si="2"/>
        <v>0.007603305785</v>
      </c>
      <c r="J1037" s="7" t="str">
        <f t="shared" si="3"/>
        <v>Feb-2025</v>
      </c>
      <c r="K1037" s="9">
        <f t="shared" si="4"/>
        <v>45689</v>
      </c>
      <c r="L1037" s="7" t="str">
        <f t="shared" si="5"/>
        <v/>
      </c>
      <c r="M1037" s="7" t="str">
        <f>IFERROR(__xludf.DUMMYFUNCTION("IFERROR(
  IF(
    F1037 &gt;
    3*AVERAGE(
       FILTER($F$2:$F10491,
         $G$2:$G10491=G1037,
         $A$2:$A10491&gt;=A1037-20,
         $A$2:$A10491&lt;=A1037
       )
    ),
    ""VOL_SPIKE_3X"",""""
  ),
"""")
"),"")</f>
        <v/>
      </c>
      <c r="N1037" s="7" t="str">
        <f t="shared" si="6"/>
        <v/>
      </c>
      <c r="O1037" s="7" t="str">
        <f t="shared" si="7"/>
        <v/>
      </c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5">
        <f>IFERROR(__xludf.DUMMYFUNCTION("""COMPUTED_VALUE"""),45701.0)</f>
        <v>45701</v>
      </c>
      <c r="B1038" s="6">
        <f>IFERROR(__xludf.DUMMYFUNCTION("""COMPUTED_VALUE"""),306.15)</f>
        <v>306.15</v>
      </c>
      <c r="C1038" s="6">
        <f>IFERROR(__xludf.DUMMYFUNCTION("""COMPUTED_VALUE"""),308.6)</f>
        <v>308.6</v>
      </c>
      <c r="D1038" s="6">
        <f>IFERROR(__xludf.DUMMYFUNCTION("""COMPUTED_VALUE"""),303.1)</f>
        <v>303.1</v>
      </c>
      <c r="E1038" s="6">
        <f>IFERROR(__xludf.DUMMYFUNCTION("""COMPUTED_VALUE"""),306.7)</f>
        <v>306.7</v>
      </c>
      <c r="F1038" s="7">
        <f>IFERROR(__xludf.DUMMYFUNCTION("""COMPUTED_VALUE"""),9086906.0)</f>
        <v>9086906</v>
      </c>
      <c r="G1038" s="7" t="str">
        <f>IFERROR(__xludf.DUMMYFUNCTION("""COMPUTED_VALUE"""),"NTPC.NS")</f>
        <v>NTPC.NS</v>
      </c>
      <c r="H1038" s="8">
        <f t="shared" si="1"/>
        <v>0.001796504981</v>
      </c>
      <c r="I1038" s="8">
        <f t="shared" si="2"/>
        <v>0.001796504981</v>
      </c>
      <c r="J1038" s="7" t="str">
        <f t="shared" si="3"/>
        <v>Feb-2025</v>
      </c>
      <c r="K1038" s="9">
        <f t="shared" si="4"/>
        <v>45689</v>
      </c>
      <c r="L1038" s="7" t="str">
        <f t="shared" si="5"/>
        <v/>
      </c>
      <c r="M1038" s="7" t="str">
        <f>IFERROR(__xludf.DUMMYFUNCTION("IFERROR(
  IF(
    F1038 &gt;
    3*AVERAGE(
       FILTER($F$2:$F10491,
         $G$2:$G10491=G1038,
         $A$2:$A10491&gt;=A1038-20,
         $A$2:$A10491&lt;=A1038
       )
    ),
    ""VOL_SPIKE_3X"",""""
  ),
"""")
"),"")</f>
        <v/>
      </c>
      <c r="N1038" s="7" t="str">
        <f t="shared" si="6"/>
        <v/>
      </c>
      <c r="O1038" s="7" t="str">
        <f t="shared" si="7"/>
        <v/>
      </c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5">
        <f>IFERROR(__xludf.DUMMYFUNCTION("""COMPUTED_VALUE"""),45701.0)</f>
        <v>45701</v>
      </c>
      <c r="B1039" s="6">
        <f>IFERROR(__xludf.DUMMYFUNCTION("""COMPUTED_VALUE"""),238.5)</f>
        <v>238.5</v>
      </c>
      <c r="C1039" s="6">
        <f>IFERROR(__xludf.DUMMYFUNCTION("""COMPUTED_VALUE"""),239.45)</f>
        <v>239.45</v>
      </c>
      <c r="D1039" s="6">
        <f>IFERROR(__xludf.DUMMYFUNCTION("""COMPUTED_VALUE"""),234.2)</f>
        <v>234.2</v>
      </c>
      <c r="E1039" s="6">
        <f>IFERROR(__xludf.DUMMYFUNCTION("""COMPUTED_VALUE"""),234.95)</f>
        <v>234.95</v>
      </c>
      <c r="F1039" s="7">
        <f>IFERROR(__xludf.DUMMYFUNCTION("""COMPUTED_VALUE"""),1.007921E7)</f>
        <v>10079210</v>
      </c>
      <c r="G1039" s="7" t="str">
        <f>IFERROR(__xludf.DUMMYFUNCTION("""COMPUTED_VALUE"""),"ONGC.NS")</f>
        <v>ONGC.NS</v>
      </c>
      <c r="H1039" s="8">
        <f t="shared" si="1"/>
        <v>-0.01488469602</v>
      </c>
      <c r="I1039" s="8">
        <f t="shared" si="2"/>
        <v>0.01488469602</v>
      </c>
      <c r="J1039" s="7" t="str">
        <f t="shared" si="3"/>
        <v>Feb-2025</v>
      </c>
      <c r="K1039" s="9">
        <f t="shared" si="4"/>
        <v>45689</v>
      </c>
      <c r="L1039" s="7" t="str">
        <f t="shared" si="5"/>
        <v/>
      </c>
      <c r="M1039" s="7" t="str">
        <f>IFERROR(__xludf.DUMMYFUNCTION("IFERROR(
  IF(
    F1039 &gt;
    3*AVERAGE(
       FILTER($F$2:$F10491,
         $G$2:$G10491=G1039,
         $A$2:$A10491&gt;=A1039-20,
         $A$2:$A10491&lt;=A1039
       )
    ),
    ""VOL_SPIKE_3X"",""""
  ),
"""")
"),"")</f>
        <v/>
      </c>
      <c r="N1039" s="7" t="str">
        <f t="shared" si="6"/>
        <v/>
      </c>
      <c r="O1039" s="7" t="str">
        <f t="shared" si="7"/>
        <v/>
      </c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5">
        <f>IFERROR(__xludf.DUMMYFUNCTION("""COMPUTED_VALUE"""),45701.0)</f>
        <v>45701</v>
      </c>
      <c r="B1040" s="6">
        <f>IFERROR(__xludf.DUMMYFUNCTION("""COMPUTED_VALUE"""),257.25)</f>
        <v>257.25</v>
      </c>
      <c r="C1040" s="6">
        <f>IFERROR(__xludf.DUMMYFUNCTION("""COMPUTED_VALUE"""),261.35)</f>
        <v>261.35</v>
      </c>
      <c r="D1040" s="6">
        <f>IFERROR(__xludf.DUMMYFUNCTION("""COMPUTED_VALUE"""),256.1)</f>
        <v>256.1</v>
      </c>
      <c r="E1040" s="6">
        <f>IFERROR(__xludf.DUMMYFUNCTION("""COMPUTED_VALUE"""),259.15)</f>
        <v>259.15</v>
      </c>
      <c r="F1040" s="7">
        <f>IFERROR(__xludf.DUMMYFUNCTION("""COMPUTED_VALUE"""),1.2257226E7)</f>
        <v>12257226</v>
      </c>
      <c r="G1040" s="7" t="str">
        <f>IFERROR(__xludf.DUMMYFUNCTION("""COMPUTED_VALUE"""),"POWERGRID.NS")</f>
        <v>POWERGRID.NS</v>
      </c>
      <c r="H1040" s="8">
        <f t="shared" si="1"/>
        <v>0.007385811467</v>
      </c>
      <c r="I1040" s="8">
        <f t="shared" si="2"/>
        <v>0.007385811467</v>
      </c>
      <c r="J1040" s="7" t="str">
        <f t="shared" si="3"/>
        <v>Feb-2025</v>
      </c>
      <c r="K1040" s="9">
        <f t="shared" si="4"/>
        <v>45689</v>
      </c>
      <c r="L1040" s="7" t="str">
        <f t="shared" si="5"/>
        <v/>
      </c>
      <c r="M1040" s="7" t="str">
        <f>IFERROR(__xludf.DUMMYFUNCTION("IFERROR(
  IF(
    F1040 &gt;
    3*AVERAGE(
       FILTER($F$2:$F10491,
         $G$2:$G10491=G1040,
         $A$2:$A10491&gt;=A1040-20,
         $A$2:$A10491&lt;=A1040
       )
    ),
    ""VOL_SPIKE_3X"",""""
  ),
"""")
"),"")</f>
        <v/>
      </c>
      <c r="N1040" s="7" t="str">
        <f t="shared" si="6"/>
        <v/>
      </c>
      <c r="O1040" s="7" t="str">
        <f t="shared" si="7"/>
        <v/>
      </c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5">
        <f>IFERROR(__xludf.DUMMYFUNCTION("""COMPUTED_VALUE"""),45701.0)</f>
        <v>45701</v>
      </c>
      <c r="B1041" s="6">
        <f>IFERROR(__xludf.DUMMYFUNCTION("""COMPUTED_VALUE"""),1217.05)</f>
        <v>1217.05</v>
      </c>
      <c r="C1041" s="6">
        <f>IFERROR(__xludf.DUMMYFUNCTION("""COMPUTED_VALUE"""),1228.0)</f>
        <v>1228</v>
      </c>
      <c r="D1041" s="6">
        <f>IFERROR(__xludf.DUMMYFUNCTION("""COMPUTED_VALUE"""),1212.0)</f>
        <v>1212</v>
      </c>
      <c r="E1041" s="6">
        <f>IFERROR(__xludf.DUMMYFUNCTION("""COMPUTED_VALUE"""),1216.1)</f>
        <v>1216.1</v>
      </c>
      <c r="F1041" s="7">
        <f>IFERROR(__xludf.DUMMYFUNCTION("""COMPUTED_VALUE"""),8511216.0)</f>
        <v>8511216</v>
      </c>
      <c r="G1041" s="7" t="str">
        <f>IFERROR(__xludf.DUMMYFUNCTION("""COMPUTED_VALUE"""),"RELIANCE.NS")</f>
        <v>RELIANCE.NS</v>
      </c>
      <c r="H1041" s="8">
        <f t="shared" si="1"/>
        <v>-0.0007805759829</v>
      </c>
      <c r="I1041" s="8">
        <f t="shared" si="2"/>
        <v>0.0007805759829</v>
      </c>
      <c r="J1041" s="7" t="str">
        <f t="shared" si="3"/>
        <v>Feb-2025</v>
      </c>
      <c r="K1041" s="9">
        <f t="shared" si="4"/>
        <v>45689</v>
      </c>
      <c r="L1041" s="7" t="str">
        <f t="shared" si="5"/>
        <v/>
      </c>
      <c r="M1041" s="7" t="str">
        <f>IFERROR(__xludf.DUMMYFUNCTION("IFERROR(
  IF(
    F1041 &gt;
    3*AVERAGE(
       FILTER($F$2:$F10491,
         $G$2:$G10491=G1041,
         $A$2:$A10491&gt;=A1041-20,
         $A$2:$A10491&lt;=A1041
       )
    ),
    ""VOL_SPIKE_3X"",""""
  ),
"""")
"),"")</f>
        <v/>
      </c>
      <c r="N1041" s="7" t="str">
        <f t="shared" si="6"/>
        <v/>
      </c>
      <c r="O1041" s="7" t="str">
        <f t="shared" si="7"/>
        <v/>
      </c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5">
        <f>IFERROR(__xludf.DUMMYFUNCTION("""COMPUTED_VALUE"""),45702.0)</f>
        <v>45702</v>
      </c>
      <c r="B1042" s="6">
        <f>IFERROR(__xludf.DUMMYFUNCTION("""COMPUTED_VALUE"""),747.45)</f>
        <v>747.45</v>
      </c>
      <c r="C1042" s="6">
        <f>IFERROR(__xludf.DUMMYFUNCTION("""COMPUTED_VALUE"""),751.1)</f>
        <v>751.1</v>
      </c>
      <c r="D1042" s="6">
        <f>IFERROR(__xludf.DUMMYFUNCTION("""COMPUTED_VALUE"""),696.75)</f>
        <v>696.75</v>
      </c>
      <c r="E1042" s="6">
        <f>IFERROR(__xludf.DUMMYFUNCTION("""COMPUTED_VALUE"""),708.4)</f>
        <v>708.4</v>
      </c>
      <c r="F1042" s="7">
        <f>IFERROR(__xludf.DUMMYFUNCTION("""COMPUTED_VALUE"""),1779389.0)</f>
        <v>1779389</v>
      </c>
      <c r="G1042" s="7" t="str">
        <f>IFERROR(__xludf.DUMMYFUNCTION("""COMPUTED_VALUE"""),"ADANIENSOL.NS")</f>
        <v>ADANIENSOL.NS</v>
      </c>
      <c r="H1042" s="8">
        <f t="shared" si="1"/>
        <v>-0.05224429728</v>
      </c>
      <c r="I1042" s="8">
        <f t="shared" si="2"/>
        <v>0.05224429728</v>
      </c>
      <c r="J1042" s="7" t="str">
        <f t="shared" si="3"/>
        <v>Feb-2025</v>
      </c>
      <c r="K1042" s="9">
        <f t="shared" si="4"/>
        <v>45689</v>
      </c>
      <c r="L1042" s="7" t="str">
        <f t="shared" si="5"/>
        <v>PRICE_MOVE_5PCT+</v>
      </c>
      <c r="M1042" s="7" t="str">
        <f>IFERROR(__xludf.DUMMYFUNCTION("IFERROR(
  IF(
    F1042 &gt;
    3*AVERAGE(
       FILTER($F$2:$F10491,
         $G$2:$G10491=G1042,
         $A$2:$A10491&gt;=A1042-20,
         $A$2:$A10491&lt;=A1042
       )
    ),
    ""VOL_SPIKE_3X"",""""
  ),
"""")
"),"")</f>
        <v/>
      </c>
      <c r="N1042" s="7" t="str">
        <f t="shared" si="6"/>
        <v>PRICE_MOVE_5PCT+</v>
      </c>
      <c r="O1042" s="7" t="str">
        <f t="shared" si="7"/>
        <v/>
      </c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5">
        <f>IFERROR(__xludf.DUMMYFUNCTION("""COMPUTED_VALUE"""),45702.0)</f>
        <v>45702</v>
      </c>
      <c r="B1043" s="6">
        <f>IFERROR(__xludf.DUMMYFUNCTION("""COMPUTED_VALUE"""),920.0)</f>
        <v>920</v>
      </c>
      <c r="C1043" s="6">
        <f>IFERROR(__xludf.DUMMYFUNCTION("""COMPUTED_VALUE"""),923.65)</f>
        <v>923.65</v>
      </c>
      <c r="D1043" s="6">
        <f>IFERROR(__xludf.DUMMYFUNCTION("""COMPUTED_VALUE"""),873.0)</f>
        <v>873</v>
      </c>
      <c r="E1043" s="6">
        <f>IFERROR(__xludf.DUMMYFUNCTION("""COMPUTED_VALUE"""),884.4)</f>
        <v>884.4</v>
      </c>
      <c r="F1043" s="7">
        <f>IFERROR(__xludf.DUMMYFUNCTION("""COMPUTED_VALUE"""),2874948.0)</f>
        <v>2874948</v>
      </c>
      <c r="G1043" s="7" t="str">
        <f>IFERROR(__xludf.DUMMYFUNCTION("""COMPUTED_VALUE"""),"ADANIGREEN.NS")</f>
        <v>ADANIGREEN.NS</v>
      </c>
      <c r="H1043" s="8">
        <f t="shared" si="1"/>
        <v>-0.03869565217</v>
      </c>
      <c r="I1043" s="8">
        <f t="shared" si="2"/>
        <v>0.03869565217</v>
      </c>
      <c r="J1043" s="7" t="str">
        <f t="shared" si="3"/>
        <v>Feb-2025</v>
      </c>
      <c r="K1043" s="9">
        <f t="shared" si="4"/>
        <v>45689</v>
      </c>
      <c r="L1043" s="7" t="str">
        <f t="shared" si="5"/>
        <v/>
      </c>
      <c r="M1043" s="7" t="str">
        <f>IFERROR(__xludf.DUMMYFUNCTION("IFERROR(
  IF(
    F1043 &gt;
    3*AVERAGE(
       FILTER($F$2:$F10491,
         $G$2:$G10491=G1043,
         $A$2:$A10491&gt;=A1043-20,
         $A$2:$A10491&lt;=A1043
       )
    ),
    ""VOL_SPIKE_3X"",""""
  ),
"""")
"),"")</f>
        <v/>
      </c>
      <c r="N1043" s="7" t="str">
        <f t="shared" si="6"/>
        <v/>
      </c>
      <c r="O1043" s="7" t="str">
        <f t="shared" si="7"/>
        <v/>
      </c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5">
        <f>IFERROR(__xludf.DUMMYFUNCTION("""COMPUTED_VALUE"""),45702.0)</f>
        <v>45702</v>
      </c>
      <c r="B1044" s="6">
        <f>IFERROR(__xludf.DUMMYFUNCTION("""COMPUTED_VALUE"""),256.4)</f>
        <v>256.4</v>
      </c>
      <c r="C1044" s="6">
        <f>IFERROR(__xludf.DUMMYFUNCTION("""COMPUTED_VALUE"""),258.6)</f>
        <v>258.6</v>
      </c>
      <c r="D1044" s="6">
        <f>IFERROR(__xludf.DUMMYFUNCTION("""COMPUTED_VALUE"""),247.45)</f>
        <v>247.45</v>
      </c>
      <c r="E1044" s="6">
        <f>IFERROR(__xludf.DUMMYFUNCTION("""COMPUTED_VALUE"""),251.0)</f>
        <v>251</v>
      </c>
      <c r="F1044" s="7">
        <f>IFERROR(__xludf.DUMMYFUNCTION("""COMPUTED_VALUE"""),5205573.0)</f>
        <v>5205573</v>
      </c>
      <c r="G1044" s="7" t="str">
        <f>IFERROR(__xludf.DUMMYFUNCTION("""COMPUTED_VALUE"""),"BPCL.NS")</f>
        <v>BPCL.NS</v>
      </c>
      <c r="H1044" s="8">
        <f t="shared" si="1"/>
        <v>-0.02106084243</v>
      </c>
      <c r="I1044" s="8">
        <f t="shared" si="2"/>
        <v>0.02106084243</v>
      </c>
      <c r="J1044" s="7" t="str">
        <f t="shared" si="3"/>
        <v>Feb-2025</v>
      </c>
      <c r="K1044" s="9">
        <f t="shared" si="4"/>
        <v>45689</v>
      </c>
      <c r="L1044" s="7" t="str">
        <f t="shared" si="5"/>
        <v/>
      </c>
      <c r="M1044" s="7" t="str">
        <f>IFERROR(__xludf.DUMMYFUNCTION("IFERROR(
  IF(
    F1044 &gt;
    3*AVERAGE(
       FILTER($F$2:$F10491,
         $G$2:$G10491=G1044,
         $A$2:$A10491&gt;=A1044-20,
         $A$2:$A10491&lt;=A1044
       )
    ),
    ""VOL_SPIKE_3X"",""""
  ),
"""")
"),"")</f>
        <v/>
      </c>
      <c r="N1044" s="7" t="str">
        <f t="shared" si="6"/>
        <v/>
      </c>
      <c r="O1044" s="7" t="str">
        <f t="shared" si="7"/>
        <v/>
      </c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5">
        <f>IFERROR(__xludf.DUMMYFUNCTION("""COMPUTED_VALUE"""),45702.0)</f>
        <v>45702</v>
      </c>
      <c r="B1045" s="6">
        <f>IFERROR(__xludf.DUMMYFUNCTION("""COMPUTED_VALUE"""),363.9)</f>
        <v>363.9</v>
      </c>
      <c r="C1045" s="6">
        <f>IFERROR(__xludf.DUMMYFUNCTION("""COMPUTED_VALUE"""),365.0)</f>
        <v>365</v>
      </c>
      <c r="D1045" s="6">
        <f>IFERROR(__xludf.DUMMYFUNCTION("""COMPUTED_VALUE"""),350.5)</f>
        <v>350.5</v>
      </c>
      <c r="E1045" s="6">
        <f>IFERROR(__xludf.DUMMYFUNCTION("""COMPUTED_VALUE"""),354.2)</f>
        <v>354.2</v>
      </c>
      <c r="F1045" s="7">
        <f>IFERROR(__xludf.DUMMYFUNCTION("""COMPUTED_VALUE"""),4464446.0)</f>
        <v>4464446</v>
      </c>
      <c r="G1045" s="7" t="str">
        <f>IFERROR(__xludf.DUMMYFUNCTION("""COMPUTED_VALUE"""),"COALINDIA.NS")</f>
        <v>COALINDIA.NS</v>
      </c>
      <c r="H1045" s="8">
        <f t="shared" si="1"/>
        <v>-0.02665567464</v>
      </c>
      <c r="I1045" s="8">
        <f t="shared" si="2"/>
        <v>0.02665567464</v>
      </c>
      <c r="J1045" s="7" t="str">
        <f t="shared" si="3"/>
        <v>Feb-2025</v>
      </c>
      <c r="K1045" s="9">
        <f t="shared" si="4"/>
        <v>45689</v>
      </c>
      <c r="L1045" s="7" t="str">
        <f t="shared" si="5"/>
        <v/>
      </c>
      <c r="M1045" s="7" t="str">
        <f>IFERROR(__xludf.DUMMYFUNCTION("IFERROR(
  IF(
    F1045 &gt;
    3*AVERAGE(
       FILTER($F$2:$F10491,
         $G$2:$G10491=G1045,
         $A$2:$A10491&gt;=A1045-20,
         $A$2:$A10491&lt;=A1045
       )
    ),
    ""VOL_SPIKE_3X"",""""
  ),
"""")
"),"")</f>
        <v/>
      </c>
      <c r="N1045" s="7" t="str">
        <f t="shared" si="6"/>
        <v/>
      </c>
      <c r="O1045" s="7" t="str">
        <f t="shared" si="7"/>
        <v/>
      </c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5">
        <f>IFERROR(__xludf.DUMMYFUNCTION("""COMPUTED_VALUE"""),45702.0)</f>
        <v>45702</v>
      </c>
      <c r="B1046" s="6">
        <f>IFERROR(__xludf.DUMMYFUNCTION("""COMPUTED_VALUE"""),323.0)</f>
        <v>323</v>
      </c>
      <c r="C1046" s="6">
        <f>IFERROR(__xludf.DUMMYFUNCTION("""COMPUTED_VALUE"""),323.45)</f>
        <v>323.45</v>
      </c>
      <c r="D1046" s="6">
        <f>IFERROR(__xludf.DUMMYFUNCTION("""COMPUTED_VALUE"""),304.4)</f>
        <v>304.4</v>
      </c>
      <c r="E1046" s="6">
        <f>IFERROR(__xludf.DUMMYFUNCTION("""COMPUTED_VALUE"""),312.35)</f>
        <v>312.35</v>
      </c>
      <c r="F1046" s="7">
        <f>IFERROR(__xludf.DUMMYFUNCTION("""COMPUTED_VALUE"""),9525190.0)</f>
        <v>9525190</v>
      </c>
      <c r="G1046" s="7" t="str">
        <f>IFERROR(__xludf.DUMMYFUNCTION("""COMPUTED_VALUE"""),"HINDPETRO.NS")</f>
        <v>HINDPETRO.NS</v>
      </c>
      <c r="H1046" s="8">
        <f t="shared" si="1"/>
        <v>-0.03297213622</v>
      </c>
      <c r="I1046" s="8">
        <f t="shared" si="2"/>
        <v>0.03297213622</v>
      </c>
      <c r="J1046" s="7" t="str">
        <f t="shared" si="3"/>
        <v>Feb-2025</v>
      </c>
      <c r="K1046" s="9">
        <f t="shared" si="4"/>
        <v>45689</v>
      </c>
      <c r="L1046" s="7" t="str">
        <f t="shared" si="5"/>
        <v/>
      </c>
      <c r="M1046" s="7" t="str">
        <f>IFERROR(__xludf.DUMMYFUNCTION("IFERROR(
  IF(
    F1046 &gt;
    3*AVERAGE(
       FILTER($F$2:$F10491,
         $G$2:$G10491=G1046,
         $A$2:$A10491&gt;=A1046-20,
         $A$2:$A10491&lt;=A1046
       )
    ),
    ""VOL_SPIKE_3X"",""""
  ),
"""")
"),"")</f>
        <v/>
      </c>
      <c r="N1046" s="7" t="str">
        <f t="shared" si="6"/>
        <v/>
      </c>
      <c r="O1046" s="7" t="str">
        <f t="shared" si="7"/>
        <v/>
      </c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5">
        <f>IFERROR(__xludf.DUMMYFUNCTION("""COMPUTED_VALUE"""),45702.0)</f>
        <v>45702</v>
      </c>
      <c r="B1047" s="6">
        <f>IFERROR(__xludf.DUMMYFUNCTION("""COMPUTED_VALUE"""),120.5)</f>
        <v>120.5</v>
      </c>
      <c r="C1047" s="6">
        <f>IFERROR(__xludf.DUMMYFUNCTION("""COMPUTED_VALUE"""),121.24)</f>
        <v>121.24</v>
      </c>
      <c r="D1047" s="6">
        <f>IFERROR(__xludf.DUMMYFUNCTION("""COMPUTED_VALUE"""),116.0)</f>
        <v>116</v>
      </c>
      <c r="E1047" s="6">
        <f>IFERROR(__xludf.DUMMYFUNCTION("""COMPUTED_VALUE"""),117.25)</f>
        <v>117.25</v>
      </c>
      <c r="F1047" s="7">
        <f>IFERROR(__xludf.DUMMYFUNCTION("""COMPUTED_VALUE"""),1.2351973E7)</f>
        <v>12351973</v>
      </c>
      <c r="G1047" s="7" t="str">
        <f>IFERROR(__xludf.DUMMYFUNCTION("""COMPUTED_VALUE"""),"IOC.NS")</f>
        <v>IOC.NS</v>
      </c>
      <c r="H1047" s="8">
        <f t="shared" si="1"/>
        <v>-0.02697095436</v>
      </c>
      <c r="I1047" s="8">
        <f t="shared" si="2"/>
        <v>0.02697095436</v>
      </c>
      <c r="J1047" s="7" t="str">
        <f t="shared" si="3"/>
        <v>Feb-2025</v>
      </c>
      <c r="K1047" s="9">
        <f t="shared" si="4"/>
        <v>45689</v>
      </c>
      <c r="L1047" s="7" t="str">
        <f t="shared" si="5"/>
        <v/>
      </c>
      <c r="M1047" s="7" t="str">
        <f>IFERROR(__xludf.DUMMYFUNCTION("IFERROR(
  IF(
    F1047 &gt;
    3*AVERAGE(
       FILTER($F$2:$F10491,
         $G$2:$G10491=G1047,
         $A$2:$A10491&gt;=A1047-20,
         $A$2:$A10491&lt;=A1047
       )
    ),
    ""VOL_SPIKE_3X"",""""
  ),
"""")
"),"")</f>
        <v/>
      </c>
      <c r="N1047" s="7" t="str">
        <f t="shared" si="6"/>
        <v/>
      </c>
      <c r="O1047" s="7" t="str">
        <f t="shared" si="7"/>
        <v/>
      </c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5">
        <f>IFERROR(__xludf.DUMMYFUNCTION("""COMPUTED_VALUE"""),45702.0)</f>
        <v>45702</v>
      </c>
      <c r="B1048" s="6">
        <f>IFERROR(__xludf.DUMMYFUNCTION("""COMPUTED_VALUE"""),306.85)</f>
        <v>306.85</v>
      </c>
      <c r="C1048" s="6">
        <f>IFERROR(__xludf.DUMMYFUNCTION("""COMPUTED_VALUE"""),308.25)</f>
        <v>308.25</v>
      </c>
      <c r="D1048" s="6">
        <f>IFERROR(__xludf.DUMMYFUNCTION("""COMPUTED_VALUE"""),298.35)</f>
        <v>298.35</v>
      </c>
      <c r="E1048" s="6">
        <f>IFERROR(__xludf.DUMMYFUNCTION("""COMPUTED_VALUE"""),300.35)</f>
        <v>300.35</v>
      </c>
      <c r="F1048" s="7">
        <f>IFERROR(__xludf.DUMMYFUNCTION("""COMPUTED_VALUE"""),7446248.0)</f>
        <v>7446248</v>
      </c>
      <c r="G1048" s="7" t="str">
        <f>IFERROR(__xludf.DUMMYFUNCTION("""COMPUTED_VALUE"""),"NTPC.NS")</f>
        <v>NTPC.NS</v>
      </c>
      <c r="H1048" s="8">
        <f t="shared" si="1"/>
        <v>-0.02118298843</v>
      </c>
      <c r="I1048" s="8">
        <f t="shared" si="2"/>
        <v>0.02118298843</v>
      </c>
      <c r="J1048" s="7" t="str">
        <f t="shared" si="3"/>
        <v>Feb-2025</v>
      </c>
      <c r="K1048" s="9">
        <f t="shared" si="4"/>
        <v>45689</v>
      </c>
      <c r="L1048" s="7" t="str">
        <f t="shared" si="5"/>
        <v/>
      </c>
      <c r="M1048" s="7" t="str">
        <f>IFERROR(__xludf.DUMMYFUNCTION("IFERROR(
  IF(
    F1048 &gt;
    3*AVERAGE(
       FILTER($F$2:$F10491,
         $G$2:$G10491=G1048,
         $A$2:$A10491&gt;=A1048-20,
         $A$2:$A10491&lt;=A1048
       )
    ),
    ""VOL_SPIKE_3X"",""""
  ),
"""")
"),"")</f>
        <v/>
      </c>
      <c r="N1048" s="7" t="str">
        <f t="shared" si="6"/>
        <v/>
      </c>
      <c r="O1048" s="7" t="str">
        <f t="shared" si="7"/>
        <v/>
      </c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5">
        <f>IFERROR(__xludf.DUMMYFUNCTION("""COMPUTED_VALUE"""),45702.0)</f>
        <v>45702</v>
      </c>
      <c r="B1049" s="6">
        <f>IFERROR(__xludf.DUMMYFUNCTION("""COMPUTED_VALUE"""),235.0)</f>
        <v>235</v>
      </c>
      <c r="C1049" s="6">
        <f>IFERROR(__xludf.DUMMYFUNCTION("""COMPUTED_VALUE"""),237.95)</f>
        <v>237.95</v>
      </c>
      <c r="D1049" s="6">
        <f>IFERROR(__xludf.DUMMYFUNCTION("""COMPUTED_VALUE"""),226.75)</f>
        <v>226.75</v>
      </c>
      <c r="E1049" s="6">
        <f>IFERROR(__xludf.DUMMYFUNCTION("""COMPUTED_VALUE"""),230.5)</f>
        <v>230.5</v>
      </c>
      <c r="F1049" s="7">
        <f>IFERROR(__xludf.DUMMYFUNCTION("""COMPUTED_VALUE"""),8065352.0)</f>
        <v>8065352</v>
      </c>
      <c r="G1049" s="7" t="str">
        <f>IFERROR(__xludf.DUMMYFUNCTION("""COMPUTED_VALUE"""),"ONGC.NS")</f>
        <v>ONGC.NS</v>
      </c>
      <c r="H1049" s="8">
        <f t="shared" si="1"/>
        <v>-0.01914893617</v>
      </c>
      <c r="I1049" s="8">
        <f t="shared" si="2"/>
        <v>0.01914893617</v>
      </c>
      <c r="J1049" s="7" t="str">
        <f t="shared" si="3"/>
        <v>Feb-2025</v>
      </c>
      <c r="K1049" s="9">
        <f t="shared" si="4"/>
        <v>45689</v>
      </c>
      <c r="L1049" s="7" t="str">
        <f t="shared" si="5"/>
        <v/>
      </c>
      <c r="M1049" s="7" t="str">
        <f>IFERROR(__xludf.DUMMYFUNCTION("IFERROR(
  IF(
    F1049 &gt;
    3*AVERAGE(
       FILTER($F$2:$F10491,
         $G$2:$G10491=G1049,
         $A$2:$A10491&gt;=A1049-20,
         $A$2:$A10491&lt;=A1049
       )
    ),
    ""VOL_SPIKE_3X"",""""
  ),
"""")
"),"")</f>
        <v/>
      </c>
      <c r="N1049" s="7" t="str">
        <f t="shared" si="6"/>
        <v/>
      </c>
      <c r="O1049" s="7" t="str">
        <f t="shared" si="7"/>
        <v/>
      </c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5">
        <f>IFERROR(__xludf.DUMMYFUNCTION("""COMPUTED_VALUE"""),45702.0)</f>
        <v>45702</v>
      </c>
      <c r="B1050" s="6">
        <f>IFERROR(__xludf.DUMMYFUNCTION("""COMPUTED_VALUE"""),260.4)</f>
        <v>260.4</v>
      </c>
      <c r="C1050" s="6">
        <f>IFERROR(__xludf.DUMMYFUNCTION("""COMPUTED_VALUE"""),261.5)</f>
        <v>261.5</v>
      </c>
      <c r="D1050" s="6">
        <f>IFERROR(__xludf.DUMMYFUNCTION("""COMPUTED_VALUE"""),254.75)</f>
        <v>254.75</v>
      </c>
      <c r="E1050" s="6">
        <f>IFERROR(__xludf.DUMMYFUNCTION("""COMPUTED_VALUE"""),257.35)</f>
        <v>257.35</v>
      </c>
      <c r="F1050" s="7">
        <f>IFERROR(__xludf.DUMMYFUNCTION("""COMPUTED_VALUE"""),1.1339563E7)</f>
        <v>11339563</v>
      </c>
      <c r="G1050" s="7" t="str">
        <f>IFERROR(__xludf.DUMMYFUNCTION("""COMPUTED_VALUE"""),"POWERGRID.NS")</f>
        <v>POWERGRID.NS</v>
      </c>
      <c r="H1050" s="8">
        <f t="shared" si="1"/>
        <v>-0.01171274962</v>
      </c>
      <c r="I1050" s="8">
        <f t="shared" si="2"/>
        <v>0.01171274962</v>
      </c>
      <c r="J1050" s="7" t="str">
        <f t="shared" si="3"/>
        <v>Feb-2025</v>
      </c>
      <c r="K1050" s="9">
        <f t="shared" si="4"/>
        <v>45689</v>
      </c>
      <c r="L1050" s="7" t="str">
        <f t="shared" si="5"/>
        <v/>
      </c>
      <c r="M1050" s="7" t="str">
        <f>IFERROR(__xludf.DUMMYFUNCTION("IFERROR(
  IF(
    F1050 &gt;
    3*AVERAGE(
       FILTER($F$2:$F10491,
         $G$2:$G10491=G1050,
         $A$2:$A10491&gt;=A1050-20,
         $A$2:$A10491&lt;=A1050
       )
    ),
    ""VOL_SPIKE_3X"",""""
  ),
"""")
"),"")</f>
        <v/>
      </c>
      <c r="N1050" s="7" t="str">
        <f t="shared" si="6"/>
        <v/>
      </c>
      <c r="O1050" s="7" t="str">
        <f t="shared" si="7"/>
        <v/>
      </c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5">
        <f>IFERROR(__xludf.DUMMYFUNCTION("""COMPUTED_VALUE"""),45702.0)</f>
        <v>45702</v>
      </c>
      <c r="B1051" s="6">
        <f>IFERROR(__xludf.DUMMYFUNCTION("""COMPUTED_VALUE"""),1219.0)</f>
        <v>1219</v>
      </c>
      <c r="C1051" s="6">
        <f>IFERROR(__xludf.DUMMYFUNCTION("""COMPUTED_VALUE"""),1224.0)</f>
        <v>1224</v>
      </c>
      <c r="D1051" s="6">
        <f>IFERROR(__xludf.DUMMYFUNCTION("""COMPUTED_VALUE"""),1205.45)</f>
        <v>1205.45</v>
      </c>
      <c r="E1051" s="6">
        <f>IFERROR(__xludf.DUMMYFUNCTION("""COMPUTED_VALUE"""),1217.25)</f>
        <v>1217.25</v>
      </c>
      <c r="F1051" s="7">
        <f>IFERROR(__xludf.DUMMYFUNCTION("""COMPUTED_VALUE"""),1.0298145E7)</f>
        <v>10298145</v>
      </c>
      <c r="G1051" s="7" t="str">
        <f>IFERROR(__xludf.DUMMYFUNCTION("""COMPUTED_VALUE"""),"RELIANCE.NS")</f>
        <v>RELIANCE.NS</v>
      </c>
      <c r="H1051" s="8">
        <f t="shared" si="1"/>
        <v>-0.001435602953</v>
      </c>
      <c r="I1051" s="8">
        <f t="shared" si="2"/>
        <v>0.001435602953</v>
      </c>
      <c r="J1051" s="7" t="str">
        <f t="shared" si="3"/>
        <v>Feb-2025</v>
      </c>
      <c r="K1051" s="9">
        <f t="shared" si="4"/>
        <v>45689</v>
      </c>
      <c r="L1051" s="7" t="str">
        <f t="shared" si="5"/>
        <v/>
      </c>
      <c r="M1051" s="7" t="str">
        <f>IFERROR(__xludf.DUMMYFUNCTION("IFERROR(
  IF(
    F1051 &gt;
    3*AVERAGE(
       FILTER($F$2:$F10491,
         $G$2:$G10491=G1051,
         $A$2:$A10491&gt;=A1051-20,
         $A$2:$A10491&lt;=A1051
       )
    ),
    ""VOL_SPIKE_3X"",""""
  ),
"""")
"),"")</f>
        <v/>
      </c>
      <c r="N1051" s="7" t="str">
        <f t="shared" si="6"/>
        <v/>
      </c>
      <c r="O1051" s="7" t="str">
        <f t="shared" si="7"/>
        <v/>
      </c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5">
        <f>IFERROR(__xludf.DUMMYFUNCTION("""COMPUTED_VALUE"""),45705.0)</f>
        <v>45705</v>
      </c>
      <c r="B1052" s="6">
        <f>IFERROR(__xludf.DUMMYFUNCTION("""COMPUTED_VALUE"""),703.85)</f>
        <v>703.85</v>
      </c>
      <c r="C1052" s="6">
        <f>IFERROR(__xludf.DUMMYFUNCTION("""COMPUTED_VALUE"""),708.75)</f>
        <v>708.75</v>
      </c>
      <c r="D1052" s="6">
        <f>IFERROR(__xludf.DUMMYFUNCTION("""COMPUTED_VALUE"""),677.4)</f>
        <v>677.4</v>
      </c>
      <c r="E1052" s="6">
        <f>IFERROR(__xludf.DUMMYFUNCTION("""COMPUTED_VALUE"""),702.0)</f>
        <v>702</v>
      </c>
      <c r="F1052" s="7">
        <f>IFERROR(__xludf.DUMMYFUNCTION("""COMPUTED_VALUE"""),2394243.0)</f>
        <v>2394243</v>
      </c>
      <c r="G1052" s="7" t="str">
        <f>IFERROR(__xludf.DUMMYFUNCTION("""COMPUTED_VALUE"""),"ADANIENSOL.NS")</f>
        <v>ADANIENSOL.NS</v>
      </c>
      <c r="H1052" s="8">
        <f t="shared" si="1"/>
        <v>-0.002628400938</v>
      </c>
      <c r="I1052" s="8">
        <f t="shared" si="2"/>
        <v>0.002628400938</v>
      </c>
      <c r="J1052" s="7" t="str">
        <f t="shared" si="3"/>
        <v>Feb-2025</v>
      </c>
      <c r="K1052" s="9">
        <f t="shared" si="4"/>
        <v>45689</v>
      </c>
      <c r="L1052" s="7" t="str">
        <f t="shared" si="5"/>
        <v/>
      </c>
      <c r="M1052" s="7" t="str">
        <f>IFERROR(__xludf.DUMMYFUNCTION("IFERROR(
  IF(
    F1052 &gt;
    3*AVERAGE(
       FILTER($F$2:$F10491,
         $G$2:$G10491=G1052,
         $A$2:$A10491&gt;=A1052-20,
         $A$2:$A10491&lt;=A1052
       )
    ),
    ""VOL_SPIKE_3X"",""""
  ),
"""")
"),"")</f>
        <v/>
      </c>
      <c r="N1052" s="7" t="str">
        <f t="shared" si="6"/>
        <v/>
      </c>
      <c r="O1052" s="7" t="str">
        <f t="shared" si="7"/>
        <v/>
      </c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5">
        <f>IFERROR(__xludf.DUMMYFUNCTION("""COMPUTED_VALUE"""),45705.0)</f>
        <v>45705</v>
      </c>
      <c r="B1053" s="6">
        <f>IFERROR(__xludf.DUMMYFUNCTION("""COMPUTED_VALUE"""),878.95)</f>
        <v>878.95</v>
      </c>
      <c r="C1053" s="6">
        <f>IFERROR(__xludf.DUMMYFUNCTION("""COMPUTED_VALUE"""),900.85)</f>
        <v>900.85</v>
      </c>
      <c r="D1053" s="6">
        <f>IFERROR(__xludf.DUMMYFUNCTION("""COMPUTED_VALUE"""),840.45)</f>
        <v>840.45</v>
      </c>
      <c r="E1053" s="6">
        <f>IFERROR(__xludf.DUMMYFUNCTION("""COMPUTED_VALUE"""),890.35)</f>
        <v>890.35</v>
      </c>
      <c r="F1053" s="7">
        <f>IFERROR(__xludf.DUMMYFUNCTION("""COMPUTED_VALUE"""),4343277.0)</f>
        <v>4343277</v>
      </c>
      <c r="G1053" s="7" t="str">
        <f>IFERROR(__xludf.DUMMYFUNCTION("""COMPUTED_VALUE"""),"ADANIGREEN.NS")</f>
        <v>ADANIGREEN.NS</v>
      </c>
      <c r="H1053" s="8">
        <f t="shared" si="1"/>
        <v>0.01297002105</v>
      </c>
      <c r="I1053" s="8">
        <f t="shared" si="2"/>
        <v>0.01297002105</v>
      </c>
      <c r="J1053" s="7" t="str">
        <f t="shared" si="3"/>
        <v>Feb-2025</v>
      </c>
      <c r="K1053" s="9">
        <f t="shared" si="4"/>
        <v>45689</v>
      </c>
      <c r="L1053" s="7" t="str">
        <f t="shared" si="5"/>
        <v/>
      </c>
      <c r="M1053" s="7" t="str">
        <f>IFERROR(__xludf.DUMMYFUNCTION("IFERROR(
  IF(
    F1053 &gt;
    3*AVERAGE(
       FILTER($F$2:$F10491,
         $G$2:$G10491=G1053,
         $A$2:$A10491&gt;=A1053-20,
         $A$2:$A10491&lt;=A1053
       )
    ),
    ""VOL_SPIKE_3X"",""""
  ),
"""")
"),"")</f>
        <v/>
      </c>
      <c r="N1053" s="7" t="str">
        <f t="shared" si="6"/>
        <v/>
      </c>
      <c r="O1053" s="7" t="str">
        <f t="shared" si="7"/>
        <v/>
      </c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5">
        <f>IFERROR(__xludf.DUMMYFUNCTION("""COMPUTED_VALUE"""),45705.0)</f>
        <v>45705</v>
      </c>
      <c r="B1054" s="6">
        <f>IFERROR(__xludf.DUMMYFUNCTION("""COMPUTED_VALUE"""),251.0)</f>
        <v>251</v>
      </c>
      <c r="C1054" s="6">
        <f>IFERROR(__xludf.DUMMYFUNCTION("""COMPUTED_VALUE"""),253.55)</f>
        <v>253.55</v>
      </c>
      <c r="D1054" s="6">
        <f>IFERROR(__xludf.DUMMYFUNCTION("""COMPUTED_VALUE"""),246.35)</f>
        <v>246.35</v>
      </c>
      <c r="E1054" s="6">
        <f>IFERROR(__xludf.DUMMYFUNCTION("""COMPUTED_VALUE"""),252.3)</f>
        <v>252.3</v>
      </c>
      <c r="F1054" s="7">
        <f>IFERROR(__xludf.DUMMYFUNCTION("""COMPUTED_VALUE"""),5899597.0)</f>
        <v>5899597</v>
      </c>
      <c r="G1054" s="7" t="str">
        <f>IFERROR(__xludf.DUMMYFUNCTION("""COMPUTED_VALUE"""),"BPCL.NS")</f>
        <v>BPCL.NS</v>
      </c>
      <c r="H1054" s="8">
        <f t="shared" si="1"/>
        <v>0.005179282869</v>
      </c>
      <c r="I1054" s="8">
        <f t="shared" si="2"/>
        <v>0.005179282869</v>
      </c>
      <c r="J1054" s="7" t="str">
        <f t="shared" si="3"/>
        <v>Feb-2025</v>
      </c>
      <c r="K1054" s="9">
        <f t="shared" si="4"/>
        <v>45689</v>
      </c>
      <c r="L1054" s="7" t="str">
        <f t="shared" si="5"/>
        <v/>
      </c>
      <c r="M1054" s="7" t="str">
        <f>IFERROR(__xludf.DUMMYFUNCTION("IFERROR(
  IF(
    F1054 &gt;
    3*AVERAGE(
       FILTER($F$2:$F10491,
         $G$2:$G10491=G1054,
         $A$2:$A10491&gt;=A1054-20,
         $A$2:$A10491&lt;=A1054
       )
    ),
    ""VOL_SPIKE_3X"",""""
  ),
"""")
"),"")</f>
        <v/>
      </c>
      <c r="N1054" s="7" t="str">
        <f t="shared" si="6"/>
        <v/>
      </c>
      <c r="O1054" s="7" t="str">
        <f t="shared" si="7"/>
        <v/>
      </c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5">
        <f>IFERROR(__xludf.DUMMYFUNCTION("""COMPUTED_VALUE"""),45705.0)</f>
        <v>45705</v>
      </c>
      <c r="B1055" s="6">
        <f>IFERROR(__xludf.DUMMYFUNCTION("""COMPUTED_VALUE"""),354.2)</f>
        <v>354.2</v>
      </c>
      <c r="C1055" s="6">
        <f>IFERROR(__xludf.DUMMYFUNCTION("""COMPUTED_VALUE"""),362.0)</f>
        <v>362</v>
      </c>
      <c r="D1055" s="6">
        <f>IFERROR(__xludf.DUMMYFUNCTION("""COMPUTED_VALUE"""),349.25)</f>
        <v>349.25</v>
      </c>
      <c r="E1055" s="6">
        <f>IFERROR(__xludf.DUMMYFUNCTION("""COMPUTED_VALUE"""),360.1)</f>
        <v>360.1</v>
      </c>
      <c r="F1055" s="7">
        <f>IFERROR(__xludf.DUMMYFUNCTION("""COMPUTED_VALUE"""),6017586.0)</f>
        <v>6017586</v>
      </c>
      <c r="G1055" s="7" t="str">
        <f>IFERROR(__xludf.DUMMYFUNCTION("""COMPUTED_VALUE"""),"COALINDIA.NS")</f>
        <v>COALINDIA.NS</v>
      </c>
      <c r="H1055" s="8">
        <f t="shared" si="1"/>
        <v>0.01665725579</v>
      </c>
      <c r="I1055" s="8">
        <f t="shared" si="2"/>
        <v>0.01665725579</v>
      </c>
      <c r="J1055" s="7" t="str">
        <f t="shared" si="3"/>
        <v>Feb-2025</v>
      </c>
      <c r="K1055" s="9">
        <f t="shared" si="4"/>
        <v>45689</v>
      </c>
      <c r="L1055" s="7" t="str">
        <f t="shared" si="5"/>
        <v/>
      </c>
      <c r="M1055" s="7" t="str">
        <f>IFERROR(__xludf.DUMMYFUNCTION("IFERROR(
  IF(
    F1055 &gt;
    3*AVERAGE(
       FILTER($F$2:$F10491,
         $G$2:$G10491=G1055,
         $A$2:$A10491&gt;=A1055-20,
         $A$2:$A10491&lt;=A1055
       )
    ),
    ""VOL_SPIKE_3X"",""""
  ),
"""")
"),"")</f>
        <v/>
      </c>
      <c r="N1055" s="7" t="str">
        <f t="shared" si="6"/>
        <v/>
      </c>
      <c r="O1055" s="7" t="str">
        <f t="shared" si="7"/>
        <v/>
      </c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5">
        <f>IFERROR(__xludf.DUMMYFUNCTION("""COMPUTED_VALUE"""),45705.0)</f>
        <v>45705</v>
      </c>
      <c r="B1056" s="6">
        <f>IFERROR(__xludf.DUMMYFUNCTION("""COMPUTED_VALUE"""),312.65)</f>
        <v>312.65</v>
      </c>
      <c r="C1056" s="6">
        <f>IFERROR(__xludf.DUMMYFUNCTION("""COMPUTED_VALUE"""),320.4)</f>
        <v>320.4</v>
      </c>
      <c r="D1056" s="6">
        <f>IFERROR(__xludf.DUMMYFUNCTION("""COMPUTED_VALUE"""),303.25)</f>
        <v>303.25</v>
      </c>
      <c r="E1056" s="6">
        <f>IFERROR(__xludf.DUMMYFUNCTION("""COMPUTED_VALUE"""),318.1)</f>
        <v>318.1</v>
      </c>
      <c r="F1056" s="7">
        <f>IFERROR(__xludf.DUMMYFUNCTION("""COMPUTED_VALUE"""),4591304.0)</f>
        <v>4591304</v>
      </c>
      <c r="G1056" s="7" t="str">
        <f>IFERROR(__xludf.DUMMYFUNCTION("""COMPUTED_VALUE"""),"HINDPETRO.NS")</f>
        <v>HINDPETRO.NS</v>
      </c>
      <c r="H1056" s="8">
        <f t="shared" si="1"/>
        <v>0.01743163282</v>
      </c>
      <c r="I1056" s="8">
        <f t="shared" si="2"/>
        <v>0.01743163282</v>
      </c>
      <c r="J1056" s="7" t="str">
        <f t="shared" si="3"/>
        <v>Feb-2025</v>
      </c>
      <c r="K1056" s="9">
        <f t="shared" si="4"/>
        <v>45689</v>
      </c>
      <c r="L1056" s="7" t="str">
        <f t="shared" si="5"/>
        <v/>
      </c>
      <c r="M1056" s="7" t="str">
        <f>IFERROR(__xludf.DUMMYFUNCTION("IFERROR(
  IF(
    F1056 &gt;
    3*AVERAGE(
       FILTER($F$2:$F10491,
         $G$2:$G10491=G1056,
         $A$2:$A10491&gt;=A1056-20,
         $A$2:$A10491&lt;=A1056
       )
    ),
    ""VOL_SPIKE_3X"",""""
  ),
"""")
"),"")</f>
        <v/>
      </c>
      <c r="N1056" s="7" t="str">
        <f t="shared" si="6"/>
        <v/>
      </c>
      <c r="O1056" s="7" t="str">
        <f t="shared" si="7"/>
        <v/>
      </c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5">
        <f>IFERROR(__xludf.DUMMYFUNCTION("""COMPUTED_VALUE"""),45705.0)</f>
        <v>45705</v>
      </c>
      <c r="B1057" s="6">
        <f>IFERROR(__xludf.DUMMYFUNCTION("""COMPUTED_VALUE"""),117.25)</f>
        <v>117.25</v>
      </c>
      <c r="C1057" s="6">
        <f>IFERROR(__xludf.DUMMYFUNCTION("""COMPUTED_VALUE"""),118.8)</f>
        <v>118.8</v>
      </c>
      <c r="D1057" s="6">
        <f>IFERROR(__xludf.DUMMYFUNCTION("""COMPUTED_VALUE"""),114.4)</f>
        <v>114.4</v>
      </c>
      <c r="E1057" s="6">
        <f>IFERROR(__xludf.DUMMYFUNCTION("""COMPUTED_VALUE"""),118.45)</f>
        <v>118.45</v>
      </c>
      <c r="F1057" s="7">
        <f>IFERROR(__xludf.DUMMYFUNCTION("""COMPUTED_VALUE"""),1.2518983E7)</f>
        <v>12518983</v>
      </c>
      <c r="G1057" s="7" t="str">
        <f>IFERROR(__xludf.DUMMYFUNCTION("""COMPUTED_VALUE"""),"IOC.NS")</f>
        <v>IOC.NS</v>
      </c>
      <c r="H1057" s="8">
        <f t="shared" si="1"/>
        <v>0.01023454158</v>
      </c>
      <c r="I1057" s="8">
        <f t="shared" si="2"/>
        <v>0.01023454158</v>
      </c>
      <c r="J1057" s="7" t="str">
        <f t="shared" si="3"/>
        <v>Feb-2025</v>
      </c>
      <c r="K1057" s="9">
        <f t="shared" si="4"/>
        <v>45689</v>
      </c>
      <c r="L1057" s="7" t="str">
        <f t="shared" si="5"/>
        <v/>
      </c>
      <c r="M1057" s="7" t="str">
        <f>IFERROR(__xludf.DUMMYFUNCTION("IFERROR(
  IF(
    F1057 &gt;
    3*AVERAGE(
       FILTER($F$2:$F10491,
         $G$2:$G10491=G1057,
         $A$2:$A10491&gt;=A1057-20,
         $A$2:$A10491&lt;=A1057
       )
    ),
    ""VOL_SPIKE_3X"",""""
  ),
"""")
"),"")</f>
        <v/>
      </c>
      <c r="N1057" s="7" t="str">
        <f t="shared" si="6"/>
        <v/>
      </c>
      <c r="O1057" s="7" t="str">
        <f t="shared" si="7"/>
        <v/>
      </c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5">
        <f>IFERROR(__xludf.DUMMYFUNCTION("""COMPUTED_VALUE"""),45705.0)</f>
        <v>45705</v>
      </c>
      <c r="B1058" s="6">
        <f>IFERROR(__xludf.DUMMYFUNCTION("""COMPUTED_VALUE"""),297.5)</f>
        <v>297.5</v>
      </c>
      <c r="C1058" s="6">
        <f>IFERROR(__xludf.DUMMYFUNCTION("""COMPUTED_VALUE"""),303.2)</f>
        <v>303.2</v>
      </c>
      <c r="D1058" s="6">
        <f>IFERROR(__xludf.DUMMYFUNCTION("""COMPUTED_VALUE"""),292.8)</f>
        <v>292.8</v>
      </c>
      <c r="E1058" s="6">
        <f>IFERROR(__xludf.DUMMYFUNCTION("""COMPUTED_VALUE"""),302.35)</f>
        <v>302.35</v>
      </c>
      <c r="F1058" s="7">
        <f>IFERROR(__xludf.DUMMYFUNCTION("""COMPUTED_VALUE"""),6464173.0)</f>
        <v>6464173</v>
      </c>
      <c r="G1058" s="7" t="str">
        <f>IFERROR(__xludf.DUMMYFUNCTION("""COMPUTED_VALUE"""),"NTPC.NS")</f>
        <v>NTPC.NS</v>
      </c>
      <c r="H1058" s="8">
        <f t="shared" si="1"/>
        <v>0.01630252101</v>
      </c>
      <c r="I1058" s="8">
        <f t="shared" si="2"/>
        <v>0.01630252101</v>
      </c>
      <c r="J1058" s="7" t="str">
        <f t="shared" si="3"/>
        <v>Feb-2025</v>
      </c>
      <c r="K1058" s="9">
        <f t="shared" si="4"/>
        <v>45689</v>
      </c>
      <c r="L1058" s="7" t="str">
        <f t="shared" si="5"/>
        <v/>
      </c>
      <c r="M1058" s="7" t="str">
        <f>IFERROR(__xludf.DUMMYFUNCTION("IFERROR(
  IF(
    F1058 &gt;
    3*AVERAGE(
       FILTER($F$2:$F10491,
         $G$2:$G10491=G1058,
         $A$2:$A10491&gt;=A1058-20,
         $A$2:$A10491&lt;=A1058
       )
    ),
    ""VOL_SPIKE_3X"",""""
  ),
"""")
"),"")</f>
        <v/>
      </c>
      <c r="N1058" s="7" t="str">
        <f t="shared" si="6"/>
        <v/>
      </c>
      <c r="O1058" s="7" t="str">
        <f t="shared" si="7"/>
        <v/>
      </c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5">
        <f>IFERROR(__xludf.DUMMYFUNCTION("""COMPUTED_VALUE"""),45705.0)</f>
        <v>45705</v>
      </c>
      <c r="B1059" s="6">
        <f>IFERROR(__xludf.DUMMYFUNCTION("""COMPUTED_VALUE"""),230.2)</f>
        <v>230.2</v>
      </c>
      <c r="C1059" s="6">
        <f>IFERROR(__xludf.DUMMYFUNCTION("""COMPUTED_VALUE"""),234.3)</f>
        <v>234.3</v>
      </c>
      <c r="D1059" s="6">
        <f>IFERROR(__xludf.DUMMYFUNCTION("""COMPUTED_VALUE"""),225.05)</f>
        <v>225.05</v>
      </c>
      <c r="E1059" s="6">
        <f>IFERROR(__xludf.DUMMYFUNCTION("""COMPUTED_VALUE"""),233.65)</f>
        <v>233.65</v>
      </c>
      <c r="F1059" s="7">
        <f>IFERROR(__xludf.DUMMYFUNCTION("""COMPUTED_VALUE"""),6692422.0)</f>
        <v>6692422</v>
      </c>
      <c r="G1059" s="7" t="str">
        <f>IFERROR(__xludf.DUMMYFUNCTION("""COMPUTED_VALUE"""),"ONGC.NS")</f>
        <v>ONGC.NS</v>
      </c>
      <c r="H1059" s="8">
        <f t="shared" si="1"/>
        <v>0.01498696785</v>
      </c>
      <c r="I1059" s="8">
        <f t="shared" si="2"/>
        <v>0.01498696785</v>
      </c>
      <c r="J1059" s="7" t="str">
        <f t="shared" si="3"/>
        <v>Feb-2025</v>
      </c>
      <c r="K1059" s="9">
        <f t="shared" si="4"/>
        <v>45689</v>
      </c>
      <c r="L1059" s="7" t="str">
        <f t="shared" si="5"/>
        <v/>
      </c>
      <c r="M1059" s="7" t="str">
        <f>IFERROR(__xludf.DUMMYFUNCTION("IFERROR(
  IF(
    F1059 &gt;
    3*AVERAGE(
       FILTER($F$2:$F10491,
         $G$2:$G10491=G1059,
         $A$2:$A10491&gt;=A1059-20,
         $A$2:$A10491&lt;=A1059
       )
    ),
    ""VOL_SPIKE_3X"",""""
  ),
"""")
"),"")</f>
        <v/>
      </c>
      <c r="N1059" s="7" t="str">
        <f t="shared" si="6"/>
        <v/>
      </c>
      <c r="O1059" s="7" t="str">
        <f t="shared" si="7"/>
        <v/>
      </c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5">
        <f>IFERROR(__xludf.DUMMYFUNCTION("""COMPUTED_VALUE"""),45705.0)</f>
        <v>45705</v>
      </c>
      <c r="B1060" s="6">
        <f>IFERROR(__xludf.DUMMYFUNCTION("""COMPUTED_VALUE"""),256.9)</f>
        <v>256.9</v>
      </c>
      <c r="C1060" s="6">
        <f>IFERROR(__xludf.DUMMYFUNCTION("""COMPUTED_VALUE"""),264.0)</f>
        <v>264</v>
      </c>
      <c r="D1060" s="6">
        <f>IFERROR(__xludf.DUMMYFUNCTION("""COMPUTED_VALUE"""),252.2)</f>
        <v>252.2</v>
      </c>
      <c r="E1060" s="6">
        <f>IFERROR(__xludf.DUMMYFUNCTION("""COMPUTED_VALUE"""),263.2)</f>
        <v>263.2</v>
      </c>
      <c r="F1060" s="7">
        <f>IFERROR(__xludf.DUMMYFUNCTION("""COMPUTED_VALUE"""),8332653.0)</f>
        <v>8332653</v>
      </c>
      <c r="G1060" s="7" t="str">
        <f>IFERROR(__xludf.DUMMYFUNCTION("""COMPUTED_VALUE"""),"POWERGRID.NS")</f>
        <v>POWERGRID.NS</v>
      </c>
      <c r="H1060" s="8">
        <f t="shared" si="1"/>
        <v>0.02452316076</v>
      </c>
      <c r="I1060" s="8">
        <f t="shared" si="2"/>
        <v>0.02452316076</v>
      </c>
      <c r="J1060" s="7" t="str">
        <f t="shared" si="3"/>
        <v>Feb-2025</v>
      </c>
      <c r="K1060" s="9">
        <f t="shared" si="4"/>
        <v>45689</v>
      </c>
      <c r="L1060" s="7" t="str">
        <f t="shared" si="5"/>
        <v/>
      </c>
      <c r="M1060" s="7" t="str">
        <f>IFERROR(__xludf.DUMMYFUNCTION("IFERROR(
  IF(
    F1060 &gt;
    3*AVERAGE(
       FILTER($F$2:$F10491,
         $G$2:$G10491=G1060,
         $A$2:$A10491&gt;=A1060-20,
         $A$2:$A10491&lt;=A1060
       )
    ),
    ""VOL_SPIKE_3X"",""""
  ),
"""")
"),"")</f>
        <v/>
      </c>
      <c r="N1060" s="7" t="str">
        <f t="shared" si="6"/>
        <v/>
      </c>
      <c r="O1060" s="7" t="str">
        <f t="shared" si="7"/>
        <v/>
      </c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5">
        <f>IFERROR(__xludf.DUMMYFUNCTION("""COMPUTED_VALUE"""),45705.0)</f>
        <v>45705</v>
      </c>
      <c r="B1061" s="6">
        <f>IFERROR(__xludf.DUMMYFUNCTION("""COMPUTED_VALUE"""),1211.1)</f>
        <v>1211.1</v>
      </c>
      <c r="C1061" s="6">
        <f>IFERROR(__xludf.DUMMYFUNCTION("""COMPUTED_VALUE"""),1227.5)</f>
        <v>1227.5</v>
      </c>
      <c r="D1061" s="6">
        <f>IFERROR(__xludf.DUMMYFUNCTION("""COMPUTED_VALUE"""),1204.5)</f>
        <v>1204.5</v>
      </c>
      <c r="E1061" s="6">
        <f>IFERROR(__xludf.DUMMYFUNCTION("""COMPUTED_VALUE"""),1224.9)</f>
        <v>1224.9</v>
      </c>
      <c r="F1061" s="7">
        <f>IFERROR(__xludf.DUMMYFUNCTION("""COMPUTED_VALUE"""),8166683.0)</f>
        <v>8166683</v>
      </c>
      <c r="G1061" s="7" t="str">
        <f>IFERROR(__xludf.DUMMYFUNCTION("""COMPUTED_VALUE"""),"RELIANCE.NS")</f>
        <v>RELIANCE.NS</v>
      </c>
      <c r="H1061" s="8">
        <f t="shared" si="1"/>
        <v>0.01139459995</v>
      </c>
      <c r="I1061" s="8">
        <f t="shared" si="2"/>
        <v>0.01139459995</v>
      </c>
      <c r="J1061" s="7" t="str">
        <f t="shared" si="3"/>
        <v>Feb-2025</v>
      </c>
      <c r="K1061" s="9">
        <f t="shared" si="4"/>
        <v>45689</v>
      </c>
      <c r="L1061" s="7" t="str">
        <f t="shared" si="5"/>
        <v/>
      </c>
      <c r="M1061" s="7" t="str">
        <f>IFERROR(__xludf.DUMMYFUNCTION("IFERROR(
  IF(
    F1061 &gt;
    3*AVERAGE(
       FILTER($F$2:$F10491,
         $G$2:$G10491=G1061,
         $A$2:$A10491&gt;=A1061-20,
         $A$2:$A10491&lt;=A1061
       )
    ),
    ""VOL_SPIKE_3X"",""""
  ),
"""")
"),"")</f>
        <v/>
      </c>
      <c r="N1061" s="7" t="str">
        <f t="shared" si="6"/>
        <v/>
      </c>
      <c r="O1061" s="7" t="str">
        <f t="shared" si="7"/>
        <v/>
      </c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5">
        <f>IFERROR(__xludf.DUMMYFUNCTION("""COMPUTED_VALUE"""),45706.0)</f>
        <v>45706</v>
      </c>
      <c r="B1062" s="6">
        <f>IFERROR(__xludf.DUMMYFUNCTION("""COMPUTED_VALUE"""),706.8)</f>
        <v>706.8</v>
      </c>
      <c r="C1062" s="6">
        <f>IFERROR(__xludf.DUMMYFUNCTION("""COMPUTED_VALUE"""),706.8)</f>
        <v>706.8</v>
      </c>
      <c r="D1062" s="6">
        <f>IFERROR(__xludf.DUMMYFUNCTION("""COMPUTED_VALUE"""),668.0)</f>
        <v>668</v>
      </c>
      <c r="E1062" s="6">
        <f>IFERROR(__xludf.DUMMYFUNCTION("""COMPUTED_VALUE"""),677.15)</f>
        <v>677.15</v>
      </c>
      <c r="F1062" s="7">
        <f>IFERROR(__xludf.DUMMYFUNCTION("""COMPUTED_VALUE"""),2968321.0)</f>
        <v>2968321</v>
      </c>
      <c r="G1062" s="7" t="str">
        <f>IFERROR(__xludf.DUMMYFUNCTION("""COMPUTED_VALUE"""),"ADANIENSOL.NS")</f>
        <v>ADANIENSOL.NS</v>
      </c>
      <c r="H1062" s="8">
        <f t="shared" si="1"/>
        <v>-0.04194963214</v>
      </c>
      <c r="I1062" s="8">
        <f t="shared" si="2"/>
        <v>0.04194963214</v>
      </c>
      <c r="J1062" s="7" t="str">
        <f t="shared" si="3"/>
        <v>Feb-2025</v>
      </c>
      <c r="K1062" s="9">
        <f t="shared" si="4"/>
        <v>45689</v>
      </c>
      <c r="L1062" s="7" t="str">
        <f t="shared" si="5"/>
        <v/>
      </c>
      <c r="M1062" s="7" t="str">
        <f>IFERROR(__xludf.DUMMYFUNCTION("IFERROR(
  IF(
    F1062 &gt;
    3*AVERAGE(
       FILTER($F$2:$F10491,
         $G$2:$G10491=G1062,
         $A$2:$A10491&gt;=A1062-20,
         $A$2:$A10491&lt;=A1062
       )
    ),
    ""VOL_SPIKE_3X"",""""
  ),
"""")
"),"")</f>
        <v/>
      </c>
      <c r="N1062" s="7" t="str">
        <f t="shared" si="6"/>
        <v/>
      </c>
      <c r="O1062" s="7" t="str">
        <f t="shared" si="7"/>
        <v/>
      </c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5">
        <f>IFERROR(__xludf.DUMMYFUNCTION("""COMPUTED_VALUE"""),45706.0)</f>
        <v>45706</v>
      </c>
      <c r="B1063" s="6">
        <f>IFERROR(__xludf.DUMMYFUNCTION("""COMPUTED_VALUE"""),899.0)</f>
        <v>899</v>
      </c>
      <c r="C1063" s="6">
        <f>IFERROR(__xludf.DUMMYFUNCTION("""COMPUTED_VALUE"""),904.9)</f>
        <v>904.9</v>
      </c>
      <c r="D1063" s="6">
        <f>IFERROR(__xludf.DUMMYFUNCTION("""COMPUTED_VALUE"""),870.1)</f>
        <v>870.1</v>
      </c>
      <c r="E1063" s="6">
        <f>IFERROR(__xludf.DUMMYFUNCTION("""COMPUTED_VALUE"""),897.55)</f>
        <v>897.55</v>
      </c>
      <c r="F1063" s="7">
        <f>IFERROR(__xludf.DUMMYFUNCTION("""COMPUTED_VALUE"""),2718141.0)</f>
        <v>2718141</v>
      </c>
      <c r="G1063" s="7" t="str">
        <f>IFERROR(__xludf.DUMMYFUNCTION("""COMPUTED_VALUE"""),"ADANIGREEN.NS")</f>
        <v>ADANIGREEN.NS</v>
      </c>
      <c r="H1063" s="8">
        <f t="shared" si="1"/>
        <v>-0.001612903226</v>
      </c>
      <c r="I1063" s="8">
        <f t="shared" si="2"/>
        <v>0.001612903226</v>
      </c>
      <c r="J1063" s="7" t="str">
        <f t="shared" si="3"/>
        <v>Feb-2025</v>
      </c>
      <c r="K1063" s="9">
        <f t="shared" si="4"/>
        <v>45689</v>
      </c>
      <c r="L1063" s="7" t="str">
        <f t="shared" si="5"/>
        <v/>
      </c>
      <c r="M1063" s="7" t="str">
        <f>IFERROR(__xludf.DUMMYFUNCTION("IFERROR(
  IF(
    F1063 &gt;
    3*AVERAGE(
       FILTER($F$2:$F10491,
         $G$2:$G10491=G1063,
         $A$2:$A10491&gt;=A1063-20,
         $A$2:$A10491&lt;=A1063
       )
    ),
    ""VOL_SPIKE_3X"",""""
  ),
"""")
"),"")</f>
        <v/>
      </c>
      <c r="N1063" s="7" t="str">
        <f t="shared" si="6"/>
        <v/>
      </c>
      <c r="O1063" s="7" t="str">
        <f t="shared" si="7"/>
        <v/>
      </c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5">
        <f>IFERROR(__xludf.DUMMYFUNCTION("""COMPUTED_VALUE"""),45706.0)</f>
        <v>45706</v>
      </c>
      <c r="B1064" s="6">
        <f>IFERROR(__xludf.DUMMYFUNCTION("""COMPUTED_VALUE"""),252.25)</f>
        <v>252.25</v>
      </c>
      <c r="C1064" s="6">
        <f>IFERROR(__xludf.DUMMYFUNCTION("""COMPUTED_VALUE"""),253.55)</f>
        <v>253.55</v>
      </c>
      <c r="D1064" s="6">
        <f>IFERROR(__xludf.DUMMYFUNCTION("""COMPUTED_VALUE"""),246.85)</f>
        <v>246.85</v>
      </c>
      <c r="E1064" s="6">
        <f>IFERROR(__xludf.DUMMYFUNCTION("""COMPUTED_VALUE"""),252.75)</f>
        <v>252.75</v>
      </c>
      <c r="F1064" s="7">
        <f>IFERROR(__xludf.DUMMYFUNCTION("""COMPUTED_VALUE"""),5534272.0)</f>
        <v>5534272</v>
      </c>
      <c r="G1064" s="7" t="str">
        <f>IFERROR(__xludf.DUMMYFUNCTION("""COMPUTED_VALUE"""),"BPCL.NS")</f>
        <v>BPCL.NS</v>
      </c>
      <c r="H1064" s="8">
        <f t="shared" si="1"/>
        <v>0.001982160555</v>
      </c>
      <c r="I1064" s="8">
        <f t="shared" si="2"/>
        <v>0.001982160555</v>
      </c>
      <c r="J1064" s="7" t="str">
        <f t="shared" si="3"/>
        <v>Feb-2025</v>
      </c>
      <c r="K1064" s="9">
        <f t="shared" si="4"/>
        <v>45689</v>
      </c>
      <c r="L1064" s="7" t="str">
        <f t="shared" si="5"/>
        <v/>
      </c>
      <c r="M1064" s="7" t="str">
        <f>IFERROR(__xludf.DUMMYFUNCTION("IFERROR(
  IF(
    F1064 &gt;
    3*AVERAGE(
       FILTER($F$2:$F10491,
         $G$2:$G10491=G1064,
         $A$2:$A10491&gt;=A1064-20,
         $A$2:$A10491&lt;=A1064
       )
    ),
    ""VOL_SPIKE_3X"",""""
  ),
"""")
"),"")</f>
        <v/>
      </c>
      <c r="N1064" s="7" t="str">
        <f t="shared" si="6"/>
        <v/>
      </c>
      <c r="O1064" s="7" t="str">
        <f t="shared" si="7"/>
        <v/>
      </c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5">
        <f>IFERROR(__xludf.DUMMYFUNCTION("""COMPUTED_VALUE"""),45706.0)</f>
        <v>45706</v>
      </c>
      <c r="B1065" s="6">
        <f>IFERROR(__xludf.DUMMYFUNCTION("""COMPUTED_VALUE"""),360.25)</f>
        <v>360.25</v>
      </c>
      <c r="C1065" s="6">
        <f>IFERROR(__xludf.DUMMYFUNCTION("""COMPUTED_VALUE"""),362.35)</f>
        <v>362.35</v>
      </c>
      <c r="D1065" s="6">
        <f>IFERROR(__xludf.DUMMYFUNCTION("""COMPUTED_VALUE"""),353.8)</f>
        <v>353.8</v>
      </c>
      <c r="E1065" s="6">
        <f>IFERROR(__xludf.DUMMYFUNCTION("""COMPUTED_VALUE"""),361.1)</f>
        <v>361.1</v>
      </c>
      <c r="F1065" s="7">
        <f>IFERROR(__xludf.DUMMYFUNCTION("""COMPUTED_VALUE"""),3843725.0)</f>
        <v>3843725</v>
      </c>
      <c r="G1065" s="7" t="str">
        <f>IFERROR(__xludf.DUMMYFUNCTION("""COMPUTED_VALUE"""),"COALINDIA.NS")</f>
        <v>COALINDIA.NS</v>
      </c>
      <c r="H1065" s="8">
        <f t="shared" si="1"/>
        <v>0.002359472588</v>
      </c>
      <c r="I1065" s="8">
        <f t="shared" si="2"/>
        <v>0.002359472588</v>
      </c>
      <c r="J1065" s="7" t="str">
        <f t="shared" si="3"/>
        <v>Feb-2025</v>
      </c>
      <c r="K1065" s="9">
        <f t="shared" si="4"/>
        <v>45689</v>
      </c>
      <c r="L1065" s="7" t="str">
        <f t="shared" si="5"/>
        <v/>
      </c>
      <c r="M1065" s="7" t="str">
        <f>IFERROR(__xludf.DUMMYFUNCTION("IFERROR(
  IF(
    F1065 &gt;
    3*AVERAGE(
       FILTER($F$2:$F10491,
         $G$2:$G10491=G1065,
         $A$2:$A10491&gt;=A1065-20,
         $A$2:$A10491&lt;=A1065
       )
    ),
    ""VOL_SPIKE_3X"",""""
  ),
"""")
"),"")</f>
        <v/>
      </c>
      <c r="N1065" s="7" t="str">
        <f t="shared" si="6"/>
        <v/>
      </c>
      <c r="O1065" s="7" t="str">
        <f t="shared" si="7"/>
        <v/>
      </c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5">
        <f>IFERROR(__xludf.DUMMYFUNCTION("""COMPUTED_VALUE"""),45706.0)</f>
        <v>45706</v>
      </c>
      <c r="B1066" s="6">
        <f>IFERROR(__xludf.DUMMYFUNCTION("""COMPUTED_VALUE"""),319.0)</f>
        <v>319</v>
      </c>
      <c r="C1066" s="6">
        <f>IFERROR(__xludf.DUMMYFUNCTION("""COMPUTED_VALUE"""),320.7)</f>
        <v>320.7</v>
      </c>
      <c r="D1066" s="6">
        <f>IFERROR(__xludf.DUMMYFUNCTION("""COMPUTED_VALUE"""),312.4)</f>
        <v>312.4</v>
      </c>
      <c r="E1066" s="6">
        <f>IFERROR(__xludf.DUMMYFUNCTION("""COMPUTED_VALUE"""),319.95)</f>
        <v>319.95</v>
      </c>
      <c r="F1066" s="7">
        <f>IFERROR(__xludf.DUMMYFUNCTION("""COMPUTED_VALUE"""),1673581.0)</f>
        <v>1673581</v>
      </c>
      <c r="G1066" s="7" t="str">
        <f>IFERROR(__xludf.DUMMYFUNCTION("""COMPUTED_VALUE"""),"HINDPETRO.NS")</f>
        <v>HINDPETRO.NS</v>
      </c>
      <c r="H1066" s="8">
        <f t="shared" si="1"/>
        <v>0.002978056426</v>
      </c>
      <c r="I1066" s="8">
        <f t="shared" si="2"/>
        <v>0.002978056426</v>
      </c>
      <c r="J1066" s="7" t="str">
        <f t="shared" si="3"/>
        <v>Feb-2025</v>
      </c>
      <c r="K1066" s="9">
        <f t="shared" si="4"/>
        <v>45689</v>
      </c>
      <c r="L1066" s="7" t="str">
        <f t="shared" si="5"/>
        <v/>
      </c>
      <c r="M1066" s="7" t="str">
        <f>IFERROR(__xludf.DUMMYFUNCTION("IFERROR(
  IF(
    F1066 &gt;
    3*AVERAGE(
       FILTER($F$2:$F10491,
         $G$2:$G10491=G1066,
         $A$2:$A10491&gt;=A1066-20,
         $A$2:$A10491&lt;=A1066
       )
    ),
    ""VOL_SPIKE_3X"",""""
  ),
"""")
"),"")</f>
        <v/>
      </c>
      <c r="N1066" s="7" t="str">
        <f t="shared" si="6"/>
        <v/>
      </c>
      <c r="O1066" s="7" t="str">
        <f t="shared" si="7"/>
        <v/>
      </c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5">
        <f>IFERROR(__xludf.DUMMYFUNCTION("""COMPUTED_VALUE"""),45706.0)</f>
        <v>45706</v>
      </c>
      <c r="B1067" s="6">
        <f>IFERROR(__xludf.DUMMYFUNCTION("""COMPUTED_VALUE"""),118.45)</f>
        <v>118.45</v>
      </c>
      <c r="C1067" s="6">
        <f>IFERROR(__xludf.DUMMYFUNCTION("""COMPUTED_VALUE"""),119.25)</f>
        <v>119.25</v>
      </c>
      <c r="D1067" s="6">
        <f>IFERROR(__xludf.DUMMYFUNCTION("""COMPUTED_VALUE"""),116.31)</f>
        <v>116.31</v>
      </c>
      <c r="E1067" s="6">
        <f>IFERROR(__xludf.DUMMYFUNCTION("""COMPUTED_VALUE"""),119.0)</f>
        <v>119</v>
      </c>
      <c r="F1067" s="7">
        <f>IFERROR(__xludf.DUMMYFUNCTION("""COMPUTED_VALUE"""),8678689.0)</f>
        <v>8678689</v>
      </c>
      <c r="G1067" s="7" t="str">
        <f>IFERROR(__xludf.DUMMYFUNCTION("""COMPUTED_VALUE"""),"IOC.NS")</f>
        <v>IOC.NS</v>
      </c>
      <c r="H1067" s="8">
        <f t="shared" si="1"/>
        <v>0.004643309413</v>
      </c>
      <c r="I1067" s="8">
        <f t="shared" si="2"/>
        <v>0.004643309413</v>
      </c>
      <c r="J1067" s="7" t="str">
        <f t="shared" si="3"/>
        <v>Feb-2025</v>
      </c>
      <c r="K1067" s="9">
        <f t="shared" si="4"/>
        <v>45689</v>
      </c>
      <c r="L1067" s="7" t="str">
        <f t="shared" si="5"/>
        <v/>
      </c>
      <c r="M1067" s="7" t="str">
        <f>IFERROR(__xludf.DUMMYFUNCTION("IFERROR(
  IF(
    F1067 &gt;
    3*AVERAGE(
       FILTER($F$2:$F10491,
         $G$2:$G10491=G1067,
         $A$2:$A10491&gt;=A1067-20,
         $A$2:$A10491&lt;=A1067
       )
    ),
    ""VOL_SPIKE_3X"",""""
  ),
"""")
"),"")</f>
        <v/>
      </c>
      <c r="N1067" s="7" t="str">
        <f t="shared" si="6"/>
        <v/>
      </c>
      <c r="O1067" s="7" t="str">
        <f t="shared" si="7"/>
        <v/>
      </c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5">
        <f>IFERROR(__xludf.DUMMYFUNCTION("""COMPUTED_VALUE"""),45706.0)</f>
        <v>45706</v>
      </c>
      <c r="B1068" s="6">
        <f>IFERROR(__xludf.DUMMYFUNCTION("""COMPUTED_VALUE"""),301.15)</f>
        <v>301.15</v>
      </c>
      <c r="C1068" s="6">
        <f>IFERROR(__xludf.DUMMYFUNCTION("""COMPUTED_VALUE"""),312.4)</f>
        <v>312.4</v>
      </c>
      <c r="D1068" s="6">
        <f>IFERROR(__xludf.DUMMYFUNCTION("""COMPUTED_VALUE"""),297.5)</f>
        <v>297.5</v>
      </c>
      <c r="E1068" s="6">
        <f>IFERROR(__xludf.DUMMYFUNCTION("""COMPUTED_VALUE"""),311.2)</f>
        <v>311.2</v>
      </c>
      <c r="F1068" s="7">
        <f>IFERROR(__xludf.DUMMYFUNCTION("""COMPUTED_VALUE"""),1.5793327E7)</f>
        <v>15793327</v>
      </c>
      <c r="G1068" s="7" t="str">
        <f>IFERROR(__xludf.DUMMYFUNCTION("""COMPUTED_VALUE"""),"NTPC.NS")</f>
        <v>NTPC.NS</v>
      </c>
      <c r="H1068" s="8">
        <f t="shared" si="1"/>
        <v>0.03337207372</v>
      </c>
      <c r="I1068" s="8">
        <f t="shared" si="2"/>
        <v>0.03337207372</v>
      </c>
      <c r="J1068" s="7" t="str">
        <f t="shared" si="3"/>
        <v>Feb-2025</v>
      </c>
      <c r="K1068" s="9">
        <f t="shared" si="4"/>
        <v>45689</v>
      </c>
      <c r="L1068" s="7" t="str">
        <f t="shared" si="5"/>
        <v/>
      </c>
      <c r="M1068" s="7" t="str">
        <f>IFERROR(__xludf.DUMMYFUNCTION("IFERROR(
  IF(
    F1068 &gt;
    3*AVERAGE(
       FILTER($F$2:$F10491,
         $G$2:$G10491=G1068,
         $A$2:$A10491&gt;=A1068-20,
         $A$2:$A10491&lt;=A1068
       )
    ),
    ""VOL_SPIKE_3X"",""""
  ),
"""")
"),"")</f>
        <v/>
      </c>
      <c r="N1068" s="7" t="str">
        <f t="shared" si="6"/>
        <v/>
      </c>
      <c r="O1068" s="7" t="str">
        <f t="shared" si="7"/>
        <v/>
      </c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5">
        <f>IFERROR(__xludf.DUMMYFUNCTION("""COMPUTED_VALUE"""),45706.0)</f>
        <v>45706</v>
      </c>
      <c r="B1069" s="6">
        <f>IFERROR(__xludf.DUMMYFUNCTION("""COMPUTED_VALUE"""),232.2)</f>
        <v>232.2</v>
      </c>
      <c r="C1069" s="6">
        <f>IFERROR(__xludf.DUMMYFUNCTION("""COMPUTED_VALUE"""),237.15)</f>
        <v>237.15</v>
      </c>
      <c r="D1069" s="6">
        <f>IFERROR(__xludf.DUMMYFUNCTION("""COMPUTED_VALUE"""),229.55)</f>
        <v>229.55</v>
      </c>
      <c r="E1069" s="6">
        <f>IFERROR(__xludf.DUMMYFUNCTION("""COMPUTED_VALUE"""),236.6)</f>
        <v>236.6</v>
      </c>
      <c r="F1069" s="7">
        <f>IFERROR(__xludf.DUMMYFUNCTION("""COMPUTED_VALUE"""),6170974.0)</f>
        <v>6170974</v>
      </c>
      <c r="G1069" s="7" t="str">
        <f>IFERROR(__xludf.DUMMYFUNCTION("""COMPUTED_VALUE"""),"ONGC.NS")</f>
        <v>ONGC.NS</v>
      </c>
      <c r="H1069" s="8">
        <f t="shared" si="1"/>
        <v>0.01894918174</v>
      </c>
      <c r="I1069" s="8">
        <f t="shared" si="2"/>
        <v>0.01894918174</v>
      </c>
      <c r="J1069" s="7" t="str">
        <f t="shared" si="3"/>
        <v>Feb-2025</v>
      </c>
      <c r="K1069" s="9">
        <f t="shared" si="4"/>
        <v>45689</v>
      </c>
      <c r="L1069" s="7" t="str">
        <f t="shared" si="5"/>
        <v/>
      </c>
      <c r="M1069" s="7" t="str">
        <f>IFERROR(__xludf.DUMMYFUNCTION("IFERROR(
  IF(
    F1069 &gt;
    3*AVERAGE(
       FILTER($F$2:$F10491,
         $G$2:$G10491=G1069,
         $A$2:$A10491&gt;=A1069-20,
         $A$2:$A10491&lt;=A1069
       )
    ),
    ""VOL_SPIKE_3X"",""""
  ),
"""")
"),"")</f>
        <v/>
      </c>
      <c r="N1069" s="7" t="str">
        <f t="shared" si="6"/>
        <v/>
      </c>
      <c r="O1069" s="7" t="str">
        <f t="shared" si="7"/>
        <v/>
      </c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5">
        <f>IFERROR(__xludf.DUMMYFUNCTION("""COMPUTED_VALUE"""),45706.0)</f>
        <v>45706</v>
      </c>
      <c r="B1070" s="6">
        <f>IFERROR(__xludf.DUMMYFUNCTION("""COMPUTED_VALUE"""),263.85)</f>
        <v>263.85</v>
      </c>
      <c r="C1070" s="6">
        <f>IFERROR(__xludf.DUMMYFUNCTION("""COMPUTED_VALUE"""),267.9)</f>
        <v>267.9</v>
      </c>
      <c r="D1070" s="6">
        <f>IFERROR(__xludf.DUMMYFUNCTION("""COMPUTED_VALUE"""),260.2)</f>
        <v>260.2</v>
      </c>
      <c r="E1070" s="6">
        <f>IFERROR(__xludf.DUMMYFUNCTION("""COMPUTED_VALUE"""),266.95)</f>
        <v>266.95</v>
      </c>
      <c r="F1070" s="7">
        <f>IFERROR(__xludf.DUMMYFUNCTION("""COMPUTED_VALUE"""),1.0483635E7)</f>
        <v>10483635</v>
      </c>
      <c r="G1070" s="7" t="str">
        <f>IFERROR(__xludf.DUMMYFUNCTION("""COMPUTED_VALUE"""),"POWERGRID.NS")</f>
        <v>POWERGRID.NS</v>
      </c>
      <c r="H1070" s="8">
        <f t="shared" si="1"/>
        <v>0.01174909987</v>
      </c>
      <c r="I1070" s="8">
        <f t="shared" si="2"/>
        <v>0.01174909987</v>
      </c>
      <c r="J1070" s="7" t="str">
        <f t="shared" si="3"/>
        <v>Feb-2025</v>
      </c>
      <c r="K1070" s="9">
        <f t="shared" si="4"/>
        <v>45689</v>
      </c>
      <c r="L1070" s="7" t="str">
        <f t="shared" si="5"/>
        <v/>
      </c>
      <c r="M1070" s="7" t="str">
        <f>IFERROR(__xludf.DUMMYFUNCTION("IFERROR(
  IF(
    F1070 &gt;
    3*AVERAGE(
       FILTER($F$2:$F10491,
         $G$2:$G10491=G1070,
         $A$2:$A10491&gt;=A1070-20,
         $A$2:$A10491&lt;=A1070
       )
    ),
    ""VOL_SPIKE_3X"",""""
  ),
"""")
"),"")</f>
        <v/>
      </c>
      <c r="N1070" s="7" t="str">
        <f t="shared" si="6"/>
        <v/>
      </c>
      <c r="O1070" s="7" t="str">
        <f t="shared" si="7"/>
        <v/>
      </c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5">
        <f>IFERROR(__xludf.DUMMYFUNCTION("""COMPUTED_VALUE"""),45706.0)</f>
        <v>45706</v>
      </c>
      <c r="B1071" s="6">
        <f>IFERROR(__xludf.DUMMYFUNCTION("""COMPUTED_VALUE"""),1224.85)</f>
        <v>1224.85</v>
      </c>
      <c r="C1071" s="6">
        <f>IFERROR(__xludf.DUMMYFUNCTION("""COMPUTED_VALUE"""),1229.9)</f>
        <v>1229.9</v>
      </c>
      <c r="D1071" s="6">
        <f>IFERROR(__xludf.DUMMYFUNCTION("""COMPUTED_VALUE"""),1216.1)</f>
        <v>1216.1</v>
      </c>
      <c r="E1071" s="6">
        <f>IFERROR(__xludf.DUMMYFUNCTION("""COMPUTED_VALUE"""),1225.4)</f>
        <v>1225.4</v>
      </c>
      <c r="F1071" s="7">
        <f>IFERROR(__xludf.DUMMYFUNCTION("""COMPUTED_VALUE"""),6673250.0)</f>
        <v>6673250</v>
      </c>
      <c r="G1071" s="7" t="str">
        <f>IFERROR(__xludf.DUMMYFUNCTION("""COMPUTED_VALUE"""),"RELIANCE.NS")</f>
        <v>RELIANCE.NS</v>
      </c>
      <c r="H1071" s="8">
        <f t="shared" si="1"/>
        <v>0.0004490345757</v>
      </c>
      <c r="I1071" s="8">
        <f t="shared" si="2"/>
        <v>0.0004490345757</v>
      </c>
      <c r="J1071" s="7" t="str">
        <f t="shared" si="3"/>
        <v>Feb-2025</v>
      </c>
      <c r="K1071" s="9">
        <f t="shared" si="4"/>
        <v>45689</v>
      </c>
      <c r="L1071" s="7" t="str">
        <f t="shared" si="5"/>
        <v/>
      </c>
      <c r="M1071" s="7" t="str">
        <f>IFERROR(__xludf.DUMMYFUNCTION("IFERROR(
  IF(
    F1071 &gt;
    3*AVERAGE(
       FILTER($F$2:$F10491,
         $G$2:$G10491=G1071,
         $A$2:$A10491&gt;=A1071-20,
         $A$2:$A10491&lt;=A1071
       )
    ),
    ""VOL_SPIKE_3X"",""""
  ),
"""")
"),"")</f>
        <v/>
      </c>
      <c r="N1071" s="7" t="str">
        <f t="shared" si="6"/>
        <v/>
      </c>
      <c r="O1071" s="7" t="str">
        <f t="shared" si="7"/>
        <v/>
      </c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5">
        <f>IFERROR(__xludf.DUMMYFUNCTION("""COMPUTED_VALUE"""),45707.0)</f>
        <v>45707</v>
      </c>
      <c r="B1072" s="6">
        <f>IFERROR(__xludf.DUMMYFUNCTION("""COMPUTED_VALUE"""),667.1)</f>
        <v>667.1</v>
      </c>
      <c r="C1072" s="6">
        <f>IFERROR(__xludf.DUMMYFUNCTION("""COMPUTED_VALUE"""),681.9)</f>
        <v>681.9</v>
      </c>
      <c r="D1072" s="6">
        <f>IFERROR(__xludf.DUMMYFUNCTION("""COMPUTED_VALUE"""),660.0)</f>
        <v>660</v>
      </c>
      <c r="E1072" s="6">
        <f>IFERROR(__xludf.DUMMYFUNCTION("""COMPUTED_VALUE"""),670.65)</f>
        <v>670.65</v>
      </c>
      <c r="F1072" s="7">
        <f>IFERROR(__xludf.DUMMYFUNCTION("""COMPUTED_VALUE"""),1883969.0)</f>
        <v>1883969</v>
      </c>
      <c r="G1072" s="7" t="str">
        <f>IFERROR(__xludf.DUMMYFUNCTION("""COMPUTED_VALUE"""),"ADANIENSOL.NS")</f>
        <v>ADANIENSOL.NS</v>
      </c>
      <c r="H1072" s="8">
        <f t="shared" si="1"/>
        <v>0.005321540998</v>
      </c>
      <c r="I1072" s="8">
        <f t="shared" si="2"/>
        <v>0.005321540998</v>
      </c>
      <c r="J1072" s="7" t="str">
        <f t="shared" si="3"/>
        <v>Feb-2025</v>
      </c>
      <c r="K1072" s="9">
        <f t="shared" si="4"/>
        <v>45689</v>
      </c>
      <c r="L1072" s="7" t="str">
        <f t="shared" si="5"/>
        <v/>
      </c>
      <c r="M1072" s="7" t="str">
        <f>IFERROR(__xludf.DUMMYFUNCTION("IFERROR(
  IF(
    F1072 &gt;
    3*AVERAGE(
       FILTER($F$2:$F10491,
         $G$2:$G10491=G1072,
         $A$2:$A10491&gt;=A1072-20,
         $A$2:$A10491&lt;=A1072
       )
    ),
    ""VOL_SPIKE_3X"",""""
  ),
"""")
"),"")</f>
        <v/>
      </c>
      <c r="N1072" s="7" t="str">
        <f t="shared" si="6"/>
        <v/>
      </c>
      <c r="O1072" s="7" t="str">
        <f t="shared" si="7"/>
        <v/>
      </c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5">
        <f>IFERROR(__xludf.DUMMYFUNCTION("""COMPUTED_VALUE"""),45707.0)</f>
        <v>45707</v>
      </c>
      <c r="B1073" s="6">
        <f>IFERROR(__xludf.DUMMYFUNCTION("""COMPUTED_VALUE"""),875.25)</f>
        <v>875.25</v>
      </c>
      <c r="C1073" s="6">
        <f>IFERROR(__xludf.DUMMYFUNCTION("""COMPUTED_VALUE"""),885.85)</f>
        <v>885.85</v>
      </c>
      <c r="D1073" s="6">
        <f>IFERROR(__xludf.DUMMYFUNCTION("""COMPUTED_VALUE"""),860.95)</f>
        <v>860.95</v>
      </c>
      <c r="E1073" s="6">
        <f>IFERROR(__xludf.DUMMYFUNCTION("""COMPUTED_VALUE"""),864.7)</f>
        <v>864.7</v>
      </c>
      <c r="F1073" s="7">
        <f>IFERROR(__xludf.DUMMYFUNCTION("""COMPUTED_VALUE"""),4121742.0)</f>
        <v>4121742</v>
      </c>
      <c r="G1073" s="7" t="str">
        <f>IFERROR(__xludf.DUMMYFUNCTION("""COMPUTED_VALUE"""),"ADANIGREEN.NS")</f>
        <v>ADANIGREEN.NS</v>
      </c>
      <c r="H1073" s="8">
        <f t="shared" si="1"/>
        <v>-0.01205369894</v>
      </c>
      <c r="I1073" s="8">
        <f t="shared" si="2"/>
        <v>0.01205369894</v>
      </c>
      <c r="J1073" s="7" t="str">
        <f t="shared" si="3"/>
        <v>Feb-2025</v>
      </c>
      <c r="K1073" s="9">
        <f t="shared" si="4"/>
        <v>45689</v>
      </c>
      <c r="L1073" s="7" t="str">
        <f t="shared" si="5"/>
        <v/>
      </c>
      <c r="M1073" s="7" t="str">
        <f>IFERROR(__xludf.DUMMYFUNCTION("IFERROR(
  IF(
    F1073 &gt;
    3*AVERAGE(
       FILTER($F$2:$F10491,
         $G$2:$G10491=G1073,
         $A$2:$A10491&gt;=A1073-20,
         $A$2:$A10491&lt;=A1073
       )
    ),
    ""VOL_SPIKE_3X"",""""
  ),
"""")
"),"")</f>
        <v/>
      </c>
      <c r="N1073" s="7" t="str">
        <f t="shared" si="6"/>
        <v/>
      </c>
      <c r="O1073" s="7" t="str">
        <f t="shared" si="7"/>
        <v/>
      </c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5">
        <f>IFERROR(__xludf.DUMMYFUNCTION("""COMPUTED_VALUE"""),45707.0)</f>
        <v>45707</v>
      </c>
      <c r="B1074" s="6">
        <f>IFERROR(__xludf.DUMMYFUNCTION("""COMPUTED_VALUE"""),251.0)</f>
        <v>251</v>
      </c>
      <c r="C1074" s="6">
        <f>IFERROR(__xludf.DUMMYFUNCTION("""COMPUTED_VALUE"""),256.45)</f>
        <v>256.45</v>
      </c>
      <c r="D1074" s="6">
        <f>IFERROR(__xludf.DUMMYFUNCTION("""COMPUTED_VALUE"""),249.55)</f>
        <v>249.55</v>
      </c>
      <c r="E1074" s="6">
        <f>IFERROR(__xludf.DUMMYFUNCTION("""COMPUTED_VALUE"""),255.6)</f>
        <v>255.6</v>
      </c>
      <c r="F1074" s="7">
        <f>IFERROR(__xludf.DUMMYFUNCTION("""COMPUTED_VALUE"""),6887175.0)</f>
        <v>6887175</v>
      </c>
      <c r="G1074" s="7" t="str">
        <f>IFERROR(__xludf.DUMMYFUNCTION("""COMPUTED_VALUE"""),"BPCL.NS")</f>
        <v>BPCL.NS</v>
      </c>
      <c r="H1074" s="8">
        <f t="shared" si="1"/>
        <v>0.01832669323</v>
      </c>
      <c r="I1074" s="8">
        <f t="shared" si="2"/>
        <v>0.01832669323</v>
      </c>
      <c r="J1074" s="7" t="str">
        <f t="shared" si="3"/>
        <v>Feb-2025</v>
      </c>
      <c r="K1074" s="9">
        <f t="shared" si="4"/>
        <v>45689</v>
      </c>
      <c r="L1074" s="7" t="str">
        <f t="shared" si="5"/>
        <v/>
      </c>
      <c r="M1074" s="7" t="str">
        <f>IFERROR(__xludf.DUMMYFUNCTION("IFERROR(
  IF(
    F1074 &gt;
    3*AVERAGE(
       FILTER($F$2:$F10491,
         $G$2:$G10491=G1074,
         $A$2:$A10491&gt;=A1074-20,
         $A$2:$A10491&lt;=A1074
       )
    ),
    ""VOL_SPIKE_3X"",""""
  ),
"""")
"),"")</f>
        <v/>
      </c>
      <c r="N1074" s="7" t="str">
        <f t="shared" si="6"/>
        <v/>
      </c>
      <c r="O1074" s="7" t="str">
        <f t="shared" si="7"/>
        <v/>
      </c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5">
        <f>IFERROR(__xludf.DUMMYFUNCTION("""COMPUTED_VALUE"""),45707.0)</f>
        <v>45707</v>
      </c>
      <c r="B1075" s="6">
        <f>IFERROR(__xludf.DUMMYFUNCTION("""COMPUTED_VALUE"""),360.0)</f>
        <v>360</v>
      </c>
      <c r="C1075" s="6">
        <f>IFERROR(__xludf.DUMMYFUNCTION("""COMPUTED_VALUE"""),365.3)</f>
        <v>365.3</v>
      </c>
      <c r="D1075" s="6">
        <f>IFERROR(__xludf.DUMMYFUNCTION("""COMPUTED_VALUE"""),358.0)</f>
        <v>358</v>
      </c>
      <c r="E1075" s="6">
        <f>IFERROR(__xludf.DUMMYFUNCTION("""COMPUTED_VALUE"""),362.3)</f>
        <v>362.3</v>
      </c>
      <c r="F1075" s="7">
        <f>IFERROR(__xludf.DUMMYFUNCTION("""COMPUTED_VALUE"""),3097726.0)</f>
        <v>3097726</v>
      </c>
      <c r="G1075" s="7" t="str">
        <f>IFERROR(__xludf.DUMMYFUNCTION("""COMPUTED_VALUE"""),"COALINDIA.NS")</f>
        <v>COALINDIA.NS</v>
      </c>
      <c r="H1075" s="8">
        <f t="shared" si="1"/>
        <v>0.006388888889</v>
      </c>
      <c r="I1075" s="8">
        <f t="shared" si="2"/>
        <v>0.006388888889</v>
      </c>
      <c r="J1075" s="7" t="str">
        <f t="shared" si="3"/>
        <v>Feb-2025</v>
      </c>
      <c r="K1075" s="9">
        <f t="shared" si="4"/>
        <v>45689</v>
      </c>
      <c r="L1075" s="7" t="str">
        <f t="shared" si="5"/>
        <v/>
      </c>
      <c r="M1075" s="7" t="str">
        <f>IFERROR(__xludf.DUMMYFUNCTION("IFERROR(
  IF(
    F1075 &gt;
    3*AVERAGE(
       FILTER($F$2:$F10491,
         $G$2:$G10491=G1075,
         $A$2:$A10491&gt;=A1075-20,
         $A$2:$A10491&lt;=A1075
       )
    ),
    ""VOL_SPIKE_3X"",""""
  ),
"""")
"),"")</f>
        <v/>
      </c>
      <c r="N1075" s="7" t="str">
        <f t="shared" si="6"/>
        <v/>
      </c>
      <c r="O1075" s="7" t="str">
        <f t="shared" si="7"/>
        <v/>
      </c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5">
        <f>IFERROR(__xludf.DUMMYFUNCTION("""COMPUTED_VALUE"""),45707.0)</f>
        <v>45707</v>
      </c>
      <c r="B1076" s="6">
        <f>IFERROR(__xludf.DUMMYFUNCTION("""COMPUTED_VALUE"""),318.95)</f>
        <v>318.95</v>
      </c>
      <c r="C1076" s="6">
        <f>IFERROR(__xludf.DUMMYFUNCTION("""COMPUTED_VALUE"""),326.4)</f>
        <v>326.4</v>
      </c>
      <c r="D1076" s="6">
        <f>IFERROR(__xludf.DUMMYFUNCTION("""COMPUTED_VALUE"""),316.65)</f>
        <v>316.65</v>
      </c>
      <c r="E1076" s="6">
        <f>IFERROR(__xludf.DUMMYFUNCTION("""COMPUTED_VALUE"""),324.6)</f>
        <v>324.6</v>
      </c>
      <c r="F1076" s="7">
        <f>IFERROR(__xludf.DUMMYFUNCTION("""COMPUTED_VALUE"""),2325236.0)</f>
        <v>2325236</v>
      </c>
      <c r="G1076" s="7" t="str">
        <f>IFERROR(__xludf.DUMMYFUNCTION("""COMPUTED_VALUE"""),"HINDPETRO.NS")</f>
        <v>HINDPETRO.NS</v>
      </c>
      <c r="H1076" s="8">
        <f t="shared" si="1"/>
        <v>0.01771437529</v>
      </c>
      <c r="I1076" s="8">
        <f t="shared" si="2"/>
        <v>0.01771437529</v>
      </c>
      <c r="J1076" s="7" t="str">
        <f t="shared" si="3"/>
        <v>Feb-2025</v>
      </c>
      <c r="K1076" s="9">
        <f t="shared" si="4"/>
        <v>45689</v>
      </c>
      <c r="L1076" s="7" t="str">
        <f t="shared" si="5"/>
        <v/>
      </c>
      <c r="M1076" s="7" t="str">
        <f>IFERROR(__xludf.DUMMYFUNCTION("IFERROR(
  IF(
    F1076 &gt;
    3*AVERAGE(
       FILTER($F$2:$F10491,
         $G$2:$G10491=G1076,
         $A$2:$A10491&gt;=A1076-20,
         $A$2:$A10491&lt;=A1076
       )
    ),
    ""VOL_SPIKE_3X"",""""
  ),
"""")
"),"")</f>
        <v/>
      </c>
      <c r="N1076" s="7" t="str">
        <f t="shared" si="6"/>
        <v/>
      </c>
      <c r="O1076" s="7" t="str">
        <f t="shared" si="7"/>
        <v/>
      </c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5">
        <f>IFERROR(__xludf.DUMMYFUNCTION("""COMPUTED_VALUE"""),45707.0)</f>
        <v>45707</v>
      </c>
      <c r="B1077" s="6">
        <f>IFERROR(__xludf.DUMMYFUNCTION("""COMPUTED_VALUE"""),118.11)</f>
        <v>118.11</v>
      </c>
      <c r="C1077" s="6">
        <f>IFERROR(__xludf.DUMMYFUNCTION("""COMPUTED_VALUE"""),120.17)</f>
        <v>120.17</v>
      </c>
      <c r="D1077" s="6">
        <f>IFERROR(__xludf.DUMMYFUNCTION("""COMPUTED_VALUE"""),117.9)</f>
        <v>117.9</v>
      </c>
      <c r="E1077" s="6">
        <f>IFERROR(__xludf.DUMMYFUNCTION("""COMPUTED_VALUE"""),119.87)</f>
        <v>119.87</v>
      </c>
      <c r="F1077" s="7">
        <f>IFERROR(__xludf.DUMMYFUNCTION("""COMPUTED_VALUE"""),9158990.0)</f>
        <v>9158990</v>
      </c>
      <c r="G1077" s="7" t="str">
        <f>IFERROR(__xludf.DUMMYFUNCTION("""COMPUTED_VALUE"""),"IOC.NS")</f>
        <v>IOC.NS</v>
      </c>
      <c r="H1077" s="8">
        <f t="shared" si="1"/>
        <v>0.01490136314</v>
      </c>
      <c r="I1077" s="8">
        <f t="shared" si="2"/>
        <v>0.01490136314</v>
      </c>
      <c r="J1077" s="7" t="str">
        <f t="shared" si="3"/>
        <v>Feb-2025</v>
      </c>
      <c r="K1077" s="9">
        <f t="shared" si="4"/>
        <v>45689</v>
      </c>
      <c r="L1077" s="7" t="str">
        <f t="shared" si="5"/>
        <v/>
      </c>
      <c r="M1077" s="7" t="str">
        <f>IFERROR(__xludf.DUMMYFUNCTION("IFERROR(
  IF(
    F1077 &gt;
    3*AVERAGE(
       FILTER($F$2:$F10491,
         $G$2:$G10491=G1077,
         $A$2:$A10491&gt;=A1077-20,
         $A$2:$A10491&lt;=A1077
       )
    ),
    ""VOL_SPIKE_3X"",""""
  ),
"""")
"),"")</f>
        <v/>
      </c>
      <c r="N1077" s="7" t="str">
        <f t="shared" si="6"/>
        <v/>
      </c>
      <c r="O1077" s="7" t="str">
        <f t="shared" si="7"/>
        <v/>
      </c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5">
        <f>IFERROR(__xludf.DUMMYFUNCTION("""COMPUTED_VALUE"""),45707.0)</f>
        <v>45707</v>
      </c>
      <c r="B1078" s="6">
        <f>IFERROR(__xludf.DUMMYFUNCTION("""COMPUTED_VALUE"""),311.2)</f>
        <v>311.2</v>
      </c>
      <c r="C1078" s="6">
        <f>IFERROR(__xludf.DUMMYFUNCTION("""COMPUTED_VALUE"""),316.35)</f>
        <v>316.35</v>
      </c>
      <c r="D1078" s="6">
        <f>IFERROR(__xludf.DUMMYFUNCTION("""COMPUTED_VALUE"""),310.6)</f>
        <v>310.6</v>
      </c>
      <c r="E1078" s="6">
        <f>IFERROR(__xludf.DUMMYFUNCTION("""COMPUTED_VALUE"""),314.8)</f>
        <v>314.8</v>
      </c>
      <c r="F1078" s="7">
        <f>IFERROR(__xludf.DUMMYFUNCTION("""COMPUTED_VALUE"""),1.3079903E7)</f>
        <v>13079903</v>
      </c>
      <c r="G1078" s="7" t="str">
        <f>IFERROR(__xludf.DUMMYFUNCTION("""COMPUTED_VALUE"""),"NTPC.NS")</f>
        <v>NTPC.NS</v>
      </c>
      <c r="H1078" s="8">
        <f t="shared" si="1"/>
        <v>0.01156812339</v>
      </c>
      <c r="I1078" s="8">
        <f t="shared" si="2"/>
        <v>0.01156812339</v>
      </c>
      <c r="J1078" s="7" t="str">
        <f t="shared" si="3"/>
        <v>Feb-2025</v>
      </c>
      <c r="K1078" s="9">
        <f t="shared" si="4"/>
        <v>45689</v>
      </c>
      <c r="L1078" s="7" t="str">
        <f t="shared" si="5"/>
        <v/>
      </c>
      <c r="M1078" s="7" t="str">
        <f>IFERROR(__xludf.DUMMYFUNCTION("IFERROR(
  IF(
    F1078 &gt;
    3*AVERAGE(
       FILTER($F$2:$F10491,
         $G$2:$G10491=G1078,
         $A$2:$A10491&gt;=A1078-20,
         $A$2:$A10491&lt;=A1078
       )
    ),
    ""VOL_SPIKE_3X"",""""
  ),
"""")
"),"")</f>
        <v/>
      </c>
      <c r="N1078" s="7" t="str">
        <f t="shared" si="6"/>
        <v/>
      </c>
      <c r="O1078" s="7" t="str">
        <f t="shared" si="7"/>
        <v/>
      </c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5">
        <f>IFERROR(__xludf.DUMMYFUNCTION("""COMPUTED_VALUE"""),45707.0)</f>
        <v>45707</v>
      </c>
      <c r="B1079" s="6">
        <f>IFERROR(__xludf.DUMMYFUNCTION("""COMPUTED_VALUE"""),236.0)</f>
        <v>236</v>
      </c>
      <c r="C1079" s="6">
        <f>IFERROR(__xludf.DUMMYFUNCTION("""COMPUTED_VALUE"""),238.8)</f>
        <v>238.8</v>
      </c>
      <c r="D1079" s="6">
        <f>IFERROR(__xludf.DUMMYFUNCTION("""COMPUTED_VALUE"""),234.5)</f>
        <v>234.5</v>
      </c>
      <c r="E1079" s="6">
        <f>IFERROR(__xludf.DUMMYFUNCTION("""COMPUTED_VALUE"""),238.3)</f>
        <v>238.3</v>
      </c>
      <c r="F1079" s="7">
        <f>IFERROR(__xludf.DUMMYFUNCTION("""COMPUTED_VALUE"""),6168581.0)</f>
        <v>6168581</v>
      </c>
      <c r="G1079" s="7" t="str">
        <f>IFERROR(__xludf.DUMMYFUNCTION("""COMPUTED_VALUE"""),"ONGC.NS")</f>
        <v>ONGC.NS</v>
      </c>
      <c r="H1079" s="8">
        <f t="shared" si="1"/>
        <v>0.009745762712</v>
      </c>
      <c r="I1079" s="8">
        <f t="shared" si="2"/>
        <v>0.009745762712</v>
      </c>
      <c r="J1079" s="7" t="str">
        <f t="shared" si="3"/>
        <v>Feb-2025</v>
      </c>
      <c r="K1079" s="9">
        <f t="shared" si="4"/>
        <v>45689</v>
      </c>
      <c r="L1079" s="7" t="str">
        <f t="shared" si="5"/>
        <v/>
      </c>
      <c r="M1079" s="7" t="str">
        <f>IFERROR(__xludf.DUMMYFUNCTION("IFERROR(
  IF(
    F1079 &gt;
    3*AVERAGE(
       FILTER($F$2:$F10491,
         $G$2:$G10491=G1079,
         $A$2:$A10491&gt;=A1079-20,
         $A$2:$A10491&lt;=A1079
       )
    ),
    ""VOL_SPIKE_3X"",""""
  ),
"""")
"),"")</f>
        <v/>
      </c>
      <c r="N1079" s="7" t="str">
        <f t="shared" si="6"/>
        <v/>
      </c>
      <c r="O1079" s="7" t="str">
        <f t="shared" si="7"/>
        <v/>
      </c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5">
        <f>IFERROR(__xludf.DUMMYFUNCTION("""COMPUTED_VALUE"""),45707.0)</f>
        <v>45707</v>
      </c>
      <c r="B1080" s="6">
        <f>IFERROR(__xludf.DUMMYFUNCTION("""COMPUTED_VALUE"""),262.5)</f>
        <v>262.5</v>
      </c>
      <c r="C1080" s="6">
        <f>IFERROR(__xludf.DUMMYFUNCTION("""COMPUTED_VALUE"""),268.5)</f>
        <v>268.5</v>
      </c>
      <c r="D1080" s="6">
        <f>IFERROR(__xludf.DUMMYFUNCTION("""COMPUTED_VALUE"""),262.3)</f>
        <v>262.3</v>
      </c>
      <c r="E1080" s="6">
        <f>IFERROR(__xludf.DUMMYFUNCTION("""COMPUTED_VALUE"""),263.05)</f>
        <v>263.05</v>
      </c>
      <c r="F1080" s="7">
        <f>IFERROR(__xludf.DUMMYFUNCTION("""COMPUTED_VALUE"""),1.4602009E7)</f>
        <v>14602009</v>
      </c>
      <c r="G1080" s="7" t="str">
        <f>IFERROR(__xludf.DUMMYFUNCTION("""COMPUTED_VALUE"""),"POWERGRID.NS")</f>
        <v>POWERGRID.NS</v>
      </c>
      <c r="H1080" s="8">
        <f t="shared" si="1"/>
        <v>0.002095238095</v>
      </c>
      <c r="I1080" s="8">
        <f t="shared" si="2"/>
        <v>0.002095238095</v>
      </c>
      <c r="J1080" s="7" t="str">
        <f t="shared" si="3"/>
        <v>Feb-2025</v>
      </c>
      <c r="K1080" s="9">
        <f t="shared" si="4"/>
        <v>45689</v>
      </c>
      <c r="L1080" s="7" t="str">
        <f t="shared" si="5"/>
        <v/>
      </c>
      <c r="M1080" s="7" t="str">
        <f>IFERROR(__xludf.DUMMYFUNCTION("IFERROR(
  IF(
    F1080 &gt;
    3*AVERAGE(
       FILTER($F$2:$F10491,
         $G$2:$G10491=G1080,
         $A$2:$A10491&gt;=A1080-20,
         $A$2:$A10491&lt;=A1080
       )
    ),
    ""VOL_SPIKE_3X"",""""
  ),
"""")
"),"")</f>
        <v/>
      </c>
      <c r="N1080" s="7" t="str">
        <f t="shared" si="6"/>
        <v/>
      </c>
      <c r="O1080" s="7" t="str">
        <f t="shared" si="7"/>
        <v/>
      </c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5">
        <f>IFERROR(__xludf.DUMMYFUNCTION("""COMPUTED_VALUE"""),45707.0)</f>
        <v>45707</v>
      </c>
      <c r="B1081" s="6">
        <f>IFERROR(__xludf.DUMMYFUNCTION("""COMPUTED_VALUE"""),1219.5)</f>
        <v>1219.5</v>
      </c>
      <c r="C1081" s="6">
        <f>IFERROR(__xludf.DUMMYFUNCTION("""COMPUTED_VALUE"""),1232.75)</f>
        <v>1232.75</v>
      </c>
      <c r="D1081" s="6">
        <f>IFERROR(__xludf.DUMMYFUNCTION("""COMPUTED_VALUE"""),1217.55)</f>
        <v>1217.55</v>
      </c>
      <c r="E1081" s="6">
        <f>IFERROR(__xludf.DUMMYFUNCTION("""COMPUTED_VALUE"""),1227.45)</f>
        <v>1227.45</v>
      </c>
      <c r="F1081" s="7">
        <f>IFERROR(__xludf.DUMMYFUNCTION("""COMPUTED_VALUE"""),6217338.0)</f>
        <v>6217338</v>
      </c>
      <c r="G1081" s="7" t="str">
        <f>IFERROR(__xludf.DUMMYFUNCTION("""COMPUTED_VALUE"""),"RELIANCE.NS")</f>
        <v>RELIANCE.NS</v>
      </c>
      <c r="H1081" s="8">
        <f t="shared" si="1"/>
        <v>0.006519065191</v>
      </c>
      <c r="I1081" s="8">
        <f t="shared" si="2"/>
        <v>0.006519065191</v>
      </c>
      <c r="J1081" s="7" t="str">
        <f t="shared" si="3"/>
        <v>Feb-2025</v>
      </c>
      <c r="K1081" s="9">
        <f t="shared" si="4"/>
        <v>45689</v>
      </c>
      <c r="L1081" s="7" t="str">
        <f t="shared" si="5"/>
        <v/>
      </c>
      <c r="M1081" s="7" t="str">
        <f>IFERROR(__xludf.DUMMYFUNCTION("IFERROR(
  IF(
    F1081 &gt;
    3*AVERAGE(
       FILTER($F$2:$F10491,
         $G$2:$G10491=G1081,
         $A$2:$A10491&gt;=A1081-20,
         $A$2:$A10491&lt;=A1081
       )
    ),
    ""VOL_SPIKE_3X"",""""
  ),
"""")
"),"")</f>
        <v/>
      </c>
      <c r="N1081" s="7" t="str">
        <f t="shared" si="6"/>
        <v/>
      </c>
      <c r="O1081" s="7" t="str">
        <f t="shared" si="7"/>
        <v/>
      </c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5">
        <f>IFERROR(__xludf.DUMMYFUNCTION("""COMPUTED_VALUE"""),45708.0)</f>
        <v>45708</v>
      </c>
      <c r="B1082" s="6">
        <f>IFERROR(__xludf.DUMMYFUNCTION("""COMPUTED_VALUE"""),669.9)</f>
        <v>669.9</v>
      </c>
      <c r="C1082" s="6">
        <f>IFERROR(__xludf.DUMMYFUNCTION("""COMPUTED_VALUE"""),686.5)</f>
        <v>686.5</v>
      </c>
      <c r="D1082" s="6">
        <f>IFERROR(__xludf.DUMMYFUNCTION("""COMPUTED_VALUE"""),662.35)</f>
        <v>662.35</v>
      </c>
      <c r="E1082" s="6">
        <f>IFERROR(__xludf.DUMMYFUNCTION("""COMPUTED_VALUE"""),678.0)</f>
        <v>678</v>
      </c>
      <c r="F1082" s="7">
        <f>IFERROR(__xludf.DUMMYFUNCTION("""COMPUTED_VALUE"""),1271876.0)</f>
        <v>1271876</v>
      </c>
      <c r="G1082" s="7" t="str">
        <f>IFERROR(__xludf.DUMMYFUNCTION("""COMPUTED_VALUE"""),"ADANIENSOL.NS")</f>
        <v>ADANIENSOL.NS</v>
      </c>
      <c r="H1082" s="8">
        <f t="shared" si="1"/>
        <v>0.01209135692</v>
      </c>
      <c r="I1082" s="8">
        <f t="shared" si="2"/>
        <v>0.01209135692</v>
      </c>
      <c r="J1082" s="7" t="str">
        <f t="shared" si="3"/>
        <v>Feb-2025</v>
      </c>
      <c r="K1082" s="9">
        <f t="shared" si="4"/>
        <v>45689</v>
      </c>
      <c r="L1082" s="7" t="str">
        <f t="shared" si="5"/>
        <v/>
      </c>
      <c r="M1082" s="7" t="str">
        <f>IFERROR(__xludf.DUMMYFUNCTION("IFERROR(
  IF(
    F1082 &gt;
    3*AVERAGE(
       FILTER($F$2:$F10491,
         $G$2:$G10491=G1082,
         $A$2:$A10491&gt;=A1082-20,
         $A$2:$A10491&lt;=A1082
       )
    ),
    ""VOL_SPIKE_3X"",""""
  ),
"""")
"),"")</f>
        <v/>
      </c>
      <c r="N1082" s="7" t="str">
        <f t="shared" si="6"/>
        <v/>
      </c>
      <c r="O1082" s="7" t="str">
        <f t="shared" si="7"/>
        <v/>
      </c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5">
        <f>IFERROR(__xludf.DUMMYFUNCTION("""COMPUTED_VALUE"""),45708.0)</f>
        <v>45708</v>
      </c>
      <c r="B1083" s="6">
        <f>IFERROR(__xludf.DUMMYFUNCTION("""COMPUTED_VALUE"""),861.0)</f>
        <v>861</v>
      </c>
      <c r="C1083" s="6">
        <f>IFERROR(__xludf.DUMMYFUNCTION("""COMPUTED_VALUE"""),883.95)</f>
        <v>883.95</v>
      </c>
      <c r="D1083" s="6">
        <f>IFERROR(__xludf.DUMMYFUNCTION("""COMPUTED_VALUE"""),845.0)</f>
        <v>845</v>
      </c>
      <c r="E1083" s="6">
        <f>IFERROR(__xludf.DUMMYFUNCTION("""COMPUTED_VALUE"""),864.95)</f>
        <v>864.95</v>
      </c>
      <c r="F1083" s="7">
        <f>IFERROR(__xludf.DUMMYFUNCTION("""COMPUTED_VALUE"""),3499937.0)</f>
        <v>3499937</v>
      </c>
      <c r="G1083" s="7" t="str">
        <f>IFERROR(__xludf.DUMMYFUNCTION("""COMPUTED_VALUE"""),"ADANIGREEN.NS")</f>
        <v>ADANIGREEN.NS</v>
      </c>
      <c r="H1083" s="8">
        <f t="shared" si="1"/>
        <v>0.004587688734</v>
      </c>
      <c r="I1083" s="8">
        <f t="shared" si="2"/>
        <v>0.004587688734</v>
      </c>
      <c r="J1083" s="7" t="str">
        <f t="shared" si="3"/>
        <v>Feb-2025</v>
      </c>
      <c r="K1083" s="9">
        <f t="shared" si="4"/>
        <v>45689</v>
      </c>
      <c r="L1083" s="7" t="str">
        <f t="shared" si="5"/>
        <v/>
      </c>
      <c r="M1083" s="7" t="str">
        <f>IFERROR(__xludf.DUMMYFUNCTION("IFERROR(
  IF(
    F1083 &gt;
    3*AVERAGE(
       FILTER($F$2:$F10491,
         $G$2:$G10491=G1083,
         $A$2:$A10491&gt;=A1083-20,
         $A$2:$A10491&lt;=A1083
       )
    ),
    ""VOL_SPIKE_3X"",""""
  ),
"""")
"),"")</f>
        <v/>
      </c>
      <c r="N1083" s="7" t="str">
        <f t="shared" si="6"/>
        <v/>
      </c>
      <c r="O1083" s="7" t="str">
        <f t="shared" si="7"/>
        <v/>
      </c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5">
        <f>IFERROR(__xludf.DUMMYFUNCTION("""COMPUTED_VALUE"""),45708.0)</f>
        <v>45708</v>
      </c>
      <c r="B1084" s="6">
        <f>IFERROR(__xludf.DUMMYFUNCTION("""COMPUTED_VALUE"""),254.0)</f>
        <v>254</v>
      </c>
      <c r="C1084" s="6">
        <f>IFERROR(__xludf.DUMMYFUNCTION("""COMPUTED_VALUE"""),259.65)</f>
        <v>259.65</v>
      </c>
      <c r="D1084" s="6">
        <f>IFERROR(__xludf.DUMMYFUNCTION("""COMPUTED_VALUE"""),253.2)</f>
        <v>253.2</v>
      </c>
      <c r="E1084" s="6">
        <f>IFERROR(__xludf.DUMMYFUNCTION("""COMPUTED_VALUE"""),258.6)</f>
        <v>258.6</v>
      </c>
      <c r="F1084" s="7">
        <f>IFERROR(__xludf.DUMMYFUNCTION("""COMPUTED_VALUE"""),8155780.0)</f>
        <v>8155780</v>
      </c>
      <c r="G1084" s="7" t="str">
        <f>IFERROR(__xludf.DUMMYFUNCTION("""COMPUTED_VALUE"""),"BPCL.NS")</f>
        <v>BPCL.NS</v>
      </c>
      <c r="H1084" s="8">
        <f t="shared" si="1"/>
        <v>0.01811023622</v>
      </c>
      <c r="I1084" s="8">
        <f t="shared" si="2"/>
        <v>0.01811023622</v>
      </c>
      <c r="J1084" s="7" t="str">
        <f t="shared" si="3"/>
        <v>Feb-2025</v>
      </c>
      <c r="K1084" s="9">
        <f t="shared" si="4"/>
        <v>45689</v>
      </c>
      <c r="L1084" s="7" t="str">
        <f t="shared" si="5"/>
        <v/>
      </c>
      <c r="M1084" s="7" t="str">
        <f>IFERROR(__xludf.DUMMYFUNCTION("IFERROR(
  IF(
    F1084 &gt;
    3*AVERAGE(
       FILTER($F$2:$F10491,
         $G$2:$G10491=G1084,
         $A$2:$A10491&gt;=A1084-20,
         $A$2:$A10491&lt;=A1084
       )
    ),
    ""VOL_SPIKE_3X"",""""
  ),
"""")
"),"")</f>
        <v/>
      </c>
      <c r="N1084" s="7" t="str">
        <f t="shared" si="6"/>
        <v/>
      </c>
      <c r="O1084" s="7" t="str">
        <f t="shared" si="7"/>
        <v/>
      </c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5">
        <f>IFERROR(__xludf.DUMMYFUNCTION("""COMPUTED_VALUE"""),45708.0)</f>
        <v>45708</v>
      </c>
      <c r="B1085" s="6">
        <f>IFERROR(__xludf.DUMMYFUNCTION("""COMPUTED_VALUE"""),360.0)</f>
        <v>360</v>
      </c>
      <c r="C1085" s="6">
        <f>IFERROR(__xludf.DUMMYFUNCTION("""COMPUTED_VALUE"""),369.45)</f>
        <v>369.45</v>
      </c>
      <c r="D1085" s="6">
        <f>IFERROR(__xludf.DUMMYFUNCTION("""COMPUTED_VALUE"""),360.0)</f>
        <v>360</v>
      </c>
      <c r="E1085" s="6">
        <f>IFERROR(__xludf.DUMMYFUNCTION("""COMPUTED_VALUE"""),367.95)</f>
        <v>367.95</v>
      </c>
      <c r="F1085" s="7">
        <f>IFERROR(__xludf.DUMMYFUNCTION("""COMPUTED_VALUE"""),4624287.0)</f>
        <v>4624287</v>
      </c>
      <c r="G1085" s="7" t="str">
        <f>IFERROR(__xludf.DUMMYFUNCTION("""COMPUTED_VALUE"""),"COALINDIA.NS")</f>
        <v>COALINDIA.NS</v>
      </c>
      <c r="H1085" s="8">
        <f t="shared" si="1"/>
        <v>0.02208333333</v>
      </c>
      <c r="I1085" s="8">
        <f t="shared" si="2"/>
        <v>0.02208333333</v>
      </c>
      <c r="J1085" s="7" t="str">
        <f t="shared" si="3"/>
        <v>Feb-2025</v>
      </c>
      <c r="K1085" s="9">
        <f t="shared" si="4"/>
        <v>45689</v>
      </c>
      <c r="L1085" s="7" t="str">
        <f t="shared" si="5"/>
        <v/>
      </c>
      <c r="M1085" s="7" t="str">
        <f>IFERROR(__xludf.DUMMYFUNCTION("IFERROR(
  IF(
    F1085 &gt;
    3*AVERAGE(
       FILTER($F$2:$F10491,
         $G$2:$G10491=G1085,
         $A$2:$A10491&gt;=A1085-20,
         $A$2:$A10491&lt;=A1085
       )
    ),
    ""VOL_SPIKE_3X"",""""
  ),
"""")
"),"")</f>
        <v/>
      </c>
      <c r="N1085" s="7" t="str">
        <f t="shared" si="6"/>
        <v/>
      </c>
      <c r="O1085" s="7" t="str">
        <f t="shared" si="7"/>
        <v/>
      </c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5">
        <f>IFERROR(__xludf.DUMMYFUNCTION("""COMPUTED_VALUE"""),45708.0)</f>
        <v>45708</v>
      </c>
      <c r="B1086" s="6">
        <f>IFERROR(__xludf.DUMMYFUNCTION("""COMPUTED_VALUE"""),323.8)</f>
        <v>323.8</v>
      </c>
      <c r="C1086" s="6">
        <f>IFERROR(__xludf.DUMMYFUNCTION("""COMPUTED_VALUE"""),332.2)</f>
        <v>332.2</v>
      </c>
      <c r="D1086" s="6">
        <f>IFERROR(__xludf.DUMMYFUNCTION("""COMPUTED_VALUE"""),321.25)</f>
        <v>321.25</v>
      </c>
      <c r="E1086" s="6">
        <f>IFERROR(__xludf.DUMMYFUNCTION("""COMPUTED_VALUE"""),331.7)</f>
        <v>331.7</v>
      </c>
      <c r="F1086" s="7">
        <f>IFERROR(__xludf.DUMMYFUNCTION("""COMPUTED_VALUE"""),1771611.0)</f>
        <v>1771611</v>
      </c>
      <c r="G1086" s="7" t="str">
        <f>IFERROR(__xludf.DUMMYFUNCTION("""COMPUTED_VALUE"""),"HINDPETRO.NS")</f>
        <v>HINDPETRO.NS</v>
      </c>
      <c r="H1086" s="8">
        <f t="shared" si="1"/>
        <v>0.02439777641</v>
      </c>
      <c r="I1086" s="8">
        <f t="shared" si="2"/>
        <v>0.02439777641</v>
      </c>
      <c r="J1086" s="7" t="str">
        <f t="shared" si="3"/>
        <v>Feb-2025</v>
      </c>
      <c r="K1086" s="9">
        <f t="shared" si="4"/>
        <v>45689</v>
      </c>
      <c r="L1086" s="7" t="str">
        <f t="shared" si="5"/>
        <v/>
      </c>
      <c r="M1086" s="7" t="str">
        <f>IFERROR(__xludf.DUMMYFUNCTION("IFERROR(
  IF(
    F1086 &gt;
    3*AVERAGE(
       FILTER($F$2:$F10491,
         $G$2:$G10491=G1086,
         $A$2:$A10491&gt;=A1086-20,
         $A$2:$A10491&lt;=A1086
       )
    ),
    ""VOL_SPIKE_3X"",""""
  ),
"""")
"),"")</f>
        <v/>
      </c>
      <c r="N1086" s="7" t="str">
        <f t="shared" si="6"/>
        <v/>
      </c>
      <c r="O1086" s="7" t="str">
        <f t="shared" si="7"/>
        <v/>
      </c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5">
        <f>IFERROR(__xludf.DUMMYFUNCTION("""COMPUTED_VALUE"""),45708.0)</f>
        <v>45708</v>
      </c>
      <c r="B1087" s="6">
        <f>IFERROR(__xludf.DUMMYFUNCTION("""COMPUTED_VALUE"""),119.84)</f>
        <v>119.84</v>
      </c>
      <c r="C1087" s="6">
        <f>IFERROR(__xludf.DUMMYFUNCTION("""COMPUTED_VALUE"""),122.95)</f>
        <v>122.95</v>
      </c>
      <c r="D1087" s="6">
        <f>IFERROR(__xludf.DUMMYFUNCTION("""COMPUTED_VALUE"""),118.98)</f>
        <v>118.98</v>
      </c>
      <c r="E1087" s="6">
        <f>IFERROR(__xludf.DUMMYFUNCTION("""COMPUTED_VALUE"""),122.79)</f>
        <v>122.79</v>
      </c>
      <c r="F1087" s="7">
        <f>IFERROR(__xludf.DUMMYFUNCTION("""COMPUTED_VALUE"""),9940851.0)</f>
        <v>9940851</v>
      </c>
      <c r="G1087" s="7" t="str">
        <f>IFERROR(__xludf.DUMMYFUNCTION("""COMPUTED_VALUE"""),"IOC.NS")</f>
        <v>IOC.NS</v>
      </c>
      <c r="H1087" s="8">
        <f t="shared" si="1"/>
        <v>0.02461615487</v>
      </c>
      <c r="I1087" s="8">
        <f t="shared" si="2"/>
        <v>0.02461615487</v>
      </c>
      <c r="J1087" s="7" t="str">
        <f t="shared" si="3"/>
        <v>Feb-2025</v>
      </c>
      <c r="K1087" s="9">
        <f t="shared" si="4"/>
        <v>45689</v>
      </c>
      <c r="L1087" s="7" t="str">
        <f t="shared" si="5"/>
        <v/>
      </c>
      <c r="M1087" s="7" t="str">
        <f>IFERROR(__xludf.DUMMYFUNCTION("IFERROR(
  IF(
    F1087 &gt;
    3*AVERAGE(
       FILTER($F$2:$F10491,
         $G$2:$G10491=G1087,
         $A$2:$A10491&gt;=A1087-20,
         $A$2:$A10491&lt;=A1087
       )
    ),
    ""VOL_SPIKE_3X"",""""
  ),
"""")
"),"")</f>
        <v/>
      </c>
      <c r="N1087" s="7" t="str">
        <f t="shared" si="6"/>
        <v/>
      </c>
      <c r="O1087" s="7" t="str">
        <f t="shared" si="7"/>
        <v/>
      </c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5">
        <f>IFERROR(__xludf.DUMMYFUNCTION("""COMPUTED_VALUE"""),45708.0)</f>
        <v>45708</v>
      </c>
      <c r="B1088" s="6">
        <f>IFERROR(__xludf.DUMMYFUNCTION("""COMPUTED_VALUE"""),312.55)</f>
        <v>312.55</v>
      </c>
      <c r="C1088" s="6">
        <f>IFERROR(__xludf.DUMMYFUNCTION("""COMPUTED_VALUE"""),327.15)</f>
        <v>327.15</v>
      </c>
      <c r="D1088" s="6">
        <f>IFERROR(__xludf.DUMMYFUNCTION("""COMPUTED_VALUE"""),311.5)</f>
        <v>311.5</v>
      </c>
      <c r="E1088" s="6">
        <f>IFERROR(__xludf.DUMMYFUNCTION("""COMPUTED_VALUE"""),325.15)</f>
        <v>325.15</v>
      </c>
      <c r="F1088" s="7">
        <f>IFERROR(__xludf.DUMMYFUNCTION("""COMPUTED_VALUE"""),2.2888146E7)</f>
        <v>22888146</v>
      </c>
      <c r="G1088" s="7" t="str">
        <f>IFERROR(__xludf.DUMMYFUNCTION("""COMPUTED_VALUE"""),"NTPC.NS")</f>
        <v>NTPC.NS</v>
      </c>
      <c r="H1088" s="8">
        <f t="shared" si="1"/>
        <v>0.04031354983</v>
      </c>
      <c r="I1088" s="8">
        <f t="shared" si="2"/>
        <v>0.04031354983</v>
      </c>
      <c r="J1088" s="7" t="str">
        <f t="shared" si="3"/>
        <v>Feb-2025</v>
      </c>
      <c r="K1088" s="9">
        <f t="shared" si="4"/>
        <v>45689</v>
      </c>
      <c r="L1088" s="7" t="str">
        <f t="shared" si="5"/>
        <v/>
      </c>
      <c r="M1088" s="7" t="str">
        <f>IFERROR(__xludf.DUMMYFUNCTION("IFERROR(
  IF(
    F1088 &gt;
    3*AVERAGE(
       FILTER($F$2:$F10491,
         $G$2:$G10491=G1088,
         $A$2:$A10491&gt;=A1088-20,
         $A$2:$A10491&lt;=A1088
       )
    ),
    ""VOL_SPIKE_3X"",""""
  ),
"""")
"),"")</f>
        <v/>
      </c>
      <c r="N1088" s="7" t="str">
        <f t="shared" si="6"/>
        <v/>
      </c>
      <c r="O1088" s="7" t="str">
        <f t="shared" si="7"/>
        <v/>
      </c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5">
        <f>IFERROR(__xludf.DUMMYFUNCTION("""COMPUTED_VALUE"""),45708.0)</f>
        <v>45708</v>
      </c>
      <c r="B1089" s="6">
        <f>IFERROR(__xludf.DUMMYFUNCTION("""COMPUTED_VALUE"""),236.8)</f>
        <v>236.8</v>
      </c>
      <c r="C1089" s="6">
        <f>IFERROR(__xludf.DUMMYFUNCTION("""COMPUTED_VALUE"""),242.65)</f>
        <v>242.65</v>
      </c>
      <c r="D1089" s="6">
        <f>IFERROR(__xludf.DUMMYFUNCTION("""COMPUTED_VALUE"""),236.5)</f>
        <v>236.5</v>
      </c>
      <c r="E1089" s="6">
        <f>IFERROR(__xludf.DUMMYFUNCTION("""COMPUTED_VALUE"""),241.9)</f>
        <v>241.9</v>
      </c>
      <c r="F1089" s="7">
        <f>IFERROR(__xludf.DUMMYFUNCTION("""COMPUTED_VALUE"""),8929816.0)</f>
        <v>8929816</v>
      </c>
      <c r="G1089" s="7" t="str">
        <f>IFERROR(__xludf.DUMMYFUNCTION("""COMPUTED_VALUE"""),"ONGC.NS")</f>
        <v>ONGC.NS</v>
      </c>
      <c r="H1089" s="8">
        <f t="shared" si="1"/>
        <v>0.02153716216</v>
      </c>
      <c r="I1089" s="8">
        <f t="shared" si="2"/>
        <v>0.02153716216</v>
      </c>
      <c r="J1089" s="7" t="str">
        <f t="shared" si="3"/>
        <v>Feb-2025</v>
      </c>
      <c r="K1089" s="9">
        <f t="shared" si="4"/>
        <v>45689</v>
      </c>
      <c r="L1089" s="7" t="str">
        <f t="shared" si="5"/>
        <v/>
      </c>
      <c r="M1089" s="7" t="str">
        <f>IFERROR(__xludf.DUMMYFUNCTION("IFERROR(
  IF(
    F1089 &gt;
    3*AVERAGE(
       FILTER($F$2:$F10491,
         $G$2:$G10491=G1089,
         $A$2:$A10491&gt;=A1089-20,
         $A$2:$A10491&lt;=A1089
       )
    ),
    ""VOL_SPIKE_3X"",""""
  ),
"""")
"),"")</f>
        <v/>
      </c>
      <c r="N1089" s="7" t="str">
        <f t="shared" si="6"/>
        <v/>
      </c>
      <c r="O1089" s="7" t="str">
        <f t="shared" si="7"/>
        <v/>
      </c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5">
        <f>IFERROR(__xludf.DUMMYFUNCTION("""COMPUTED_VALUE"""),45708.0)</f>
        <v>45708</v>
      </c>
      <c r="B1090" s="6">
        <f>IFERROR(__xludf.DUMMYFUNCTION("""COMPUTED_VALUE"""),262.75)</f>
        <v>262.75</v>
      </c>
      <c r="C1090" s="6">
        <f>IFERROR(__xludf.DUMMYFUNCTION("""COMPUTED_VALUE"""),266.45)</f>
        <v>266.45</v>
      </c>
      <c r="D1090" s="6">
        <f>IFERROR(__xludf.DUMMYFUNCTION("""COMPUTED_VALUE"""),261.3)</f>
        <v>261.3</v>
      </c>
      <c r="E1090" s="6">
        <f>IFERROR(__xludf.DUMMYFUNCTION("""COMPUTED_VALUE"""),265.75)</f>
        <v>265.75</v>
      </c>
      <c r="F1090" s="7">
        <f>IFERROR(__xludf.DUMMYFUNCTION("""COMPUTED_VALUE"""),1.5312926E7)</f>
        <v>15312926</v>
      </c>
      <c r="G1090" s="7" t="str">
        <f>IFERROR(__xludf.DUMMYFUNCTION("""COMPUTED_VALUE"""),"POWERGRID.NS")</f>
        <v>POWERGRID.NS</v>
      </c>
      <c r="H1090" s="8">
        <f t="shared" si="1"/>
        <v>0.01141769743</v>
      </c>
      <c r="I1090" s="8">
        <f t="shared" si="2"/>
        <v>0.01141769743</v>
      </c>
      <c r="J1090" s="7" t="str">
        <f t="shared" si="3"/>
        <v>Feb-2025</v>
      </c>
      <c r="K1090" s="9">
        <f t="shared" si="4"/>
        <v>45689</v>
      </c>
      <c r="L1090" s="7" t="str">
        <f t="shared" si="5"/>
        <v/>
      </c>
      <c r="M1090" s="7" t="str">
        <f>IFERROR(__xludf.DUMMYFUNCTION("IFERROR(
  IF(
    F1090 &gt;
    3*AVERAGE(
       FILTER($F$2:$F10491,
         $G$2:$G10491=G1090,
         $A$2:$A10491&gt;=A1090-20,
         $A$2:$A10491&lt;=A1090
       )
    ),
    ""VOL_SPIKE_3X"",""""
  ),
"""")
"),"")</f>
        <v/>
      </c>
      <c r="N1090" s="7" t="str">
        <f t="shared" si="6"/>
        <v/>
      </c>
      <c r="O1090" s="7" t="str">
        <f t="shared" si="7"/>
        <v/>
      </c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5">
        <f>IFERROR(__xludf.DUMMYFUNCTION("""COMPUTED_VALUE"""),45708.0)</f>
        <v>45708</v>
      </c>
      <c r="B1091" s="6">
        <f>IFERROR(__xludf.DUMMYFUNCTION("""COMPUTED_VALUE"""),1223.95)</f>
        <v>1223.95</v>
      </c>
      <c r="C1091" s="6">
        <f>IFERROR(__xludf.DUMMYFUNCTION("""COMPUTED_VALUE"""),1239.35)</f>
        <v>1239.35</v>
      </c>
      <c r="D1091" s="6">
        <f>IFERROR(__xludf.DUMMYFUNCTION("""COMPUTED_VALUE"""),1222.0)</f>
        <v>1222</v>
      </c>
      <c r="E1091" s="6">
        <f>IFERROR(__xludf.DUMMYFUNCTION("""COMPUTED_VALUE"""),1233.0)</f>
        <v>1233</v>
      </c>
      <c r="F1091" s="7">
        <f>IFERROR(__xludf.DUMMYFUNCTION("""COMPUTED_VALUE"""),7795582.0)</f>
        <v>7795582</v>
      </c>
      <c r="G1091" s="7" t="str">
        <f>IFERROR(__xludf.DUMMYFUNCTION("""COMPUTED_VALUE"""),"RELIANCE.NS")</f>
        <v>RELIANCE.NS</v>
      </c>
      <c r="H1091" s="8">
        <f t="shared" si="1"/>
        <v>0.007394092896</v>
      </c>
      <c r="I1091" s="8">
        <f t="shared" si="2"/>
        <v>0.007394092896</v>
      </c>
      <c r="J1091" s="7" t="str">
        <f t="shared" si="3"/>
        <v>Feb-2025</v>
      </c>
      <c r="K1091" s="9">
        <f t="shared" si="4"/>
        <v>45689</v>
      </c>
      <c r="L1091" s="7" t="str">
        <f t="shared" si="5"/>
        <v/>
      </c>
      <c r="M1091" s="7" t="str">
        <f>IFERROR(__xludf.DUMMYFUNCTION("IFERROR(
  IF(
    F1091 &gt;
    3*AVERAGE(
       FILTER($F$2:$F10491,
         $G$2:$G10491=G1091,
         $A$2:$A10491&gt;=A1091-20,
         $A$2:$A10491&lt;=A1091
       )
    ),
    ""VOL_SPIKE_3X"",""""
  ),
"""")
"),"")</f>
        <v/>
      </c>
      <c r="N1091" s="7" t="str">
        <f t="shared" si="6"/>
        <v/>
      </c>
      <c r="O1091" s="7" t="str">
        <f t="shared" si="7"/>
        <v/>
      </c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>
      <c r="A1092" s="5">
        <f>IFERROR(__xludf.DUMMYFUNCTION("""COMPUTED_VALUE"""),45709.0)</f>
        <v>45709</v>
      </c>
      <c r="B1092" s="6">
        <f>IFERROR(__xludf.DUMMYFUNCTION("""COMPUTED_VALUE"""),680.95)</f>
        <v>680.95</v>
      </c>
      <c r="C1092" s="6">
        <f>IFERROR(__xludf.DUMMYFUNCTION("""COMPUTED_VALUE"""),695.7)</f>
        <v>695.7</v>
      </c>
      <c r="D1092" s="6">
        <f>IFERROR(__xludf.DUMMYFUNCTION("""COMPUTED_VALUE"""),667.2)</f>
        <v>667.2</v>
      </c>
      <c r="E1092" s="6">
        <f>IFERROR(__xludf.DUMMYFUNCTION("""COMPUTED_VALUE"""),670.95)</f>
        <v>670.95</v>
      </c>
      <c r="F1092" s="7">
        <f>IFERROR(__xludf.DUMMYFUNCTION("""COMPUTED_VALUE"""),1211108.0)</f>
        <v>1211108</v>
      </c>
      <c r="G1092" s="7" t="str">
        <f>IFERROR(__xludf.DUMMYFUNCTION("""COMPUTED_VALUE"""),"ADANIENSOL.NS")</f>
        <v>ADANIENSOL.NS</v>
      </c>
      <c r="H1092" s="8">
        <f t="shared" si="1"/>
        <v>-0.01468536603</v>
      </c>
      <c r="I1092" s="8">
        <f t="shared" si="2"/>
        <v>0.01468536603</v>
      </c>
      <c r="J1092" s="7" t="str">
        <f t="shared" si="3"/>
        <v>Feb-2025</v>
      </c>
      <c r="K1092" s="9">
        <f t="shared" si="4"/>
        <v>45689</v>
      </c>
      <c r="L1092" s="7" t="str">
        <f t="shared" si="5"/>
        <v/>
      </c>
      <c r="M1092" s="7" t="str">
        <f>IFERROR(__xludf.DUMMYFUNCTION("IFERROR(
  IF(
    F1092 &gt;
    3*AVERAGE(
       FILTER($F$2:$F10491,
         $G$2:$G10491=G1092,
         $A$2:$A10491&gt;=A1092-20,
         $A$2:$A10491&lt;=A1092
       )
    ),
    ""VOL_SPIKE_3X"",""""
  ),
"""")
"),"")</f>
        <v/>
      </c>
      <c r="N1092" s="7" t="str">
        <f t="shared" si="6"/>
        <v/>
      </c>
      <c r="O1092" s="7" t="str">
        <f t="shared" si="7"/>
        <v/>
      </c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>
      <c r="A1093" s="5">
        <f>IFERROR(__xludf.DUMMYFUNCTION("""COMPUTED_VALUE"""),45709.0)</f>
        <v>45709</v>
      </c>
      <c r="B1093" s="6">
        <f>IFERROR(__xludf.DUMMYFUNCTION("""COMPUTED_VALUE"""),864.95)</f>
        <v>864.95</v>
      </c>
      <c r="C1093" s="6">
        <f>IFERROR(__xludf.DUMMYFUNCTION("""COMPUTED_VALUE"""),877.0)</f>
        <v>877</v>
      </c>
      <c r="D1093" s="6">
        <f>IFERROR(__xludf.DUMMYFUNCTION("""COMPUTED_VALUE"""),841.0)</f>
        <v>841</v>
      </c>
      <c r="E1093" s="6">
        <f>IFERROR(__xludf.DUMMYFUNCTION("""COMPUTED_VALUE"""),849.35)</f>
        <v>849.35</v>
      </c>
      <c r="F1093" s="7">
        <f>IFERROR(__xludf.DUMMYFUNCTION("""COMPUTED_VALUE"""),2895228.0)</f>
        <v>2895228</v>
      </c>
      <c r="G1093" s="7" t="str">
        <f>IFERROR(__xludf.DUMMYFUNCTION("""COMPUTED_VALUE"""),"ADANIGREEN.NS")</f>
        <v>ADANIGREEN.NS</v>
      </c>
      <c r="H1093" s="8">
        <f t="shared" si="1"/>
        <v>-0.01803572461</v>
      </c>
      <c r="I1093" s="8">
        <f t="shared" si="2"/>
        <v>0.01803572461</v>
      </c>
      <c r="J1093" s="7" t="str">
        <f t="shared" si="3"/>
        <v>Feb-2025</v>
      </c>
      <c r="K1093" s="9">
        <f t="shared" si="4"/>
        <v>45689</v>
      </c>
      <c r="L1093" s="7" t="str">
        <f t="shared" si="5"/>
        <v/>
      </c>
      <c r="M1093" s="7" t="str">
        <f>IFERROR(__xludf.DUMMYFUNCTION("IFERROR(
  IF(
    F1093 &gt;
    3*AVERAGE(
       FILTER($F$2:$F10491,
         $G$2:$G10491=G1093,
         $A$2:$A10491&gt;=A1093-20,
         $A$2:$A10491&lt;=A1093
       )
    ),
    ""VOL_SPIKE_3X"",""""
  ),
"""")
"),"")</f>
        <v/>
      </c>
      <c r="N1093" s="7" t="str">
        <f t="shared" si="6"/>
        <v/>
      </c>
      <c r="O1093" s="7" t="str">
        <f t="shared" si="7"/>
        <v/>
      </c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>
      <c r="A1094" s="5">
        <f>IFERROR(__xludf.DUMMYFUNCTION("""COMPUTED_VALUE"""),45709.0)</f>
        <v>45709</v>
      </c>
      <c r="B1094" s="6">
        <f>IFERROR(__xludf.DUMMYFUNCTION("""COMPUTED_VALUE"""),258.0)</f>
        <v>258</v>
      </c>
      <c r="C1094" s="6">
        <f>IFERROR(__xludf.DUMMYFUNCTION("""COMPUTED_VALUE"""),259.4)</f>
        <v>259.4</v>
      </c>
      <c r="D1094" s="6">
        <f>IFERROR(__xludf.DUMMYFUNCTION("""COMPUTED_VALUE"""),250.65)</f>
        <v>250.65</v>
      </c>
      <c r="E1094" s="6">
        <f>IFERROR(__xludf.DUMMYFUNCTION("""COMPUTED_VALUE"""),251.3)</f>
        <v>251.3</v>
      </c>
      <c r="F1094" s="7">
        <f>IFERROR(__xludf.DUMMYFUNCTION("""COMPUTED_VALUE"""),9845416.0)</f>
        <v>9845416</v>
      </c>
      <c r="G1094" s="7" t="str">
        <f>IFERROR(__xludf.DUMMYFUNCTION("""COMPUTED_VALUE"""),"BPCL.NS")</f>
        <v>BPCL.NS</v>
      </c>
      <c r="H1094" s="8">
        <f t="shared" si="1"/>
        <v>-0.02596899225</v>
      </c>
      <c r="I1094" s="8">
        <f t="shared" si="2"/>
        <v>0.02596899225</v>
      </c>
      <c r="J1094" s="7" t="str">
        <f t="shared" si="3"/>
        <v>Feb-2025</v>
      </c>
      <c r="K1094" s="9">
        <f t="shared" si="4"/>
        <v>45689</v>
      </c>
      <c r="L1094" s="7" t="str">
        <f t="shared" si="5"/>
        <v/>
      </c>
      <c r="M1094" s="7" t="str">
        <f>IFERROR(__xludf.DUMMYFUNCTION("IFERROR(
  IF(
    F1094 &gt;
    3*AVERAGE(
       FILTER($F$2:$F10491,
         $G$2:$G10491=G1094,
         $A$2:$A10491&gt;=A1094-20,
         $A$2:$A10491&lt;=A1094
       )
    ),
    ""VOL_SPIKE_3X"",""""
  ),
"""")
"),"")</f>
        <v/>
      </c>
      <c r="N1094" s="7" t="str">
        <f t="shared" si="6"/>
        <v/>
      </c>
      <c r="O1094" s="7" t="str">
        <f t="shared" si="7"/>
        <v/>
      </c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>
      <c r="A1095" s="5">
        <f>IFERROR(__xludf.DUMMYFUNCTION("""COMPUTED_VALUE"""),45709.0)</f>
        <v>45709</v>
      </c>
      <c r="B1095" s="6">
        <f>IFERROR(__xludf.DUMMYFUNCTION("""COMPUTED_VALUE"""),367.55)</f>
        <v>367.55</v>
      </c>
      <c r="C1095" s="6">
        <f>IFERROR(__xludf.DUMMYFUNCTION("""COMPUTED_VALUE"""),371.2)</f>
        <v>371.2</v>
      </c>
      <c r="D1095" s="6">
        <f>IFERROR(__xludf.DUMMYFUNCTION("""COMPUTED_VALUE"""),365.3)</f>
        <v>365.3</v>
      </c>
      <c r="E1095" s="6">
        <f>IFERROR(__xludf.DUMMYFUNCTION("""COMPUTED_VALUE"""),369.95)</f>
        <v>369.95</v>
      </c>
      <c r="F1095" s="7">
        <f>IFERROR(__xludf.DUMMYFUNCTION("""COMPUTED_VALUE"""),5235241.0)</f>
        <v>5235241</v>
      </c>
      <c r="G1095" s="7" t="str">
        <f>IFERROR(__xludf.DUMMYFUNCTION("""COMPUTED_VALUE"""),"COALINDIA.NS")</f>
        <v>COALINDIA.NS</v>
      </c>
      <c r="H1095" s="8">
        <f t="shared" si="1"/>
        <v>0.006529723847</v>
      </c>
      <c r="I1095" s="8">
        <f t="shared" si="2"/>
        <v>0.006529723847</v>
      </c>
      <c r="J1095" s="7" t="str">
        <f t="shared" si="3"/>
        <v>Feb-2025</v>
      </c>
      <c r="K1095" s="9">
        <f t="shared" si="4"/>
        <v>45689</v>
      </c>
      <c r="L1095" s="7" t="str">
        <f t="shared" si="5"/>
        <v/>
      </c>
      <c r="M1095" s="7" t="str">
        <f>IFERROR(__xludf.DUMMYFUNCTION("IFERROR(
  IF(
    F1095 &gt;
    3*AVERAGE(
       FILTER($F$2:$F10491,
         $G$2:$G10491=G1095,
         $A$2:$A10491&gt;=A1095-20,
         $A$2:$A10491&lt;=A1095
       )
    ),
    ""VOL_SPIKE_3X"",""""
  ),
"""")
"),"")</f>
        <v/>
      </c>
      <c r="N1095" s="7" t="str">
        <f t="shared" si="6"/>
        <v/>
      </c>
      <c r="O1095" s="7" t="str">
        <f t="shared" si="7"/>
        <v/>
      </c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>
      <c r="A1096" s="5">
        <f>IFERROR(__xludf.DUMMYFUNCTION("""COMPUTED_VALUE"""),45709.0)</f>
        <v>45709</v>
      </c>
      <c r="B1096" s="6">
        <f>IFERROR(__xludf.DUMMYFUNCTION("""COMPUTED_VALUE"""),331.0)</f>
        <v>331</v>
      </c>
      <c r="C1096" s="6">
        <f>IFERROR(__xludf.DUMMYFUNCTION("""COMPUTED_VALUE"""),331.0)</f>
        <v>331</v>
      </c>
      <c r="D1096" s="6">
        <f>IFERROR(__xludf.DUMMYFUNCTION("""COMPUTED_VALUE"""),321.9)</f>
        <v>321.9</v>
      </c>
      <c r="E1096" s="6">
        <f>IFERROR(__xludf.DUMMYFUNCTION("""COMPUTED_VALUE"""),323.0)</f>
        <v>323</v>
      </c>
      <c r="F1096" s="7">
        <f>IFERROR(__xludf.DUMMYFUNCTION("""COMPUTED_VALUE"""),2193356.0)</f>
        <v>2193356</v>
      </c>
      <c r="G1096" s="7" t="str">
        <f>IFERROR(__xludf.DUMMYFUNCTION("""COMPUTED_VALUE"""),"HINDPETRO.NS")</f>
        <v>HINDPETRO.NS</v>
      </c>
      <c r="H1096" s="8">
        <f t="shared" si="1"/>
        <v>-0.02416918429</v>
      </c>
      <c r="I1096" s="8">
        <f t="shared" si="2"/>
        <v>0.02416918429</v>
      </c>
      <c r="J1096" s="7" t="str">
        <f t="shared" si="3"/>
        <v>Feb-2025</v>
      </c>
      <c r="K1096" s="9">
        <f t="shared" si="4"/>
        <v>45689</v>
      </c>
      <c r="L1096" s="7" t="str">
        <f t="shared" si="5"/>
        <v/>
      </c>
      <c r="M1096" s="7" t="str">
        <f>IFERROR(__xludf.DUMMYFUNCTION("IFERROR(
  IF(
    F1096 &gt;
    3*AVERAGE(
       FILTER($F$2:$F10491,
         $G$2:$G10491=G1096,
         $A$2:$A10491&gt;=A1096-20,
         $A$2:$A10491&lt;=A1096
       )
    ),
    ""VOL_SPIKE_3X"",""""
  ),
"""")
"),"")</f>
        <v/>
      </c>
      <c r="N1096" s="7" t="str">
        <f t="shared" si="6"/>
        <v/>
      </c>
      <c r="O1096" s="7" t="str">
        <f t="shared" si="7"/>
        <v/>
      </c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>
      <c r="A1097" s="5">
        <f>IFERROR(__xludf.DUMMYFUNCTION("""COMPUTED_VALUE"""),45709.0)</f>
        <v>45709</v>
      </c>
      <c r="B1097" s="6">
        <f>IFERROR(__xludf.DUMMYFUNCTION("""COMPUTED_VALUE"""),122.0)</f>
        <v>122</v>
      </c>
      <c r="C1097" s="6">
        <f>IFERROR(__xludf.DUMMYFUNCTION("""COMPUTED_VALUE"""),123.71)</f>
        <v>123.71</v>
      </c>
      <c r="D1097" s="6">
        <f>IFERROR(__xludf.DUMMYFUNCTION("""COMPUTED_VALUE"""),120.83)</f>
        <v>120.83</v>
      </c>
      <c r="E1097" s="6">
        <f>IFERROR(__xludf.DUMMYFUNCTION("""COMPUTED_VALUE"""),121.33)</f>
        <v>121.33</v>
      </c>
      <c r="F1097" s="7">
        <f>IFERROR(__xludf.DUMMYFUNCTION("""COMPUTED_VALUE"""),9657933.0)</f>
        <v>9657933</v>
      </c>
      <c r="G1097" s="7" t="str">
        <f>IFERROR(__xludf.DUMMYFUNCTION("""COMPUTED_VALUE"""),"IOC.NS")</f>
        <v>IOC.NS</v>
      </c>
      <c r="H1097" s="8">
        <f t="shared" si="1"/>
        <v>-0.005491803279</v>
      </c>
      <c r="I1097" s="8">
        <f t="shared" si="2"/>
        <v>0.005491803279</v>
      </c>
      <c r="J1097" s="7" t="str">
        <f t="shared" si="3"/>
        <v>Feb-2025</v>
      </c>
      <c r="K1097" s="9">
        <f t="shared" si="4"/>
        <v>45689</v>
      </c>
      <c r="L1097" s="7" t="str">
        <f t="shared" si="5"/>
        <v/>
      </c>
      <c r="M1097" s="7" t="str">
        <f>IFERROR(__xludf.DUMMYFUNCTION("IFERROR(
  IF(
    F1097 &gt;
    3*AVERAGE(
       FILTER($F$2:$F10491,
         $G$2:$G10491=G1097,
         $A$2:$A10491&gt;=A1097-20,
         $A$2:$A10491&lt;=A1097
       )
    ),
    ""VOL_SPIKE_3X"",""""
  ),
"""")
"),"")</f>
        <v/>
      </c>
      <c r="N1097" s="7" t="str">
        <f t="shared" si="6"/>
        <v/>
      </c>
      <c r="O1097" s="7" t="str">
        <f t="shared" si="7"/>
        <v/>
      </c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>
      <c r="A1098" s="5">
        <f>IFERROR(__xludf.DUMMYFUNCTION("""COMPUTED_VALUE"""),45709.0)</f>
        <v>45709</v>
      </c>
      <c r="B1098" s="6">
        <f>IFERROR(__xludf.DUMMYFUNCTION("""COMPUTED_VALUE"""),323.3)</f>
        <v>323.3</v>
      </c>
      <c r="C1098" s="6">
        <f>IFERROR(__xludf.DUMMYFUNCTION("""COMPUTED_VALUE"""),329.75)</f>
        <v>329.75</v>
      </c>
      <c r="D1098" s="6">
        <f>IFERROR(__xludf.DUMMYFUNCTION("""COMPUTED_VALUE"""),321.55)</f>
        <v>321.55</v>
      </c>
      <c r="E1098" s="6">
        <f>IFERROR(__xludf.DUMMYFUNCTION("""COMPUTED_VALUE"""),326.25)</f>
        <v>326.25</v>
      </c>
      <c r="F1098" s="7">
        <f>IFERROR(__xludf.DUMMYFUNCTION("""COMPUTED_VALUE"""),1.0809296E7)</f>
        <v>10809296</v>
      </c>
      <c r="G1098" s="7" t="str">
        <f>IFERROR(__xludf.DUMMYFUNCTION("""COMPUTED_VALUE"""),"NTPC.NS")</f>
        <v>NTPC.NS</v>
      </c>
      <c r="H1098" s="8">
        <f t="shared" si="1"/>
        <v>0.009124652026</v>
      </c>
      <c r="I1098" s="8">
        <f t="shared" si="2"/>
        <v>0.009124652026</v>
      </c>
      <c r="J1098" s="7" t="str">
        <f t="shared" si="3"/>
        <v>Feb-2025</v>
      </c>
      <c r="K1098" s="9">
        <f t="shared" si="4"/>
        <v>45689</v>
      </c>
      <c r="L1098" s="7" t="str">
        <f t="shared" si="5"/>
        <v/>
      </c>
      <c r="M1098" s="7" t="str">
        <f>IFERROR(__xludf.DUMMYFUNCTION("IFERROR(
  IF(
    F1098 &gt;
    3*AVERAGE(
       FILTER($F$2:$F10491,
         $G$2:$G10491=G1098,
         $A$2:$A10491&gt;=A1098-20,
         $A$2:$A10491&lt;=A1098
       )
    ),
    ""VOL_SPIKE_3X"",""""
  ),
"""")
"),"")</f>
        <v/>
      </c>
      <c r="N1098" s="7" t="str">
        <f t="shared" si="6"/>
        <v/>
      </c>
      <c r="O1098" s="7" t="str">
        <f t="shared" si="7"/>
        <v/>
      </c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>
      <c r="A1099" s="5">
        <f>IFERROR(__xludf.DUMMYFUNCTION("""COMPUTED_VALUE"""),45709.0)</f>
        <v>45709</v>
      </c>
      <c r="B1099" s="6">
        <f>IFERROR(__xludf.DUMMYFUNCTION("""COMPUTED_VALUE"""),241.9)</f>
        <v>241.9</v>
      </c>
      <c r="C1099" s="6">
        <f>IFERROR(__xludf.DUMMYFUNCTION("""COMPUTED_VALUE"""),243.05)</f>
        <v>243.05</v>
      </c>
      <c r="D1099" s="6">
        <f>IFERROR(__xludf.DUMMYFUNCTION("""COMPUTED_VALUE"""),238.1)</f>
        <v>238.1</v>
      </c>
      <c r="E1099" s="6">
        <f>IFERROR(__xludf.DUMMYFUNCTION("""COMPUTED_VALUE"""),239.9)</f>
        <v>239.9</v>
      </c>
      <c r="F1099" s="7">
        <f>IFERROR(__xludf.DUMMYFUNCTION("""COMPUTED_VALUE"""),5697387.0)</f>
        <v>5697387</v>
      </c>
      <c r="G1099" s="7" t="str">
        <f>IFERROR(__xludf.DUMMYFUNCTION("""COMPUTED_VALUE"""),"ONGC.NS")</f>
        <v>ONGC.NS</v>
      </c>
      <c r="H1099" s="8">
        <f t="shared" si="1"/>
        <v>-0.008267879289</v>
      </c>
      <c r="I1099" s="8">
        <f t="shared" si="2"/>
        <v>0.008267879289</v>
      </c>
      <c r="J1099" s="7" t="str">
        <f t="shared" si="3"/>
        <v>Feb-2025</v>
      </c>
      <c r="K1099" s="9">
        <f t="shared" si="4"/>
        <v>45689</v>
      </c>
      <c r="L1099" s="7" t="str">
        <f t="shared" si="5"/>
        <v/>
      </c>
      <c r="M1099" s="7" t="str">
        <f>IFERROR(__xludf.DUMMYFUNCTION("IFERROR(
  IF(
    F1099 &gt;
    3*AVERAGE(
       FILTER($F$2:$F10491,
         $G$2:$G10491=G1099,
         $A$2:$A10491&gt;=A1099-20,
         $A$2:$A10491&lt;=A1099
       )
    ),
    ""VOL_SPIKE_3X"",""""
  ),
"""")
"),"")</f>
        <v/>
      </c>
      <c r="N1099" s="7" t="str">
        <f t="shared" si="6"/>
        <v/>
      </c>
      <c r="O1099" s="7" t="str">
        <f t="shared" si="7"/>
        <v/>
      </c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>
      <c r="A1100" s="5">
        <f>IFERROR(__xludf.DUMMYFUNCTION("""COMPUTED_VALUE"""),45709.0)</f>
        <v>45709</v>
      </c>
      <c r="B1100" s="6">
        <f>IFERROR(__xludf.DUMMYFUNCTION("""COMPUTED_VALUE"""),265.3)</f>
        <v>265.3</v>
      </c>
      <c r="C1100" s="6">
        <f>IFERROR(__xludf.DUMMYFUNCTION("""COMPUTED_VALUE"""),265.75)</f>
        <v>265.75</v>
      </c>
      <c r="D1100" s="6">
        <f>IFERROR(__xludf.DUMMYFUNCTION("""COMPUTED_VALUE"""),259.4)</f>
        <v>259.4</v>
      </c>
      <c r="E1100" s="6">
        <f>IFERROR(__xludf.DUMMYFUNCTION("""COMPUTED_VALUE"""),261.9)</f>
        <v>261.9</v>
      </c>
      <c r="F1100" s="7">
        <f>IFERROR(__xludf.DUMMYFUNCTION("""COMPUTED_VALUE"""),1.0757038E7)</f>
        <v>10757038</v>
      </c>
      <c r="G1100" s="7" t="str">
        <f>IFERROR(__xludf.DUMMYFUNCTION("""COMPUTED_VALUE"""),"POWERGRID.NS")</f>
        <v>POWERGRID.NS</v>
      </c>
      <c r="H1100" s="8">
        <f t="shared" si="1"/>
        <v>-0.01281568036</v>
      </c>
      <c r="I1100" s="8">
        <f t="shared" si="2"/>
        <v>0.01281568036</v>
      </c>
      <c r="J1100" s="7" t="str">
        <f t="shared" si="3"/>
        <v>Feb-2025</v>
      </c>
      <c r="K1100" s="9">
        <f t="shared" si="4"/>
        <v>45689</v>
      </c>
      <c r="L1100" s="7" t="str">
        <f t="shared" si="5"/>
        <v/>
      </c>
      <c r="M1100" s="7" t="str">
        <f>IFERROR(__xludf.DUMMYFUNCTION("IFERROR(
  IF(
    F1100 &gt;
    3*AVERAGE(
       FILTER($F$2:$F10491,
         $G$2:$G10491=G1100,
         $A$2:$A10491&gt;=A1100-20,
         $A$2:$A10491&lt;=A1100
       )
    ),
    ""VOL_SPIKE_3X"",""""
  ),
"""")
"),"")</f>
        <v/>
      </c>
      <c r="N1100" s="7" t="str">
        <f t="shared" si="6"/>
        <v/>
      </c>
      <c r="O1100" s="7" t="str">
        <f t="shared" si="7"/>
        <v/>
      </c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>
      <c r="A1101" s="5">
        <f>IFERROR(__xludf.DUMMYFUNCTION("""COMPUTED_VALUE"""),45709.0)</f>
        <v>45709</v>
      </c>
      <c r="B1101" s="6">
        <f>IFERROR(__xludf.DUMMYFUNCTION("""COMPUTED_VALUE"""),1228.7)</f>
        <v>1228.7</v>
      </c>
      <c r="C1101" s="6">
        <f>IFERROR(__xludf.DUMMYFUNCTION("""COMPUTED_VALUE"""),1240.0)</f>
        <v>1240</v>
      </c>
      <c r="D1101" s="6">
        <f>IFERROR(__xludf.DUMMYFUNCTION("""COMPUTED_VALUE"""),1222.15)</f>
        <v>1222.15</v>
      </c>
      <c r="E1101" s="6">
        <f>IFERROR(__xludf.DUMMYFUNCTION("""COMPUTED_VALUE"""),1228.15)</f>
        <v>1228.15</v>
      </c>
      <c r="F1101" s="7">
        <f>IFERROR(__xludf.DUMMYFUNCTION("""COMPUTED_VALUE"""),6904025.0)</f>
        <v>6904025</v>
      </c>
      <c r="G1101" s="7" t="str">
        <f>IFERROR(__xludf.DUMMYFUNCTION("""COMPUTED_VALUE"""),"RELIANCE.NS")</f>
        <v>RELIANCE.NS</v>
      </c>
      <c r="H1101" s="8">
        <f t="shared" si="1"/>
        <v>-0.0004476275739</v>
      </c>
      <c r="I1101" s="8">
        <f t="shared" si="2"/>
        <v>0.0004476275739</v>
      </c>
      <c r="J1101" s="7" t="str">
        <f t="shared" si="3"/>
        <v>Feb-2025</v>
      </c>
      <c r="K1101" s="9">
        <f t="shared" si="4"/>
        <v>45689</v>
      </c>
      <c r="L1101" s="7" t="str">
        <f t="shared" si="5"/>
        <v/>
      </c>
      <c r="M1101" s="7" t="str">
        <f>IFERROR(__xludf.DUMMYFUNCTION("IFERROR(
  IF(
    F1101 &gt;
    3*AVERAGE(
       FILTER($F$2:$F10491,
         $G$2:$G10491=G1101,
         $A$2:$A10491&gt;=A1101-20,
         $A$2:$A10491&lt;=A1101
       )
    ),
    ""VOL_SPIKE_3X"",""""
  ),
"""")
"),"")</f>
        <v/>
      </c>
      <c r="N1101" s="7" t="str">
        <f t="shared" si="6"/>
        <v/>
      </c>
      <c r="O1101" s="7" t="str">
        <f t="shared" si="7"/>
        <v/>
      </c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5">
        <f>IFERROR(__xludf.DUMMYFUNCTION("""COMPUTED_VALUE"""),45712.0)</f>
        <v>45712</v>
      </c>
      <c r="B1102" s="6">
        <f>IFERROR(__xludf.DUMMYFUNCTION("""COMPUTED_VALUE"""),670.0)</f>
        <v>670</v>
      </c>
      <c r="C1102" s="6">
        <f>IFERROR(__xludf.DUMMYFUNCTION("""COMPUTED_VALUE"""),680.7)</f>
        <v>680.7</v>
      </c>
      <c r="D1102" s="6">
        <f>IFERROR(__xludf.DUMMYFUNCTION("""COMPUTED_VALUE"""),656.65)</f>
        <v>656.65</v>
      </c>
      <c r="E1102" s="6">
        <f>IFERROR(__xludf.DUMMYFUNCTION("""COMPUTED_VALUE"""),669.6)</f>
        <v>669.6</v>
      </c>
      <c r="F1102" s="7">
        <f>IFERROR(__xludf.DUMMYFUNCTION("""COMPUTED_VALUE"""),1237728.0)</f>
        <v>1237728</v>
      </c>
      <c r="G1102" s="7" t="str">
        <f>IFERROR(__xludf.DUMMYFUNCTION("""COMPUTED_VALUE"""),"ADANIENSOL.NS")</f>
        <v>ADANIENSOL.NS</v>
      </c>
      <c r="H1102" s="8">
        <f t="shared" si="1"/>
        <v>-0.0005970149254</v>
      </c>
      <c r="I1102" s="8">
        <f t="shared" si="2"/>
        <v>0.0005970149254</v>
      </c>
      <c r="J1102" s="7" t="str">
        <f t="shared" si="3"/>
        <v>Feb-2025</v>
      </c>
      <c r="K1102" s="9">
        <f t="shared" si="4"/>
        <v>45689</v>
      </c>
      <c r="L1102" s="7" t="str">
        <f t="shared" si="5"/>
        <v/>
      </c>
      <c r="M1102" s="7" t="str">
        <f>IFERROR(__xludf.DUMMYFUNCTION("IFERROR(
  IF(
    F1102 &gt;
    3*AVERAGE(
       FILTER($F$2:$F10491,
         $G$2:$G10491=G1102,
         $A$2:$A10491&gt;=A1102-20,
         $A$2:$A10491&lt;=A1102
       )
    ),
    ""VOL_SPIKE_3X"",""""
  ),
"""")
"),"")</f>
        <v/>
      </c>
      <c r="N1102" s="7" t="str">
        <f t="shared" si="6"/>
        <v/>
      </c>
      <c r="O1102" s="7" t="str">
        <f t="shared" si="7"/>
        <v/>
      </c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>
      <c r="A1103" s="5">
        <f>IFERROR(__xludf.DUMMYFUNCTION("""COMPUTED_VALUE"""),45712.0)</f>
        <v>45712</v>
      </c>
      <c r="B1103" s="6">
        <f>IFERROR(__xludf.DUMMYFUNCTION("""COMPUTED_VALUE"""),840.0)</f>
        <v>840</v>
      </c>
      <c r="C1103" s="6">
        <f>IFERROR(__xludf.DUMMYFUNCTION("""COMPUTED_VALUE"""),842.7)</f>
        <v>842.7</v>
      </c>
      <c r="D1103" s="6">
        <f>IFERROR(__xludf.DUMMYFUNCTION("""COMPUTED_VALUE"""),819.1)</f>
        <v>819.1</v>
      </c>
      <c r="E1103" s="6">
        <f>IFERROR(__xludf.DUMMYFUNCTION("""COMPUTED_VALUE"""),836.05)</f>
        <v>836.05</v>
      </c>
      <c r="F1103" s="7">
        <f>IFERROR(__xludf.DUMMYFUNCTION("""COMPUTED_VALUE"""),3682290.0)</f>
        <v>3682290</v>
      </c>
      <c r="G1103" s="7" t="str">
        <f>IFERROR(__xludf.DUMMYFUNCTION("""COMPUTED_VALUE"""),"ADANIGREEN.NS")</f>
        <v>ADANIGREEN.NS</v>
      </c>
      <c r="H1103" s="8">
        <f t="shared" si="1"/>
        <v>-0.004702380952</v>
      </c>
      <c r="I1103" s="8">
        <f t="shared" si="2"/>
        <v>0.004702380952</v>
      </c>
      <c r="J1103" s="7" t="str">
        <f t="shared" si="3"/>
        <v>Feb-2025</v>
      </c>
      <c r="K1103" s="9">
        <f t="shared" si="4"/>
        <v>45689</v>
      </c>
      <c r="L1103" s="7" t="str">
        <f t="shared" si="5"/>
        <v/>
      </c>
      <c r="M1103" s="7" t="str">
        <f>IFERROR(__xludf.DUMMYFUNCTION("IFERROR(
  IF(
    F1103 &gt;
    3*AVERAGE(
       FILTER($F$2:$F10491,
         $G$2:$G10491=G1103,
         $A$2:$A10491&gt;=A1103-20,
         $A$2:$A10491&lt;=A1103
       )
    ),
    ""VOL_SPIKE_3X"",""""
  ),
"""")
"),"")</f>
        <v/>
      </c>
      <c r="N1103" s="7" t="str">
        <f t="shared" si="6"/>
        <v/>
      </c>
      <c r="O1103" s="7" t="str">
        <f t="shared" si="7"/>
        <v/>
      </c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>
      <c r="A1104" s="5">
        <f>IFERROR(__xludf.DUMMYFUNCTION("""COMPUTED_VALUE"""),45712.0)</f>
        <v>45712</v>
      </c>
      <c r="B1104" s="6">
        <f>IFERROR(__xludf.DUMMYFUNCTION("""COMPUTED_VALUE"""),251.25)</f>
        <v>251.25</v>
      </c>
      <c r="C1104" s="6">
        <f>IFERROR(__xludf.DUMMYFUNCTION("""COMPUTED_VALUE"""),253.5)</f>
        <v>253.5</v>
      </c>
      <c r="D1104" s="6">
        <f>IFERROR(__xludf.DUMMYFUNCTION("""COMPUTED_VALUE"""),248.75)</f>
        <v>248.75</v>
      </c>
      <c r="E1104" s="6">
        <f>IFERROR(__xludf.DUMMYFUNCTION("""COMPUTED_VALUE"""),251.0)</f>
        <v>251</v>
      </c>
      <c r="F1104" s="7">
        <f>IFERROR(__xludf.DUMMYFUNCTION("""COMPUTED_VALUE"""),6773845.0)</f>
        <v>6773845</v>
      </c>
      <c r="G1104" s="7" t="str">
        <f>IFERROR(__xludf.DUMMYFUNCTION("""COMPUTED_VALUE"""),"BPCL.NS")</f>
        <v>BPCL.NS</v>
      </c>
      <c r="H1104" s="8">
        <f t="shared" si="1"/>
        <v>-0.0009950248756</v>
      </c>
      <c r="I1104" s="8">
        <f t="shared" si="2"/>
        <v>0.0009950248756</v>
      </c>
      <c r="J1104" s="7" t="str">
        <f t="shared" si="3"/>
        <v>Feb-2025</v>
      </c>
      <c r="K1104" s="9">
        <f t="shared" si="4"/>
        <v>45689</v>
      </c>
      <c r="L1104" s="7" t="str">
        <f t="shared" si="5"/>
        <v/>
      </c>
      <c r="M1104" s="7" t="str">
        <f>IFERROR(__xludf.DUMMYFUNCTION("IFERROR(
  IF(
    F1104 &gt;
    3*AVERAGE(
       FILTER($F$2:$F10491,
         $G$2:$G10491=G1104,
         $A$2:$A10491&gt;=A1104-20,
         $A$2:$A10491&lt;=A1104
       )
    ),
    ""VOL_SPIKE_3X"",""""
  ),
"""")
"),"")</f>
        <v/>
      </c>
      <c r="N1104" s="7" t="str">
        <f t="shared" si="6"/>
        <v/>
      </c>
      <c r="O1104" s="7" t="str">
        <f t="shared" si="7"/>
        <v/>
      </c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>
      <c r="A1105" s="5">
        <f>IFERROR(__xludf.DUMMYFUNCTION("""COMPUTED_VALUE"""),45712.0)</f>
        <v>45712</v>
      </c>
      <c r="B1105" s="6">
        <f>IFERROR(__xludf.DUMMYFUNCTION("""COMPUTED_VALUE"""),368.05)</f>
        <v>368.05</v>
      </c>
      <c r="C1105" s="6">
        <f>IFERROR(__xludf.DUMMYFUNCTION("""COMPUTED_VALUE"""),368.5)</f>
        <v>368.5</v>
      </c>
      <c r="D1105" s="6">
        <f>IFERROR(__xludf.DUMMYFUNCTION("""COMPUTED_VALUE"""),361.15)</f>
        <v>361.15</v>
      </c>
      <c r="E1105" s="6">
        <f>IFERROR(__xludf.DUMMYFUNCTION("""COMPUTED_VALUE"""),364.8)</f>
        <v>364.8</v>
      </c>
      <c r="F1105" s="7">
        <f>IFERROR(__xludf.DUMMYFUNCTION("""COMPUTED_VALUE"""),4533486.0)</f>
        <v>4533486</v>
      </c>
      <c r="G1105" s="7" t="str">
        <f>IFERROR(__xludf.DUMMYFUNCTION("""COMPUTED_VALUE"""),"COALINDIA.NS")</f>
        <v>COALINDIA.NS</v>
      </c>
      <c r="H1105" s="8">
        <f t="shared" si="1"/>
        <v>-0.008830321967</v>
      </c>
      <c r="I1105" s="8">
        <f t="shared" si="2"/>
        <v>0.008830321967</v>
      </c>
      <c r="J1105" s="7" t="str">
        <f t="shared" si="3"/>
        <v>Feb-2025</v>
      </c>
      <c r="K1105" s="9">
        <f t="shared" si="4"/>
        <v>45689</v>
      </c>
      <c r="L1105" s="7" t="str">
        <f t="shared" si="5"/>
        <v/>
      </c>
      <c r="M1105" s="7" t="str">
        <f>IFERROR(__xludf.DUMMYFUNCTION("IFERROR(
  IF(
    F1105 &gt;
    3*AVERAGE(
       FILTER($F$2:$F10491,
         $G$2:$G10491=G1105,
         $A$2:$A10491&gt;=A1105-20,
         $A$2:$A10491&lt;=A1105
       )
    ),
    ""VOL_SPIKE_3X"",""""
  ),
"""")
"),"")</f>
        <v/>
      </c>
      <c r="N1105" s="7" t="str">
        <f t="shared" si="6"/>
        <v/>
      </c>
      <c r="O1105" s="7" t="str">
        <f t="shared" si="7"/>
        <v/>
      </c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>
      <c r="A1106" s="5">
        <f>IFERROR(__xludf.DUMMYFUNCTION("""COMPUTED_VALUE"""),45712.0)</f>
        <v>45712</v>
      </c>
      <c r="B1106" s="6">
        <f>IFERROR(__xludf.DUMMYFUNCTION("""COMPUTED_VALUE"""),320.9)</f>
        <v>320.9</v>
      </c>
      <c r="C1106" s="6">
        <f>IFERROR(__xludf.DUMMYFUNCTION("""COMPUTED_VALUE"""),325.5)</f>
        <v>325.5</v>
      </c>
      <c r="D1106" s="6">
        <f>IFERROR(__xludf.DUMMYFUNCTION("""COMPUTED_VALUE"""),317.65)</f>
        <v>317.65</v>
      </c>
      <c r="E1106" s="6">
        <f>IFERROR(__xludf.DUMMYFUNCTION("""COMPUTED_VALUE"""),319.3)</f>
        <v>319.3</v>
      </c>
      <c r="F1106" s="7">
        <f>IFERROR(__xludf.DUMMYFUNCTION("""COMPUTED_VALUE"""),3307496.0)</f>
        <v>3307496</v>
      </c>
      <c r="G1106" s="7" t="str">
        <f>IFERROR(__xludf.DUMMYFUNCTION("""COMPUTED_VALUE"""),"HINDPETRO.NS")</f>
        <v>HINDPETRO.NS</v>
      </c>
      <c r="H1106" s="8">
        <f t="shared" si="1"/>
        <v>-0.00498597694</v>
      </c>
      <c r="I1106" s="8">
        <f t="shared" si="2"/>
        <v>0.00498597694</v>
      </c>
      <c r="J1106" s="7" t="str">
        <f t="shared" si="3"/>
        <v>Feb-2025</v>
      </c>
      <c r="K1106" s="9">
        <f t="shared" si="4"/>
        <v>45689</v>
      </c>
      <c r="L1106" s="7" t="str">
        <f t="shared" si="5"/>
        <v/>
      </c>
      <c r="M1106" s="7" t="str">
        <f>IFERROR(__xludf.DUMMYFUNCTION("IFERROR(
  IF(
    F1106 &gt;
    3*AVERAGE(
       FILTER($F$2:$F10491,
         $G$2:$G10491=G1106,
         $A$2:$A10491&gt;=A1106-20,
         $A$2:$A10491&lt;=A1106
       )
    ),
    ""VOL_SPIKE_3X"",""""
  ),
"""")
"),"")</f>
        <v/>
      </c>
      <c r="N1106" s="7" t="str">
        <f t="shared" si="6"/>
        <v/>
      </c>
      <c r="O1106" s="7" t="str">
        <f t="shared" si="7"/>
        <v/>
      </c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>
      <c r="A1107" s="5">
        <f>IFERROR(__xludf.DUMMYFUNCTION("""COMPUTED_VALUE"""),45712.0)</f>
        <v>45712</v>
      </c>
      <c r="B1107" s="6">
        <f>IFERROR(__xludf.DUMMYFUNCTION("""COMPUTED_VALUE"""),120.25)</f>
        <v>120.25</v>
      </c>
      <c r="C1107" s="6">
        <f>IFERROR(__xludf.DUMMYFUNCTION("""COMPUTED_VALUE"""),121.31)</f>
        <v>121.31</v>
      </c>
      <c r="D1107" s="6">
        <f>IFERROR(__xludf.DUMMYFUNCTION("""COMPUTED_VALUE"""),119.4)</f>
        <v>119.4</v>
      </c>
      <c r="E1107" s="6">
        <f>IFERROR(__xludf.DUMMYFUNCTION("""COMPUTED_VALUE"""),120.22)</f>
        <v>120.22</v>
      </c>
      <c r="F1107" s="7">
        <f>IFERROR(__xludf.DUMMYFUNCTION("""COMPUTED_VALUE"""),8764985.0)</f>
        <v>8764985</v>
      </c>
      <c r="G1107" s="7" t="str">
        <f>IFERROR(__xludf.DUMMYFUNCTION("""COMPUTED_VALUE"""),"IOC.NS")</f>
        <v>IOC.NS</v>
      </c>
      <c r="H1107" s="8">
        <f t="shared" si="1"/>
        <v>-0.0002494802495</v>
      </c>
      <c r="I1107" s="8">
        <f t="shared" si="2"/>
        <v>0.0002494802495</v>
      </c>
      <c r="J1107" s="7" t="str">
        <f t="shared" si="3"/>
        <v>Feb-2025</v>
      </c>
      <c r="K1107" s="9">
        <f t="shared" si="4"/>
        <v>45689</v>
      </c>
      <c r="L1107" s="7" t="str">
        <f t="shared" si="5"/>
        <v/>
      </c>
      <c r="M1107" s="7" t="str">
        <f>IFERROR(__xludf.DUMMYFUNCTION("IFERROR(
  IF(
    F1107 &gt;
    3*AVERAGE(
       FILTER($F$2:$F10491,
         $G$2:$G10491=G1107,
         $A$2:$A10491&gt;=A1107-20,
         $A$2:$A10491&lt;=A1107
       )
    ),
    ""VOL_SPIKE_3X"",""""
  ),
"""")
"),"")</f>
        <v/>
      </c>
      <c r="N1107" s="7" t="str">
        <f t="shared" si="6"/>
        <v/>
      </c>
      <c r="O1107" s="7" t="str">
        <f t="shared" si="7"/>
        <v/>
      </c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>
      <c r="A1108" s="5">
        <f>IFERROR(__xludf.DUMMYFUNCTION("""COMPUTED_VALUE"""),45712.0)</f>
        <v>45712</v>
      </c>
      <c r="B1108" s="6">
        <f>IFERROR(__xludf.DUMMYFUNCTION("""COMPUTED_VALUE"""),322.1)</f>
        <v>322.1</v>
      </c>
      <c r="C1108" s="6">
        <f>IFERROR(__xludf.DUMMYFUNCTION("""COMPUTED_VALUE"""),325.4)</f>
        <v>325.4</v>
      </c>
      <c r="D1108" s="6">
        <f>IFERROR(__xludf.DUMMYFUNCTION("""COMPUTED_VALUE"""),319.45)</f>
        <v>319.45</v>
      </c>
      <c r="E1108" s="6">
        <f>IFERROR(__xludf.DUMMYFUNCTION("""COMPUTED_VALUE"""),320.1)</f>
        <v>320.1</v>
      </c>
      <c r="F1108" s="7">
        <f>IFERROR(__xludf.DUMMYFUNCTION("""COMPUTED_VALUE"""),6034113.0)</f>
        <v>6034113</v>
      </c>
      <c r="G1108" s="7" t="str">
        <f>IFERROR(__xludf.DUMMYFUNCTION("""COMPUTED_VALUE"""),"NTPC.NS")</f>
        <v>NTPC.NS</v>
      </c>
      <c r="H1108" s="8">
        <f t="shared" si="1"/>
        <v>-0.006209251785</v>
      </c>
      <c r="I1108" s="8">
        <f t="shared" si="2"/>
        <v>0.006209251785</v>
      </c>
      <c r="J1108" s="7" t="str">
        <f t="shared" si="3"/>
        <v>Feb-2025</v>
      </c>
      <c r="K1108" s="9">
        <f t="shared" si="4"/>
        <v>45689</v>
      </c>
      <c r="L1108" s="7" t="str">
        <f t="shared" si="5"/>
        <v/>
      </c>
      <c r="M1108" s="7" t="str">
        <f>IFERROR(__xludf.DUMMYFUNCTION("IFERROR(
  IF(
    F1108 &gt;
    3*AVERAGE(
       FILTER($F$2:$F10491,
         $G$2:$G10491=G1108,
         $A$2:$A10491&gt;=A1108-20,
         $A$2:$A10491&lt;=A1108
       )
    ),
    ""VOL_SPIKE_3X"",""""
  ),
"""")
"),"")</f>
        <v/>
      </c>
      <c r="N1108" s="7" t="str">
        <f t="shared" si="6"/>
        <v/>
      </c>
      <c r="O1108" s="7" t="str">
        <f t="shared" si="7"/>
        <v/>
      </c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>
      <c r="A1109" s="5">
        <f>IFERROR(__xludf.DUMMYFUNCTION("""COMPUTED_VALUE"""),45712.0)</f>
        <v>45712</v>
      </c>
      <c r="B1109" s="6">
        <f>IFERROR(__xludf.DUMMYFUNCTION("""COMPUTED_VALUE"""),236.3)</f>
        <v>236.3</v>
      </c>
      <c r="C1109" s="6">
        <f>IFERROR(__xludf.DUMMYFUNCTION("""COMPUTED_VALUE"""),237.95)</f>
        <v>237.95</v>
      </c>
      <c r="D1109" s="6">
        <f>IFERROR(__xludf.DUMMYFUNCTION("""COMPUTED_VALUE"""),234.0)</f>
        <v>234</v>
      </c>
      <c r="E1109" s="6">
        <f>IFERROR(__xludf.DUMMYFUNCTION("""COMPUTED_VALUE"""),234.35)</f>
        <v>234.35</v>
      </c>
      <c r="F1109" s="7">
        <f>IFERROR(__xludf.DUMMYFUNCTION("""COMPUTED_VALUE"""),6883143.0)</f>
        <v>6883143</v>
      </c>
      <c r="G1109" s="7" t="str">
        <f>IFERROR(__xludf.DUMMYFUNCTION("""COMPUTED_VALUE"""),"ONGC.NS")</f>
        <v>ONGC.NS</v>
      </c>
      <c r="H1109" s="8">
        <f t="shared" si="1"/>
        <v>-0.008252221752</v>
      </c>
      <c r="I1109" s="8">
        <f t="shared" si="2"/>
        <v>0.008252221752</v>
      </c>
      <c r="J1109" s="7" t="str">
        <f t="shared" si="3"/>
        <v>Feb-2025</v>
      </c>
      <c r="K1109" s="9">
        <f t="shared" si="4"/>
        <v>45689</v>
      </c>
      <c r="L1109" s="7" t="str">
        <f t="shared" si="5"/>
        <v/>
      </c>
      <c r="M1109" s="7" t="str">
        <f>IFERROR(__xludf.DUMMYFUNCTION("IFERROR(
  IF(
    F1109 &gt;
    3*AVERAGE(
       FILTER($F$2:$F10491,
         $G$2:$G10491=G1109,
         $A$2:$A10491&gt;=A1109-20,
         $A$2:$A10491&lt;=A1109
       )
    ),
    ""VOL_SPIKE_3X"",""""
  ),
"""")
"),"")</f>
        <v/>
      </c>
      <c r="N1109" s="7" t="str">
        <f t="shared" si="6"/>
        <v/>
      </c>
      <c r="O1109" s="7" t="str">
        <f t="shared" si="7"/>
        <v/>
      </c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>
      <c r="A1110" s="5">
        <f>IFERROR(__xludf.DUMMYFUNCTION("""COMPUTED_VALUE"""),45712.0)</f>
        <v>45712</v>
      </c>
      <c r="B1110" s="6">
        <f>IFERROR(__xludf.DUMMYFUNCTION("""COMPUTED_VALUE"""),258.0)</f>
        <v>258</v>
      </c>
      <c r="C1110" s="6">
        <f>IFERROR(__xludf.DUMMYFUNCTION("""COMPUTED_VALUE"""),261.8)</f>
        <v>261.8</v>
      </c>
      <c r="D1110" s="6">
        <f>IFERROR(__xludf.DUMMYFUNCTION("""COMPUTED_VALUE"""),257.25)</f>
        <v>257.25</v>
      </c>
      <c r="E1110" s="6">
        <f>IFERROR(__xludf.DUMMYFUNCTION("""COMPUTED_VALUE"""),259.15)</f>
        <v>259.15</v>
      </c>
      <c r="F1110" s="7">
        <f>IFERROR(__xludf.DUMMYFUNCTION("""COMPUTED_VALUE"""),1.4599185E7)</f>
        <v>14599185</v>
      </c>
      <c r="G1110" s="7" t="str">
        <f>IFERROR(__xludf.DUMMYFUNCTION("""COMPUTED_VALUE"""),"POWERGRID.NS")</f>
        <v>POWERGRID.NS</v>
      </c>
      <c r="H1110" s="8">
        <f t="shared" si="1"/>
        <v>0.004457364341</v>
      </c>
      <c r="I1110" s="8">
        <f t="shared" si="2"/>
        <v>0.004457364341</v>
      </c>
      <c r="J1110" s="7" t="str">
        <f t="shared" si="3"/>
        <v>Feb-2025</v>
      </c>
      <c r="K1110" s="9">
        <f t="shared" si="4"/>
        <v>45689</v>
      </c>
      <c r="L1110" s="7" t="str">
        <f t="shared" si="5"/>
        <v/>
      </c>
      <c r="M1110" s="7" t="str">
        <f>IFERROR(__xludf.DUMMYFUNCTION("IFERROR(
  IF(
    F1110 &gt;
    3*AVERAGE(
       FILTER($F$2:$F10491,
         $G$2:$G10491=G1110,
         $A$2:$A10491&gt;=A1110-20,
         $A$2:$A10491&lt;=A1110
       )
    ),
    ""VOL_SPIKE_3X"",""""
  ),
"""")
"),"")</f>
        <v/>
      </c>
      <c r="N1110" s="7" t="str">
        <f t="shared" si="6"/>
        <v/>
      </c>
      <c r="O1110" s="7" t="str">
        <f t="shared" si="7"/>
        <v/>
      </c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>
      <c r="A1111" s="5">
        <f>IFERROR(__xludf.DUMMYFUNCTION("""COMPUTED_VALUE"""),45712.0)</f>
        <v>45712</v>
      </c>
      <c r="B1111" s="6">
        <f>IFERROR(__xludf.DUMMYFUNCTION("""COMPUTED_VALUE"""),1216.55)</f>
        <v>1216.55</v>
      </c>
      <c r="C1111" s="6">
        <f>IFERROR(__xludf.DUMMYFUNCTION("""COMPUTED_VALUE"""),1223.25)</f>
        <v>1223.25</v>
      </c>
      <c r="D1111" s="6">
        <f>IFERROR(__xludf.DUMMYFUNCTION("""COMPUTED_VALUE"""),1210.5)</f>
        <v>1210.5</v>
      </c>
      <c r="E1111" s="6">
        <f>IFERROR(__xludf.DUMMYFUNCTION("""COMPUTED_VALUE"""),1214.55)</f>
        <v>1214.55</v>
      </c>
      <c r="F1111" s="7">
        <f>IFERROR(__xludf.DUMMYFUNCTION("""COMPUTED_VALUE"""),7172498.0)</f>
        <v>7172498</v>
      </c>
      <c r="G1111" s="7" t="str">
        <f>IFERROR(__xludf.DUMMYFUNCTION("""COMPUTED_VALUE"""),"RELIANCE.NS")</f>
        <v>RELIANCE.NS</v>
      </c>
      <c r="H1111" s="8">
        <f t="shared" si="1"/>
        <v>-0.00164399326</v>
      </c>
      <c r="I1111" s="8">
        <f t="shared" si="2"/>
        <v>0.00164399326</v>
      </c>
      <c r="J1111" s="7" t="str">
        <f t="shared" si="3"/>
        <v>Feb-2025</v>
      </c>
      <c r="K1111" s="9">
        <f t="shared" si="4"/>
        <v>45689</v>
      </c>
      <c r="L1111" s="7" t="str">
        <f t="shared" si="5"/>
        <v/>
      </c>
      <c r="M1111" s="7" t="str">
        <f>IFERROR(__xludf.DUMMYFUNCTION("IFERROR(
  IF(
    F1111 &gt;
    3*AVERAGE(
       FILTER($F$2:$F10491,
         $G$2:$G10491=G1111,
         $A$2:$A10491&gt;=A1111-20,
         $A$2:$A10491&lt;=A1111
       )
    ),
    ""VOL_SPIKE_3X"",""""
  ),
"""")
"),"")</f>
        <v/>
      </c>
      <c r="N1111" s="7" t="str">
        <f t="shared" si="6"/>
        <v/>
      </c>
      <c r="O1111" s="7" t="str">
        <f t="shared" si="7"/>
        <v/>
      </c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>
      <c r="A1112" s="5">
        <f>IFERROR(__xludf.DUMMYFUNCTION("""COMPUTED_VALUE"""),45713.0)</f>
        <v>45713</v>
      </c>
      <c r="B1112" s="6">
        <f>IFERROR(__xludf.DUMMYFUNCTION("""COMPUTED_VALUE"""),672.3)</f>
        <v>672.3</v>
      </c>
      <c r="C1112" s="6">
        <f>IFERROR(__xludf.DUMMYFUNCTION("""COMPUTED_VALUE"""),686.35)</f>
        <v>686.35</v>
      </c>
      <c r="D1112" s="6">
        <f>IFERROR(__xludf.DUMMYFUNCTION("""COMPUTED_VALUE"""),665.7)</f>
        <v>665.7</v>
      </c>
      <c r="E1112" s="6">
        <f>IFERROR(__xludf.DUMMYFUNCTION("""COMPUTED_VALUE"""),669.7)</f>
        <v>669.7</v>
      </c>
      <c r="F1112" s="7">
        <f>IFERROR(__xludf.DUMMYFUNCTION("""COMPUTED_VALUE"""),1654419.0)</f>
        <v>1654419</v>
      </c>
      <c r="G1112" s="7" t="str">
        <f>IFERROR(__xludf.DUMMYFUNCTION("""COMPUTED_VALUE"""),"ADANIENSOL.NS")</f>
        <v>ADANIENSOL.NS</v>
      </c>
      <c r="H1112" s="8">
        <f t="shared" si="1"/>
        <v>-0.003867321136</v>
      </c>
      <c r="I1112" s="8">
        <f t="shared" si="2"/>
        <v>0.003867321136</v>
      </c>
      <c r="J1112" s="7" t="str">
        <f t="shared" si="3"/>
        <v>Feb-2025</v>
      </c>
      <c r="K1112" s="9">
        <f t="shared" si="4"/>
        <v>45689</v>
      </c>
      <c r="L1112" s="7" t="str">
        <f t="shared" si="5"/>
        <v/>
      </c>
      <c r="M1112" s="7" t="str">
        <f>IFERROR(__xludf.DUMMYFUNCTION("IFERROR(
  IF(
    F1112 &gt;
    3*AVERAGE(
       FILTER($F$2:$F10491,
         $G$2:$G10491=G1112,
         $A$2:$A10491&gt;=A1112-20,
         $A$2:$A10491&lt;=A1112
       )
    ),
    ""VOL_SPIKE_3X"",""""
  ),
"""")
"),"")</f>
        <v/>
      </c>
      <c r="N1112" s="7" t="str">
        <f t="shared" si="6"/>
        <v/>
      </c>
      <c r="O1112" s="7" t="str">
        <f t="shared" si="7"/>
        <v/>
      </c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>
      <c r="A1113" s="5">
        <f>IFERROR(__xludf.DUMMYFUNCTION("""COMPUTED_VALUE"""),45713.0)</f>
        <v>45713</v>
      </c>
      <c r="B1113" s="6">
        <f>IFERROR(__xludf.DUMMYFUNCTION("""COMPUTED_VALUE"""),836.5)</f>
        <v>836.5</v>
      </c>
      <c r="C1113" s="6">
        <f>IFERROR(__xludf.DUMMYFUNCTION("""COMPUTED_VALUE"""),867.0)</f>
        <v>867</v>
      </c>
      <c r="D1113" s="6">
        <f>IFERROR(__xludf.DUMMYFUNCTION("""COMPUTED_VALUE"""),828.65)</f>
        <v>828.65</v>
      </c>
      <c r="E1113" s="6">
        <f>IFERROR(__xludf.DUMMYFUNCTION("""COMPUTED_VALUE"""),840.65)</f>
        <v>840.65</v>
      </c>
      <c r="F1113" s="7">
        <f>IFERROR(__xludf.DUMMYFUNCTION("""COMPUTED_VALUE"""),5299509.0)</f>
        <v>5299509</v>
      </c>
      <c r="G1113" s="7" t="str">
        <f>IFERROR(__xludf.DUMMYFUNCTION("""COMPUTED_VALUE"""),"ADANIGREEN.NS")</f>
        <v>ADANIGREEN.NS</v>
      </c>
      <c r="H1113" s="8">
        <f t="shared" si="1"/>
        <v>0.004961147639</v>
      </c>
      <c r="I1113" s="8">
        <f t="shared" si="2"/>
        <v>0.004961147639</v>
      </c>
      <c r="J1113" s="7" t="str">
        <f t="shared" si="3"/>
        <v>Feb-2025</v>
      </c>
      <c r="K1113" s="9">
        <f t="shared" si="4"/>
        <v>45689</v>
      </c>
      <c r="L1113" s="7" t="str">
        <f t="shared" si="5"/>
        <v/>
      </c>
      <c r="M1113" s="7" t="str">
        <f>IFERROR(__xludf.DUMMYFUNCTION("IFERROR(
  IF(
    F1113 &gt;
    3*AVERAGE(
       FILTER($F$2:$F10491,
         $G$2:$G10491=G1113,
         $A$2:$A10491&gt;=A1113-20,
         $A$2:$A10491&lt;=A1113
       )
    ),
    ""VOL_SPIKE_3X"",""""
  ),
"""")
"),"")</f>
        <v/>
      </c>
      <c r="N1113" s="7" t="str">
        <f t="shared" si="6"/>
        <v/>
      </c>
      <c r="O1113" s="7" t="str">
        <f t="shared" si="7"/>
        <v/>
      </c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>
      <c r="A1114" s="5">
        <f>IFERROR(__xludf.DUMMYFUNCTION("""COMPUTED_VALUE"""),45713.0)</f>
        <v>45713</v>
      </c>
      <c r="B1114" s="6">
        <f>IFERROR(__xludf.DUMMYFUNCTION("""COMPUTED_VALUE"""),251.9)</f>
        <v>251.9</v>
      </c>
      <c r="C1114" s="6">
        <f>IFERROR(__xludf.DUMMYFUNCTION("""COMPUTED_VALUE"""),252.9)</f>
        <v>252.9</v>
      </c>
      <c r="D1114" s="6">
        <f>IFERROR(__xludf.DUMMYFUNCTION("""COMPUTED_VALUE"""),247.7)</f>
        <v>247.7</v>
      </c>
      <c r="E1114" s="6">
        <f>IFERROR(__xludf.DUMMYFUNCTION("""COMPUTED_VALUE"""),248.45)</f>
        <v>248.45</v>
      </c>
      <c r="F1114" s="7">
        <f>IFERROR(__xludf.DUMMYFUNCTION("""COMPUTED_VALUE"""),4172676.0)</f>
        <v>4172676</v>
      </c>
      <c r="G1114" s="7" t="str">
        <f>IFERROR(__xludf.DUMMYFUNCTION("""COMPUTED_VALUE"""),"BPCL.NS")</f>
        <v>BPCL.NS</v>
      </c>
      <c r="H1114" s="8">
        <f t="shared" si="1"/>
        <v>-0.01369591108</v>
      </c>
      <c r="I1114" s="8">
        <f t="shared" si="2"/>
        <v>0.01369591108</v>
      </c>
      <c r="J1114" s="7" t="str">
        <f t="shared" si="3"/>
        <v>Feb-2025</v>
      </c>
      <c r="K1114" s="9">
        <f t="shared" si="4"/>
        <v>45689</v>
      </c>
      <c r="L1114" s="7" t="str">
        <f t="shared" si="5"/>
        <v/>
      </c>
      <c r="M1114" s="7" t="str">
        <f>IFERROR(__xludf.DUMMYFUNCTION("IFERROR(
  IF(
    F1114 &gt;
    3*AVERAGE(
       FILTER($F$2:$F10491,
         $G$2:$G10491=G1114,
         $A$2:$A10491&gt;=A1114-20,
         $A$2:$A10491&lt;=A1114
       )
    ),
    ""VOL_SPIKE_3X"",""""
  ),
"""")
"),"")</f>
        <v/>
      </c>
      <c r="N1114" s="7" t="str">
        <f t="shared" si="6"/>
        <v/>
      </c>
      <c r="O1114" s="7" t="str">
        <f t="shared" si="7"/>
        <v/>
      </c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>
      <c r="A1115" s="5">
        <f>IFERROR(__xludf.DUMMYFUNCTION("""COMPUTED_VALUE"""),45713.0)</f>
        <v>45713</v>
      </c>
      <c r="B1115" s="6">
        <f>IFERROR(__xludf.DUMMYFUNCTION("""COMPUTED_VALUE"""),364.0)</f>
        <v>364</v>
      </c>
      <c r="C1115" s="6">
        <f>IFERROR(__xludf.DUMMYFUNCTION("""COMPUTED_VALUE"""),365.4)</f>
        <v>365.4</v>
      </c>
      <c r="D1115" s="6">
        <f>IFERROR(__xludf.DUMMYFUNCTION("""COMPUTED_VALUE"""),358.7)</f>
        <v>358.7</v>
      </c>
      <c r="E1115" s="6">
        <f>IFERROR(__xludf.DUMMYFUNCTION("""COMPUTED_VALUE"""),361.15)</f>
        <v>361.15</v>
      </c>
      <c r="F1115" s="7">
        <f>IFERROR(__xludf.DUMMYFUNCTION("""COMPUTED_VALUE"""),4525493.0)</f>
        <v>4525493</v>
      </c>
      <c r="G1115" s="7" t="str">
        <f>IFERROR(__xludf.DUMMYFUNCTION("""COMPUTED_VALUE"""),"COALINDIA.NS")</f>
        <v>COALINDIA.NS</v>
      </c>
      <c r="H1115" s="8">
        <f t="shared" si="1"/>
        <v>-0.00782967033</v>
      </c>
      <c r="I1115" s="8">
        <f t="shared" si="2"/>
        <v>0.00782967033</v>
      </c>
      <c r="J1115" s="7" t="str">
        <f t="shared" si="3"/>
        <v>Feb-2025</v>
      </c>
      <c r="K1115" s="9">
        <f t="shared" si="4"/>
        <v>45689</v>
      </c>
      <c r="L1115" s="7" t="str">
        <f t="shared" si="5"/>
        <v/>
      </c>
      <c r="M1115" s="7" t="str">
        <f>IFERROR(__xludf.DUMMYFUNCTION("IFERROR(
  IF(
    F1115 &gt;
    3*AVERAGE(
       FILTER($F$2:$F10491,
         $G$2:$G10491=G1115,
         $A$2:$A10491&gt;=A1115-20,
         $A$2:$A10491&lt;=A1115
       )
    ),
    ""VOL_SPIKE_3X"",""""
  ),
"""")
"),"")</f>
        <v/>
      </c>
      <c r="N1115" s="7" t="str">
        <f t="shared" si="6"/>
        <v/>
      </c>
      <c r="O1115" s="7" t="str">
        <f t="shared" si="7"/>
        <v/>
      </c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>
      <c r="A1116" s="5">
        <f>IFERROR(__xludf.DUMMYFUNCTION("""COMPUTED_VALUE"""),45713.0)</f>
        <v>45713</v>
      </c>
      <c r="B1116" s="6">
        <f>IFERROR(__xludf.DUMMYFUNCTION("""COMPUTED_VALUE"""),319.3)</f>
        <v>319.3</v>
      </c>
      <c r="C1116" s="6">
        <f>IFERROR(__xludf.DUMMYFUNCTION("""COMPUTED_VALUE"""),320.25)</f>
        <v>320.25</v>
      </c>
      <c r="D1116" s="6">
        <f>IFERROR(__xludf.DUMMYFUNCTION("""COMPUTED_VALUE"""),309.35)</f>
        <v>309.35</v>
      </c>
      <c r="E1116" s="6">
        <f>IFERROR(__xludf.DUMMYFUNCTION("""COMPUTED_VALUE"""),309.85)</f>
        <v>309.85</v>
      </c>
      <c r="F1116" s="7">
        <f>IFERROR(__xludf.DUMMYFUNCTION("""COMPUTED_VALUE"""),4356438.0)</f>
        <v>4356438</v>
      </c>
      <c r="G1116" s="7" t="str">
        <f>IFERROR(__xludf.DUMMYFUNCTION("""COMPUTED_VALUE"""),"HINDPETRO.NS")</f>
        <v>HINDPETRO.NS</v>
      </c>
      <c r="H1116" s="8">
        <f t="shared" si="1"/>
        <v>-0.02959599123</v>
      </c>
      <c r="I1116" s="8">
        <f t="shared" si="2"/>
        <v>0.02959599123</v>
      </c>
      <c r="J1116" s="7" t="str">
        <f t="shared" si="3"/>
        <v>Feb-2025</v>
      </c>
      <c r="K1116" s="9">
        <f t="shared" si="4"/>
        <v>45689</v>
      </c>
      <c r="L1116" s="7" t="str">
        <f t="shared" si="5"/>
        <v/>
      </c>
      <c r="M1116" s="7" t="str">
        <f>IFERROR(__xludf.DUMMYFUNCTION("IFERROR(
  IF(
    F1116 &gt;
    3*AVERAGE(
       FILTER($F$2:$F10491,
         $G$2:$G10491=G1116,
         $A$2:$A10491&gt;=A1116-20,
         $A$2:$A10491&lt;=A1116
       )
    ),
    ""VOL_SPIKE_3X"",""""
  ),
"""")
"),"")</f>
        <v/>
      </c>
      <c r="N1116" s="7" t="str">
        <f t="shared" si="6"/>
        <v/>
      </c>
      <c r="O1116" s="7" t="str">
        <f t="shared" si="7"/>
        <v/>
      </c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>
      <c r="A1117" s="5">
        <f>IFERROR(__xludf.DUMMYFUNCTION("""COMPUTED_VALUE"""),45713.0)</f>
        <v>45713</v>
      </c>
      <c r="B1117" s="6">
        <f>IFERROR(__xludf.DUMMYFUNCTION("""COMPUTED_VALUE"""),120.22)</f>
        <v>120.22</v>
      </c>
      <c r="C1117" s="6">
        <f>IFERROR(__xludf.DUMMYFUNCTION("""COMPUTED_VALUE"""),120.71)</f>
        <v>120.71</v>
      </c>
      <c r="D1117" s="6">
        <f>IFERROR(__xludf.DUMMYFUNCTION("""COMPUTED_VALUE"""),118.4)</f>
        <v>118.4</v>
      </c>
      <c r="E1117" s="6">
        <f>IFERROR(__xludf.DUMMYFUNCTION("""COMPUTED_VALUE"""),118.65)</f>
        <v>118.65</v>
      </c>
      <c r="F1117" s="7">
        <f>IFERROR(__xludf.DUMMYFUNCTION("""COMPUTED_VALUE"""),7607411.0)</f>
        <v>7607411</v>
      </c>
      <c r="G1117" s="7" t="str">
        <f>IFERROR(__xludf.DUMMYFUNCTION("""COMPUTED_VALUE"""),"IOC.NS")</f>
        <v>IOC.NS</v>
      </c>
      <c r="H1117" s="8">
        <f t="shared" si="1"/>
        <v>-0.01305939112</v>
      </c>
      <c r="I1117" s="8">
        <f t="shared" si="2"/>
        <v>0.01305939112</v>
      </c>
      <c r="J1117" s="7" t="str">
        <f t="shared" si="3"/>
        <v>Feb-2025</v>
      </c>
      <c r="K1117" s="9">
        <f t="shared" si="4"/>
        <v>45689</v>
      </c>
      <c r="L1117" s="7" t="str">
        <f t="shared" si="5"/>
        <v/>
      </c>
      <c r="M1117" s="7" t="str">
        <f>IFERROR(__xludf.DUMMYFUNCTION("IFERROR(
  IF(
    F1117 &gt;
    3*AVERAGE(
       FILTER($F$2:$F10491,
         $G$2:$G10491=G1117,
         $A$2:$A10491&gt;=A1117-20,
         $A$2:$A10491&lt;=A1117
       )
    ),
    ""VOL_SPIKE_3X"",""""
  ),
"""")
"),"")</f>
        <v/>
      </c>
      <c r="N1117" s="7" t="str">
        <f t="shared" si="6"/>
        <v/>
      </c>
      <c r="O1117" s="7" t="str">
        <f t="shared" si="7"/>
        <v/>
      </c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>
      <c r="A1118" s="5">
        <f>IFERROR(__xludf.DUMMYFUNCTION("""COMPUTED_VALUE"""),45713.0)</f>
        <v>45713</v>
      </c>
      <c r="B1118" s="6">
        <f>IFERROR(__xludf.DUMMYFUNCTION("""COMPUTED_VALUE"""),320.1)</f>
        <v>320.1</v>
      </c>
      <c r="C1118" s="6">
        <f>IFERROR(__xludf.DUMMYFUNCTION("""COMPUTED_VALUE"""),321.5)</f>
        <v>321.5</v>
      </c>
      <c r="D1118" s="6">
        <f>IFERROR(__xludf.DUMMYFUNCTION("""COMPUTED_VALUE"""),315.75)</f>
        <v>315.75</v>
      </c>
      <c r="E1118" s="6">
        <f>IFERROR(__xludf.DUMMYFUNCTION("""COMPUTED_VALUE"""),318.7)</f>
        <v>318.7</v>
      </c>
      <c r="F1118" s="7">
        <f>IFERROR(__xludf.DUMMYFUNCTION("""COMPUTED_VALUE"""),1.0686112E7)</f>
        <v>10686112</v>
      </c>
      <c r="G1118" s="7" t="str">
        <f>IFERROR(__xludf.DUMMYFUNCTION("""COMPUTED_VALUE"""),"NTPC.NS")</f>
        <v>NTPC.NS</v>
      </c>
      <c r="H1118" s="8">
        <f t="shared" si="1"/>
        <v>-0.00437363324</v>
      </c>
      <c r="I1118" s="8">
        <f t="shared" si="2"/>
        <v>0.00437363324</v>
      </c>
      <c r="J1118" s="7" t="str">
        <f t="shared" si="3"/>
        <v>Feb-2025</v>
      </c>
      <c r="K1118" s="9">
        <f t="shared" si="4"/>
        <v>45689</v>
      </c>
      <c r="L1118" s="7" t="str">
        <f t="shared" si="5"/>
        <v/>
      </c>
      <c r="M1118" s="7" t="str">
        <f>IFERROR(__xludf.DUMMYFUNCTION("IFERROR(
  IF(
    F1118 &gt;
    3*AVERAGE(
       FILTER($F$2:$F10491,
         $G$2:$G10491=G1118,
         $A$2:$A10491&gt;=A1118-20,
         $A$2:$A10491&lt;=A1118
       )
    ),
    ""VOL_SPIKE_3X"",""""
  ),
"""")
"),"")</f>
        <v/>
      </c>
      <c r="N1118" s="7" t="str">
        <f t="shared" si="6"/>
        <v/>
      </c>
      <c r="O1118" s="7" t="str">
        <f t="shared" si="7"/>
        <v/>
      </c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>
      <c r="A1119" s="5">
        <f>IFERROR(__xludf.DUMMYFUNCTION("""COMPUTED_VALUE"""),45713.0)</f>
        <v>45713</v>
      </c>
      <c r="B1119" s="6">
        <f>IFERROR(__xludf.DUMMYFUNCTION("""COMPUTED_VALUE"""),235.0)</f>
        <v>235</v>
      </c>
      <c r="C1119" s="6">
        <f>IFERROR(__xludf.DUMMYFUNCTION("""COMPUTED_VALUE"""),236.7)</f>
        <v>236.7</v>
      </c>
      <c r="D1119" s="6">
        <f>IFERROR(__xludf.DUMMYFUNCTION("""COMPUTED_VALUE"""),232.55)</f>
        <v>232.55</v>
      </c>
      <c r="E1119" s="6">
        <f>IFERROR(__xludf.DUMMYFUNCTION("""COMPUTED_VALUE"""),233.0)</f>
        <v>233</v>
      </c>
      <c r="F1119" s="7">
        <f>IFERROR(__xludf.DUMMYFUNCTION("""COMPUTED_VALUE"""),5519036.0)</f>
        <v>5519036</v>
      </c>
      <c r="G1119" s="7" t="str">
        <f>IFERROR(__xludf.DUMMYFUNCTION("""COMPUTED_VALUE"""),"ONGC.NS")</f>
        <v>ONGC.NS</v>
      </c>
      <c r="H1119" s="8">
        <f t="shared" si="1"/>
        <v>-0.008510638298</v>
      </c>
      <c r="I1119" s="8">
        <f t="shared" si="2"/>
        <v>0.008510638298</v>
      </c>
      <c r="J1119" s="7" t="str">
        <f t="shared" si="3"/>
        <v>Feb-2025</v>
      </c>
      <c r="K1119" s="9">
        <f t="shared" si="4"/>
        <v>45689</v>
      </c>
      <c r="L1119" s="7" t="str">
        <f t="shared" si="5"/>
        <v/>
      </c>
      <c r="M1119" s="7" t="str">
        <f>IFERROR(__xludf.DUMMYFUNCTION("IFERROR(
  IF(
    F1119 &gt;
    3*AVERAGE(
       FILTER($F$2:$F10491,
         $G$2:$G10491=G1119,
         $A$2:$A10491&gt;=A1119-20,
         $A$2:$A10491&lt;=A1119
       )
    ),
    ""VOL_SPIKE_3X"",""""
  ),
"""")
"),"")</f>
        <v/>
      </c>
      <c r="N1119" s="7" t="str">
        <f t="shared" si="6"/>
        <v/>
      </c>
      <c r="O1119" s="7" t="str">
        <f t="shared" si="7"/>
        <v/>
      </c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>
      <c r="A1120" s="5">
        <f>IFERROR(__xludf.DUMMYFUNCTION("""COMPUTED_VALUE"""),45713.0)</f>
        <v>45713</v>
      </c>
      <c r="B1120" s="6">
        <f>IFERROR(__xludf.DUMMYFUNCTION("""COMPUTED_VALUE"""),258.8)</f>
        <v>258.8</v>
      </c>
      <c r="C1120" s="6">
        <f>IFERROR(__xludf.DUMMYFUNCTION("""COMPUTED_VALUE"""),259.95)</f>
        <v>259.95</v>
      </c>
      <c r="D1120" s="6">
        <f>IFERROR(__xludf.DUMMYFUNCTION("""COMPUTED_VALUE"""),254.9)</f>
        <v>254.9</v>
      </c>
      <c r="E1120" s="6">
        <f>IFERROR(__xludf.DUMMYFUNCTION("""COMPUTED_VALUE"""),255.75)</f>
        <v>255.75</v>
      </c>
      <c r="F1120" s="7">
        <f>IFERROR(__xludf.DUMMYFUNCTION("""COMPUTED_VALUE"""),2.1287363E7)</f>
        <v>21287363</v>
      </c>
      <c r="G1120" s="7" t="str">
        <f>IFERROR(__xludf.DUMMYFUNCTION("""COMPUTED_VALUE"""),"POWERGRID.NS")</f>
        <v>POWERGRID.NS</v>
      </c>
      <c r="H1120" s="8">
        <f t="shared" si="1"/>
        <v>-0.01178516229</v>
      </c>
      <c r="I1120" s="8">
        <f t="shared" si="2"/>
        <v>0.01178516229</v>
      </c>
      <c r="J1120" s="7" t="str">
        <f t="shared" si="3"/>
        <v>Feb-2025</v>
      </c>
      <c r="K1120" s="9">
        <f t="shared" si="4"/>
        <v>45689</v>
      </c>
      <c r="L1120" s="7" t="str">
        <f t="shared" si="5"/>
        <v/>
      </c>
      <c r="M1120" s="7" t="str">
        <f>IFERROR(__xludf.DUMMYFUNCTION("IFERROR(
  IF(
    F1120 &gt;
    3*AVERAGE(
       FILTER($F$2:$F10491,
         $G$2:$G10491=G1120,
         $A$2:$A10491&gt;=A1120-20,
         $A$2:$A10491&lt;=A1120
       )
    ),
    ""VOL_SPIKE_3X"",""""
  ),
"""")
"),"")</f>
        <v/>
      </c>
      <c r="N1120" s="7" t="str">
        <f t="shared" si="6"/>
        <v/>
      </c>
      <c r="O1120" s="7" t="str">
        <f t="shared" si="7"/>
        <v/>
      </c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>
      <c r="A1121" s="5">
        <f>IFERROR(__xludf.DUMMYFUNCTION("""COMPUTED_VALUE"""),45713.0)</f>
        <v>45713</v>
      </c>
      <c r="B1121" s="6">
        <f>IFERROR(__xludf.DUMMYFUNCTION("""COMPUTED_VALUE"""),1211.0)</f>
        <v>1211</v>
      </c>
      <c r="C1121" s="6">
        <f>IFERROR(__xludf.DUMMYFUNCTION("""COMPUTED_VALUE"""),1221.0)</f>
        <v>1221</v>
      </c>
      <c r="D1121" s="6">
        <f>IFERROR(__xludf.DUMMYFUNCTION("""COMPUTED_VALUE"""),1201.5)</f>
        <v>1201.5</v>
      </c>
      <c r="E1121" s="6">
        <f>IFERROR(__xludf.DUMMYFUNCTION("""COMPUTED_VALUE"""),1204.0)</f>
        <v>1204</v>
      </c>
      <c r="F1121" s="7">
        <f>IFERROR(__xludf.DUMMYFUNCTION("""COMPUTED_VALUE"""),1.1552182E7)</f>
        <v>11552182</v>
      </c>
      <c r="G1121" s="7" t="str">
        <f>IFERROR(__xludf.DUMMYFUNCTION("""COMPUTED_VALUE"""),"RELIANCE.NS")</f>
        <v>RELIANCE.NS</v>
      </c>
      <c r="H1121" s="8">
        <f t="shared" si="1"/>
        <v>-0.005780346821</v>
      </c>
      <c r="I1121" s="8">
        <f t="shared" si="2"/>
        <v>0.005780346821</v>
      </c>
      <c r="J1121" s="7" t="str">
        <f t="shared" si="3"/>
        <v>Feb-2025</v>
      </c>
      <c r="K1121" s="9">
        <f t="shared" si="4"/>
        <v>45689</v>
      </c>
      <c r="L1121" s="7" t="str">
        <f t="shared" si="5"/>
        <v/>
      </c>
      <c r="M1121" s="7" t="str">
        <f>IFERROR(__xludf.DUMMYFUNCTION("IFERROR(
  IF(
    F1121 &gt;
    3*AVERAGE(
       FILTER($F$2:$F10491,
         $G$2:$G10491=G1121,
         $A$2:$A10491&gt;=A1121-20,
         $A$2:$A10491&lt;=A1121
       )
    ),
    ""VOL_SPIKE_3X"",""""
  ),
"""")
"),"")</f>
        <v/>
      </c>
      <c r="N1121" s="7" t="str">
        <f t="shared" si="6"/>
        <v/>
      </c>
      <c r="O1121" s="7" t="str">
        <f t="shared" si="7"/>
        <v/>
      </c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>
      <c r="A1122" s="5">
        <f>IFERROR(__xludf.DUMMYFUNCTION("""COMPUTED_VALUE"""),45715.0)</f>
        <v>45715</v>
      </c>
      <c r="B1122" s="6">
        <f>IFERROR(__xludf.DUMMYFUNCTION("""COMPUTED_VALUE"""),673.5)</f>
        <v>673.5</v>
      </c>
      <c r="C1122" s="6">
        <f>IFERROR(__xludf.DUMMYFUNCTION("""COMPUTED_VALUE"""),678.45)</f>
        <v>678.45</v>
      </c>
      <c r="D1122" s="6">
        <f>IFERROR(__xludf.DUMMYFUNCTION("""COMPUTED_VALUE"""),660.0)</f>
        <v>660</v>
      </c>
      <c r="E1122" s="6">
        <f>IFERROR(__xludf.DUMMYFUNCTION("""COMPUTED_VALUE"""),661.7)</f>
        <v>661.7</v>
      </c>
      <c r="F1122" s="7">
        <f>IFERROR(__xludf.DUMMYFUNCTION("""COMPUTED_VALUE"""),1109229.0)</f>
        <v>1109229</v>
      </c>
      <c r="G1122" s="7" t="str">
        <f>IFERROR(__xludf.DUMMYFUNCTION("""COMPUTED_VALUE"""),"ADANIENSOL.NS")</f>
        <v>ADANIENSOL.NS</v>
      </c>
      <c r="H1122" s="8">
        <f t="shared" si="1"/>
        <v>-0.01752041574</v>
      </c>
      <c r="I1122" s="8">
        <f t="shared" si="2"/>
        <v>0.01752041574</v>
      </c>
      <c r="J1122" s="7" t="str">
        <f t="shared" si="3"/>
        <v>Feb-2025</v>
      </c>
      <c r="K1122" s="9">
        <f t="shared" si="4"/>
        <v>45689</v>
      </c>
      <c r="L1122" s="7" t="str">
        <f t="shared" si="5"/>
        <v/>
      </c>
      <c r="M1122" s="7" t="str">
        <f>IFERROR(__xludf.DUMMYFUNCTION("IFERROR(
  IF(
    F1122 &gt;
    3*AVERAGE(
       FILTER($F$2:$F10491,
         $G$2:$G10491=G1122,
         $A$2:$A10491&gt;=A1122-20,
         $A$2:$A10491&lt;=A1122
       )
    ),
    ""VOL_SPIKE_3X"",""""
  ),
"""")
"),"")</f>
        <v/>
      </c>
      <c r="N1122" s="7" t="str">
        <f t="shared" si="6"/>
        <v/>
      </c>
      <c r="O1122" s="7" t="str">
        <f t="shared" si="7"/>
        <v/>
      </c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>
      <c r="A1123" s="5">
        <f>IFERROR(__xludf.DUMMYFUNCTION("""COMPUTED_VALUE"""),45715.0)</f>
        <v>45715</v>
      </c>
      <c r="B1123" s="6">
        <f>IFERROR(__xludf.DUMMYFUNCTION("""COMPUTED_VALUE"""),848.65)</f>
        <v>848.65</v>
      </c>
      <c r="C1123" s="6">
        <f>IFERROR(__xludf.DUMMYFUNCTION("""COMPUTED_VALUE"""),859.45)</f>
        <v>859.45</v>
      </c>
      <c r="D1123" s="6">
        <f>IFERROR(__xludf.DUMMYFUNCTION("""COMPUTED_VALUE"""),806.3)</f>
        <v>806.3</v>
      </c>
      <c r="E1123" s="6">
        <f>IFERROR(__xludf.DUMMYFUNCTION("""COMPUTED_VALUE"""),811.75)</f>
        <v>811.75</v>
      </c>
      <c r="F1123" s="7">
        <f>IFERROR(__xludf.DUMMYFUNCTION("""COMPUTED_VALUE"""),5612214.0)</f>
        <v>5612214</v>
      </c>
      <c r="G1123" s="7" t="str">
        <f>IFERROR(__xludf.DUMMYFUNCTION("""COMPUTED_VALUE"""),"ADANIGREEN.NS")</f>
        <v>ADANIGREEN.NS</v>
      </c>
      <c r="H1123" s="8">
        <f t="shared" si="1"/>
        <v>-0.04348082248</v>
      </c>
      <c r="I1123" s="8">
        <f t="shared" si="2"/>
        <v>0.04348082248</v>
      </c>
      <c r="J1123" s="7" t="str">
        <f t="shared" si="3"/>
        <v>Feb-2025</v>
      </c>
      <c r="K1123" s="9">
        <f t="shared" si="4"/>
        <v>45689</v>
      </c>
      <c r="L1123" s="7" t="str">
        <f t="shared" si="5"/>
        <v/>
      </c>
      <c r="M1123" s="7" t="str">
        <f>IFERROR(__xludf.DUMMYFUNCTION("IFERROR(
  IF(
    F1123 &gt;
    3*AVERAGE(
       FILTER($F$2:$F10491,
         $G$2:$G10491=G1123,
         $A$2:$A10491&gt;=A1123-20,
         $A$2:$A10491&lt;=A1123
       )
    ),
    ""VOL_SPIKE_3X"",""""
  ),
"""")
"),"")</f>
        <v/>
      </c>
      <c r="N1123" s="7" t="str">
        <f t="shared" si="6"/>
        <v/>
      </c>
      <c r="O1123" s="7" t="str">
        <f t="shared" si="7"/>
        <v/>
      </c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>
      <c r="A1124" s="5">
        <f>IFERROR(__xludf.DUMMYFUNCTION("""COMPUTED_VALUE"""),45715.0)</f>
        <v>45715</v>
      </c>
      <c r="B1124" s="6">
        <f>IFERROR(__xludf.DUMMYFUNCTION("""COMPUTED_VALUE"""),248.45)</f>
        <v>248.45</v>
      </c>
      <c r="C1124" s="6">
        <f>IFERROR(__xludf.DUMMYFUNCTION("""COMPUTED_VALUE"""),249.4)</f>
        <v>249.4</v>
      </c>
      <c r="D1124" s="6">
        <f>IFERROR(__xludf.DUMMYFUNCTION("""COMPUTED_VALUE"""),242.1)</f>
        <v>242.1</v>
      </c>
      <c r="E1124" s="6">
        <f>IFERROR(__xludf.DUMMYFUNCTION("""COMPUTED_VALUE"""),244.75)</f>
        <v>244.75</v>
      </c>
      <c r="F1124" s="7">
        <f>IFERROR(__xludf.DUMMYFUNCTION("""COMPUTED_VALUE"""),7376510.0)</f>
        <v>7376510</v>
      </c>
      <c r="G1124" s="7" t="str">
        <f>IFERROR(__xludf.DUMMYFUNCTION("""COMPUTED_VALUE"""),"BPCL.NS")</f>
        <v>BPCL.NS</v>
      </c>
      <c r="H1124" s="8">
        <f t="shared" si="1"/>
        <v>-0.01489233246</v>
      </c>
      <c r="I1124" s="8">
        <f t="shared" si="2"/>
        <v>0.01489233246</v>
      </c>
      <c r="J1124" s="7" t="str">
        <f t="shared" si="3"/>
        <v>Feb-2025</v>
      </c>
      <c r="K1124" s="9">
        <f t="shared" si="4"/>
        <v>45689</v>
      </c>
      <c r="L1124" s="7" t="str">
        <f t="shared" si="5"/>
        <v/>
      </c>
      <c r="M1124" s="7" t="str">
        <f>IFERROR(__xludf.DUMMYFUNCTION("IFERROR(
  IF(
    F1124 &gt;
    3*AVERAGE(
       FILTER($F$2:$F10491,
         $G$2:$G10491=G1124,
         $A$2:$A10491&gt;=A1124-20,
         $A$2:$A10491&lt;=A1124
       )
    ),
    ""VOL_SPIKE_3X"",""""
  ),
"""")
"),"")</f>
        <v/>
      </c>
      <c r="N1124" s="7" t="str">
        <f t="shared" si="6"/>
        <v/>
      </c>
      <c r="O1124" s="7" t="str">
        <f t="shared" si="7"/>
        <v/>
      </c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>
      <c r="A1125" s="5">
        <f>IFERROR(__xludf.DUMMYFUNCTION("""COMPUTED_VALUE"""),45715.0)</f>
        <v>45715</v>
      </c>
      <c r="B1125" s="6">
        <f>IFERROR(__xludf.DUMMYFUNCTION("""COMPUTED_VALUE"""),359.0)</f>
        <v>359</v>
      </c>
      <c r="C1125" s="6">
        <f>IFERROR(__xludf.DUMMYFUNCTION("""COMPUTED_VALUE"""),367.8)</f>
        <v>367.8</v>
      </c>
      <c r="D1125" s="6">
        <f>IFERROR(__xludf.DUMMYFUNCTION("""COMPUTED_VALUE"""),356.15)</f>
        <v>356.15</v>
      </c>
      <c r="E1125" s="6">
        <f>IFERROR(__xludf.DUMMYFUNCTION("""COMPUTED_VALUE"""),363.85)</f>
        <v>363.85</v>
      </c>
      <c r="F1125" s="7">
        <f>IFERROR(__xludf.DUMMYFUNCTION("""COMPUTED_VALUE"""),6196610.0)</f>
        <v>6196610</v>
      </c>
      <c r="G1125" s="7" t="str">
        <f>IFERROR(__xludf.DUMMYFUNCTION("""COMPUTED_VALUE"""),"COALINDIA.NS")</f>
        <v>COALINDIA.NS</v>
      </c>
      <c r="H1125" s="8">
        <f t="shared" si="1"/>
        <v>0.0135097493</v>
      </c>
      <c r="I1125" s="8">
        <f t="shared" si="2"/>
        <v>0.0135097493</v>
      </c>
      <c r="J1125" s="7" t="str">
        <f t="shared" si="3"/>
        <v>Feb-2025</v>
      </c>
      <c r="K1125" s="9">
        <f t="shared" si="4"/>
        <v>45689</v>
      </c>
      <c r="L1125" s="7" t="str">
        <f t="shared" si="5"/>
        <v/>
      </c>
      <c r="M1125" s="7" t="str">
        <f>IFERROR(__xludf.DUMMYFUNCTION("IFERROR(
  IF(
    F1125 &gt;
    3*AVERAGE(
       FILTER($F$2:$F10491,
         $G$2:$G10491=G1125,
         $A$2:$A10491&gt;=A1125-20,
         $A$2:$A10491&lt;=A1125
       )
    ),
    ""VOL_SPIKE_3X"",""""
  ),
"""")
"),"")</f>
        <v/>
      </c>
      <c r="N1125" s="7" t="str">
        <f t="shared" si="6"/>
        <v/>
      </c>
      <c r="O1125" s="7" t="str">
        <f t="shared" si="7"/>
        <v/>
      </c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>
      <c r="A1126" s="5">
        <f>IFERROR(__xludf.DUMMYFUNCTION("""COMPUTED_VALUE"""),45715.0)</f>
        <v>45715</v>
      </c>
      <c r="B1126" s="6">
        <f>IFERROR(__xludf.DUMMYFUNCTION("""COMPUTED_VALUE"""),311.0)</f>
        <v>311</v>
      </c>
      <c r="C1126" s="6">
        <f>IFERROR(__xludf.DUMMYFUNCTION("""COMPUTED_VALUE"""),312.8)</f>
        <v>312.8</v>
      </c>
      <c r="D1126" s="6">
        <f>IFERROR(__xludf.DUMMYFUNCTION("""COMPUTED_VALUE"""),302.3)</f>
        <v>302.3</v>
      </c>
      <c r="E1126" s="6">
        <f>IFERROR(__xludf.DUMMYFUNCTION("""COMPUTED_VALUE"""),307.0)</f>
        <v>307</v>
      </c>
      <c r="F1126" s="7">
        <f>IFERROR(__xludf.DUMMYFUNCTION("""COMPUTED_VALUE"""),4865436.0)</f>
        <v>4865436</v>
      </c>
      <c r="G1126" s="7" t="str">
        <f>IFERROR(__xludf.DUMMYFUNCTION("""COMPUTED_VALUE"""),"HINDPETRO.NS")</f>
        <v>HINDPETRO.NS</v>
      </c>
      <c r="H1126" s="8">
        <f t="shared" si="1"/>
        <v>-0.01286173633</v>
      </c>
      <c r="I1126" s="8">
        <f t="shared" si="2"/>
        <v>0.01286173633</v>
      </c>
      <c r="J1126" s="7" t="str">
        <f t="shared" si="3"/>
        <v>Feb-2025</v>
      </c>
      <c r="K1126" s="9">
        <f t="shared" si="4"/>
        <v>45689</v>
      </c>
      <c r="L1126" s="7" t="str">
        <f t="shared" si="5"/>
        <v/>
      </c>
      <c r="M1126" s="7" t="str">
        <f>IFERROR(__xludf.DUMMYFUNCTION("IFERROR(
  IF(
    F1126 &gt;
    3*AVERAGE(
       FILTER($F$2:$F10491,
         $G$2:$G10491=G1126,
         $A$2:$A10491&gt;=A1126-20,
         $A$2:$A10491&lt;=A1126
       )
    ),
    ""VOL_SPIKE_3X"",""""
  ),
"""")
"),"")</f>
        <v/>
      </c>
      <c r="N1126" s="7" t="str">
        <f t="shared" si="6"/>
        <v/>
      </c>
      <c r="O1126" s="7" t="str">
        <f t="shared" si="7"/>
        <v/>
      </c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>
      <c r="A1127" s="5">
        <f>IFERROR(__xludf.DUMMYFUNCTION("""COMPUTED_VALUE"""),45715.0)</f>
        <v>45715</v>
      </c>
      <c r="B1127" s="6">
        <f>IFERROR(__xludf.DUMMYFUNCTION("""COMPUTED_VALUE"""),118.26)</f>
        <v>118.26</v>
      </c>
      <c r="C1127" s="6">
        <f>IFERROR(__xludf.DUMMYFUNCTION("""COMPUTED_VALUE"""),119.0)</f>
        <v>119</v>
      </c>
      <c r="D1127" s="6">
        <f>IFERROR(__xludf.DUMMYFUNCTION("""COMPUTED_VALUE"""),116.09)</f>
        <v>116.09</v>
      </c>
      <c r="E1127" s="6">
        <f>IFERROR(__xludf.DUMMYFUNCTION("""COMPUTED_VALUE"""),116.42)</f>
        <v>116.42</v>
      </c>
      <c r="F1127" s="7">
        <f>IFERROR(__xludf.DUMMYFUNCTION("""COMPUTED_VALUE"""),1.0709253E7)</f>
        <v>10709253</v>
      </c>
      <c r="G1127" s="7" t="str">
        <f>IFERROR(__xludf.DUMMYFUNCTION("""COMPUTED_VALUE"""),"IOC.NS")</f>
        <v>IOC.NS</v>
      </c>
      <c r="H1127" s="8">
        <f t="shared" si="1"/>
        <v>-0.01555893793</v>
      </c>
      <c r="I1127" s="8">
        <f t="shared" si="2"/>
        <v>0.01555893793</v>
      </c>
      <c r="J1127" s="7" t="str">
        <f t="shared" si="3"/>
        <v>Feb-2025</v>
      </c>
      <c r="K1127" s="9">
        <f t="shared" si="4"/>
        <v>45689</v>
      </c>
      <c r="L1127" s="7" t="str">
        <f t="shared" si="5"/>
        <v/>
      </c>
      <c r="M1127" s="7" t="str">
        <f>IFERROR(__xludf.DUMMYFUNCTION("IFERROR(
  IF(
    F1127 &gt;
    3*AVERAGE(
       FILTER($F$2:$F10491,
         $G$2:$G10491=G1127,
         $A$2:$A10491&gt;=A1127-20,
         $A$2:$A10491&lt;=A1127
       )
    ),
    ""VOL_SPIKE_3X"",""""
  ),
"""")
"),"")</f>
        <v/>
      </c>
      <c r="N1127" s="7" t="str">
        <f t="shared" si="6"/>
        <v/>
      </c>
      <c r="O1127" s="7" t="str">
        <f t="shared" si="7"/>
        <v/>
      </c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>
      <c r="A1128" s="5">
        <f>IFERROR(__xludf.DUMMYFUNCTION("""COMPUTED_VALUE"""),45715.0)</f>
        <v>45715</v>
      </c>
      <c r="B1128" s="6">
        <f>IFERROR(__xludf.DUMMYFUNCTION("""COMPUTED_VALUE"""),315.35)</f>
        <v>315.35</v>
      </c>
      <c r="C1128" s="6">
        <f>IFERROR(__xludf.DUMMYFUNCTION("""COMPUTED_VALUE"""),319.3)</f>
        <v>319.3</v>
      </c>
      <c r="D1128" s="6">
        <f>IFERROR(__xludf.DUMMYFUNCTION("""COMPUTED_VALUE"""),314.5)</f>
        <v>314.5</v>
      </c>
      <c r="E1128" s="6">
        <f>IFERROR(__xludf.DUMMYFUNCTION("""COMPUTED_VALUE"""),315.7)</f>
        <v>315.7</v>
      </c>
      <c r="F1128" s="7">
        <f>IFERROR(__xludf.DUMMYFUNCTION("""COMPUTED_VALUE"""),7302366.0)</f>
        <v>7302366</v>
      </c>
      <c r="G1128" s="7" t="str">
        <f>IFERROR(__xludf.DUMMYFUNCTION("""COMPUTED_VALUE"""),"NTPC.NS")</f>
        <v>NTPC.NS</v>
      </c>
      <c r="H1128" s="8">
        <f t="shared" si="1"/>
        <v>0.001109877913</v>
      </c>
      <c r="I1128" s="8">
        <f t="shared" si="2"/>
        <v>0.001109877913</v>
      </c>
      <c r="J1128" s="7" t="str">
        <f t="shared" si="3"/>
        <v>Feb-2025</v>
      </c>
      <c r="K1128" s="9">
        <f t="shared" si="4"/>
        <v>45689</v>
      </c>
      <c r="L1128" s="7" t="str">
        <f t="shared" si="5"/>
        <v/>
      </c>
      <c r="M1128" s="7" t="str">
        <f>IFERROR(__xludf.DUMMYFUNCTION("IFERROR(
  IF(
    F1128 &gt;
    3*AVERAGE(
       FILTER($F$2:$F10491,
         $G$2:$G10491=G1128,
         $A$2:$A10491&gt;=A1128-20,
         $A$2:$A10491&lt;=A1128
       )
    ),
    ""VOL_SPIKE_3X"",""""
  ),
"""")
"),"")</f>
        <v/>
      </c>
      <c r="N1128" s="7" t="str">
        <f t="shared" si="6"/>
        <v/>
      </c>
      <c r="O1128" s="7" t="str">
        <f t="shared" si="7"/>
        <v/>
      </c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>
      <c r="A1129" s="5">
        <f>IFERROR(__xludf.DUMMYFUNCTION("""COMPUTED_VALUE"""),45715.0)</f>
        <v>45715</v>
      </c>
      <c r="B1129" s="6">
        <f>IFERROR(__xludf.DUMMYFUNCTION("""COMPUTED_VALUE"""),233.5)</f>
        <v>233.5</v>
      </c>
      <c r="C1129" s="6">
        <f>IFERROR(__xludf.DUMMYFUNCTION("""COMPUTED_VALUE"""),233.85)</f>
        <v>233.85</v>
      </c>
      <c r="D1129" s="6">
        <f>IFERROR(__xludf.DUMMYFUNCTION("""COMPUTED_VALUE"""),228.5)</f>
        <v>228.5</v>
      </c>
      <c r="E1129" s="6">
        <f>IFERROR(__xludf.DUMMYFUNCTION("""COMPUTED_VALUE"""),231.0)</f>
        <v>231</v>
      </c>
      <c r="F1129" s="7">
        <f>IFERROR(__xludf.DUMMYFUNCTION("""COMPUTED_VALUE"""),9664032.0)</f>
        <v>9664032</v>
      </c>
      <c r="G1129" s="7" t="str">
        <f>IFERROR(__xludf.DUMMYFUNCTION("""COMPUTED_VALUE"""),"ONGC.NS")</f>
        <v>ONGC.NS</v>
      </c>
      <c r="H1129" s="8">
        <f t="shared" si="1"/>
        <v>-0.01070663812</v>
      </c>
      <c r="I1129" s="8">
        <f t="shared" si="2"/>
        <v>0.01070663812</v>
      </c>
      <c r="J1129" s="7" t="str">
        <f t="shared" si="3"/>
        <v>Feb-2025</v>
      </c>
      <c r="K1129" s="9">
        <f t="shared" si="4"/>
        <v>45689</v>
      </c>
      <c r="L1129" s="7" t="str">
        <f t="shared" si="5"/>
        <v/>
      </c>
      <c r="M1129" s="7" t="str">
        <f>IFERROR(__xludf.DUMMYFUNCTION("IFERROR(
  IF(
    F1129 &gt;
    3*AVERAGE(
       FILTER($F$2:$F10491,
         $G$2:$G10491=G1129,
         $A$2:$A10491&gt;=A1129-20,
         $A$2:$A10491&lt;=A1129
       )
    ),
    ""VOL_SPIKE_3X"",""""
  ),
"""")
"),"")</f>
        <v/>
      </c>
      <c r="N1129" s="7" t="str">
        <f t="shared" si="6"/>
        <v/>
      </c>
      <c r="O1129" s="7" t="str">
        <f t="shared" si="7"/>
        <v/>
      </c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>
      <c r="A1130" s="5">
        <f>IFERROR(__xludf.DUMMYFUNCTION("""COMPUTED_VALUE"""),45715.0)</f>
        <v>45715</v>
      </c>
      <c r="B1130" s="6">
        <f>IFERROR(__xludf.DUMMYFUNCTION("""COMPUTED_VALUE"""),254.0)</f>
        <v>254</v>
      </c>
      <c r="C1130" s="6">
        <f>IFERROR(__xludf.DUMMYFUNCTION("""COMPUTED_VALUE"""),257.45)</f>
        <v>257.45</v>
      </c>
      <c r="D1130" s="6">
        <f>IFERROR(__xludf.DUMMYFUNCTION("""COMPUTED_VALUE"""),253.45)</f>
        <v>253.45</v>
      </c>
      <c r="E1130" s="6">
        <f>IFERROR(__xludf.DUMMYFUNCTION("""COMPUTED_VALUE"""),256.25)</f>
        <v>256.25</v>
      </c>
      <c r="F1130" s="7">
        <f>IFERROR(__xludf.DUMMYFUNCTION("""COMPUTED_VALUE"""),1.3614799E7)</f>
        <v>13614799</v>
      </c>
      <c r="G1130" s="7" t="str">
        <f>IFERROR(__xludf.DUMMYFUNCTION("""COMPUTED_VALUE"""),"POWERGRID.NS")</f>
        <v>POWERGRID.NS</v>
      </c>
      <c r="H1130" s="8">
        <f t="shared" si="1"/>
        <v>0.008858267717</v>
      </c>
      <c r="I1130" s="8">
        <f t="shared" si="2"/>
        <v>0.008858267717</v>
      </c>
      <c r="J1130" s="7" t="str">
        <f t="shared" si="3"/>
        <v>Feb-2025</v>
      </c>
      <c r="K1130" s="9">
        <f t="shared" si="4"/>
        <v>45689</v>
      </c>
      <c r="L1130" s="7" t="str">
        <f t="shared" si="5"/>
        <v/>
      </c>
      <c r="M1130" s="7" t="str">
        <f>IFERROR(__xludf.DUMMYFUNCTION("IFERROR(
  IF(
    F1130 &gt;
    3*AVERAGE(
       FILTER($F$2:$F10491,
         $G$2:$G10491=G1130,
         $A$2:$A10491&gt;=A1130-20,
         $A$2:$A10491&lt;=A1130
       )
    ),
    ""VOL_SPIKE_3X"",""""
  ),
"""")
"),"")</f>
        <v/>
      </c>
      <c r="N1130" s="7" t="str">
        <f t="shared" si="6"/>
        <v/>
      </c>
      <c r="O1130" s="7" t="str">
        <f t="shared" si="7"/>
        <v/>
      </c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>
      <c r="A1131" s="5">
        <f>IFERROR(__xludf.DUMMYFUNCTION("""COMPUTED_VALUE"""),45715.0)</f>
        <v>45715</v>
      </c>
      <c r="B1131" s="6">
        <f>IFERROR(__xludf.DUMMYFUNCTION("""COMPUTED_VALUE"""),1212.8)</f>
        <v>1212.8</v>
      </c>
      <c r="C1131" s="6">
        <f>IFERROR(__xludf.DUMMYFUNCTION("""COMPUTED_VALUE"""),1215.0)</f>
        <v>1215</v>
      </c>
      <c r="D1131" s="6">
        <f>IFERROR(__xludf.DUMMYFUNCTION("""COMPUTED_VALUE"""),1200.65)</f>
        <v>1200.65</v>
      </c>
      <c r="E1131" s="6">
        <f>IFERROR(__xludf.DUMMYFUNCTION("""COMPUTED_VALUE"""),1207.1)</f>
        <v>1207.1</v>
      </c>
      <c r="F1131" s="7">
        <f>IFERROR(__xludf.DUMMYFUNCTION("""COMPUTED_VALUE"""),1.1509215E7)</f>
        <v>11509215</v>
      </c>
      <c r="G1131" s="7" t="str">
        <f>IFERROR(__xludf.DUMMYFUNCTION("""COMPUTED_VALUE"""),"RELIANCE.NS")</f>
        <v>RELIANCE.NS</v>
      </c>
      <c r="H1131" s="8">
        <f t="shared" si="1"/>
        <v>-0.004699868074</v>
      </c>
      <c r="I1131" s="8">
        <f t="shared" si="2"/>
        <v>0.004699868074</v>
      </c>
      <c r="J1131" s="7" t="str">
        <f t="shared" si="3"/>
        <v>Feb-2025</v>
      </c>
      <c r="K1131" s="9">
        <f t="shared" si="4"/>
        <v>45689</v>
      </c>
      <c r="L1131" s="7" t="str">
        <f t="shared" si="5"/>
        <v/>
      </c>
      <c r="M1131" s="7" t="str">
        <f>IFERROR(__xludf.DUMMYFUNCTION("IFERROR(
  IF(
    F1131 &gt;
    3*AVERAGE(
       FILTER($F$2:$F10491,
         $G$2:$G10491=G1131,
         $A$2:$A10491&gt;=A1131-20,
         $A$2:$A10491&lt;=A1131
       )
    ),
    ""VOL_SPIKE_3X"",""""
  ),
"""")
"),"")</f>
        <v/>
      </c>
      <c r="N1131" s="7" t="str">
        <f t="shared" si="6"/>
        <v/>
      </c>
      <c r="O1131" s="7" t="str">
        <f t="shared" si="7"/>
        <v/>
      </c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>
      <c r="A1132" s="5">
        <f>IFERROR(__xludf.DUMMYFUNCTION("""COMPUTED_VALUE"""),45716.0)</f>
        <v>45716</v>
      </c>
      <c r="B1132" s="6">
        <f>IFERROR(__xludf.DUMMYFUNCTION("""COMPUTED_VALUE"""),661.7)</f>
        <v>661.7</v>
      </c>
      <c r="C1132" s="6">
        <f>IFERROR(__xludf.DUMMYFUNCTION("""COMPUTED_VALUE"""),673.35)</f>
        <v>673.35</v>
      </c>
      <c r="D1132" s="6">
        <f>IFERROR(__xludf.DUMMYFUNCTION("""COMPUTED_VALUE"""),648.05)</f>
        <v>648.05</v>
      </c>
      <c r="E1132" s="6">
        <f>IFERROR(__xludf.DUMMYFUNCTION("""COMPUTED_VALUE"""),650.9)</f>
        <v>650.9</v>
      </c>
      <c r="F1132" s="7">
        <f>IFERROR(__xludf.DUMMYFUNCTION("""COMPUTED_VALUE"""),1766312.0)</f>
        <v>1766312</v>
      </c>
      <c r="G1132" s="7" t="str">
        <f>IFERROR(__xludf.DUMMYFUNCTION("""COMPUTED_VALUE"""),"ADANIENSOL.NS")</f>
        <v>ADANIENSOL.NS</v>
      </c>
      <c r="H1132" s="8">
        <f t="shared" si="1"/>
        <v>-0.01632159589</v>
      </c>
      <c r="I1132" s="8">
        <f t="shared" si="2"/>
        <v>0.01632159589</v>
      </c>
      <c r="J1132" s="7" t="str">
        <f t="shared" si="3"/>
        <v>Feb-2025</v>
      </c>
      <c r="K1132" s="9">
        <f t="shared" si="4"/>
        <v>45689</v>
      </c>
      <c r="L1132" s="7" t="str">
        <f t="shared" si="5"/>
        <v/>
      </c>
      <c r="M1132" s="7" t="str">
        <f>IFERROR(__xludf.DUMMYFUNCTION("IFERROR(
  IF(
    F1132 &gt;
    3*AVERAGE(
       FILTER($F$2:$F10491,
         $G$2:$G10491=G1132,
         $A$2:$A10491&gt;=A1132-20,
         $A$2:$A10491&lt;=A1132
       )
    ),
    ""VOL_SPIKE_3X"",""""
  ),
"""")
"),"")</f>
        <v/>
      </c>
      <c r="N1132" s="7" t="str">
        <f t="shared" si="6"/>
        <v/>
      </c>
      <c r="O1132" s="7" t="str">
        <f t="shared" si="7"/>
        <v/>
      </c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>
      <c r="A1133" s="5">
        <f>IFERROR(__xludf.DUMMYFUNCTION("""COMPUTED_VALUE"""),45716.0)</f>
        <v>45716</v>
      </c>
      <c r="B1133" s="6">
        <f>IFERROR(__xludf.DUMMYFUNCTION("""COMPUTED_VALUE"""),795.1)</f>
        <v>795.1</v>
      </c>
      <c r="C1133" s="6">
        <f>IFERROR(__xludf.DUMMYFUNCTION("""COMPUTED_VALUE"""),815.0)</f>
        <v>815</v>
      </c>
      <c r="D1133" s="6">
        <f>IFERROR(__xludf.DUMMYFUNCTION("""COMPUTED_VALUE"""),760.15)</f>
        <v>760.15</v>
      </c>
      <c r="E1133" s="6">
        <f>IFERROR(__xludf.DUMMYFUNCTION("""COMPUTED_VALUE"""),774.4)</f>
        <v>774.4</v>
      </c>
      <c r="F1133" s="7">
        <f>IFERROR(__xludf.DUMMYFUNCTION("""COMPUTED_VALUE"""),4.3947584E7)</f>
        <v>43947584</v>
      </c>
      <c r="G1133" s="7" t="str">
        <f>IFERROR(__xludf.DUMMYFUNCTION("""COMPUTED_VALUE"""),"ADANIGREEN.NS")</f>
        <v>ADANIGREEN.NS</v>
      </c>
      <c r="H1133" s="8">
        <f t="shared" si="1"/>
        <v>-0.02603446107</v>
      </c>
      <c r="I1133" s="8">
        <f t="shared" si="2"/>
        <v>0.02603446107</v>
      </c>
      <c r="J1133" s="7" t="str">
        <f t="shared" si="3"/>
        <v>Feb-2025</v>
      </c>
      <c r="K1133" s="9">
        <f t="shared" si="4"/>
        <v>45689</v>
      </c>
      <c r="L1133" s="7" t="str">
        <f t="shared" si="5"/>
        <v/>
      </c>
      <c r="M1133" s="7" t="str">
        <f>IFERROR(__xludf.DUMMYFUNCTION("IFERROR(
  IF(
    F1133 &gt;
    3*AVERAGE(
       FILTER($F$2:$F10491,
         $G$2:$G10491=G1133,
         $A$2:$A10491&gt;=A1133-20,
         $A$2:$A10491&lt;=A1133
       )
    ),
    ""VOL_SPIKE_3X"",""""
  ),
"""")
"),"VOL_SPIKE_3X")</f>
        <v>VOL_SPIKE_3X</v>
      </c>
      <c r="N1133" s="7" t="str">
        <f t="shared" si="6"/>
        <v>VOL_SPIKE_3X</v>
      </c>
      <c r="O1133" s="7" t="str">
        <f t="shared" si="7"/>
        <v/>
      </c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>
      <c r="A1134" s="5">
        <f>IFERROR(__xludf.DUMMYFUNCTION("""COMPUTED_VALUE"""),45716.0)</f>
        <v>45716</v>
      </c>
      <c r="B1134" s="6">
        <f>IFERROR(__xludf.DUMMYFUNCTION("""COMPUTED_VALUE"""),244.05)</f>
        <v>244.05</v>
      </c>
      <c r="C1134" s="6">
        <f>IFERROR(__xludf.DUMMYFUNCTION("""COMPUTED_VALUE"""),244.05)</f>
        <v>244.05</v>
      </c>
      <c r="D1134" s="6">
        <f>IFERROR(__xludf.DUMMYFUNCTION("""COMPUTED_VALUE"""),236.15)</f>
        <v>236.15</v>
      </c>
      <c r="E1134" s="6">
        <f>IFERROR(__xludf.DUMMYFUNCTION("""COMPUTED_VALUE"""),237.3)</f>
        <v>237.3</v>
      </c>
      <c r="F1134" s="7">
        <f>IFERROR(__xludf.DUMMYFUNCTION("""COMPUTED_VALUE"""),1.4066882E7)</f>
        <v>14066882</v>
      </c>
      <c r="G1134" s="7" t="str">
        <f>IFERROR(__xludf.DUMMYFUNCTION("""COMPUTED_VALUE"""),"BPCL.NS")</f>
        <v>BPCL.NS</v>
      </c>
      <c r="H1134" s="8">
        <f t="shared" si="1"/>
        <v>-0.02765826675</v>
      </c>
      <c r="I1134" s="8">
        <f t="shared" si="2"/>
        <v>0.02765826675</v>
      </c>
      <c r="J1134" s="7" t="str">
        <f t="shared" si="3"/>
        <v>Feb-2025</v>
      </c>
      <c r="K1134" s="9">
        <f t="shared" si="4"/>
        <v>45689</v>
      </c>
      <c r="L1134" s="7" t="str">
        <f t="shared" si="5"/>
        <v/>
      </c>
      <c r="M1134" s="7" t="str">
        <f>IFERROR(__xludf.DUMMYFUNCTION("IFERROR(
  IF(
    F1134 &gt;
    3*AVERAGE(
       FILTER($F$2:$F10491,
         $G$2:$G10491=G1134,
         $A$2:$A10491&gt;=A1134-20,
         $A$2:$A10491&lt;=A1134
       )
    ),
    ""VOL_SPIKE_3X"",""""
  ),
"""")
"),"")</f>
        <v/>
      </c>
      <c r="N1134" s="7" t="str">
        <f t="shared" si="6"/>
        <v/>
      </c>
      <c r="O1134" s="7" t="str">
        <f t="shared" si="7"/>
        <v/>
      </c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>
      <c r="A1135" s="5">
        <f>IFERROR(__xludf.DUMMYFUNCTION("""COMPUTED_VALUE"""),45716.0)</f>
        <v>45716</v>
      </c>
      <c r="B1135" s="6">
        <f>IFERROR(__xludf.DUMMYFUNCTION("""COMPUTED_VALUE"""),366.8)</f>
        <v>366.8</v>
      </c>
      <c r="C1135" s="6">
        <f>IFERROR(__xludf.DUMMYFUNCTION("""COMPUTED_VALUE"""),375.75)</f>
        <v>375.75</v>
      </c>
      <c r="D1135" s="6">
        <f>IFERROR(__xludf.DUMMYFUNCTION("""COMPUTED_VALUE"""),365.3)</f>
        <v>365.3</v>
      </c>
      <c r="E1135" s="6">
        <f>IFERROR(__xludf.DUMMYFUNCTION("""COMPUTED_VALUE"""),369.35)</f>
        <v>369.35</v>
      </c>
      <c r="F1135" s="7">
        <f>IFERROR(__xludf.DUMMYFUNCTION("""COMPUTED_VALUE"""),2.1899478E7)</f>
        <v>21899478</v>
      </c>
      <c r="G1135" s="7" t="str">
        <f>IFERROR(__xludf.DUMMYFUNCTION("""COMPUTED_VALUE"""),"COALINDIA.NS")</f>
        <v>COALINDIA.NS</v>
      </c>
      <c r="H1135" s="8">
        <f t="shared" si="1"/>
        <v>0.006952017448</v>
      </c>
      <c r="I1135" s="8">
        <f t="shared" si="2"/>
        <v>0.006952017448</v>
      </c>
      <c r="J1135" s="7" t="str">
        <f t="shared" si="3"/>
        <v>Feb-2025</v>
      </c>
      <c r="K1135" s="9">
        <f t="shared" si="4"/>
        <v>45689</v>
      </c>
      <c r="L1135" s="7" t="str">
        <f t="shared" si="5"/>
        <v/>
      </c>
      <c r="M1135" s="7" t="str">
        <f>IFERROR(__xludf.DUMMYFUNCTION("IFERROR(
  IF(
    F1135 &gt;
    3*AVERAGE(
       FILTER($F$2:$F10491,
         $G$2:$G10491=G1135,
         $A$2:$A10491&gt;=A1135-20,
         $A$2:$A10491&lt;=A1135
       )
    ),
    ""VOL_SPIKE_3X"",""""
  ),
"""")
"),"VOL_SPIKE_3X")</f>
        <v>VOL_SPIKE_3X</v>
      </c>
      <c r="N1135" s="7" t="str">
        <f t="shared" si="6"/>
        <v>VOL_SPIKE_3X</v>
      </c>
      <c r="O1135" s="7" t="str">
        <f t="shared" si="7"/>
        <v/>
      </c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5">
        <f>IFERROR(__xludf.DUMMYFUNCTION("""COMPUTED_VALUE"""),45716.0)</f>
        <v>45716</v>
      </c>
      <c r="B1136" s="6">
        <f>IFERROR(__xludf.DUMMYFUNCTION("""COMPUTED_VALUE"""),305.0)</f>
        <v>305</v>
      </c>
      <c r="C1136" s="6">
        <f>IFERROR(__xludf.DUMMYFUNCTION("""COMPUTED_VALUE"""),306.0)</f>
        <v>306</v>
      </c>
      <c r="D1136" s="6">
        <f>IFERROR(__xludf.DUMMYFUNCTION("""COMPUTED_VALUE"""),292.45)</f>
        <v>292.45</v>
      </c>
      <c r="E1136" s="6">
        <f>IFERROR(__xludf.DUMMYFUNCTION("""COMPUTED_VALUE"""),293.75)</f>
        <v>293.75</v>
      </c>
      <c r="F1136" s="7">
        <f>IFERROR(__xludf.DUMMYFUNCTION("""COMPUTED_VALUE"""),6517549.0)</f>
        <v>6517549</v>
      </c>
      <c r="G1136" s="7" t="str">
        <f>IFERROR(__xludf.DUMMYFUNCTION("""COMPUTED_VALUE"""),"HINDPETRO.NS")</f>
        <v>HINDPETRO.NS</v>
      </c>
      <c r="H1136" s="8">
        <f t="shared" si="1"/>
        <v>-0.0368852459</v>
      </c>
      <c r="I1136" s="8">
        <f t="shared" si="2"/>
        <v>0.0368852459</v>
      </c>
      <c r="J1136" s="7" t="str">
        <f t="shared" si="3"/>
        <v>Feb-2025</v>
      </c>
      <c r="K1136" s="9">
        <f t="shared" si="4"/>
        <v>45689</v>
      </c>
      <c r="L1136" s="7" t="str">
        <f t="shared" si="5"/>
        <v/>
      </c>
      <c r="M1136" s="7" t="str">
        <f>IFERROR(__xludf.DUMMYFUNCTION("IFERROR(
  IF(
    F1136 &gt;
    3*AVERAGE(
       FILTER($F$2:$F10491,
         $G$2:$G10491=G1136,
         $A$2:$A10491&gt;=A1136-20,
         $A$2:$A10491&lt;=A1136
       )
    ),
    ""VOL_SPIKE_3X"",""""
  ),
"""")
"),"")</f>
        <v/>
      </c>
      <c r="N1136" s="7" t="str">
        <f t="shared" si="6"/>
        <v/>
      </c>
      <c r="O1136" s="7" t="str">
        <f t="shared" si="7"/>
        <v/>
      </c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>
      <c r="A1137" s="5">
        <f>IFERROR(__xludf.DUMMYFUNCTION("""COMPUTED_VALUE"""),45716.0)</f>
        <v>45716</v>
      </c>
      <c r="B1137" s="6">
        <f>IFERROR(__xludf.DUMMYFUNCTION("""COMPUTED_VALUE"""),116.0)</f>
        <v>116</v>
      </c>
      <c r="C1137" s="6">
        <f>IFERROR(__xludf.DUMMYFUNCTION("""COMPUTED_VALUE"""),116.21)</f>
        <v>116.21</v>
      </c>
      <c r="D1137" s="6">
        <f>IFERROR(__xludf.DUMMYFUNCTION("""COMPUTED_VALUE"""),112.92)</f>
        <v>112.92</v>
      </c>
      <c r="E1137" s="6">
        <f>IFERROR(__xludf.DUMMYFUNCTION("""COMPUTED_VALUE"""),113.49)</f>
        <v>113.49</v>
      </c>
      <c r="F1137" s="7">
        <f>IFERROR(__xludf.DUMMYFUNCTION("""COMPUTED_VALUE"""),2.4161878E7)</f>
        <v>24161878</v>
      </c>
      <c r="G1137" s="7" t="str">
        <f>IFERROR(__xludf.DUMMYFUNCTION("""COMPUTED_VALUE"""),"IOC.NS")</f>
        <v>IOC.NS</v>
      </c>
      <c r="H1137" s="8">
        <f t="shared" si="1"/>
        <v>-0.02163793103</v>
      </c>
      <c r="I1137" s="8">
        <f t="shared" si="2"/>
        <v>0.02163793103</v>
      </c>
      <c r="J1137" s="7" t="str">
        <f t="shared" si="3"/>
        <v>Feb-2025</v>
      </c>
      <c r="K1137" s="9">
        <f t="shared" si="4"/>
        <v>45689</v>
      </c>
      <c r="L1137" s="7" t="str">
        <f t="shared" si="5"/>
        <v/>
      </c>
      <c r="M1137" s="7" t="str">
        <f>IFERROR(__xludf.DUMMYFUNCTION("IFERROR(
  IF(
    F1137 &gt;
    3*AVERAGE(
       FILTER($F$2:$F10491,
         $G$2:$G10491=G1137,
         $A$2:$A10491&gt;=A1137-20,
         $A$2:$A10491&lt;=A1137
       )
    ),
    ""VOL_SPIKE_3X"",""""
  ),
"""")
"),"")</f>
        <v/>
      </c>
      <c r="N1137" s="7" t="str">
        <f t="shared" si="6"/>
        <v/>
      </c>
      <c r="O1137" s="7" t="str">
        <f t="shared" si="7"/>
        <v/>
      </c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>
      <c r="A1138" s="5">
        <f>IFERROR(__xludf.DUMMYFUNCTION("""COMPUTED_VALUE"""),45716.0)</f>
        <v>45716</v>
      </c>
      <c r="B1138" s="6">
        <f>IFERROR(__xludf.DUMMYFUNCTION("""COMPUTED_VALUE"""),314.0)</f>
        <v>314</v>
      </c>
      <c r="C1138" s="6">
        <f>IFERROR(__xludf.DUMMYFUNCTION("""COMPUTED_VALUE"""),315.65)</f>
        <v>315.65</v>
      </c>
      <c r="D1138" s="6">
        <f>IFERROR(__xludf.DUMMYFUNCTION("""COMPUTED_VALUE"""),306.55)</f>
        <v>306.55</v>
      </c>
      <c r="E1138" s="6">
        <f>IFERROR(__xludf.DUMMYFUNCTION("""COMPUTED_VALUE"""),311.45)</f>
        <v>311.45</v>
      </c>
      <c r="F1138" s="7">
        <f>IFERROR(__xludf.DUMMYFUNCTION("""COMPUTED_VALUE"""),2.112718E7)</f>
        <v>21127180</v>
      </c>
      <c r="G1138" s="7" t="str">
        <f>IFERROR(__xludf.DUMMYFUNCTION("""COMPUTED_VALUE"""),"NTPC.NS")</f>
        <v>NTPC.NS</v>
      </c>
      <c r="H1138" s="8">
        <f t="shared" si="1"/>
        <v>-0.008121019108</v>
      </c>
      <c r="I1138" s="8">
        <f t="shared" si="2"/>
        <v>0.008121019108</v>
      </c>
      <c r="J1138" s="7" t="str">
        <f t="shared" si="3"/>
        <v>Feb-2025</v>
      </c>
      <c r="K1138" s="9">
        <f t="shared" si="4"/>
        <v>45689</v>
      </c>
      <c r="L1138" s="7" t="str">
        <f t="shared" si="5"/>
        <v/>
      </c>
      <c r="M1138" s="7" t="str">
        <f>IFERROR(__xludf.DUMMYFUNCTION("IFERROR(
  IF(
    F1138 &gt;
    3*AVERAGE(
       FILTER($F$2:$F10491,
         $G$2:$G10491=G1138,
         $A$2:$A10491&gt;=A1138-20,
         $A$2:$A10491&lt;=A1138
       )
    ),
    ""VOL_SPIKE_3X"",""""
  ),
"""")
"),"")</f>
        <v/>
      </c>
      <c r="N1138" s="7" t="str">
        <f t="shared" si="6"/>
        <v/>
      </c>
      <c r="O1138" s="7" t="str">
        <f t="shared" si="7"/>
        <v/>
      </c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>
      <c r="A1139" s="5">
        <f>IFERROR(__xludf.DUMMYFUNCTION("""COMPUTED_VALUE"""),45716.0)</f>
        <v>45716</v>
      </c>
      <c r="B1139" s="6">
        <f>IFERROR(__xludf.DUMMYFUNCTION("""COMPUTED_VALUE"""),230.0)</f>
        <v>230</v>
      </c>
      <c r="C1139" s="6">
        <f>IFERROR(__xludf.DUMMYFUNCTION("""COMPUTED_VALUE"""),230.5)</f>
        <v>230.5</v>
      </c>
      <c r="D1139" s="6">
        <f>IFERROR(__xludf.DUMMYFUNCTION("""COMPUTED_VALUE"""),223.15)</f>
        <v>223.15</v>
      </c>
      <c r="E1139" s="6">
        <f>IFERROR(__xludf.DUMMYFUNCTION("""COMPUTED_VALUE"""),225.25)</f>
        <v>225.25</v>
      </c>
      <c r="F1139" s="7">
        <f>IFERROR(__xludf.DUMMYFUNCTION("""COMPUTED_VALUE"""),1.7237276E7)</f>
        <v>17237276</v>
      </c>
      <c r="G1139" s="7" t="str">
        <f>IFERROR(__xludf.DUMMYFUNCTION("""COMPUTED_VALUE"""),"ONGC.NS")</f>
        <v>ONGC.NS</v>
      </c>
      <c r="H1139" s="8">
        <f t="shared" si="1"/>
        <v>-0.02065217391</v>
      </c>
      <c r="I1139" s="8">
        <f t="shared" si="2"/>
        <v>0.02065217391</v>
      </c>
      <c r="J1139" s="7" t="str">
        <f t="shared" si="3"/>
        <v>Feb-2025</v>
      </c>
      <c r="K1139" s="9">
        <f t="shared" si="4"/>
        <v>45689</v>
      </c>
      <c r="L1139" s="7" t="str">
        <f t="shared" si="5"/>
        <v/>
      </c>
      <c r="M1139" s="7" t="str">
        <f>IFERROR(__xludf.DUMMYFUNCTION("IFERROR(
  IF(
    F1139 &gt;
    3*AVERAGE(
       FILTER($F$2:$F10491,
         $G$2:$G10491=G1139,
         $A$2:$A10491&gt;=A1139-20,
         $A$2:$A10491&lt;=A1139
       )
    ),
    ""VOL_SPIKE_3X"",""""
  ),
"""")
"),"")</f>
        <v/>
      </c>
      <c r="N1139" s="7" t="str">
        <f t="shared" si="6"/>
        <v/>
      </c>
      <c r="O1139" s="7" t="str">
        <f t="shared" si="7"/>
        <v/>
      </c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>
      <c r="A1140" s="5">
        <f>IFERROR(__xludf.DUMMYFUNCTION("""COMPUTED_VALUE"""),45716.0)</f>
        <v>45716</v>
      </c>
      <c r="B1140" s="6">
        <f>IFERROR(__xludf.DUMMYFUNCTION("""COMPUTED_VALUE"""),255.9)</f>
        <v>255.9</v>
      </c>
      <c r="C1140" s="6">
        <f>IFERROR(__xludf.DUMMYFUNCTION("""COMPUTED_VALUE"""),257.0)</f>
        <v>257</v>
      </c>
      <c r="D1140" s="6">
        <f>IFERROR(__xludf.DUMMYFUNCTION("""COMPUTED_VALUE"""),247.3)</f>
        <v>247.3</v>
      </c>
      <c r="E1140" s="6">
        <f>IFERROR(__xludf.DUMMYFUNCTION("""COMPUTED_VALUE"""),250.85)</f>
        <v>250.85</v>
      </c>
      <c r="F1140" s="7">
        <f>IFERROR(__xludf.DUMMYFUNCTION("""COMPUTED_VALUE"""),3.8512868E7)</f>
        <v>38512868</v>
      </c>
      <c r="G1140" s="7" t="str">
        <f>IFERROR(__xludf.DUMMYFUNCTION("""COMPUTED_VALUE"""),"POWERGRID.NS")</f>
        <v>POWERGRID.NS</v>
      </c>
      <c r="H1140" s="8">
        <f t="shared" si="1"/>
        <v>-0.0197342712</v>
      </c>
      <c r="I1140" s="8">
        <f t="shared" si="2"/>
        <v>0.0197342712</v>
      </c>
      <c r="J1140" s="7" t="str">
        <f t="shared" si="3"/>
        <v>Feb-2025</v>
      </c>
      <c r="K1140" s="9">
        <f t="shared" si="4"/>
        <v>45689</v>
      </c>
      <c r="L1140" s="7" t="str">
        <f t="shared" si="5"/>
        <v/>
      </c>
      <c r="M1140" s="7" t="str">
        <f>IFERROR(__xludf.DUMMYFUNCTION("IFERROR(
  IF(
    F1140 &gt;
    3*AVERAGE(
       FILTER($F$2:$F10491,
         $G$2:$G10491=G1140,
         $A$2:$A10491&gt;=A1140-20,
         $A$2:$A10491&lt;=A1140
       )
    ),
    ""VOL_SPIKE_3X"",""""
  ),
"""")
"),"")</f>
        <v/>
      </c>
      <c r="N1140" s="7" t="str">
        <f t="shared" si="6"/>
        <v/>
      </c>
      <c r="O1140" s="7" t="str">
        <f t="shared" si="7"/>
        <v/>
      </c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>
      <c r="A1141" s="5">
        <f>IFERROR(__xludf.DUMMYFUNCTION("""COMPUTED_VALUE"""),45716.0)</f>
        <v>45716</v>
      </c>
      <c r="B1141" s="6">
        <f>IFERROR(__xludf.DUMMYFUNCTION("""COMPUTED_VALUE"""),1202.0)</f>
        <v>1202</v>
      </c>
      <c r="C1141" s="6">
        <f>IFERROR(__xludf.DUMMYFUNCTION("""COMPUTED_VALUE"""),1217.35)</f>
        <v>1217.35</v>
      </c>
      <c r="D1141" s="6">
        <f>IFERROR(__xludf.DUMMYFUNCTION("""COMPUTED_VALUE"""),1193.3)</f>
        <v>1193.3</v>
      </c>
      <c r="E1141" s="6">
        <f>IFERROR(__xludf.DUMMYFUNCTION("""COMPUTED_VALUE"""),1200.1)</f>
        <v>1200.1</v>
      </c>
      <c r="F1141" s="7">
        <f>IFERROR(__xludf.DUMMYFUNCTION("""COMPUTED_VALUE"""),2.3007298E7)</f>
        <v>23007298</v>
      </c>
      <c r="G1141" s="7" t="str">
        <f>IFERROR(__xludf.DUMMYFUNCTION("""COMPUTED_VALUE"""),"RELIANCE.NS")</f>
        <v>RELIANCE.NS</v>
      </c>
      <c r="H1141" s="8">
        <f t="shared" si="1"/>
        <v>-0.001580698835</v>
      </c>
      <c r="I1141" s="8">
        <f t="shared" si="2"/>
        <v>0.001580698835</v>
      </c>
      <c r="J1141" s="7" t="str">
        <f t="shared" si="3"/>
        <v>Feb-2025</v>
      </c>
      <c r="K1141" s="9">
        <f t="shared" si="4"/>
        <v>45689</v>
      </c>
      <c r="L1141" s="7" t="str">
        <f t="shared" si="5"/>
        <v/>
      </c>
      <c r="M1141" s="7" t="str">
        <f>IFERROR(__xludf.DUMMYFUNCTION("IFERROR(
  IF(
    F1141 &gt;
    3*AVERAGE(
       FILTER($F$2:$F10491,
         $G$2:$G10491=G1141,
         $A$2:$A10491&gt;=A1141-20,
         $A$2:$A10491&lt;=A1141
       )
    ),
    ""VOL_SPIKE_3X"",""""
  ),
"""")
"),"")</f>
        <v/>
      </c>
      <c r="N1141" s="7" t="str">
        <f t="shared" si="6"/>
        <v/>
      </c>
      <c r="O1141" s="7" t="str">
        <f t="shared" si="7"/>
        <v/>
      </c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>
      <c r="A1142" s="5">
        <f>IFERROR(__xludf.DUMMYFUNCTION("""COMPUTED_VALUE"""),45719.0)</f>
        <v>45719</v>
      </c>
      <c r="B1142" s="6">
        <f>IFERROR(__xludf.DUMMYFUNCTION("""COMPUTED_VALUE"""),652.55)</f>
        <v>652.55</v>
      </c>
      <c r="C1142" s="6">
        <f>IFERROR(__xludf.DUMMYFUNCTION("""COMPUTED_VALUE"""),664.05)</f>
        <v>664.05</v>
      </c>
      <c r="D1142" s="6">
        <f>IFERROR(__xludf.DUMMYFUNCTION("""COMPUTED_VALUE"""),639.45)</f>
        <v>639.45</v>
      </c>
      <c r="E1142" s="6">
        <f>IFERROR(__xludf.DUMMYFUNCTION("""COMPUTED_VALUE"""),654.05)</f>
        <v>654.05</v>
      </c>
      <c r="F1142" s="7">
        <f>IFERROR(__xludf.DUMMYFUNCTION("""COMPUTED_VALUE"""),1160382.0)</f>
        <v>1160382</v>
      </c>
      <c r="G1142" s="7" t="str">
        <f>IFERROR(__xludf.DUMMYFUNCTION("""COMPUTED_VALUE"""),"ADANIENSOL.NS")</f>
        <v>ADANIENSOL.NS</v>
      </c>
      <c r="H1142" s="8">
        <f t="shared" si="1"/>
        <v>0.002298674431</v>
      </c>
      <c r="I1142" s="8">
        <f t="shared" si="2"/>
        <v>0.002298674431</v>
      </c>
      <c r="J1142" s="7" t="str">
        <f t="shared" si="3"/>
        <v>Mar-2025</v>
      </c>
      <c r="K1142" s="9">
        <f t="shared" si="4"/>
        <v>45717</v>
      </c>
      <c r="L1142" s="7" t="str">
        <f t="shared" si="5"/>
        <v/>
      </c>
      <c r="M1142" s="7" t="str">
        <f>IFERROR(__xludf.DUMMYFUNCTION("IFERROR(
  IF(
    F1142 &gt;
    3*AVERAGE(
       FILTER($F$2:$F10491,
         $G$2:$G10491=G1142,
         $A$2:$A10491&gt;=A1142-20,
         $A$2:$A10491&lt;=A1142
       )
    ),
    ""VOL_SPIKE_3X"",""""
  ),
"""")
"),"")</f>
        <v/>
      </c>
      <c r="N1142" s="7" t="str">
        <f t="shared" si="6"/>
        <v/>
      </c>
      <c r="O1142" s="7" t="str">
        <f t="shared" si="7"/>
        <v/>
      </c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>
      <c r="A1143" s="5">
        <f>IFERROR(__xludf.DUMMYFUNCTION("""COMPUTED_VALUE"""),45719.0)</f>
        <v>45719</v>
      </c>
      <c r="B1143" s="6">
        <f>IFERROR(__xludf.DUMMYFUNCTION("""COMPUTED_VALUE"""),775.0)</f>
        <v>775</v>
      </c>
      <c r="C1143" s="6">
        <f>IFERROR(__xludf.DUMMYFUNCTION("""COMPUTED_VALUE"""),808.8)</f>
        <v>808.8</v>
      </c>
      <c r="D1143" s="6">
        <f>IFERROR(__xludf.DUMMYFUNCTION("""COMPUTED_VALUE"""),758.0)</f>
        <v>758</v>
      </c>
      <c r="E1143" s="6">
        <f>IFERROR(__xludf.DUMMYFUNCTION("""COMPUTED_VALUE"""),804.1)</f>
        <v>804.1</v>
      </c>
      <c r="F1143" s="7">
        <f>IFERROR(__xludf.DUMMYFUNCTION("""COMPUTED_VALUE"""),5720645.0)</f>
        <v>5720645</v>
      </c>
      <c r="G1143" s="7" t="str">
        <f>IFERROR(__xludf.DUMMYFUNCTION("""COMPUTED_VALUE"""),"ADANIGREEN.NS")</f>
        <v>ADANIGREEN.NS</v>
      </c>
      <c r="H1143" s="8">
        <f t="shared" si="1"/>
        <v>0.0375483871</v>
      </c>
      <c r="I1143" s="8">
        <f t="shared" si="2"/>
        <v>0.0375483871</v>
      </c>
      <c r="J1143" s="7" t="str">
        <f t="shared" si="3"/>
        <v>Mar-2025</v>
      </c>
      <c r="K1143" s="9">
        <f t="shared" si="4"/>
        <v>45717</v>
      </c>
      <c r="L1143" s="7" t="str">
        <f t="shared" si="5"/>
        <v/>
      </c>
      <c r="M1143" s="7" t="str">
        <f>IFERROR(__xludf.DUMMYFUNCTION("IFERROR(
  IF(
    F1143 &gt;
    3*AVERAGE(
       FILTER($F$2:$F10491,
         $G$2:$G10491=G1143,
         $A$2:$A10491&gt;=A1143-20,
         $A$2:$A10491&lt;=A1143
       )
    ),
    ""VOL_SPIKE_3X"",""""
  ),
"""")
"),"")</f>
        <v/>
      </c>
      <c r="N1143" s="7" t="str">
        <f t="shared" si="6"/>
        <v/>
      </c>
      <c r="O1143" s="7" t="str">
        <f t="shared" si="7"/>
        <v/>
      </c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>
      <c r="A1144" s="5">
        <f>IFERROR(__xludf.DUMMYFUNCTION("""COMPUTED_VALUE"""),45719.0)</f>
        <v>45719</v>
      </c>
      <c r="B1144" s="6">
        <f>IFERROR(__xludf.DUMMYFUNCTION("""COMPUTED_VALUE"""),239.0)</f>
        <v>239</v>
      </c>
      <c r="C1144" s="6">
        <f>IFERROR(__xludf.DUMMYFUNCTION("""COMPUTED_VALUE"""),243.64)</f>
        <v>243.64</v>
      </c>
      <c r="D1144" s="6">
        <f>IFERROR(__xludf.DUMMYFUNCTION("""COMPUTED_VALUE"""),234.01)</f>
        <v>234.01</v>
      </c>
      <c r="E1144" s="6">
        <f>IFERROR(__xludf.DUMMYFUNCTION("""COMPUTED_VALUE"""),242.41)</f>
        <v>242.41</v>
      </c>
      <c r="F1144" s="7">
        <f>IFERROR(__xludf.DUMMYFUNCTION("""COMPUTED_VALUE"""),6864635.0)</f>
        <v>6864635</v>
      </c>
      <c r="G1144" s="7" t="str">
        <f>IFERROR(__xludf.DUMMYFUNCTION("""COMPUTED_VALUE"""),"BPCL.NS")</f>
        <v>BPCL.NS</v>
      </c>
      <c r="H1144" s="8">
        <f t="shared" si="1"/>
        <v>0.01426778243</v>
      </c>
      <c r="I1144" s="8">
        <f t="shared" si="2"/>
        <v>0.01426778243</v>
      </c>
      <c r="J1144" s="7" t="str">
        <f t="shared" si="3"/>
        <v>Mar-2025</v>
      </c>
      <c r="K1144" s="9">
        <f t="shared" si="4"/>
        <v>45717</v>
      </c>
      <c r="L1144" s="7" t="str">
        <f t="shared" si="5"/>
        <v/>
      </c>
      <c r="M1144" s="7" t="str">
        <f>IFERROR(__xludf.DUMMYFUNCTION("IFERROR(
  IF(
    F1144 &gt;
    3*AVERAGE(
       FILTER($F$2:$F10491,
         $G$2:$G10491=G1144,
         $A$2:$A10491&gt;=A1144-20,
         $A$2:$A10491&lt;=A1144
       )
    ),
    ""VOL_SPIKE_3X"",""""
  ),
"""")
"),"")</f>
        <v/>
      </c>
      <c r="N1144" s="7" t="str">
        <f t="shared" si="6"/>
        <v/>
      </c>
      <c r="O1144" s="7" t="str">
        <f t="shared" si="7"/>
        <v/>
      </c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>
      <c r="A1145" s="5">
        <f>IFERROR(__xludf.DUMMYFUNCTION("""COMPUTED_VALUE"""),45719.0)</f>
        <v>45719</v>
      </c>
      <c r="B1145" s="6">
        <f>IFERROR(__xludf.DUMMYFUNCTION("""COMPUTED_VALUE"""),370.0)</f>
        <v>370</v>
      </c>
      <c r="C1145" s="6">
        <f>IFERROR(__xludf.DUMMYFUNCTION("""COMPUTED_VALUE"""),371.0)</f>
        <v>371</v>
      </c>
      <c r="D1145" s="6">
        <f>IFERROR(__xludf.DUMMYFUNCTION("""COMPUTED_VALUE"""),352.4)</f>
        <v>352.4</v>
      </c>
      <c r="E1145" s="6">
        <f>IFERROR(__xludf.DUMMYFUNCTION("""COMPUTED_VALUE"""),360.35)</f>
        <v>360.35</v>
      </c>
      <c r="F1145" s="7">
        <f>IFERROR(__xludf.DUMMYFUNCTION("""COMPUTED_VALUE"""),1.2675744E7)</f>
        <v>12675744</v>
      </c>
      <c r="G1145" s="7" t="str">
        <f>IFERROR(__xludf.DUMMYFUNCTION("""COMPUTED_VALUE"""),"COALINDIA.NS")</f>
        <v>COALINDIA.NS</v>
      </c>
      <c r="H1145" s="8">
        <f t="shared" si="1"/>
        <v>-0.02608108108</v>
      </c>
      <c r="I1145" s="8">
        <f t="shared" si="2"/>
        <v>0.02608108108</v>
      </c>
      <c r="J1145" s="7" t="str">
        <f t="shared" si="3"/>
        <v>Mar-2025</v>
      </c>
      <c r="K1145" s="9">
        <f t="shared" si="4"/>
        <v>45717</v>
      </c>
      <c r="L1145" s="7" t="str">
        <f t="shared" si="5"/>
        <v/>
      </c>
      <c r="M1145" s="7" t="str">
        <f>IFERROR(__xludf.DUMMYFUNCTION("IFERROR(
  IF(
    F1145 &gt;
    3*AVERAGE(
       FILTER($F$2:$F10491,
         $G$2:$G10491=G1145,
         $A$2:$A10491&gt;=A1145-20,
         $A$2:$A10491&lt;=A1145
       )
    ),
    ""VOL_SPIKE_3X"",""""
  ),
"""")
"),"")</f>
        <v/>
      </c>
      <c r="N1145" s="7" t="str">
        <f t="shared" si="6"/>
        <v/>
      </c>
      <c r="O1145" s="7" t="str">
        <f t="shared" si="7"/>
        <v/>
      </c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>
      <c r="A1146" s="5">
        <f>IFERROR(__xludf.DUMMYFUNCTION("""COMPUTED_VALUE"""),45719.0)</f>
        <v>45719</v>
      </c>
      <c r="B1146" s="6">
        <f>IFERROR(__xludf.DUMMYFUNCTION("""COMPUTED_VALUE"""),295.0)</f>
        <v>295</v>
      </c>
      <c r="C1146" s="6">
        <f>IFERROR(__xludf.DUMMYFUNCTION("""COMPUTED_VALUE"""),298.9)</f>
        <v>298.9</v>
      </c>
      <c r="D1146" s="6">
        <f>IFERROR(__xludf.DUMMYFUNCTION("""COMPUTED_VALUE"""),287.55)</f>
        <v>287.55</v>
      </c>
      <c r="E1146" s="6">
        <f>IFERROR(__xludf.DUMMYFUNCTION("""COMPUTED_VALUE"""),297.8)</f>
        <v>297.8</v>
      </c>
      <c r="F1146" s="7">
        <f>IFERROR(__xludf.DUMMYFUNCTION("""COMPUTED_VALUE"""),3792065.0)</f>
        <v>3792065</v>
      </c>
      <c r="G1146" s="7" t="str">
        <f>IFERROR(__xludf.DUMMYFUNCTION("""COMPUTED_VALUE"""),"HINDPETRO.NS")</f>
        <v>HINDPETRO.NS</v>
      </c>
      <c r="H1146" s="8">
        <f t="shared" si="1"/>
        <v>0.009491525424</v>
      </c>
      <c r="I1146" s="8">
        <f t="shared" si="2"/>
        <v>0.009491525424</v>
      </c>
      <c r="J1146" s="7" t="str">
        <f t="shared" si="3"/>
        <v>Mar-2025</v>
      </c>
      <c r="K1146" s="9">
        <f t="shared" si="4"/>
        <v>45717</v>
      </c>
      <c r="L1146" s="7" t="str">
        <f t="shared" si="5"/>
        <v/>
      </c>
      <c r="M1146" s="7" t="str">
        <f>IFERROR(__xludf.DUMMYFUNCTION("IFERROR(
  IF(
    F1146 &gt;
    3*AVERAGE(
       FILTER($F$2:$F10491,
         $G$2:$G10491=G1146,
         $A$2:$A10491&gt;=A1146-20,
         $A$2:$A10491&lt;=A1146
       )
    ),
    ""VOL_SPIKE_3X"",""""
  ),
"""")
"),"")</f>
        <v/>
      </c>
      <c r="N1146" s="7" t="str">
        <f t="shared" si="6"/>
        <v/>
      </c>
      <c r="O1146" s="7" t="str">
        <f t="shared" si="7"/>
        <v/>
      </c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>
      <c r="A1147" s="5">
        <f>IFERROR(__xludf.DUMMYFUNCTION("""COMPUTED_VALUE"""),45719.0)</f>
        <v>45719</v>
      </c>
      <c r="B1147" s="6">
        <f>IFERROR(__xludf.DUMMYFUNCTION("""COMPUTED_VALUE"""),114.7)</f>
        <v>114.7</v>
      </c>
      <c r="C1147" s="6">
        <f>IFERROR(__xludf.DUMMYFUNCTION("""COMPUTED_VALUE"""),115.35)</f>
        <v>115.35</v>
      </c>
      <c r="D1147" s="6">
        <f>IFERROR(__xludf.DUMMYFUNCTION("""COMPUTED_VALUE"""),110.72)</f>
        <v>110.72</v>
      </c>
      <c r="E1147" s="6">
        <f>IFERROR(__xludf.DUMMYFUNCTION("""COMPUTED_VALUE"""),114.56)</f>
        <v>114.56</v>
      </c>
      <c r="F1147" s="7">
        <f>IFERROR(__xludf.DUMMYFUNCTION("""COMPUTED_VALUE"""),1.8881646E7)</f>
        <v>18881646</v>
      </c>
      <c r="G1147" s="7" t="str">
        <f>IFERROR(__xludf.DUMMYFUNCTION("""COMPUTED_VALUE"""),"IOC.NS")</f>
        <v>IOC.NS</v>
      </c>
      <c r="H1147" s="8">
        <f t="shared" si="1"/>
        <v>-0.001220575414</v>
      </c>
      <c r="I1147" s="8">
        <f t="shared" si="2"/>
        <v>0.001220575414</v>
      </c>
      <c r="J1147" s="7" t="str">
        <f t="shared" si="3"/>
        <v>Mar-2025</v>
      </c>
      <c r="K1147" s="9">
        <f t="shared" si="4"/>
        <v>45717</v>
      </c>
      <c r="L1147" s="7" t="str">
        <f t="shared" si="5"/>
        <v/>
      </c>
      <c r="M1147" s="7" t="str">
        <f>IFERROR(__xludf.DUMMYFUNCTION("IFERROR(
  IF(
    F1147 &gt;
    3*AVERAGE(
       FILTER($F$2:$F10491,
         $G$2:$G10491=G1147,
         $A$2:$A10491&gt;=A1147-20,
         $A$2:$A10491&lt;=A1147
       )
    ),
    ""VOL_SPIKE_3X"",""""
  ),
"""")
"),"")</f>
        <v/>
      </c>
      <c r="N1147" s="7" t="str">
        <f t="shared" si="6"/>
        <v/>
      </c>
      <c r="O1147" s="7" t="str">
        <f t="shared" si="7"/>
        <v/>
      </c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>
      <c r="A1148" s="5">
        <f>IFERROR(__xludf.DUMMYFUNCTION("""COMPUTED_VALUE"""),45719.0)</f>
        <v>45719</v>
      </c>
      <c r="B1148" s="6">
        <f>IFERROR(__xludf.DUMMYFUNCTION("""COMPUTED_VALUE"""),311.3)</f>
        <v>311.3</v>
      </c>
      <c r="C1148" s="6">
        <f>IFERROR(__xludf.DUMMYFUNCTION("""COMPUTED_VALUE"""),317.8)</f>
        <v>317.8</v>
      </c>
      <c r="D1148" s="6">
        <f>IFERROR(__xludf.DUMMYFUNCTION("""COMPUTED_VALUE"""),307.7)</f>
        <v>307.7</v>
      </c>
      <c r="E1148" s="6">
        <f>IFERROR(__xludf.DUMMYFUNCTION("""COMPUTED_VALUE"""),314.4)</f>
        <v>314.4</v>
      </c>
      <c r="F1148" s="7">
        <f>IFERROR(__xludf.DUMMYFUNCTION("""COMPUTED_VALUE"""),9779703.0)</f>
        <v>9779703</v>
      </c>
      <c r="G1148" s="7" t="str">
        <f>IFERROR(__xludf.DUMMYFUNCTION("""COMPUTED_VALUE"""),"NTPC.NS")</f>
        <v>NTPC.NS</v>
      </c>
      <c r="H1148" s="8">
        <f t="shared" si="1"/>
        <v>0.00995823964</v>
      </c>
      <c r="I1148" s="8">
        <f t="shared" si="2"/>
        <v>0.00995823964</v>
      </c>
      <c r="J1148" s="7" t="str">
        <f t="shared" si="3"/>
        <v>Mar-2025</v>
      </c>
      <c r="K1148" s="9">
        <f t="shared" si="4"/>
        <v>45717</v>
      </c>
      <c r="L1148" s="7" t="str">
        <f t="shared" si="5"/>
        <v/>
      </c>
      <c r="M1148" s="7" t="str">
        <f>IFERROR(__xludf.DUMMYFUNCTION("IFERROR(
  IF(
    F1148 &gt;
    3*AVERAGE(
       FILTER($F$2:$F10491,
         $G$2:$G10491=G1148,
         $A$2:$A10491&gt;=A1148-20,
         $A$2:$A10491&lt;=A1148
       )
    ),
    ""VOL_SPIKE_3X"",""""
  ),
"""")
"),"")</f>
        <v/>
      </c>
      <c r="N1148" s="7" t="str">
        <f t="shared" si="6"/>
        <v/>
      </c>
      <c r="O1148" s="7" t="str">
        <f t="shared" si="7"/>
        <v/>
      </c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>
      <c r="A1149" s="5">
        <f>IFERROR(__xludf.DUMMYFUNCTION("""COMPUTED_VALUE"""),45719.0)</f>
        <v>45719</v>
      </c>
      <c r="B1149" s="6">
        <f>IFERROR(__xludf.DUMMYFUNCTION("""COMPUTED_VALUE"""),224.75)</f>
        <v>224.75</v>
      </c>
      <c r="C1149" s="6">
        <f>IFERROR(__xludf.DUMMYFUNCTION("""COMPUTED_VALUE"""),226.0)</f>
        <v>226</v>
      </c>
      <c r="D1149" s="6">
        <f>IFERROR(__xludf.DUMMYFUNCTION("""COMPUTED_VALUE"""),218.36)</f>
        <v>218.36</v>
      </c>
      <c r="E1149" s="6">
        <f>IFERROR(__xludf.DUMMYFUNCTION("""COMPUTED_VALUE"""),225.13)</f>
        <v>225.13</v>
      </c>
      <c r="F1149" s="7">
        <f>IFERROR(__xludf.DUMMYFUNCTION("""COMPUTED_VALUE"""),1.1928529E7)</f>
        <v>11928529</v>
      </c>
      <c r="G1149" s="7" t="str">
        <f>IFERROR(__xludf.DUMMYFUNCTION("""COMPUTED_VALUE"""),"ONGC.NS")</f>
        <v>ONGC.NS</v>
      </c>
      <c r="H1149" s="8">
        <f t="shared" si="1"/>
        <v>0.001690767519</v>
      </c>
      <c r="I1149" s="8">
        <f t="shared" si="2"/>
        <v>0.001690767519</v>
      </c>
      <c r="J1149" s="7" t="str">
        <f t="shared" si="3"/>
        <v>Mar-2025</v>
      </c>
      <c r="K1149" s="9">
        <f t="shared" si="4"/>
        <v>45717</v>
      </c>
      <c r="L1149" s="7" t="str">
        <f t="shared" si="5"/>
        <v/>
      </c>
      <c r="M1149" s="7" t="str">
        <f>IFERROR(__xludf.DUMMYFUNCTION("IFERROR(
  IF(
    F1149 &gt;
    3*AVERAGE(
       FILTER($F$2:$F10491,
         $G$2:$G10491=G1149,
         $A$2:$A10491&gt;=A1149-20,
         $A$2:$A10491&lt;=A1149
       )
    ),
    ""VOL_SPIKE_3X"",""""
  ),
"""")
"),"")</f>
        <v/>
      </c>
      <c r="N1149" s="7" t="str">
        <f t="shared" si="6"/>
        <v/>
      </c>
      <c r="O1149" s="7" t="str">
        <f t="shared" si="7"/>
        <v/>
      </c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>
      <c r="A1150" s="5">
        <f>IFERROR(__xludf.DUMMYFUNCTION("""COMPUTED_VALUE"""),45719.0)</f>
        <v>45719</v>
      </c>
      <c r="B1150" s="6">
        <f>IFERROR(__xludf.DUMMYFUNCTION("""COMPUTED_VALUE"""),253.0)</f>
        <v>253</v>
      </c>
      <c r="C1150" s="6">
        <f>IFERROR(__xludf.DUMMYFUNCTION("""COMPUTED_VALUE"""),253.8)</f>
        <v>253.8</v>
      </c>
      <c r="D1150" s="6">
        <f>IFERROR(__xludf.DUMMYFUNCTION("""COMPUTED_VALUE"""),248.5)</f>
        <v>248.5</v>
      </c>
      <c r="E1150" s="6">
        <f>IFERROR(__xludf.DUMMYFUNCTION("""COMPUTED_VALUE"""),252.5)</f>
        <v>252.5</v>
      </c>
      <c r="F1150" s="7">
        <f>IFERROR(__xludf.DUMMYFUNCTION("""COMPUTED_VALUE"""),9873539.0)</f>
        <v>9873539</v>
      </c>
      <c r="G1150" s="7" t="str">
        <f>IFERROR(__xludf.DUMMYFUNCTION("""COMPUTED_VALUE"""),"POWERGRID.NS")</f>
        <v>POWERGRID.NS</v>
      </c>
      <c r="H1150" s="8">
        <f t="shared" si="1"/>
        <v>-0.001976284585</v>
      </c>
      <c r="I1150" s="8">
        <f t="shared" si="2"/>
        <v>0.001976284585</v>
      </c>
      <c r="J1150" s="7" t="str">
        <f t="shared" si="3"/>
        <v>Mar-2025</v>
      </c>
      <c r="K1150" s="9">
        <f t="shared" si="4"/>
        <v>45717</v>
      </c>
      <c r="L1150" s="7" t="str">
        <f t="shared" si="5"/>
        <v/>
      </c>
      <c r="M1150" s="7" t="str">
        <f>IFERROR(__xludf.DUMMYFUNCTION("IFERROR(
  IF(
    F1150 &gt;
    3*AVERAGE(
       FILTER($F$2:$F10491,
         $G$2:$G10491=G1150,
         $A$2:$A10491&gt;=A1150-20,
         $A$2:$A10491&lt;=A1150
       )
    ),
    ""VOL_SPIKE_3X"",""""
  ),
"""")
"),"")</f>
        <v/>
      </c>
      <c r="N1150" s="7" t="str">
        <f t="shared" si="6"/>
        <v/>
      </c>
      <c r="O1150" s="7" t="str">
        <f t="shared" si="7"/>
        <v/>
      </c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>
      <c r="A1151" s="5">
        <f>IFERROR(__xludf.DUMMYFUNCTION("""COMPUTED_VALUE"""),45719.0)</f>
        <v>45719</v>
      </c>
      <c r="B1151" s="6">
        <f>IFERROR(__xludf.DUMMYFUNCTION("""COMPUTED_VALUE"""),1204.0)</f>
        <v>1204</v>
      </c>
      <c r="C1151" s="6">
        <f>IFERROR(__xludf.DUMMYFUNCTION("""COMPUTED_VALUE"""),1206.45)</f>
        <v>1206.45</v>
      </c>
      <c r="D1151" s="6">
        <f>IFERROR(__xludf.DUMMYFUNCTION("""COMPUTED_VALUE"""),1156.0)</f>
        <v>1156</v>
      </c>
      <c r="E1151" s="6">
        <f>IFERROR(__xludf.DUMMYFUNCTION("""COMPUTED_VALUE"""),1171.25)</f>
        <v>1171.25</v>
      </c>
      <c r="F1151" s="7">
        <f>IFERROR(__xludf.DUMMYFUNCTION("""COMPUTED_VALUE"""),1.7944938E7)</f>
        <v>17944938</v>
      </c>
      <c r="G1151" s="7" t="str">
        <f>IFERROR(__xludf.DUMMYFUNCTION("""COMPUTED_VALUE"""),"RELIANCE.NS")</f>
        <v>RELIANCE.NS</v>
      </c>
      <c r="H1151" s="8">
        <f t="shared" si="1"/>
        <v>-0.02720099668</v>
      </c>
      <c r="I1151" s="8">
        <f t="shared" si="2"/>
        <v>0.02720099668</v>
      </c>
      <c r="J1151" s="7" t="str">
        <f t="shared" si="3"/>
        <v>Mar-2025</v>
      </c>
      <c r="K1151" s="9">
        <f t="shared" si="4"/>
        <v>45717</v>
      </c>
      <c r="L1151" s="7" t="str">
        <f t="shared" si="5"/>
        <v/>
      </c>
      <c r="M1151" s="7" t="str">
        <f>IFERROR(__xludf.DUMMYFUNCTION("IFERROR(
  IF(
    F1151 &gt;
    3*AVERAGE(
       FILTER($F$2:$F10491,
         $G$2:$G10491=G1151,
         $A$2:$A10491&gt;=A1151-20,
         $A$2:$A10491&lt;=A1151
       )
    ),
    ""VOL_SPIKE_3X"",""""
  ),
"""")
"),"")</f>
        <v/>
      </c>
      <c r="N1151" s="7" t="str">
        <f t="shared" si="6"/>
        <v/>
      </c>
      <c r="O1151" s="7" t="str">
        <f t="shared" si="7"/>
        <v/>
      </c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>
      <c r="A1152" s="5">
        <f>IFERROR(__xludf.DUMMYFUNCTION("""COMPUTED_VALUE"""),45720.0)</f>
        <v>45720</v>
      </c>
      <c r="B1152" s="6">
        <f>IFERROR(__xludf.DUMMYFUNCTION("""COMPUTED_VALUE"""),649.45)</f>
        <v>649.45</v>
      </c>
      <c r="C1152" s="6">
        <f>IFERROR(__xludf.DUMMYFUNCTION("""COMPUTED_VALUE"""),660.6)</f>
        <v>660.6</v>
      </c>
      <c r="D1152" s="6">
        <f>IFERROR(__xludf.DUMMYFUNCTION("""COMPUTED_VALUE"""),641.15)</f>
        <v>641.15</v>
      </c>
      <c r="E1152" s="6">
        <f>IFERROR(__xludf.DUMMYFUNCTION("""COMPUTED_VALUE"""),646.65)</f>
        <v>646.65</v>
      </c>
      <c r="F1152" s="7">
        <f>IFERROR(__xludf.DUMMYFUNCTION("""COMPUTED_VALUE"""),1074477.0)</f>
        <v>1074477</v>
      </c>
      <c r="G1152" s="7" t="str">
        <f>IFERROR(__xludf.DUMMYFUNCTION("""COMPUTED_VALUE"""),"ADANIENSOL.NS")</f>
        <v>ADANIENSOL.NS</v>
      </c>
      <c r="H1152" s="8">
        <f t="shared" si="1"/>
        <v>-0.004311340365</v>
      </c>
      <c r="I1152" s="8">
        <f t="shared" si="2"/>
        <v>0.004311340365</v>
      </c>
      <c r="J1152" s="7" t="str">
        <f t="shared" si="3"/>
        <v>Mar-2025</v>
      </c>
      <c r="K1152" s="9">
        <f t="shared" si="4"/>
        <v>45717</v>
      </c>
      <c r="L1152" s="7" t="str">
        <f t="shared" si="5"/>
        <v/>
      </c>
      <c r="M1152" s="7" t="str">
        <f>IFERROR(__xludf.DUMMYFUNCTION("IFERROR(
  IF(
    F1152 &gt;
    3*AVERAGE(
       FILTER($F$2:$F10491,
         $G$2:$G10491=G1152,
         $A$2:$A10491&gt;=A1152-20,
         $A$2:$A10491&lt;=A1152
       )
    ),
    ""VOL_SPIKE_3X"",""""
  ),
"""")
"),"")</f>
        <v/>
      </c>
      <c r="N1152" s="7" t="str">
        <f t="shared" si="6"/>
        <v/>
      </c>
      <c r="O1152" s="7" t="str">
        <f t="shared" si="7"/>
        <v/>
      </c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>
      <c r="A1153" s="5">
        <f>IFERROR(__xludf.DUMMYFUNCTION("""COMPUTED_VALUE"""),45720.0)</f>
        <v>45720</v>
      </c>
      <c r="B1153" s="6">
        <f>IFERROR(__xludf.DUMMYFUNCTION("""COMPUTED_VALUE"""),783.2)</f>
        <v>783.2</v>
      </c>
      <c r="C1153" s="6">
        <f>IFERROR(__xludf.DUMMYFUNCTION("""COMPUTED_VALUE"""),796.65)</f>
        <v>796.65</v>
      </c>
      <c r="D1153" s="6">
        <f>IFERROR(__xludf.DUMMYFUNCTION("""COMPUTED_VALUE"""),765.6)</f>
        <v>765.6</v>
      </c>
      <c r="E1153" s="6">
        <f>IFERROR(__xludf.DUMMYFUNCTION("""COMPUTED_VALUE"""),768.55)</f>
        <v>768.55</v>
      </c>
      <c r="F1153" s="7">
        <f>IFERROR(__xludf.DUMMYFUNCTION("""COMPUTED_VALUE"""),7726332.0)</f>
        <v>7726332</v>
      </c>
      <c r="G1153" s="7" t="str">
        <f>IFERROR(__xludf.DUMMYFUNCTION("""COMPUTED_VALUE"""),"ADANIGREEN.NS")</f>
        <v>ADANIGREEN.NS</v>
      </c>
      <c r="H1153" s="8">
        <f t="shared" si="1"/>
        <v>-0.01870531154</v>
      </c>
      <c r="I1153" s="8">
        <f t="shared" si="2"/>
        <v>0.01870531154</v>
      </c>
      <c r="J1153" s="7" t="str">
        <f t="shared" si="3"/>
        <v>Mar-2025</v>
      </c>
      <c r="K1153" s="9">
        <f t="shared" si="4"/>
        <v>45717</v>
      </c>
      <c r="L1153" s="7" t="str">
        <f t="shared" si="5"/>
        <v/>
      </c>
      <c r="M1153" s="7" t="str">
        <f>IFERROR(__xludf.DUMMYFUNCTION("IFERROR(
  IF(
    F1153 &gt;
    3*AVERAGE(
       FILTER($F$2:$F10491,
         $G$2:$G10491=G1153,
         $A$2:$A10491&gt;=A1153-20,
         $A$2:$A10491&lt;=A1153
       )
    ),
    ""VOL_SPIKE_3X"",""""
  ),
"""")
"),"")</f>
        <v/>
      </c>
      <c r="N1153" s="7" t="str">
        <f t="shared" si="6"/>
        <v/>
      </c>
      <c r="O1153" s="7" t="str">
        <f t="shared" si="7"/>
        <v/>
      </c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>
      <c r="A1154" s="5">
        <f>IFERROR(__xludf.DUMMYFUNCTION("""COMPUTED_VALUE"""),45720.0)</f>
        <v>45720</v>
      </c>
      <c r="B1154" s="6">
        <f>IFERROR(__xludf.DUMMYFUNCTION("""COMPUTED_VALUE"""),241.0)</f>
        <v>241</v>
      </c>
      <c r="C1154" s="6">
        <f>IFERROR(__xludf.DUMMYFUNCTION("""COMPUTED_VALUE"""),250.94)</f>
        <v>250.94</v>
      </c>
      <c r="D1154" s="6">
        <f>IFERROR(__xludf.DUMMYFUNCTION("""COMPUTED_VALUE"""),236.1)</f>
        <v>236.1</v>
      </c>
      <c r="E1154" s="6">
        <f>IFERROR(__xludf.DUMMYFUNCTION("""COMPUTED_VALUE"""),249.92)</f>
        <v>249.92</v>
      </c>
      <c r="F1154" s="7">
        <f>IFERROR(__xludf.DUMMYFUNCTION("""COMPUTED_VALUE"""),7201075.0)</f>
        <v>7201075</v>
      </c>
      <c r="G1154" s="7" t="str">
        <f>IFERROR(__xludf.DUMMYFUNCTION("""COMPUTED_VALUE"""),"BPCL.NS")</f>
        <v>BPCL.NS</v>
      </c>
      <c r="H1154" s="8">
        <f t="shared" si="1"/>
        <v>0.03701244813</v>
      </c>
      <c r="I1154" s="8">
        <f t="shared" si="2"/>
        <v>0.03701244813</v>
      </c>
      <c r="J1154" s="7" t="str">
        <f t="shared" si="3"/>
        <v>Mar-2025</v>
      </c>
      <c r="K1154" s="9">
        <f t="shared" si="4"/>
        <v>45717</v>
      </c>
      <c r="L1154" s="7" t="str">
        <f t="shared" si="5"/>
        <v/>
      </c>
      <c r="M1154" s="7" t="str">
        <f>IFERROR(__xludf.DUMMYFUNCTION("IFERROR(
  IF(
    F1154 &gt;
    3*AVERAGE(
       FILTER($F$2:$F10491,
         $G$2:$G10491=G1154,
         $A$2:$A10491&gt;=A1154-20,
         $A$2:$A10491&lt;=A1154
       )
    ),
    ""VOL_SPIKE_3X"",""""
  ),
"""")
"),"")</f>
        <v/>
      </c>
      <c r="N1154" s="7" t="str">
        <f t="shared" si="6"/>
        <v/>
      </c>
      <c r="O1154" s="7" t="str">
        <f t="shared" si="7"/>
        <v/>
      </c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>
      <c r="A1155" s="5">
        <f>IFERROR(__xludf.DUMMYFUNCTION("""COMPUTED_VALUE"""),45720.0)</f>
        <v>45720</v>
      </c>
      <c r="B1155" s="6">
        <f>IFERROR(__xludf.DUMMYFUNCTION("""COMPUTED_VALUE"""),356.1)</f>
        <v>356.1</v>
      </c>
      <c r="C1155" s="6">
        <f>IFERROR(__xludf.DUMMYFUNCTION("""COMPUTED_VALUE"""),366.5)</f>
        <v>366.5</v>
      </c>
      <c r="D1155" s="6">
        <f>IFERROR(__xludf.DUMMYFUNCTION("""COMPUTED_VALUE"""),352.6)</f>
        <v>352.6</v>
      </c>
      <c r="E1155" s="6">
        <f>IFERROR(__xludf.DUMMYFUNCTION("""COMPUTED_VALUE"""),363.85)</f>
        <v>363.85</v>
      </c>
      <c r="F1155" s="7">
        <f>IFERROR(__xludf.DUMMYFUNCTION("""COMPUTED_VALUE"""),5535218.0)</f>
        <v>5535218</v>
      </c>
      <c r="G1155" s="7" t="str">
        <f>IFERROR(__xludf.DUMMYFUNCTION("""COMPUTED_VALUE"""),"COALINDIA.NS")</f>
        <v>COALINDIA.NS</v>
      </c>
      <c r="H1155" s="8">
        <f t="shared" si="1"/>
        <v>0.02176354956</v>
      </c>
      <c r="I1155" s="8">
        <f t="shared" si="2"/>
        <v>0.02176354956</v>
      </c>
      <c r="J1155" s="7" t="str">
        <f t="shared" si="3"/>
        <v>Mar-2025</v>
      </c>
      <c r="K1155" s="9">
        <f t="shared" si="4"/>
        <v>45717</v>
      </c>
      <c r="L1155" s="7" t="str">
        <f t="shared" si="5"/>
        <v/>
      </c>
      <c r="M1155" s="7" t="str">
        <f>IFERROR(__xludf.DUMMYFUNCTION("IFERROR(
  IF(
    F1155 &gt;
    3*AVERAGE(
       FILTER($F$2:$F10491,
         $G$2:$G10491=G1155,
         $A$2:$A10491&gt;=A1155-20,
         $A$2:$A10491&lt;=A1155
       )
    ),
    ""VOL_SPIKE_3X"",""""
  ),
"""")
"),"")</f>
        <v/>
      </c>
      <c r="N1155" s="7" t="str">
        <f t="shared" si="6"/>
        <v/>
      </c>
      <c r="O1155" s="7" t="str">
        <f t="shared" si="7"/>
        <v/>
      </c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>
      <c r="A1156" s="5">
        <f>IFERROR(__xludf.DUMMYFUNCTION("""COMPUTED_VALUE"""),45720.0)</f>
        <v>45720</v>
      </c>
      <c r="B1156" s="6">
        <f>IFERROR(__xludf.DUMMYFUNCTION("""COMPUTED_VALUE"""),294.1)</f>
        <v>294.1</v>
      </c>
      <c r="C1156" s="6">
        <f>IFERROR(__xludf.DUMMYFUNCTION("""COMPUTED_VALUE"""),316.4)</f>
        <v>316.4</v>
      </c>
      <c r="D1156" s="6">
        <f>IFERROR(__xludf.DUMMYFUNCTION("""COMPUTED_VALUE"""),290.1)</f>
        <v>290.1</v>
      </c>
      <c r="E1156" s="6">
        <f>IFERROR(__xludf.DUMMYFUNCTION("""COMPUTED_VALUE"""),315.2)</f>
        <v>315.2</v>
      </c>
      <c r="F1156" s="7">
        <f>IFERROR(__xludf.DUMMYFUNCTION("""COMPUTED_VALUE"""),7276713.0)</f>
        <v>7276713</v>
      </c>
      <c r="G1156" s="7" t="str">
        <f>IFERROR(__xludf.DUMMYFUNCTION("""COMPUTED_VALUE"""),"HINDPETRO.NS")</f>
        <v>HINDPETRO.NS</v>
      </c>
      <c r="H1156" s="8">
        <f t="shared" si="1"/>
        <v>0.07174430466</v>
      </c>
      <c r="I1156" s="8">
        <f t="shared" si="2"/>
        <v>0.07174430466</v>
      </c>
      <c r="J1156" s="7" t="str">
        <f t="shared" si="3"/>
        <v>Mar-2025</v>
      </c>
      <c r="K1156" s="9">
        <f t="shared" si="4"/>
        <v>45717</v>
      </c>
      <c r="L1156" s="7" t="str">
        <f t="shared" si="5"/>
        <v>PRICE_MOVE_5PCT+</v>
      </c>
      <c r="M1156" s="7" t="str">
        <f>IFERROR(__xludf.DUMMYFUNCTION("IFERROR(
  IF(
    F1156 &gt;
    3*AVERAGE(
       FILTER($F$2:$F10491,
         $G$2:$G10491=G1156,
         $A$2:$A10491&gt;=A1156-20,
         $A$2:$A10491&lt;=A1156
       )
    ),
    ""VOL_SPIKE_3X"",""""
  ),
"""")
"),"")</f>
        <v/>
      </c>
      <c r="N1156" s="7" t="str">
        <f t="shared" si="6"/>
        <v>PRICE_MOVE_5PCT+</v>
      </c>
      <c r="O1156" s="7" t="str">
        <f t="shared" si="7"/>
        <v/>
      </c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>
      <c r="A1157" s="5">
        <f>IFERROR(__xludf.DUMMYFUNCTION("""COMPUTED_VALUE"""),45720.0)</f>
        <v>45720</v>
      </c>
      <c r="B1157" s="6">
        <f>IFERROR(__xludf.DUMMYFUNCTION("""COMPUTED_VALUE"""),113.1)</f>
        <v>113.1</v>
      </c>
      <c r="C1157" s="6">
        <f>IFERROR(__xludf.DUMMYFUNCTION("""COMPUTED_VALUE"""),118.45)</f>
        <v>118.45</v>
      </c>
      <c r="D1157" s="6">
        <f>IFERROR(__xludf.DUMMYFUNCTION("""COMPUTED_VALUE"""),111.91)</f>
        <v>111.91</v>
      </c>
      <c r="E1157" s="6">
        <f>IFERROR(__xludf.DUMMYFUNCTION("""COMPUTED_VALUE"""),118.04)</f>
        <v>118.04</v>
      </c>
      <c r="F1157" s="7">
        <f>IFERROR(__xludf.DUMMYFUNCTION("""COMPUTED_VALUE"""),1.4145658E7)</f>
        <v>14145658</v>
      </c>
      <c r="G1157" s="7" t="str">
        <f>IFERROR(__xludf.DUMMYFUNCTION("""COMPUTED_VALUE"""),"IOC.NS")</f>
        <v>IOC.NS</v>
      </c>
      <c r="H1157" s="8">
        <f t="shared" si="1"/>
        <v>0.04367816092</v>
      </c>
      <c r="I1157" s="8">
        <f t="shared" si="2"/>
        <v>0.04367816092</v>
      </c>
      <c r="J1157" s="7" t="str">
        <f t="shared" si="3"/>
        <v>Mar-2025</v>
      </c>
      <c r="K1157" s="9">
        <f t="shared" si="4"/>
        <v>45717</v>
      </c>
      <c r="L1157" s="7" t="str">
        <f t="shared" si="5"/>
        <v/>
      </c>
      <c r="M1157" s="7" t="str">
        <f>IFERROR(__xludf.DUMMYFUNCTION("IFERROR(
  IF(
    F1157 &gt;
    3*AVERAGE(
       FILTER($F$2:$F10491,
         $G$2:$G10491=G1157,
         $A$2:$A10491&gt;=A1157-20,
         $A$2:$A10491&lt;=A1157
       )
    ),
    ""VOL_SPIKE_3X"",""""
  ),
"""")
"),"")</f>
        <v/>
      </c>
      <c r="N1157" s="7" t="str">
        <f t="shared" si="6"/>
        <v/>
      </c>
      <c r="O1157" s="7" t="str">
        <f t="shared" si="7"/>
        <v/>
      </c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>
      <c r="A1158" s="5">
        <f>IFERROR(__xludf.DUMMYFUNCTION("""COMPUTED_VALUE"""),45720.0)</f>
        <v>45720</v>
      </c>
      <c r="B1158" s="6">
        <f>IFERROR(__xludf.DUMMYFUNCTION("""COMPUTED_VALUE"""),311.3)</f>
        <v>311.3</v>
      </c>
      <c r="C1158" s="6">
        <f>IFERROR(__xludf.DUMMYFUNCTION("""COMPUTED_VALUE"""),314.9)</f>
        <v>314.9</v>
      </c>
      <c r="D1158" s="6">
        <f>IFERROR(__xludf.DUMMYFUNCTION("""COMPUTED_VALUE"""),308.0)</f>
        <v>308</v>
      </c>
      <c r="E1158" s="6">
        <f>IFERROR(__xludf.DUMMYFUNCTION("""COMPUTED_VALUE"""),313.75)</f>
        <v>313.75</v>
      </c>
      <c r="F1158" s="7">
        <f>IFERROR(__xludf.DUMMYFUNCTION("""COMPUTED_VALUE"""),8734999.0)</f>
        <v>8734999</v>
      </c>
      <c r="G1158" s="7" t="str">
        <f>IFERROR(__xludf.DUMMYFUNCTION("""COMPUTED_VALUE"""),"NTPC.NS")</f>
        <v>NTPC.NS</v>
      </c>
      <c r="H1158" s="8">
        <f t="shared" si="1"/>
        <v>0.007870221651</v>
      </c>
      <c r="I1158" s="8">
        <f t="shared" si="2"/>
        <v>0.007870221651</v>
      </c>
      <c r="J1158" s="7" t="str">
        <f t="shared" si="3"/>
        <v>Mar-2025</v>
      </c>
      <c r="K1158" s="9">
        <f t="shared" si="4"/>
        <v>45717</v>
      </c>
      <c r="L1158" s="7" t="str">
        <f t="shared" si="5"/>
        <v/>
      </c>
      <c r="M1158" s="7" t="str">
        <f>IFERROR(__xludf.DUMMYFUNCTION("IFERROR(
  IF(
    F1158 &gt;
    3*AVERAGE(
       FILTER($F$2:$F10491,
         $G$2:$G10491=G1158,
         $A$2:$A10491&gt;=A1158-20,
         $A$2:$A10491&lt;=A1158
       )
    ),
    ""VOL_SPIKE_3X"",""""
  ),
"""")
"),"")</f>
        <v/>
      </c>
      <c r="N1158" s="7" t="str">
        <f t="shared" si="6"/>
        <v/>
      </c>
      <c r="O1158" s="7" t="str">
        <f t="shared" si="7"/>
        <v/>
      </c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>
      <c r="A1159" s="5">
        <f>IFERROR(__xludf.DUMMYFUNCTION("""COMPUTED_VALUE"""),45720.0)</f>
        <v>45720</v>
      </c>
      <c r="B1159" s="6">
        <f>IFERROR(__xludf.DUMMYFUNCTION("""COMPUTED_VALUE"""),220.1)</f>
        <v>220.1</v>
      </c>
      <c r="C1159" s="6">
        <f>IFERROR(__xludf.DUMMYFUNCTION("""COMPUTED_VALUE"""),227.75)</f>
        <v>227.75</v>
      </c>
      <c r="D1159" s="6">
        <f>IFERROR(__xludf.DUMMYFUNCTION("""COMPUTED_VALUE"""),215.48)</f>
        <v>215.48</v>
      </c>
      <c r="E1159" s="6">
        <f>IFERROR(__xludf.DUMMYFUNCTION("""COMPUTED_VALUE"""),226.76)</f>
        <v>226.76</v>
      </c>
      <c r="F1159" s="7">
        <f>IFERROR(__xludf.DUMMYFUNCTION("""COMPUTED_VALUE"""),1.2428265E7)</f>
        <v>12428265</v>
      </c>
      <c r="G1159" s="7" t="str">
        <f>IFERROR(__xludf.DUMMYFUNCTION("""COMPUTED_VALUE"""),"ONGC.NS")</f>
        <v>ONGC.NS</v>
      </c>
      <c r="H1159" s="8">
        <f t="shared" si="1"/>
        <v>0.03025897319</v>
      </c>
      <c r="I1159" s="8">
        <f t="shared" si="2"/>
        <v>0.03025897319</v>
      </c>
      <c r="J1159" s="7" t="str">
        <f t="shared" si="3"/>
        <v>Mar-2025</v>
      </c>
      <c r="K1159" s="9">
        <f t="shared" si="4"/>
        <v>45717</v>
      </c>
      <c r="L1159" s="7" t="str">
        <f t="shared" si="5"/>
        <v/>
      </c>
      <c r="M1159" s="7" t="str">
        <f>IFERROR(__xludf.DUMMYFUNCTION("IFERROR(
  IF(
    F1159 &gt;
    3*AVERAGE(
       FILTER($F$2:$F10491,
         $G$2:$G10491=G1159,
         $A$2:$A10491&gt;=A1159-20,
         $A$2:$A10491&lt;=A1159
       )
    ),
    ""VOL_SPIKE_3X"",""""
  ),
"""")
"),"")</f>
        <v/>
      </c>
      <c r="N1159" s="7" t="str">
        <f t="shared" si="6"/>
        <v/>
      </c>
      <c r="O1159" s="7" t="str">
        <f t="shared" si="7"/>
        <v/>
      </c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>
      <c r="A1160" s="5">
        <f>IFERROR(__xludf.DUMMYFUNCTION("""COMPUTED_VALUE"""),45720.0)</f>
        <v>45720</v>
      </c>
      <c r="B1160" s="6">
        <f>IFERROR(__xludf.DUMMYFUNCTION("""COMPUTED_VALUE"""),250.0)</f>
        <v>250</v>
      </c>
      <c r="C1160" s="6">
        <f>IFERROR(__xludf.DUMMYFUNCTION("""COMPUTED_VALUE"""),257.15)</f>
        <v>257.15</v>
      </c>
      <c r="D1160" s="6">
        <f>IFERROR(__xludf.DUMMYFUNCTION("""COMPUTED_VALUE"""),249.45)</f>
        <v>249.45</v>
      </c>
      <c r="E1160" s="6">
        <f>IFERROR(__xludf.DUMMYFUNCTION("""COMPUTED_VALUE"""),254.0)</f>
        <v>254</v>
      </c>
      <c r="F1160" s="7">
        <f>IFERROR(__xludf.DUMMYFUNCTION("""COMPUTED_VALUE"""),1.1947033E7)</f>
        <v>11947033</v>
      </c>
      <c r="G1160" s="7" t="str">
        <f>IFERROR(__xludf.DUMMYFUNCTION("""COMPUTED_VALUE"""),"POWERGRID.NS")</f>
        <v>POWERGRID.NS</v>
      </c>
      <c r="H1160" s="8">
        <f t="shared" si="1"/>
        <v>0.016</v>
      </c>
      <c r="I1160" s="8">
        <f t="shared" si="2"/>
        <v>0.016</v>
      </c>
      <c r="J1160" s="7" t="str">
        <f t="shared" si="3"/>
        <v>Mar-2025</v>
      </c>
      <c r="K1160" s="9">
        <f t="shared" si="4"/>
        <v>45717</v>
      </c>
      <c r="L1160" s="7" t="str">
        <f t="shared" si="5"/>
        <v/>
      </c>
      <c r="M1160" s="7" t="str">
        <f>IFERROR(__xludf.DUMMYFUNCTION("IFERROR(
  IF(
    F1160 &gt;
    3*AVERAGE(
       FILTER($F$2:$F10491,
         $G$2:$G10491=G1160,
         $A$2:$A10491&gt;=A1160-20,
         $A$2:$A10491&lt;=A1160
       )
    ),
    ""VOL_SPIKE_3X"",""""
  ),
"""")
"),"")</f>
        <v/>
      </c>
      <c r="N1160" s="7" t="str">
        <f t="shared" si="6"/>
        <v/>
      </c>
      <c r="O1160" s="7" t="str">
        <f t="shared" si="7"/>
        <v/>
      </c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>
      <c r="A1161" s="5">
        <f>IFERROR(__xludf.DUMMYFUNCTION("""COMPUTED_VALUE"""),45720.0)</f>
        <v>45720</v>
      </c>
      <c r="B1161" s="6">
        <f>IFERROR(__xludf.DUMMYFUNCTION("""COMPUTED_VALUE"""),1162.2)</f>
        <v>1162.2</v>
      </c>
      <c r="C1161" s="6">
        <f>IFERROR(__xludf.DUMMYFUNCTION("""COMPUTED_VALUE"""),1174.0)</f>
        <v>1174</v>
      </c>
      <c r="D1161" s="6">
        <f>IFERROR(__xludf.DUMMYFUNCTION("""COMPUTED_VALUE"""),1159.55)</f>
        <v>1159.55</v>
      </c>
      <c r="E1161" s="6">
        <f>IFERROR(__xludf.DUMMYFUNCTION("""COMPUTED_VALUE"""),1161.9)</f>
        <v>1161.9</v>
      </c>
      <c r="F1161" s="7">
        <f>IFERROR(__xludf.DUMMYFUNCTION("""COMPUTED_VALUE"""),1.1377373E7)</f>
        <v>11377373</v>
      </c>
      <c r="G1161" s="7" t="str">
        <f>IFERROR(__xludf.DUMMYFUNCTION("""COMPUTED_VALUE"""),"RELIANCE.NS")</f>
        <v>RELIANCE.NS</v>
      </c>
      <c r="H1161" s="8">
        <f t="shared" si="1"/>
        <v>-0.0002581311306</v>
      </c>
      <c r="I1161" s="8">
        <f t="shared" si="2"/>
        <v>0.0002581311306</v>
      </c>
      <c r="J1161" s="7" t="str">
        <f t="shared" si="3"/>
        <v>Mar-2025</v>
      </c>
      <c r="K1161" s="9">
        <f t="shared" si="4"/>
        <v>45717</v>
      </c>
      <c r="L1161" s="7" t="str">
        <f t="shared" si="5"/>
        <v/>
      </c>
      <c r="M1161" s="7" t="str">
        <f>IFERROR(__xludf.DUMMYFUNCTION("IFERROR(
  IF(
    F1161 &gt;
    3*AVERAGE(
       FILTER($F$2:$F10491,
         $G$2:$G10491=G1161,
         $A$2:$A10491&gt;=A1161-20,
         $A$2:$A10491&lt;=A1161
       )
    ),
    ""VOL_SPIKE_3X"",""""
  ),
"""")
"),"")</f>
        <v/>
      </c>
      <c r="N1161" s="7" t="str">
        <f t="shared" si="6"/>
        <v/>
      </c>
      <c r="O1161" s="7" t="str">
        <f t="shared" si="7"/>
        <v/>
      </c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>
      <c r="A1162" s="5">
        <f>IFERROR(__xludf.DUMMYFUNCTION("""COMPUTED_VALUE"""),45721.0)</f>
        <v>45721</v>
      </c>
      <c r="B1162" s="6">
        <f>IFERROR(__xludf.DUMMYFUNCTION("""COMPUTED_VALUE"""),647.0)</f>
        <v>647</v>
      </c>
      <c r="C1162" s="6">
        <f>IFERROR(__xludf.DUMMYFUNCTION("""COMPUTED_VALUE"""),731.5)</f>
        <v>731.5</v>
      </c>
      <c r="D1162" s="6">
        <f>IFERROR(__xludf.DUMMYFUNCTION("""COMPUTED_VALUE"""),646.0)</f>
        <v>646</v>
      </c>
      <c r="E1162" s="6">
        <f>IFERROR(__xludf.DUMMYFUNCTION("""COMPUTED_VALUE"""),709.45)</f>
        <v>709.45</v>
      </c>
      <c r="F1162" s="7">
        <f>IFERROR(__xludf.DUMMYFUNCTION("""COMPUTED_VALUE"""),6265335.0)</f>
        <v>6265335</v>
      </c>
      <c r="G1162" s="7" t="str">
        <f>IFERROR(__xludf.DUMMYFUNCTION("""COMPUTED_VALUE"""),"ADANIENSOL.NS")</f>
        <v>ADANIENSOL.NS</v>
      </c>
      <c r="H1162" s="8">
        <f t="shared" si="1"/>
        <v>0.09652241113</v>
      </c>
      <c r="I1162" s="8">
        <f t="shared" si="2"/>
        <v>0.09652241113</v>
      </c>
      <c r="J1162" s="7" t="str">
        <f t="shared" si="3"/>
        <v>Mar-2025</v>
      </c>
      <c r="K1162" s="9">
        <f t="shared" si="4"/>
        <v>45717</v>
      </c>
      <c r="L1162" s="7" t="str">
        <f t="shared" si="5"/>
        <v>PRICE_MOVE_5PCT+</v>
      </c>
      <c r="M1162" s="7" t="str">
        <f>IFERROR(__xludf.DUMMYFUNCTION("IFERROR(
  IF(
    F1162 &gt;
    3*AVERAGE(
       FILTER($F$2:$F10491,
         $G$2:$G10491=G1162,
         $A$2:$A10491&gt;=A1162-20,
         $A$2:$A10491&lt;=A1162
       )
    ),
    ""VOL_SPIKE_3X"",""""
  ),
"""")
"),"VOL_SPIKE_3X")</f>
        <v>VOL_SPIKE_3X</v>
      </c>
      <c r="N1162" s="7" t="str">
        <f t="shared" si="6"/>
        <v>PRICE_MOVE_5PCT+;VOL_SPIKE_3X</v>
      </c>
      <c r="O1162" s="7" t="str">
        <f t="shared" si="7"/>
        <v/>
      </c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>
      <c r="A1163" s="5">
        <f>IFERROR(__xludf.DUMMYFUNCTION("""COMPUTED_VALUE"""),45721.0)</f>
        <v>45721</v>
      </c>
      <c r="B1163" s="6">
        <f>IFERROR(__xludf.DUMMYFUNCTION("""COMPUTED_VALUE"""),769.0)</f>
        <v>769</v>
      </c>
      <c r="C1163" s="6">
        <f>IFERROR(__xludf.DUMMYFUNCTION("""COMPUTED_VALUE"""),857.9)</f>
        <v>857.9</v>
      </c>
      <c r="D1163" s="6">
        <f>IFERROR(__xludf.DUMMYFUNCTION("""COMPUTED_VALUE"""),769.0)</f>
        <v>769</v>
      </c>
      <c r="E1163" s="6">
        <f>IFERROR(__xludf.DUMMYFUNCTION("""COMPUTED_VALUE"""),848.7)</f>
        <v>848.7</v>
      </c>
      <c r="F1163" s="7">
        <f>IFERROR(__xludf.DUMMYFUNCTION("""COMPUTED_VALUE"""),1.790224E7)</f>
        <v>17902240</v>
      </c>
      <c r="G1163" s="7" t="str">
        <f>IFERROR(__xludf.DUMMYFUNCTION("""COMPUTED_VALUE"""),"ADANIGREEN.NS")</f>
        <v>ADANIGREEN.NS</v>
      </c>
      <c r="H1163" s="8">
        <f t="shared" si="1"/>
        <v>0.1036410923</v>
      </c>
      <c r="I1163" s="8">
        <f t="shared" si="2"/>
        <v>0.1036410923</v>
      </c>
      <c r="J1163" s="7" t="str">
        <f t="shared" si="3"/>
        <v>Mar-2025</v>
      </c>
      <c r="K1163" s="9">
        <f t="shared" si="4"/>
        <v>45717</v>
      </c>
      <c r="L1163" s="7" t="str">
        <f t="shared" si="5"/>
        <v>PRICE_MOVE_5PCT+</v>
      </c>
      <c r="M1163" s="7" t="str">
        <f>IFERROR(__xludf.DUMMYFUNCTION("IFERROR(
  IF(
    F1163 &gt;
    3*AVERAGE(
       FILTER($F$2:$F10491,
         $G$2:$G10491=G1163,
         $A$2:$A10491&gt;=A1163-20,
         $A$2:$A10491&lt;=A1163
       )
    ),
    ""VOL_SPIKE_3X"",""""
  ),
"""")
"),"")</f>
        <v/>
      </c>
      <c r="N1163" s="7" t="str">
        <f t="shared" si="6"/>
        <v>PRICE_MOVE_5PCT+</v>
      </c>
      <c r="O1163" s="7" t="str">
        <f t="shared" si="7"/>
        <v/>
      </c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>
      <c r="A1164" s="5">
        <f>IFERROR(__xludf.DUMMYFUNCTION("""COMPUTED_VALUE"""),45721.0)</f>
        <v>45721</v>
      </c>
      <c r="B1164" s="6">
        <f>IFERROR(__xludf.DUMMYFUNCTION("""COMPUTED_VALUE"""),249.9)</f>
        <v>249.9</v>
      </c>
      <c r="C1164" s="6">
        <f>IFERROR(__xludf.DUMMYFUNCTION("""COMPUTED_VALUE"""),256.93)</f>
        <v>256.93</v>
      </c>
      <c r="D1164" s="6">
        <f>IFERROR(__xludf.DUMMYFUNCTION("""COMPUTED_VALUE"""),249.9)</f>
        <v>249.9</v>
      </c>
      <c r="E1164" s="6">
        <f>IFERROR(__xludf.DUMMYFUNCTION("""COMPUTED_VALUE"""),255.84)</f>
        <v>255.84</v>
      </c>
      <c r="F1164" s="7">
        <f>IFERROR(__xludf.DUMMYFUNCTION("""COMPUTED_VALUE"""),7802519.0)</f>
        <v>7802519</v>
      </c>
      <c r="G1164" s="7" t="str">
        <f>IFERROR(__xludf.DUMMYFUNCTION("""COMPUTED_VALUE"""),"BPCL.NS")</f>
        <v>BPCL.NS</v>
      </c>
      <c r="H1164" s="8">
        <f t="shared" si="1"/>
        <v>0.0237695078</v>
      </c>
      <c r="I1164" s="8">
        <f t="shared" si="2"/>
        <v>0.0237695078</v>
      </c>
      <c r="J1164" s="7" t="str">
        <f t="shared" si="3"/>
        <v>Mar-2025</v>
      </c>
      <c r="K1164" s="9">
        <f t="shared" si="4"/>
        <v>45717</v>
      </c>
      <c r="L1164" s="7" t="str">
        <f t="shared" si="5"/>
        <v/>
      </c>
      <c r="M1164" s="7" t="str">
        <f>IFERROR(__xludf.DUMMYFUNCTION("IFERROR(
  IF(
    F1164 &gt;
    3*AVERAGE(
       FILTER($F$2:$F10491,
         $G$2:$G10491=G1164,
         $A$2:$A10491&gt;=A1164-20,
         $A$2:$A10491&lt;=A1164
       )
    ),
    ""VOL_SPIKE_3X"",""""
  ),
"""")
"),"")</f>
        <v/>
      </c>
      <c r="N1164" s="7" t="str">
        <f t="shared" si="6"/>
        <v/>
      </c>
      <c r="O1164" s="7" t="str">
        <f t="shared" si="7"/>
        <v/>
      </c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>
      <c r="A1165" s="5">
        <f>IFERROR(__xludf.DUMMYFUNCTION("""COMPUTED_VALUE"""),45721.0)</f>
        <v>45721</v>
      </c>
      <c r="B1165" s="6">
        <f>IFERROR(__xludf.DUMMYFUNCTION("""COMPUTED_VALUE"""),362.05)</f>
        <v>362.05</v>
      </c>
      <c r="C1165" s="6">
        <f>IFERROR(__xludf.DUMMYFUNCTION("""COMPUTED_VALUE"""),368.9)</f>
        <v>368.9</v>
      </c>
      <c r="D1165" s="6">
        <f>IFERROR(__xludf.DUMMYFUNCTION("""COMPUTED_VALUE"""),362.05)</f>
        <v>362.05</v>
      </c>
      <c r="E1165" s="6">
        <f>IFERROR(__xludf.DUMMYFUNCTION("""COMPUTED_VALUE"""),368.25)</f>
        <v>368.25</v>
      </c>
      <c r="F1165" s="7">
        <f>IFERROR(__xludf.DUMMYFUNCTION("""COMPUTED_VALUE"""),5730797.0)</f>
        <v>5730797</v>
      </c>
      <c r="G1165" s="7" t="str">
        <f>IFERROR(__xludf.DUMMYFUNCTION("""COMPUTED_VALUE"""),"COALINDIA.NS")</f>
        <v>COALINDIA.NS</v>
      </c>
      <c r="H1165" s="8">
        <f t="shared" si="1"/>
        <v>0.01712470653</v>
      </c>
      <c r="I1165" s="8">
        <f t="shared" si="2"/>
        <v>0.01712470653</v>
      </c>
      <c r="J1165" s="7" t="str">
        <f t="shared" si="3"/>
        <v>Mar-2025</v>
      </c>
      <c r="K1165" s="9">
        <f t="shared" si="4"/>
        <v>45717</v>
      </c>
      <c r="L1165" s="7" t="str">
        <f t="shared" si="5"/>
        <v/>
      </c>
      <c r="M1165" s="7" t="str">
        <f>IFERROR(__xludf.DUMMYFUNCTION("IFERROR(
  IF(
    F1165 &gt;
    3*AVERAGE(
       FILTER($F$2:$F10491,
         $G$2:$G10491=G1165,
         $A$2:$A10491&gt;=A1165-20,
         $A$2:$A10491&lt;=A1165
       )
    ),
    ""VOL_SPIKE_3X"",""""
  ),
"""")
"),"")</f>
        <v/>
      </c>
      <c r="N1165" s="7" t="str">
        <f t="shared" si="6"/>
        <v/>
      </c>
      <c r="O1165" s="7" t="str">
        <f t="shared" si="7"/>
        <v/>
      </c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>
      <c r="A1166" s="5">
        <f>IFERROR(__xludf.DUMMYFUNCTION("""COMPUTED_VALUE"""),45721.0)</f>
        <v>45721</v>
      </c>
      <c r="B1166" s="6">
        <f>IFERROR(__xludf.DUMMYFUNCTION("""COMPUTED_VALUE"""),314.05)</f>
        <v>314.05</v>
      </c>
      <c r="C1166" s="6">
        <f>IFERROR(__xludf.DUMMYFUNCTION("""COMPUTED_VALUE"""),334.5)</f>
        <v>334.5</v>
      </c>
      <c r="D1166" s="6">
        <f>IFERROR(__xludf.DUMMYFUNCTION("""COMPUTED_VALUE"""),314.05)</f>
        <v>314.05</v>
      </c>
      <c r="E1166" s="6">
        <f>IFERROR(__xludf.DUMMYFUNCTION("""COMPUTED_VALUE"""),326.15)</f>
        <v>326.15</v>
      </c>
      <c r="F1166" s="7">
        <f>IFERROR(__xludf.DUMMYFUNCTION("""COMPUTED_VALUE"""),1.2406494E7)</f>
        <v>12406494</v>
      </c>
      <c r="G1166" s="7" t="str">
        <f>IFERROR(__xludf.DUMMYFUNCTION("""COMPUTED_VALUE"""),"HINDPETRO.NS")</f>
        <v>HINDPETRO.NS</v>
      </c>
      <c r="H1166" s="8">
        <f t="shared" si="1"/>
        <v>0.03852889667</v>
      </c>
      <c r="I1166" s="8">
        <f t="shared" si="2"/>
        <v>0.03852889667</v>
      </c>
      <c r="J1166" s="7" t="str">
        <f t="shared" si="3"/>
        <v>Mar-2025</v>
      </c>
      <c r="K1166" s="9">
        <f t="shared" si="4"/>
        <v>45717</v>
      </c>
      <c r="L1166" s="7" t="str">
        <f t="shared" si="5"/>
        <v/>
      </c>
      <c r="M1166" s="7" t="str">
        <f>IFERROR(__xludf.DUMMYFUNCTION("IFERROR(
  IF(
    F1166 &gt;
    3*AVERAGE(
       FILTER($F$2:$F10491,
         $G$2:$G10491=G1166,
         $A$2:$A10491&gt;=A1166-20,
         $A$2:$A10491&lt;=A1166
       )
    ),
    ""VOL_SPIKE_3X"",""""
  ),
"""")
"),"")</f>
        <v/>
      </c>
      <c r="N1166" s="7" t="str">
        <f t="shared" si="6"/>
        <v/>
      </c>
      <c r="O1166" s="7" t="str">
        <f t="shared" si="7"/>
        <v/>
      </c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>
      <c r="A1167" s="5">
        <f>IFERROR(__xludf.DUMMYFUNCTION("""COMPUTED_VALUE"""),45721.0)</f>
        <v>45721</v>
      </c>
      <c r="B1167" s="6">
        <f>IFERROR(__xludf.DUMMYFUNCTION("""COMPUTED_VALUE"""),118.04)</f>
        <v>118.04</v>
      </c>
      <c r="C1167" s="6">
        <f>IFERROR(__xludf.DUMMYFUNCTION("""COMPUTED_VALUE"""),122.58)</f>
        <v>122.58</v>
      </c>
      <c r="D1167" s="6">
        <f>IFERROR(__xludf.DUMMYFUNCTION("""COMPUTED_VALUE"""),117.75)</f>
        <v>117.75</v>
      </c>
      <c r="E1167" s="6">
        <f>IFERROR(__xludf.DUMMYFUNCTION("""COMPUTED_VALUE"""),122.25)</f>
        <v>122.25</v>
      </c>
      <c r="F1167" s="7">
        <f>IFERROR(__xludf.DUMMYFUNCTION("""COMPUTED_VALUE"""),1.9577861E7)</f>
        <v>19577861</v>
      </c>
      <c r="G1167" s="7" t="str">
        <f>IFERROR(__xludf.DUMMYFUNCTION("""COMPUTED_VALUE"""),"IOC.NS")</f>
        <v>IOC.NS</v>
      </c>
      <c r="H1167" s="8">
        <f t="shared" si="1"/>
        <v>0.03566587597</v>
      </c>
      <c r="I1167" s="8">
        <f t="shared" si="2"/>
        <v>0.03566587597</v>
      </c>
      <c r="J1167" s="7" t="str">
        <f t="shared" si="3"/>
        <v>Mar-2025</v>
      </c>
      <c r="K1167" s="9">
        <f t="shared" si="4"/>
        <v>45717</v>
      </c>
      <c r="L1167" s="7" t="str">
        <f t="shared" si="5"/>
        <v/>
      </c>
      <c r="M1167" s="7" t="str">
        <f>IFERROR(__xludf.DUMMYFUNCTION("IFERROR(
  IF(
    F1167 &gt;
    3*AVERAGE(
       FILTER($F$2:$F10491,
         $G$2:$G10491=G1167,
         $A$2:$A10491&gt;=A1167-20,
         $A$2:$A10491&lt;=A1167
       )
    ),
    ""VOL_SPIKE_3X"",""""
  ),
"""")
"),"")</f>
        <v/>
      </c>
      <c r="N1167" s="7" t="str">
        <f t="shared" si="6"/>
        <v/>
      </c>
      <c r="O1167" s="7" t="str">
        <f t="shared" si="7"/>
        <v/>
      </c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>
      <c r="A1168" s="5">
        <f>IFERROR(__xludf.DUMMYFUNCTION("""COMPUTED_VALUE"""),45721.0)</f>
        <v>45721</v>
      </c>
      <c r="B1168" s="6">
        <f>IFERROR(__xludf.DUMMYFUNCTION("""COMPUTED_VALUE"""),313.55)</f>
        <v>313.55</v>
      </c>
      <c r="C1168" s="6">
        <f>IFERROR(__xludf.DUMMYFUNCTION("""COMPUTED_VALUE"""),327.3)</f>
        <v>327.3</v>
      </c>
      <c r="D1168" s="6">
        <f>IFERROR(__xludf.DUMMYFUNCTION("""COMPUTED_VALUE"""),313.5)</f>
        <v>313.5</v>
      </c>
      <c r="E1168" s="6">
        <f>IFERROR(__xludf.DUMMYFUNCTION("""COMPUTED_VALUE"""),326.2)</f>
        <v>326.2</v>
      </c>
      <c r="F1168" s="7">
        <f>IFERROR(__xludf.DUMMYFUNCTION("""COMPUTED_VALUE"""),1.0493615E7)</f>
        <v>10493615</v>
      </c>
      <c r="G1168" s="7" t="str">
        <f>IFERROR(__xludf.DUMMYFUNCTION("""COMPUTED_VALUE"""),"NTPC.NS")</f>
        <v>NTPC.NS</v>
      </c>
      <c r="H1168" s="8">
        <f t="shared" si="1"/>
        <v>0.04034444267</v>
      </c>
      <c r="I1168" s="8">
        <f t="shared" si="2"/>
        <v>0.04034444267</v>
      </c>
      <c r="J1168" s="7" t="str">
        <f t="shared" si="3"/>
        <v>Mar-2025</v>
      </c>
      <c r="K1168" s="9">
        <f t="shared" si="4"/>
        <v>45717</v>
      </c>
      <c r="L1168" s="7" t="str">
        <f t="shared" si="5"/>
        <v/>
      </c>
      <c r="M1168" s="7" t="str">
        <f>IFERROR(__xludf.DUMMYFUNCTION("IFERROR(
  IF(
    F1168 &gt;
    3*AVERAGE(
       FILTER($F$2:$F10491,
         $G$2:$G10491=G1168,
         $A$2:$A10491&gt;=A1168-20,
         $A$2:$A10491&lt;=A1168
       )
    ),
    ""VOL_SPIKE_3X"",""""
  ),
"""")
"),"")</f>
        <v/>
      </c>
      <c r="N1168" s="7" t="str">
        <f t="shared" si="6"/>
        <v/>
      </c>
      <c r="O1168" s="7" t="str">
        <f t="shared" si="7"/>
        <v/>
      </c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>
      <c r="A1169" s="5">
        <f>IFERROR(__xludf.DUMMYFUNCTION("""COMPUTED_VALUE"""),45721.0)</f>
        <v>45721</v>
      </c>
      <c r="B1169" s="6">
        <f>IFERROR(__xludf.DUMMYFUNCTION("""COMPUTED_VALUE"""),227.12)</f>
        <v>227.12</v>
      </c>
      <c r="C1169" s="6">
        <f>IFERROR(__xludf.DUMMYFUNCTION("""COMPUTED_VALUE"""),231.25)</f>
        <v>231.25</v>
      </c>
      <c r="D1169" s="6">
        <f>IFERROR(__xludf.DUMMYFUNCTION("""COMPUTED_VALUE"""),226.76)</f>
        <v>226.76</v>
      </c>
      <c r="E1169" s="6">
        <f>IFERROR(__xludf.DUMMYFUNCTION("""COMPUTED_VALUE"""),228.94)</f>
        <v>228.94</v>
      </c>
      <c r="F1169" s="7">
        <f>IFERROR(__xludf.DUMMYFUNCTION("""COMPUTED_VALUE"""),7466729.0)</f>
        <v>7466729</v>
      </c>
      <c r="G1169" s="7" t="str">
        <f>IFERROR(__xludf.DUMMYFUNCTION("""COMPUTED_VALUE"""),"ONGC.NS")</f>
        <v>ONGC.NS</v>
      </c>
      <c r="H1169" s="8">
        <f t="shared" si="1"/>
        <v>0.008013384995</v>
      </c>
      <c r="I1169" s="8">
        <f t="shared" si="2"/>
        <v>0.008013384995</v>
      </c>
      <c r="J1169" s="7" t="str">
        <f t="shared" si="3"/>
        <v>Mar-2025</v>
      </c>
      <c r="K1169" s="9">
        <f t="shared" si="4"/>
        <v>45717</v>
      </c>
      <c r="L1169" s="7" t="str">
        <f t="shared" si="5"/>
        <v/>
      </c>
      <c r="M1169" s="7" t="str">
        <f>IFERROR(__xludf.DUMMYFUNCTION("IFERROR(
  IF(
    F1169 &gt;
    3*AVERAGE(
       FILTER($F$2:$F10491,
         $G$2:$G10491=G1169,
         $A$2:$A10491&gt;=A1169-20,
         $A$2:$A10491&lt;=A1169
       )
    ),
    ""VOL_SPIKE_3X"",""""
  ),
"""")
"),"")</f>
        <v/>
      </c>
      <c r="N1169" s="7" t="str">
        <f t="shared" si="6"/>
        <v/>
      </c>
      <c r="O1169" s="7" t="str">
        <f t="shared" si="7"/>
        <v/>
      </c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>
      <c r="A1170" s="5">
        <f>IFERROR(__xludf.DUMMYFUNCTION("""COMPUTED_VALUE"""),45721.0)</f>
        <v>45721</v>
      </c>
      <c r="B1170" s="6">
        <f>IFERROR(__xludf.DUMMYFUNCTION("""COMPUTED_VALUE"""),256.95)</f>
        <v>256.95</v>
      </c>
      <c r="C1170" s="6">
        <f>IFERROR(__xludf.DUMMYFUNCTION("""COMPUTED_VALUE"""),267.2)</f>
        <v>267.2</v>
      </c>
      <c r="D1170" s="6">
        <f>IFERROR(__xludf.DUMMYFUNCTION("""COMPUTED_VALUE"""),255.75)</f>
        <v>255.75</v>
      </c>
      <c r="E1170" s="6">
        <f>IFERROR(__xludf.DUMMYFUNCTION("""COMPUTED_VALUE"""),264.4)</f>
        <v>264.4</v>
      </c>
      <c r="F1170" s="7">
        <f>IFERROR(__xludf.DUMMYFUNCTION("""COMPUTED_VALUE"""),1.4536637E7)</f>
        <v>14536637</v>
      </c>
      <c r="G1170" s="7" t="str">
        <f>IFERROR(__xludf.DUMMYFUNCTION("""COMPUTED_VALUE"""),"POWERGRID.NS")</f>
        <v>POWERGRID.NS</v>
      </c>
      <c r="H1170" s="8">
        <f t="shared" si="1"/>
        <v>0.0289939677</v>
      </c>
      <c r="I1170" s="8">
        <f t="shared" si="2"/>
        <v>0.0289939677</v>
      </c>
      <c r="J1170" s="7" t="str">
        <f t="shared" si="3"/>
        <v>Mar-2025</v>
      </c>
      <c r="K1170" s="9">
        <f t="shared" si="4"/>
        <v>45717</v>
      </c>
      <c r="L1170" s="7" t="str">
        <f t="shared" si="5"/>
        <v/>
      </c>
      <c r="M1170" s="7" t="str">
        <f>IFERROR(__xludf.DUMMYFUNCTION("IFERROR(
  IF(
    F1170 &gt;
    3*AVERAGE(
       FILTER($F$2:$F10491,
         $G$2:$G10491=G1170,
         $A$2:$A10491&gt;=A1170-20,
         $A$2:$A10491&lt;=A1170
       )
    ),
    ""VOL_SPIKE_3X"",""""
  ),
"""")
"),"")</f>
        <v/>
      </c>
      <c r="N1170" s="7" t="str">
        <f t="shared" si="6"/>
        <v/>
      </c>
      <c r="O1170" s="7" t="str">
        <f t="shared" si="7"/>
        <v/>
      </c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>
      <c r="A1171" s="5">
        <f>IFERROR(__xludf.DUMMYFUNCTION("""COMPUTED_VALUE"""),45721.0)</f>
        <v>45721</v>
      </c>
      <c r="B1171" s="6">
        <f>IFERROR(__xludf.DUMMYFUNCTION("""COMPUTED_VALUE"""),1161.0)</f>
        <v>1161</v>
      </c>
      <c r="C1171" s="6">
        <f>IFERROR(__xludf.DUMMYFUNCTION("""COMPUTED_VALUE"""),1183.0)</f>
        <v>1183</v>
      </c>
      <c r="D1171" s="6">
        <f>IFERROR(__xludf.DUMMYFUNCTION("""COMPUTED_VALUE"""),1157.0)</f>
        <v>1157</v>
      </c>
      <c r="E1171" s="6">
        <f>IFERROR(__xludf.DUMMYFUNCTION("""COMPUTED_VALUE"""),1175.6)</f>
        <v>1175.6</v>
      </c>
      <c r="F1171" s="7">
        <f>IFERROR(__xludf.DUMMYFUNCTION("""COMPUTED_VALUE"""),8664095.0)</f>
        <v>8664095</v>
      </c>
      <c r="G1171" s="7" t="str">
        <f>IFERROR(__xludf.DUMMYFUNCTION("""COMPUTED_VALUE"""),"RELIANCE.NS")</f>
        <v>RELIANCE.NS</v>
      </c>
      <c r="H1171" s="8">
        <f t="shared" si="1"/>
        <v>0.01257536606</v>
      </c>
      <c r="I1171" s="8">
        <f t="shared" si="2"/>
        <v>0.01257536606</v>
      </c>
      <c r="J1171" s="7" t="str">
        <f t="shared" si="3"/>
        <v>Mar-2025</v>
      </c>
      <c r="K1171" s="9">
        <f t="shared" si="4"/>
        <v>45717</v>
      </c>
      <c r="L1171" s="7" t="str">
        <f t="shared" si="5"/>
        <v/>
      </c>
      <c r="M1171" s="7" t="str">
        <f>IFERROR(__xludf.DUMMYFUNCTION("IFERROR(
  IF(
    F1171 &gt;
    3*AVERAGE(
       FILTER($F$2:$F10491,
         $G$2:$G10491=G1171,
         $A$2:$A10491&gt;=A1171-20,
         $A$2:$A10491&lt;=A1171
       )
    ),
    ""VOL_SPIKE_3X"",""""
  ),
"""")
"),"")</f>
        <v/>
      </c>
      <c r="N1171" s="7" t="str">
        <f t="shared" si="6"/>
        <v/>
      </c>
      <c r="O1171" s="7" t="str">
        <f t="shared" si="7"/>
        <v/>
      </c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>
      <c r="A1172" s="5">
        <f>IFERROR(__xludf.DUMMYFUNCTION("""COMPUTED_VALUE"""),45722.0)</f>
        <v>45722</v>
      </c>
      <c r="B1172" s="6">
        <f>IFERROR(__xludf.DUMMYFUNCTION("""COMPUTED_VALUE"""),719.0)</f>
        <v>719</v>
      </c>
      <c r="C1172" s="6">
        <f>IFERROR(__xludf.DUMMYFUNCTION("""COMPUTED_VALUE"""),746.6)</f>
        <v>746.6</v>
      </c>
      <c r="D1172" s="6">
        <f>IFERROR(__xludf.DUMMYFUNCTION("""COMPUTED_VALUE"""),707.6)</f>
        <v>707.6</v>
      </c>
      <c r="E1172" s="6">
        <f>IFERROR(__xludf.DUMMYFUNCTION("""COMPUTED_VALUE"""),733.25)</f>
        <v>733.25</v>
      </c>
      <c r="F1172" s="7">
        <f>IFERROR(__xludf.DUMMYFUNCTION("""COMPUTED_VALUE"""),4897354.0)</f>
        <v>4897354</v>
      </c>
      <c r="G1172" s="7" t="str">
        <f>IFERROR(__xludf.DUMMYFUNCTION("""COMPUTED_VALUE"""),"ADANIENSOL.NS")</f>
        <v>ADANIENSOL.NS</v>
      </c>
      <c r="H1172" s="8">
        <f t="shared" si="1"/>
        <v>0.01981919332</v>
      </c>
      <c r="I1172" s="8">
        <f t="shared" si="2"/>
        <v>0.01981919332</v>
      </c>
      <c r="J1172" s="7" t="str">
        <f t="shared" si="3"/>
        <v>Mar-2025</v>
      </c>
      <c r="K1172" s="9">
        <f t="shared" si="4"/>
        <v>45717</v>
      </c>
      <c r="L1172" s="7" t="str">
        <f t="shared" si="5"/>
        <v/>
      </c>
      <c r="M1172" s="7" t="str">
        <f>IFERROR(__xludf.DUMMYFUNCTION("IFERROR(
  IF(
    F1172 &gt;
    3*AVERAGE(
       FILTER($F$2:$F10491,
         $G$2:$G10491=G1172,
         $A$2:$A10491&gt;=A1172-20,
         $A$2:$A10491&lt;=A1172
       )
    ),
    ""VOL_SPIKE_3X"",""""
  ),
"""")
"),"")</f>
        <v/>
      </c>
      <c r="N1172" s="7" t="str">
        <f t="shared" si="6"/>
        <v/>
      </c>
      <c r="O1172" s="7" t="str">
        <f t="shared" si="7"/>
        <v/>
      </c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>
      <c r="A1173" s="5">
        <f>IFERROR(__xludf.DUMMYFUNCTION("""COMPUTED_VALUE"""),45722.0)</f>
        <v>45722</v>
      </c>
      <c r="B1173" s="6">
        <f>IFERROR(__xludf.DUMMYFUNCTION("""COMPUTED_VALUE"""),868.8)</f>
        <v>868.8</v>
      </c>
      <c r="C1173" s="6">
        <f>IFERROR(__xludf.DUMMYFUNCTION("""COMPUTED_VALUE"""),872.45)</f>
        <v>872.45</v>
      </c>
      <c r="D1173" s="6">
        <f>IFERROR(__xludf.DUMMYFUNCTION("""COMPUTED_VALUE"""),836.0)</f>
        <v>836</v>
      </c>
      <c r="E1173" s="6">
        <f>IFERROR(__xludf.DUMMYFUNCTION("""COMPUTED_VALUE"""),845.95)</f>
        <v>845.95</v>
      </c>
      <c r="F1173" s="7">
        <f>IFERROR(__xludf.DUMMYFUNCTION("""COMPUTED_VALUE"""),1.0166566E7)</f>
        <v>10166566</v>
      </c>
      <c r="G1173" s="7" t="str">
        <f>IFERROR(__xludf.DUMMYFUNCTION("""COMPUTED_VALUE"""),"ADANIGREEN.NS")</f>
        <v>ADANIGREEN.NS</v>
      </c>
      <c r="H1173" s="8">
        <f t="shared" si="1"/>
        <v>-0.02630064457</v>
      </c>
      <c r="I1173" s="8">
        <f t="shared" si="2"/>
        <v>0.02630064457</v>
      </c>
      <c r="J1173" s="7" t="str">
        <f t="shared" si="3"/>
        <v>Mar-2025</v>
      </c>
      <c r="K1173" s="9">
        <f t="shared" si="4"/>
        <v>45717</v>
      </c>
      <c r="L1173" s="7" t="str">
        <f t="shared" si="5"/>
        <v/>
      </c>
      <c r="M1173" s="7" t="str">
        <f>IFERROR(__xludf.DUMMYFUNCTION("IFERROR(
  IF(
    F1173 &gt;
    3*AVERAGE(
       FILTER($F$2:$F10491,
         $G$2:$G10491=G1173,
         $A$2:$A10491&gt;=A1173-20,
         $A$2:$A10491&lt;=A1173
       )
    ),
    ""VOL_SPIKE_3X"",""""
  ),
"""")
"),"")</f>
        <v/>
      </c>
      <c r="N1173" s="7" t="str">
        <f t="shared" si="6"/>
        <v/>
      </c>
      <c r="O1173" s="7" t="str">
        <f t="shared" si="7"/>
        <v/>
      </c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>
      <c r="A1174" s="5">
        <f>IFERROR(__xludf.DUMMYFUNCTION("""COMPUTED_VALUE"""),45722.0)</f>
        <v>45722</v>
      </c>
      <c r="B1174" s="6">
        <f>IFERROR(__xludf.DUMMYFUNCTION("""COMPUTED_VALUE"""),260.0)</f>
        <v>260</v>
      </c>
      <c r="C1174" s="6">
        <f>IFERROR(__xludf.DUMMYFUNCTION("""COMPUTED_VALUE"""),265.95)</f>
        <v>265.95</v>
      </c>
      <c r="D1174" s="6">
        <f>IFERROR(__xludf.DUMMYFUNCTION("""COMPUTED_VALUE"""),259.0)</f>
        <v>259</v>
      </c>
      <c r="E1174" s="6">
        <f>IFERROR(__xludf.DUMMYFUNCTION("""COMPUTED_VALUE"""),265.04)</f>
        <v>265.04</v>
      </c>
      <c r="F1174" s="7">
        <f>IFERROR(__xludf.DUMMYFUNCTION("""COMPUTED_VALUE"""),1.2828381E7)</f>
        <v>12828381</v>
      </c>
      <c r="G1174" s="7" t="str">
        <f>IFERROR(__xludf.DUMMYFUNCTION("""COMPUTED_VALUE"""),"BPCL.NS")</f>
        <v>BPCL.NS</v>
      </c>
      <c r="H1174" s="8">
        <f t="shared" si="1"/>
        <v>0.01938461538</v>
      </c>
      <c r="I1174" s="8">
        <f t="shared" si="2"/>
        <v>0.01938461538</v>
      </c>
      <c r="J1174" s="7" t="str">
        <f t="shared" si="3"/>
        <v>Mar-2025</v>
      </c>
      <c r="K1174" s="9">
        <f t="shared" si="4"/>
        <v>45717</v>
      </c>
      <c r="L1174" s="7" t="str">
        <f t="shared" si="5"/>
        <v/>
      </c>
      <c r="M1174" s="7" t="str">
        <f>IFERROR(__xludf.DUMMYFUNCTION("IFERROR(
  IF(
    F1174 &gt;
    3*AVERAGE(
       FILTER($F$2:$F10491,
         $G$2:$G10491=G1174,
         $A$2:$A10491&gt;=A1174-20,
         $A$2:$A10491&lt;=A1174
       )
    ),
    ""VOL_SPIKE_3X"",""""
  ),
"""")
"),"")</f>
        <v/>
      </c>
      <c r="N1174" s="7" t="str">
        <f t="shared" si="6"/>
        <v/>
      </c>
      <c r="O1174" s="7" t="str">
        <f t="shared" si="7"/>
        <v/>
      </c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>
      <c r="A1175" s="5">
        <f>IFERROR(__xludf.DUMMYFUNCTION("""COMPUTED_VALUE"""),45722.0)</f>
        <v>45722</v>
      </c>
      <c r="B1175" s="6">
        <f>IFERROR(__xludf.DUMMYFUNCTION("""COMPUTED_VALUE"""),370.05)</f>
        <v>370.05</v>
      </c>
      <c r="C1175" s="6">
        <f>IFERROR(__xludf.DUMMYFUNCTION("""COMPUTED_VALUE"""),384.15)</f>
        <v>384.15</v>
      </c>
      <c r="D1175" s="6">
        <f>IFERROR(__xludf.DUMMYFUNCTION("""COMPUTED_VALUE"""),368.1)</f>
        <v>368.1</v>
      </c>
      <c r="E1175" s="6">
        <f>IFERROR(__xludf.DUMMYFUNCTION("""COMPUTED_VALUE"""),382.6)</f>
        <v>382.6</v>
      </c>
      <c r="F1175" s="7">
        <f>IFERROR(__xludf.DUMMYFUNCTION("""COMPUTED_VALUE"""),1.1247215E7)</f>
        <v>11247215</v>
      </c>
      <c r="G1175" s="7" t="str">
        <f>IFERROR(__xludf.DUMMYFUNCTION("""COMPUTED_VALUE"""),"COALINDIA.NS")</f>
        <v>COALINDIA.NS</v>
      </c>
      <c r="H1175" s="8">
        <f t="shared" si="1"/>
        <v>0.0339143359</v>
      </c>
      <c r="I1175" s="8">
        <f t="shared" si="2"/>
        <v>0.0339143359</v>
      </c>
      <c r="J1175" s="7" t="str">
        <f t="shared" si="3"/>
        <v>Mar-2025</v>
      </c>
      <c r="K1175" s="9">
        <f t="shared" si="4"/>
        <v>45717</v>
      </c>
      <c r="L1175" s="7" t="str">
        <f t="shared" si="5"/>
        <v/>
      </c>
      <c r="M1175" s="7" t="str">
        <f>IFERROR(__xludf.DUMMYFUNCTION("IFERROR(
  IF(
    F1175 &gt;
    3*AVERAGE(
       FILTER($F$2:$F10491,
         $G$2:$G10491=G1175,
         $A$2:$A10491&gt;=A1175-20,
         $A$2:$A10491&lt;=A1175
       )
    ),
    ""VOL_SPIKE_3X"",""""
  ),
"""")
"),"")</f>
        <v/>
      </c>
      <c r="N1175" s="7" t="str">
        <f t="shared" si="6"/>
        <v/>
      </c>
      <c r="O1175" s="7" t="str">
        <f t="shared" si="7"/>
        <v/>
      </c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>
      <c r="A1176" s="5">
        <f>IFERROR(__xludf.DUMMYFUNCTION("""COMPUTED_VALUE"""),45722.0)</f>
        <v>45722</v>
      </c>
      <c r="B1176" s="6">
        <f>IFERROR(__xludf.DUMMYFUNCTION("""COMPUTED_VALUE"""),334.7)</f>
        <v>334.7</v>
      </c>
      <c r="C1176" s="6">
        <f>IFERROR(__xludf.DUMMYFUNCTION("""COMPUTED_VALUE"""),342.4)</f>
        <v>342.4</v>
      </c>
      <c r="D1176" s="6">
        <f>IFERROR(__xludf.DUMMYFUNCTION("""COMPUTED_VALUE"""),331.8)</f>
        <v>331.8</v>
      </c>
      <c r="E1176" s="6">
        <f>IFERROR(__xludf.DUMMYFUNCTION("""COMPUTED_VALUE"""),339.15)</f>
        <v>339.15</v>
      </c>
      <c r="F1176" s="7">
        <f>IFERROR(__xludf.DUMMYFUNCTION("""COMPUTED_VALUE"""),1.2790937E7)</f>
        <v>12790937</v>
      </c>
      <c r="G1176" s="7" t="str">
        <f>IFERROR(__xludf.DUMMYFUNCTION("""COMPUTED_VALUE"""),"HINDPETRO.NS")</f>
        <v>HINDPETRO.NS</v>
      </c>
      <c r="H1176" s="8">
        <f t="shared" si="1"/>
        <v>0.0132954885</v>
      </c>
      <c r="I1176" s="8">
        <f t="shared" si="2"/>
        <v>0.0132954885</v>
      </c>
      <c r="J1176" s="7" t="str">
        <f t="shared" si="3"/>
        <v>Mar-2025</v>
      </c>
      <c r="K1176" s="9">
        <f t="shared" si="4"/>
        <v>45717</v>
      </c>
      <c r="L1176" s="7" t="str">
        <f t="shared" si="5"/>
        <v/>
      </c>
      <c r="M1176" s="7" t="str">
        <f>IFERROR(__xludf.DUMMYFUNCTION("IFERROR(
  IF(
    F1176 &gt;
    3*AVERAGE(
       FILTER($F$2:$F10491,
         $G$2:$G10491=G1176,
         $A$2:$A10491&gt;=A1176-20,
         $A$2:$A10491&lt;=A1176
       )
    ),
    ""VOL_SPIKE_3X"",""""
  ),
"""")
"),"")</f>
        <v/>
      </c>
      <c r="N1176" s="7" t="str">
        <f t="shared" si="6"/>
        <v/>
      </c>
      <c r="O1176" s="7" t="str">
        <f t="shared" si="7"/>
        <v/>
      </c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>
      <c r="A1177" s="5">
        <f>IFERROR(__xludf.DUMMYFUNCTION("""COMPUTED_VALUE"""),45722.0)</f>
        <v>45722</v>
      </c>
      <c r="B1177" s="6">
        <f>IFERROR(__xludf.DUMMYFUNCTION("""COMPUTED_VALUE"""),124.6)</f>
        <v>124.6</v>
      </c>
      <c r="C1177" s="6">
        <f>IFERROR(__xludf.DUMMYFUNCTION("""COMPUTED_VALUE"""),126.88)</f>
        <v>126.88</v>
      </c>
      <c r="D1177" s="6">
        <f>IFERROR(__xludf.DUMMYFUNCTION("""COMPUTED_VALUE"""),123.95)</f>
        <v>123.95</v>
      </c>
      <c r="E1177" s="6">
        <f>IFERROR(__xludf.DUMMYFUNCTION("""COMPUTED_VALUE"""),125.84)</f>
        <v>125.84</v>
      </c>
      <c r="F1177" s="7">
        <f>IFERROR(__xludf.DUMMYFUNCTION("""COMPUTED_VALUE"""),1.9384187E7)</f>
        <v>19384187</v>
      </c>
      <c r="G1177" s="7" t="str">
        <f>IFERROR(__xludf.DUMMYFUNCTION("""COMPUTED_VALUE"""),"IOC.NS")</f>
        <v>IOC.NS</v>
      </c>
      <c r="H1177" s="8">
        <f t="shared" si="1"/>
        <v>0.009951845907</v>
      </c>
      <c r="I1177" s="8">
        <f t="shared" si="2"/>
        <v>0.009951845907</v>
      </c>
      <c r="J1177" s="7" t="str">
        <f t="shared" si="3"/>
        <v>Mar-2025</v>
      </c>
      <c r="K1177" s="9">
        <f t="shared" si="4"/>
        <v>45717</v>
      </c>
      <c r="L1177" s="7" t="str">
        <f t="shared" si="5"/>
        <v/>
      </c>
      <c r="M1177" s="7" t="str">
        <f>IFERROR(__xludf.DUMMYFUNCTION("IFERROR(
  IF(
    F1177 &gt;
    3*AVERAGE(
       FILTER($F$2:$F10491,
         $G$2:$G10491=G1177,
         $A$2:$A10491&gt;=A1177-20,
         $A$2:$A10491&lt;=A1177
       )
    ),
    ""VOL_SPIKE_3X"",""""
  ),
"""")
"),"")</f>
        <v/>
      </c>
      <c r="N1177" s="7" t="str">
        <f t="shared" si="6"/>
        <v/>
      </c>
      <c r="O1177" s="7" t="str">
        <f t="shared" si="7"/>
        <v/>
      </c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>
      <c r="A1178" s="5">
        <f>IFERROR(__xludf.DUMMYFUNCTION("""COMPUTED_VALUE"""),45722.0)</f>
        <v>45722</v>
      </c>
      <c r="B1178" s="6">
        <f>IFERROR(__xludf.DUMMYFUNCTION("""COMPUTED_VALUE"""),329.0)</f>
        <v>329</v>
      </c>
      <c r="C1178" s="6">
        <f>IFERROR(__xludf.DUMMYFUNCTION("""COMPUTED_VALUE"""),338.8)</f>
        <v>338.8</v>
      </c>
      <c r="D1178" s="6">
        <f>IFERROR(__xludf.DUMMYFUNCTION("""COMPUTED_VALUE"""),323.2)</f>
        <v>323.2</v>
      </c>
      <c r="E1178" s="6">
        <f>IFERROR(__xludf.DUMMYFUNCTION("""COMPUTED_VALUE"""),337.9)</f>
        <v>337.9</v>
      </c>
      <c r="F1178" s="7">
        <f>IFERROR(__xludf.DUMMYFUNCTION("""COMPUTED_VALUE"""),2.6294903E7)</f>
        <v>26294903</v>
      </c>
      <c r="G1178" s="7" t="str">
        <f>IFERROR(__xludf.DUMMYFUNCTION("""COMPUTED_VALUE"""),"NTPC.NS")</f>
        <v>NTPC.NS</v>
      </c>
      <c r="H1178" s="8">
        <f t="shared" si="1"/>
        <v>0.02705167173</v>
      </c>
      <c r="I1178" s="8">
        <f t="shared" si="2"/>
        <v>0.02705167173</v>
      </c>
      <c r="J1178" s="7" t="str">
        <f t="shared" si="3"/>
        <v>Mar-2025</v>
      </c>
      <c r="K1178" s="9">
        <f t="shared" si="4"/>
        <v>45717</v>
      </c>
      <c r="L1178" s="7" t="str">
        <f t="shared" si="5"/>
        <v/>
      </c>
      <c r="M1178" s="7" t="str">
        <f>IFERROR(__xludf.DUMMYFUNCTION("IFERROR(
  IF(
    F1178 &gt;
    3*AVERAGE(
       FILTER($F$2:$F10491,
         $G$2:$G10491=G1178,
         $A$2:$A10491&gt;=A1178-20,
         $A$2:$A10491&lt;=A1178
       )
    ),
    ""VOL_SPIKE_3X"",""""
  ),
"""")
"),"")</f>
        <v/>
      </c>
      <c r="N1178" s="7" t="str">
        <f t="shared" si="6"/>
        <v/>
      </c>
      <c r="O1178" s="7" t="str">
        <f t="shared" si="7"/>
        <v/>
      </c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>
      <c r="A1179" s="5">
        <f>IFERROR(__xludf.DUMMYFUNCTION("""COMPUTED_VALUE"""),45722.0)</f>
        <v>45722</v>
      </c>
      <c r="B1179" s="6">
        <f>IFERROR(__xludf.DUMMYFUNCTION("""COMPUTED_VALUE"""),231.49)</f>
        <v>231.49</v>
      </c>
      <c r="C1179" s="6">
        <f>IFERROR(__xludf.DUMMYFUNCTION("""COMPUTED_VALUE"""),233.57)</f>
        <v>233.57</v>
      </c>
      <c r="D1179" s="6">
        <f>IFERROR(__xludf.DUMMYFUNCTION("""COMPUTED_VALUE"""),226.71)</f>
        <v>226.71</v>
      </c>
      <c r="E1179" s="6">
        <f>IFERROR(__xludf.DUMMYFUNCTION("""COMPUTED_VALUE"""),232.6)</f>
        <v>232.6</v>
      </c>
      <c r="F1179" s="7">
        <f>IFERROR(__xludf.DUMMYFUNCTION("""COMPUTED_VALUE"""),1.0439208E7)</f>
        <v>10439208</v>
      </c>
      <c r="G1179" s="7" t="str">
        <f>IFERROR(__xludf.DUMMYFUNCTION("""COMPUTED_VALUE"""),"ONGC.NS")</f>
        <v>ONGC.NS</v>
      </c>
      <c r="H1179" s="8">
        <f t="shared" si="1"/>
        <v>0.004795023543</v>
      </c>
      <c r="I1179" s="8">
        <f t="shared" si="2"/>
        <v>0.004795023543</v>
      </c>
      <c r="J1179" s="7" t="str">
        <f t="shared" si="3"/>
        <v>Mar-2025</v>
      </c>
      <c r="K1179" s="9">
        <f t="shared" si="4"/>
        <v>45717</v>
      </c>
      <c r="L1179" s="7" t="str">
        <f t="shared" si="5"/>
        <v/>
      </c>
      <c r="M1179" s="7" t="str">
        <f>IFERROR(__xludf.DUMMYFUNCTION("IFERROR(
  IF(
    F1179 &gt;
    3*AVERAGE(
       FILTER($F$2:$F10491,
         $G$2:$G10491=G1179,
         $A$2:$A10491&gt;=A1179-20,
         $A$2:$A10491&lt;=A1179
       )
    ),
    ""VOL_SPIKE_3X"",""""
  ),
"""")
"),"")</f>
        <v/>
      </c>
      <c r="N1179" s="7" t="str">
        <f t="shared" si="6"/>
        <v/>
      </c>
      <c r="O1179" s="7" t="str">
        <f t="shared" si="7"/>
        <v/>
      </c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>
      <c r="A1180" s="5">
        <f>IFERROR(__xludf.DUMMYFUNCTION("""COMPUTED_VALUE"""),45722.0)</f>
        <v>45722</v>
      </c>
      <c r="B1180" s="6">
        <f>IFERROR(__xludf.DUMMYFUNCTION("""COMPUTED_VALUE"""),265.15)</f>
        <v>265.15</v>
      </c>
      <c r="C1180" s="6">
        <f>IFERROR(__xludf.DUMMYFUNCTION("""COMPUTED_VALUE"""),267.3)</f>
        <v>267.3</v>
      </c>
      <c r="D1180" s="6">
        <f>IFERROR(__xludf.DUMMYFUNCTION("""COMPUTED_VALUE"""),260.7)</f>
        <v>260.7</v>
      </c>
      <c r="E1180" s="6">
        <f>IFERROR(__xludf.DUMMYFUNCTION("""COMPUTED_VALUE"""),266.65)</f>
        <v>266.65</v>
      </c>
      <c r="F1180" s="7">
        <f>IFERROR(__xludf.DUMMYFUNCTION("""COMPUTED_VALUE"""),1.1926868E7)</f>
        <v>11926868</v>
      </c>
      <c r="G1180" s="7" t="str">
        <f>IFERROR(__xludf.DUMMYFUNCTION("""COMPUTED_VALUE"""),"POWERGRID.NS")</f>
        <v>POWERGRID.NS</v>
      </c>
      <c r="H1180" s="8">
        <f t="shared" si="1"/>
        <v>0.005657175184</v>
      </c>
      <c r="I1180" s="8">
        <f t="shared" si="2"/>
        <v>0.005657175184</v>
      </c>
      <c r="J1180" s="7" t="str">
        <f t="shared" si="3"/>
        <v>Mar-2025</v>
      </c>
      <c r="K1180" s="9">
        <f t="shared" si="4"/>
        <v>45717</v>
      </c>
      <c r="L1180" s="7" t="str">
        <f t="shared" si="5"/>
        <v/>
      </c>
      <c r="M1180" s="7" t="str">
        <f>IFERROR(__xludf.DUMMYFUNCTION("IFERROR(
  IF(
    F1180 &gt;
    3*AVERAGE(
       FILTER($F$2:$F10491,
         $G$2:$G10491=G1180,
         $A$2:$A10491&gt;=A1180-20,
         $A$2:$A10491&lt;=A1180
       )
    ),
    ""VOL_SPIKE_3X"",""""
  ),
"""")
"),"")</f>
        <v/>
      </c>
      <c r="N1180" s="7" t="str">
        <f t="shared" si="6"/>
        <v/>
      </c>
      <c r="O1180" s="7" t="str">
        <f t="shared" si="7"/>
        <v/>
      </c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>
      <c r="A1181" s="5">
        <f>IFERROR(__xludf.DUMMYFUNCTION("""COMPUTED_VALUE"""),45722.0)</f>
        <v>45722</v>
      </c>
      <c r="B1181" s="6">
        <f>IFERROR(__xludf.DUMMYFUNCTION("""COMPUTED_VALUE"""),1197.0)</f>
        <v>1197</v>
      </c>
      <c r="C1181" s="6">
        <f>IFERROR(__xludf.DUMMYFUNCTION("""COMPUTED_VALUE"""),1213.95)</f>
        <v>1213.95</v>
      </c>
      <c r="D1181" s="6">
        <f>IFERROR(__xludf.DUMMYFUNCTION("""COMPUTED_VALUE"""),1185.15)</f>
        <v>1185.15</v>
      </c>
      <c r="E1181" s="6">
        <f>IFERROR(__xludf.DUMMYFUNCTION("""COMPUTED_VALUE"""),1209.6)</f>
        <v>1209.6</v>
      </c>
      <c r="F1181" s="7">
        <f>IFERROR(__xludf.DUMMYFUNCTION("""COMPUTED_VALUE"""),1.4468014E7)</f>
        <v>14468014</v>
      </c>
      <c r="G1181" s="7" t="str">
        <f>IFERROR(__xludf.DUMMYFUNCTION("""COMPUTED_VALUE"""),"RELIANCE.NS")</f>
        <v>RELIANCE.NS</v>
      </c>
      <c r="H1181" s="8">
        <f t="shared" si="1"/>
        <v>0.01052631579</v>
      </c>
      <c r="I1181" s="8">
        <f t="shared" si="2"/>
        <v>0.01052631579</v>
      </c>
      <c r="J1181" s="7" t="str">
        <f t="shared" si="3"/>
        <v>Mar-2025</v>
      </c>
      <c r="K1181" s="9">
        <f t="shared" si="4"/>
        <v>45717</v>
      </c>
      <c r="L1181" s="7" t="str">
        <f t="shared" si="5"/>
        <v/>
      </c>
      <c r="M1181" s="7" t="str">
        <f>IFERROR(__xludf.DUMMYFUNCTION("IFERROR(
  IF(
    F1181 &gt;
    3*AVERAGE(
       FILTER($F$2:$F10491,
         $G$2:$G10491=G1181,
         $A$2:$A10491&gt;=A1181-20,
         $A$2:$A10491&lt;=A1181
       )
    ),
    ""VOL_SPIKE_3X"",""""
  ),
"""")
"),"")</f>
        <v/>
      </c>
      <c r="N1181" s="7" t="str">
        <f t="shared" si="6"/>
        <v/>
      </c>
      <c r="O1181" s="7" t="str">
        <f t="shared" si="7"/>
        <v/>
      </c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>
      <c r="A1182" s="5">
        <f>IFERROR(__xludf.DUMMYFUNCTION("""COMPUTED_VALUE"""),45723.0)</f>
        <v>45723</v>
      </c>
      <c r="B1182" s="6">
        <f>IFERROR(__xludf.DUMMYFUNCTION("""COMPUTED_VALUE"""),730.0)</f>
        <v>730</v>
      </c>
      <c r="C1182" s="6">
        <f>IFERROR(__xludf.DUMMYFUNCTION("""COMPUTED_VALUE"""),753.9)</f>
        <v>753.9</v>
      </c>
      <c r="D1182" s="6">
        <f>IFERROR(__xludf.DUMMYFUNCTION("""COMPUTED_VALUE"""),724.0)</f>
        <v>724</v>
      </c>
      <c r="E1182" s="6">
        <f>IFERROR(__xludf.DUMMYFUNCTION("""COMPUTED_VALUE"""),747.6)</f>
        <v>747.6</v>
      </c>
      <c r="F1182" s="7">
        <f>IFERROR(__xludf.DUMMYFUNCTION("""COMPUTED_VALUE"""),2622387.0)</f>
        <v>2622387</v>
      </c>
      <c r="G1182" s="7" t="str">
        <f>IFERROR(__xludf.DUMMYFUNCTION("""COMPUTED_VALUE"""),"ADANIENSOL.NS")</f>
        <v>ADANIENSOL.NS</v>
      </c>
      <c r="H1182" s="8">
        <f t="shared" si="1"/>
        <v>0.02410958904</v>
      </c>
      <c r="I1182" s="8">
        <f t="shared" si="2"/>
        <v>0.02410958904</v>
      </c>
      <c r="J1182" s="7" t="str">
        <f t="shared" si="3"/>
        <v>Mar-2025</v>
      </c>
      <c r="K1182" s="9">
        <f t="shared" si="4"/>
        <v>45717</v>
      </c>
      <c r="L1182" s="7" t="str">
        <f t="shared" si="5"/>
        <v/>
      </c>
      <c r="M1182" s="7" t="str">
        <f>IFERROR(__xludf.DUMMYFUNCTION("IFERROR(
  IF(
    F1182 &gt;
    3*AVERAGE(
       FILTER($F$2:$F10491,
         $G$2:$G10491=G1182,
         $A$2:$A10491&gt;=A1182-20,
         $A$2:$A10491&lt;=A1182
       )
    ),
    ""VOL_SPIKE_3X"",""""
  ),
"""")
"),"")</f>
        <v/>
      </c>
      <c r="N1182" s="7" t="str">
        <f t="shared" si="6"/>
        <v/>
      </c>
      <c r="O1182" s="7" t="str">
        <f t="shared" si="7"/>
        <v/>
      </c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>
      <c r="A1183" s="5">
        <f>IFERROR(__xludf.DUMMYFUNCTION("""COMPUTED_VALUE"""),45723.0)</f>
        <v>45723</v>
      </c>
      <c r="B1183" s="6">
        <f>IFERROR(__xludf.DUMMYFUNCTION("""COMPUTED_VALUE"""),840.0)</f>
        <v>840</v>
      </c>
      <c r="C1183" s="6">
        <f>IFERROR(__xludf.DUMMYFUNCTION("""COMPUTED_VALUE"""),847.3)</f>
        <v>847.3</v>
      </c>
      <c r="D1183" s="6">
        <f>IFERROR(__xludf.DUMMYFUNCTION("""COMPUTED_VALUE"""),823.15)</f>
        <v>823.15</v>
      </c>
      <c r="E1183" s="6">
        <f>IFERROR(__xludf.DUMMYFUNCTION("""COMPUTED_VALUE"""),837.2)</f>
        <v>837.2</v>
      </c>
      <c r="F1183" s="7">
        <f>IFERROR(__xludf.DUMMYFUNCTION("""COMPUTED_VALUE"""),6078435.0)</f>
        <v>6078435</v>
      </c>
      <c r="G1183" s="7" t="str">
        <f>IFERROR(__xludf.DUMMYFUNCTION("""COMPUTED_VALUE"""),"ADANIGREEN.NS")</f>
        <v>ADANIGREEN.NS</v>
      </c>
      <c r="H1183" s="8">
        <f t="shared" si="1"/>
        <v>-0.003333333333</v>
      </c>
      <c r="I1183" s="8">
        <f t="shared" si="2"/>
        <v>0.003333333333</v>
      </c>
      <c r="J1183" s="7" t="str">
        <f t="shared" si="3"/>
        <v>Mar-2025</v>
      </c>
      <c r="K1183" s="9">
        <f t="shared" si="4"/>
        <v>45717</v>
      </c>
      <c r="L1183" s="7" t="str">
        <f t="shared" si="5"/>
        <v/>
      </c>
      <c r="M1183" s="7" t="str">
        <f>IFERROR(__xludf.DUMMYFUNCTION("IFERROR(
  IF(
    F1183 &gt;
    3*AVERAGE(
       FILTER($F$2:$F10491,
         $G$2:$G10491=G1183,
         $A$2:$A10491&gt;=A1183-20,
         $A$2:$A10491&lt;=A1183
       )
    ),
    ""VOL_SPIKE_3X"",""""
  ),
"""")
"),"")</f>
        <v/>
      </c>
      <c r="N1183" s="7" t="str">
        <f t="shared" si="6"/>
        <v/>
      </c>
      <c r="O1183" s="7" t="str">
        <f t="shared" si="7"/>
        <v/>
      </c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>
      <c r="A1184" s="5">
        <f>IFERROR(__xludf.DUMMYFUNCTION("""COMPUTED_VALUE"""),45723.0)</f>
        <v>45723</v>
      </c>
      <c r="B1184" s="6">
        <f>IFERROR(__xludf.DUMMYFUNCTION("""COMPUTED_VALUE"""),264.96)</f>
        <v>264.96</v>
      </c>
      <c r="C1184" s="6">
        <f>IFERROR(__xludf.DUMMYFUNCTION("""COMPUTED_VALUE"""),265.79)</f>
        <v>265.79</v>
      </c>
      <c r="D1184" s="6">
        <f>IFERROR(__xludf.DUMMYFUNCTION("""COMPUTED_VALUE"""),260.0)</f>
        <v>260</v>
      </c>
      <c r="E1184" s="6">
        <f>IFERROR(__xludf.DUMMYFUNCTION("""COMPUTED_VALUE"""),261.26)</f>
        <v>261.26</v>
      </c>
      <c r="F1184" s="7">
        <f>IFERROR(__xludf.DUMMYFUNCTION("""COMPUTED_VALUE"""),7057204.0)</f>
        <v>7057204</v>
      </c>
      <c r="G1184" s="7" t="str">
        <f>IFERROR(__xludf.DUMMYFUNCTION("""COMPUTED_VALUE"""),"BPCL.NS")</f>
        <v>BPCL.NS</v>
      </c>
      <c r="H1184" s="8">
        <f t="shared" si="1"/>
        <v>-0.01396437198</v>
      </c>
      <c r="I1184" s="8">
        <f t="shared" si="2"/>
        <v>0.01396437198</v>
      </c>
      <c r="J1184" s="7" t="str">
        <f t="shared" si="3"/>
        <v>Mar-2025</v>
      </c>
      <c r="K1184" s="9">
        <f t="shared" si="4"/>
        <v>45717</v>
      </c>
      <c r="L1184" s="7" t="str">
        <f t="shared" si="5"/>
        <v/>
      </c>
      <c r="M1184" s="7" t="str">
        <f>IFERROR(__xludf.DUMMYFUNCTION("IFERROR(
  IF(
    F1184 &gt;
    3*AVERAGE(
       FILTER($F$2:$F10491,
         $G$2:$G10491=G1184,
         $A$2:$A10491&gt;=A1184-20,
         $A$2:$A10491&lt;=A1184
       )
    ),
    ""VOL_SPIKE_3X"",""""
  ),
"""")
"),"")</f>
        <v/>
      </c>
      <c r="N1184" s="7" t="str">
        <f t="shared" si="6"/>
        <v/>
      </c>
      <c r="O1184" s="7" t="str">
        <f t="shared" si="7"/>
        <v/>
      </c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>
      <c r="A1185" s="5">
        <f>IFERROR(__xludf.DUMMYFUNCTION("""COMPUTED_VALUE"""),45723.0)</f>
        <v>45723</v>
      </c>
      <c r="B1185" s="6">
        <f>IFERROR(__xludf.DUMMYFUNCTION("""COMPUTED_VALUE"""),382.6)</f>
        <v>382.6</v>
      </c>
      <c r="C1185" s="6">
        <f>IFERROR(__xludf.DUMMYFUNCTION("""COMPUTED_VALUE"""),389.6)</f>
        <v>389.6</v>
      </c>
      <c r="D1185" s="6">
        <f>IFERROR(__xludf.DUMMYFUNCTION("""COMPUTED_VALUE"""),379.4)</f>
        <v>379.4</v>
      </c>
      <c r="E1185" s="6">
        <f>IFERROR(__xludf.DUMMYFUNCTION("""COMPUTED_VALUE"""),380.65)</f>
        <v>380.65</v>
      </c>
      <c r="F1185" s="7">
        <f>IFERROR(__xludf.DUMMYFUNCTION("""COMPUTED_VALUE"""),8321771.0)</f>
        <v>8321771</v>
      </c>
      <c r="G1185" s="7" t="str">
        <f>IFERROR(__xludf.DUMMYFUNCTION("""COMPUTED_VALUE"""),"COALINDIA.NS")</f>
        <v>COALINDIA.NS</v>
      </c>
      <c r="H1185" s="8">
        <f t="shared" si="1"/>
        <v>-0.005096706743</v>
      </c>
      <c r="I1185" s="8">
        <f t="shared" si="2"/>
        <v>0.005096706743</v>
      </c>
      <c r="J1185" s="7" t="str">
        <f t="shared" si="3"/>
        <v>Mar-2025</v>
      </c>
      <c r="K1185" s="9">
        <f t="shared" si="4"/>
        <v>45717</v>
      </c>
      <c r="L1185" s="7" t="str">
        <f t="shared" si="5"/>
        <v/>
      </c>
      <c r="M1185" s="7" t="str">
        <f>IFERROR(__xludf.DUMMYFUNCTION("IFERROR(
  IF(
    F1185 &gt;
    3*AVERAGE(
       FILTER($F$2:$F10491,
         $G$2:$G10491=G1185,
         $A$2:$A10491&gt;=A1185-20,
         $A$2:$A10491&lt;=A1185
       )
    ),
    ""VOL_SPIKE_3X"",""""
  ),
"""")
"),"")</f>
        <v/>
      </c>
      <c r="N1185" s="7" t="str">
        <f t="shared" si="6"/>
        <v/>
      </c>
      <c r="O1185" s="7" t="str">
        <f t="shared" si="7"/>
        <v/>
      </c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>
      <c r="A1186" s="5">
        <f>IFERROR(__xludf.DUMMYFUNCTION("""COMPUTED_VALUE"""),45723.0)</f>
        <v>45723</v>
      </c>
      <c r="B1186" s="6">
        <f>IFERROR(__xludf.DUMMYFUNCTION("""COMPUTED_VALUE"""),338.9)</f>
        <v>338.9</v>
      </c>
      <c r="C1186" s="6">
        <f>IFERROR(__xludf.DUMMYFUNCTION("""COMPUTED_VALUE"""),339.05)</f>
        <v>339.05</v>
      </c>
      <c r="D1186" s="6">
        <f>IFERROR(__xludf.DUMMYFUNCTION("""COMPUTED_VALUE"""),330.15)</f>
        <v>330.15</v>
      </c>
      <c r="E1186" s="6">
        <f>IFERROR(__xludf.DUMMYFUNCTION("""COMPUTED_VALUE"""),332.45)</f>
        <v>332.45</v>
      </c>
      <c r="F1186" s="7">
        <f>IFERROR(__xludf.DUMMYFUNCTION("""COMPUTED_VALUE"""),3825464.0)</f>
        <v>3825464</v>
      </c>
      <c r="G1186" s="7" t="str">
        <f>IFERROR(__xludf.DUMMYFUNCTION("""COMPUTED_VALUE"""),"HINDPETRO.NS")</f>
        <v>HINDPETRO.NS</v>
      </c>
      <c r="H1186" s="8">
        <f t="shared" si="1"/>
        <v>-0.01903216288</v>
      </c>
      <c r="I1186" s="8">
        <f t="shared" si="2"/>
        <v>0.01903216288</v>
      </c>
      <c r="J1186" s="7" t="str">
        <f t="shared" si="3"/>
        <v>Mar-2025</v>
      </c>
      <c r="K1186" s="9">
        <f t="shared" si="4"/>
        <v>45717</v>
      </c>
      <c r="L1186" s="7" t="str">
        <f t="shared" si="5"/>
        <v/>
      </c>
      <c r="M1186" s="7" t="str">
        <f>IFERROR(__xludf.DUMMYFUNCTION("IFERROR(
  IF(
    F1186 &gt;
    3*AVERAGE(
       FILTER($F$2:$F10491,
         $G$2:$G10491=G1186,
         $A$2:$A10491&gt;=A1186-20,
         $A$2:$A10491&lt;=A1186
       )
    ),
    ""VOL_SPIKE_3X"",""""
  ),
"""")
"),"")</f>
        <v/>
      </c>
      <c r="N1186" s="7" t="str">
        <f t="shared" si="6"/>
        <v/>
      </c>
      <c r="O1186" s="7" t="str">
        <f t="shared" si="7"/>
        <v/>
      </c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>
      <c r="A1187" s="5">
        <f>IFERROR(__xludf.DUMMYFUNCTION("""COMPUTED_VALUE"""),45723.0)</f>
        <v>45723</v>
      </c>
      <c r="B1187" s="6">
        <f>IFERROR(__xludf.DUMMYFUNCTION("""COMPUTED_VALUE"""),125.75)</f>
        <v>125.75</v>
      </c>
      <c r="C1187" s="6">
        <f>IFERROR(__xludf.DUMMYFUNCTION("""COMPUTED_VALUE"""),126.3)</f>
        <v>126.3</v>
      </c>
      <c r="D1187" s="6">
        <f>IFERROR(__xludf.DUMMYFUNCTION("""COMPUTED_VALUE"""),123.7)</f>
        <v>123.7</v>
      </c>
      <c r="E1187" s="6">
        <f>IFERROR(__xludf.DUMMYFUNCTION("""COMPUTED_VALUE"""),124.84)</f>
        <v>124.84</v>
      </c>
      <c r="F1187" s="7">
        <f>IFERROR(__xludf.DUMMYFUNCTION("""COMPUTED_VALUE"""),1.4763396E7)</f>
        <v>14763396</v>
      </c>
      <c r="G1187" s="7" t="str">
        <f>IFERROR(__xludf.DUMMYFUNCTION("""COMPUTED_VALUE"""),"IOC.NS")</f>
        <v>IOC.NS</v>
      </c>
      <c r="H1187" s="8">
        <f t="shared" si="1"/>
        <v>-0.007236580517</v>
      </c>
      <c r="I1187" s="8">
        <f t="shared" si="2"/>
        <v>0.007236580517</v>
      </c>
      <c r="J1187" s="7" t="str">
        <f t="shared" si="3"/>
        <v>Mar-2025</v>
      </c>
      <c r="K1187" s="9">
        <f t="shared" si="4"/>
        <v>45717</v>
      </c>
      <c r="L1187" s="7" t="str">
        <f t="shared" si="5"/>
        <v/>
      </c>
      <c r="M1187" s="7" t="str">
        <f>IFERROR(__xludf.DUMMYFUNCTION("IFERROR(
  IF(
    F1187 &gt;
    3*AVERAGE(
       FILTER($F$2:$F10491,
         $G$2:$G10491=G1187,
         $A$2:$A10491&gt;=A1187-20,
         $A$2:$A10491&lt;=A1187
       )
    ),
    ""VOL_SPIKE_3X"",""""
  ),
"""")
"),"")</f>
        <v/>
      </c>
      <c r="N1187" s="7" t="str">
        <f t="shared" si="6"/>
        <v/>
      </c>
      <c r="O1187" s="7" t="str">
        <f t="shared" si="7"/>
        <v/>
      </c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>
      <c r="A1188" s="5">
        <f>IFERROR(__xludf.DUMMYFUNCTION("""COMPUTED_VALUE"""),45723.0)</f>
        <v>45723</v>
      </c>
      <c r="B1188" s="6">
        <f>IFERROR(__xludf.DUMMYFUNCTION("""COMPUTED_VALUE"""),335.85)</f>
        <v>335.85</v>
      </c>
      <c r="C1188" s="6">
        <f>IFERROR(__xludf.DUMMYFUNCTION("""COMPUTED_VALUE"""),338.75)</f>
        <v>338.75</v>
      </c>
      <c r="D1188" s="6">
        <f>IFERROR(__xludf.DUMMYFUNCTION("""COMPUTED_VALUE"""),328.7)</f>
        <v>328.7</v>
      </c>
      <c r="E1188" s="6">
        <f>IFERROR(__xludf.DUMMYFUNCTION("""COMPUTED_VALUE"""),329.55)</f>
        <v>329.55</v>
      </c>
      <c r="F1188" s="7">
        <f>IFERROR(__xludf.DUMMYFUNCTION("""COMPUTED_VALUE"""),8992315.0)</f>
        <v>8992315</v>
      </c>
      <c r="G1188" s="7" t="str">
        <f>IFERROR(__xludf.DUMMYFUNCTION("""COMPUTED_VALUE"""),"NTPC.NS")</f>
        <v>NTPC.NS</v>
      </c>
      <c r="H1188" s="8">
        <f t="shared" si="1"/>
        <v>-0.01875837427</v>
      </c>
      <c r="I1188" s="8">
        <f t="shared" si="2"/>
        <v>0.01875837427</v>
      </c>
      <c r="J1188" s="7" t="str">
        <f t="shared" si="3"/>
        <v>Mar-2025</v>
      </c>
      <c r="K1188" s="9">
        <f t="shared" si="4"/>
        <v>45717</v>
      </c>
      <c r="L1188" s="7" t="str">
        <f t="shared" si="5"/>
        <v/>
      </c>
      <c r="M1188" s="7" t="str">
        <f>IFERROR(__xludf.DUMMYFUNCTION("IFERROR(
  IF(
    F1188 &gt;
    3*AVERAGE(
       FILTER($F$2:$F10491,
         $G$2:$G10491=G1188,
         $A$2:$A10491&gt;=A1188-20,
         $A$2:$A10491&lt;=A1188
       )
    ),
    ""VOL_SPIKE_3X"",""""
  ),
"""")
"),"")</f>
        <v/>
      </c>
      <c r="N1188" s="7" t="str">
        <f t="shared" si="6"/>
        <v/>
      </c>
      <c r="O1188" s="7" t="str">
        <f t="shared" si="7"/>
        <v/>
      </c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>
      <c r="A1189" s="5">
        <f>IFERROR(__xludf.DUMMYFUNCTION("""COMPUTED_VALUE"""),45723.0)</f>
        <v>45723</v>
      </c>
      <c r="B1189" s="6">
        <f>IFERROR(__xludf.DUMMYFUNCTION("""COMPUTED_VALUE"""),232.6)</f>
        <v>232.6</v>
      </c>
      <c r="C1189" s="6">
        <f>IFERROR(__xludf.DUMMYFUNCTION("""COMPUTED_VALUE"""),236.47)</f>
        <v>236.47</v>
      </c>
      <c r="D1189" s="6">
        <f>IFERROR(__xludf.DUMMYFUNCTION("""COMPUTED_VALUE"""),231.17)</f>
        <v>231.17</v>
      </c>
      <c r="E1189" s="6">
        <f>IFERROR(__xludf.DUMMYFUNCTION("""COMPUTED_VALUE"""),232.89)</f>
        <v>232.89</v>
      </c>
      <c r="F1189" s="7">
        <f>IFERROR(__xludf.DUMMYFUNCTION("""COMPUTED_VALUE"""),9079049.0)</f>
        <v>9079049</v>
      </c>
      <c r="G1189" s="7" t="str">
        <f>IFERROR(__xludf.DUMMYFUNCTION("""COMPUTED_VALUE"""),"ONGC.NS")</f>
        <v>ONGC.NS</v>
      </c>
      <c r="H1189" s="8">
        <f t="shared" si="1"/>
        <v>0.00124677558</v>
      </c>
      <c r="I1189" s="8">
        <f t="shared" si="2"/>
        <v>0.00124677558</v>
      </c>
      <c r="J1189" s="7" t="str">
        <f t="shared" si="3"/>
        <v>Mar-2025</v>
      </c>
      <c r="K1189" s="9">
        <f t="shared" si="4"/>
        <v>45717</v>
      </c>
      <c r="L1189" s="7" t="str">
        <f t="shared" si="5"/>
        <v/>
      </c>
      <c r="M1189" s="7" t="str">
        <f>IFERROR(__xludf.DUMMYFUNCTION("IFERROR(
  IF(
    F1189 &gt;
    3*AVERAGE(
       FILTER($F$2:$F10491,
         $G$2:$G10491=G1189,
         $A$2:$A10491&gt;=A1189-20,
         $A$2:$A10491&lt;=A1189
       )
    ),
    ""VOL_SPIKE_3X"",""""
  ),
"""")
"),"")</f>
        <v/>
      </c>
      <c r="N1189" s="7" t="str">
        <f t="shared" si="6"/>
        <v/>
      </c>
      <c r="O1189" s="7" t="str">
        <f t="shared" si="7"/>
        <v/>
      </c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>
      <c r="A1190" s="5">
        <f>IFERROR(__xludf.DUMMYFUNCTION("""COMPUTED_VALUE"""),45723.0)</f>
        <v>45723</v>
      </c>
      <c r="B1190" s="6">
        <f>IFERROR(__xludf.DUMMYFUNCTION("""COMPUTED_VALUE"""),266.0)</f>
        <v>266</v>
      </c>
      <c r="C1190" s="6">
        <f>IFERROR(__xludf.DUMMYFUNCTION("""COMPUTED_VALUE"""),268.65)</f>
        <v>268.65</v>
      </c>
      <c r="D1190" s="6">
        <f>IFERROR(__xludf.DUMMYFUNCTION("""COMPUTED_VALUE"""),261.6)</f>
        <v>261.6</v>
      </c>
      <c r="E1190" s="6">
        <f>IFERROR(__xludf.DUMMYFUNCTION("""COMPUTED_VALUE"""),263.3)</f>
        <v>263.3</v>
      </c>
      <c r="F1190" s="7">
        <f>IFERROR(__xludf.DUMMYFUNCTION("""COMPUTED_VALUE"""),1.0043068E7)</f>
        <v>10043068</v>
      </c>
      <c r="G1190" s="7" t="str">
        <f>IFERROR(__xludf.DUMMYFUNCTION("""COMPUTED_VALUE"""),"POWERGRID.NS")</f>
        <v>POWERGRID.NS</v>
      </c>
      <c r="H1190" s="8">
        <f t="shared" si="1"/>
        <v>-0.01015037594</v>
      </c>
      <c r="I1190" s="8">
        <f t="shared" si="2"/>
        <v>0.01015037594</v>
      </c>
      <c r="J1190" s="7" t="str">
        <f t="shared" si="3"/>
        <v>Mar-2025</v>
      </c>
      <c r="K1190" s="9">
        <f t="shared" si="4"/>
        <v>45717</v>
      </c>
      <c r="L1190" s="7" t="str">
        <f t="shared" si="5"/>
        <v/>
      </c>
      <c r="M1190" s="7" t="str">
        <f>IFERROR(__xludf.DUMMYFUNCTION("IFERROR(
  IF(
    F1190 &gt;
    3*AVERAGE(
       FILTER($F$2:$F10491,
         $G$2:$G10491=G1190,
         $A$2:$A10491&gt;=A1190-20,
         $A$2:$A10491&lt;=A1190
       )
    ),
    ""VOL_SPIKE_3X"",""""
  ),
"""")
"),"")</f>
        <v/>
      </c>
      <c r="N1190" s="7" t="str">
        <f t="shared" si="6"/>
        <v/>
      </c>
      <c r="O1190" s="7" t="str">
        <f t="shared" si="7"/>
        <v/>
      </c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>
      <c r="A1191" s="5">
        <f>IFERROR(__xludf.DUMMYFUNCTION("""COMPUTED_VALUE"""),45723.0)</f>
        <v>45723</v>
      </c>
      <c r="B1191" s="6">
        <f>IFERROR(__xludf.DUMMYFUNCTION("""COMPUTED_VALUE"""),1216.0)</f>
        <v>1216</v>
      </c>
      <c r="C1191" s="6">
        <f>IFERROR(__xludf.DUMMYFUNCTION("""COMPUTED_VALUE"""),1254.8)</f>
        <v>1254.8</v>
      </c>
      <c r="D1191" s="6">
        <f>IFERROR(__xludf.DUMMYFUNCTION("""COMPUTED_VALUE"""),1212.0)</f>
        <v>1212</v>
      </c>
      <c r="E1191" s="6">
        <f>IFERROR(__xludf.DUMMYFUNCTION("""COMPUTED_VALUE"""),1249.8)</f>
        <v>1249.8</v>
      </c>
      <c r="F1191" s="7">
        <f>IFERROR(__xludf.DUMMYFUNCTION("""COMPUTED_VALUE"""),1.6474965E7)</f>
        <v>16474965</v>
      </c>
      <c r="G1191" s="7" t="str">
        <f>IFERROR(__xludf.DUMMYFUNCTION("""COMPUTED_VALUE"""),"RELIANCE.NS")</f>
        <v>RELIANCE.NS</v>
      </c>
      <c r="H1191" s="8">
        <f t="shared" si="1"/>
        <v>0.02779605263</v>
      </c>
      <c r="I1191" s="8">
        <f t="shared" si="2"/>
        <v>0.02779605263</v>
      </c>
      <c r="J1191" s="7" t="str">
        <f t="shared" si="3"/>
        <v>Mar-2025</v>
      </c>
      <c r="K1191" s="9">
        <f t="shared" si="4"/>
        <v>45717</v>
      </c>
      <c r="L1191" s="7" t="str">
        <f t="shared" si="5"/>
        <v/>
      </c>
      <c r="M1191" s="7" t="str">
        <f>IFERROR(__xludf.DUMMYFUNCTION("IFERROR(
  IF(
    F1191 &gt;
    3*AVERAGE(
       FILTER($F$2:$F10491,
         $G$2:$G10491=G1191,
         $A$2:$A10491&gt;=A1191-20,
         $A$2:$A10491&lt;=A1191
       )
    ),
    ""VOL_SPIKE_3X"",""""
  ),
"""")
"),"")</f>
        <v/>
      </c>
      <c r="N1191" s="7" t="str">
        <f t="shared" si="6"/>
        <v/>
      </c>
      <c r="O1191" s="7" t="str">
        <f t="shared" si="7"/>
        <v/>
      </c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>
      <c r="A1192" s="5">
        <f>IFERROR(__xludf.DUMMYFUNCTION("""COMPUTED_VALUE"""),45726.0)</f>
        <v>45726</v>
      </c>
      <c r="B1192" s="6">
        <f>IFERROR(__xludf.DUMMYFUNCTION("""COMPUTED_VALUE"""),747.0)</f>
        <v>747</v>
      </c>
      <c r="C1192" s="6">
        <f>IFERROR(__xludf.DUMMYFUNCTION("""COMPUTED_VALUE"""),790.0)</f>
        <v>790</v>
      </c>
      <c r="D1192" s="6">
        <f>IFERROR(__xludf.DUMMYFUNCTION("""COMPUTED_VALUE"""),738.0)</f>
        <v>738</v>
      </c>
      <c r="E1192" s="6">
        <f>IFERROR(__xludf.DUMMYFUNCTION("""COMPUTED_VALUE"""),759.1)</f>
        <v>759.1</v>
      </c>
      <c r="F1192" s="7">
        <f>IFERROR(__xludf.DUMMYFUNCTION("""COMPUTED_VALUE"""),6861685.0)</f>
        <v>6861685</v>
      </c>
      <c r="G1192" s="7" t="str">
        <f>IFERROR(__xludf.DUMMYFUNCTION("""COMPUTED_VALUE"""),"ADANIENSOL.NS")</f>
        <v>ADANIENSOL.NS</v>
      </c>
      <c r="H1192" s="8">
        <f t="shared" si="1"/>
        <v>0.01619812584</v>
      </c>
      <c r="I1192" s="8">
        <f t="shared" si="2"/>
        <v>0.01619812584</v>
      </c>
      <c r="J1192" s="7" t="str">
        <f t="shared" si="3"/>
        <v>Mar-2025</v>
      </c>
      <c r="K1192" s="9">
        <f t="shared" si="4"/>
        <v>45717</v>
      </c>
      <c r="L1192" s="7" t="str">
        <f t="shared" si="5"/>
        <v/>
      </c>
      <c r="M1192" s="7" t="str">
        <f>IFERROR(__xludf.DUMMYFUNCTION("IFERROR(
  IF(
    F1192 &gt;
    3*AVERAGE(
       FILTER($F$2:$F10491,
         $G$2:$G10491=G1192,
         $A$2:$A10491&gt;=A1192-20,
         $A$2:$A10491&lt;=A1192
       )
    ),
    ""VOL_SPIKE_3X"",""""
  ),
"""")
"),"")</f>
        <v/>
      </c>
      <c r="N1192" s="7" t="str">
        <f t="shared" si="6"/>
        <v/>
      </c>
      <c r="O1192" s="7" t="str">
        <f t="shared" si="7"/>
        <v/>
      </c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>
      <c r="A1193" s="5">
        <f>IFERROR(__xludf.DUMMYFUNCTION("""COMPUTED_VALUE"""),45726.0)</f>
        <v>45726</v>
      </c>
      <c r="B1193" s="6">
        <f>IFERROR(__xludf.DUMMYFUNCTION("""COMPUTED_VALUE"""),840.9)</f>
        <v>840.9</v>
      </c>
      <c r="C1193" s="6">
        <f>IFERROR(__xludf.DUMMYFUNCTION("""COMPUTED_VALUE"""),871.0)</f>
        <v>871</v>
      </c>
      <c r="D1193" s="6">
        <f>IFERROR(__xludf.DUMMYFUNCTION("""COMPUTED_VALUE"""),823.25)</f>
        <v>823.25</v>
      </c>
      <c r="E1193" s="6">
        <f>IFERROR(__xludf.DUMMYFUNCTION("""COMPUTED_VALUE"""),826.05)</f>
        <v>826.05</v>
      </c>
      <c r="F1193" s="7">
        <f>IFERROR(__xludf.DUMMYFUNCTION("""COMPUTED_VALUE"""),6595111.0)</f>
        <v>6595111</v>
      </c>
      <c r="G1193" s="7" t="str">
        <f>IFERROR(__xludf.DUMMYFUNCTION("""COMPUTED_VALUE"""),"ADANIGREEN.NS")</f>
        <v>ADANIGREEN.NS</v>
      </c>
      <c r="H1193" s="8">
        <f t="shared" si="1"/>
        <v>-0.01765965037</v>
      </c>
      <c r="I1193" s="8">
        <f t="shared" si="2"/>
        <v>0.01765965037</v>
      </c>
      <c r="J1193" s="7" t="str">
        <f t="shared" si="3"/>
        <v>Mar-2025</v>
      </c>
      <c r="K1193" s="9">
        <f t="shared" si="4"/>
        <v>45717</v>
      </c>
      <c r="L1193" s="7" t="str">
        <f t="shared" si="5"/>
        <v/>
      </c>
      <c r="M1193" s="7" t="str">
        <f>IFERROR(__xludf.DUMMYFUNCTION("IFERROR(
  IF(
    F1193 &gt;
    3*AVERAGE(
       FILTER($F$2:$F10491,
         $G$2:$G10491=G1193,
         $A$2:$A10491&gt;=A1193-20,
         $A$2:$A10491&lt;=A1193
       )
    ),
    ""VOL_SPIKE_3X"",""""
  ),
"""")
"),"")</f>
        <v/>
      </c>
      <c r="N1193" s="7" t="str">
        <f t="shared" si="6"/>
        <v/>
      </c>
      <c r="O1193" s="7" t="str">
        <f t="shared" si="7"/>
        <v/>
      </c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>
      <c r="A1194" s="5">
        <f>IFERROR(__xludf.DUMMYFUNCTION("""COMPUTED_VALUE"""),45726.0)</f>
        <v>45726</v>
      </c>
      <c r="B1194" s="6">
        <f>IFERROR(__xludf.DUMMYFUNCTION("""COMPUTED_VALUE"""),261.26)</f>
        <v>261.26</v>
      </c>
      <c r="C1194" s="6">
        <f>IFERROR(__xludf.DUMMYFUNCTION("""COMPUTED_VALUE"""),265.96)</f>
        <v>265.96</v>
      </c>
      <c r="D1194" s="6">
        <f>IFERROR(__xludf.DUMMYFUNCTION("""COMPUTED_VALUE"""),256.06)</f>
        <v>256.06</v>
      </c>
      <c r="E1194" s="6">
        <f>IFERROR(__xludf.DUMMYFUNCTION("""COMPUTED_VALUE"""),256.93)</f>
        <v>256.93</v>
      </c>
      <c r="F1194" s="7">
        <f>IFERROR(__xludf.DUMMYFUNCTION("""COMPUTED_VALUE"""),8487911.0)</f>
        <v>8487911</v>
      </c>
      <c r="G1194" s="7" t="str">
        <f>IFERROR(__xludf.DUMMYFUNCTION("""COMPUTED_VALUE"""),"BPCL.NS")</f>
        <v>BPCL.NS</v>
      </c>
      <c r="H1194" s="8">
        <f t="shared" si="1"/>
        <v>-0.01657352829</v>
      </c>
      <c r="I1194" s="8">
        <f t="shared" si="2"/>
        <v>0.01657352829</v>
      </c>
      <c r="J1194" s="7" t="str">
        <f t="shared" si="3"/>
        <v>Mar-2025</v>
      </c>
      <c r="K1194" s="9">
        <f t="shared" si="4"/>
        <v>45717</v>
      </c>
      <c r="L1194" s="7" t="str">
        <f t="shared" si="5"/>
        <v/>
      </c>
      <c r="M1194" s="7" t="str">
        <f>IFERROR(__xludf.DUMMYFUNCTION("IFERROR(
  IF(
    F1194 &gt;
    3*AVERAGE(
       FILTER($F$2:$F10491,
         $G$2:$G10491=G1194,
         $A$2:$A10491&gt;=A1194-20,
         $A$2:$A10491&lt;=A1194
       )
    ),
    ""VOL_SPIKE_3X"",""""
  ),
"""")
"),"")</f>
        <v/>
      </c>
      <c r="N1194" s="7" t="str">
        <f t="shared" si="6"/>
        <v/>
      </c>
      <c r="O1194" s="7" t="str">
        <f t="shared" si="7"/>
        <v/>
      </c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>
      <c r="A1195" s="5">
        <f>IFERROR(__xludf.DUMMYFUNCTION("""COMPUTED_VALUE"""),45726.0)</f>
        <v>45726</v>
      </c>
      <c r="B1195" s="6">
        <f>IFERROR(__xludf.DUMMYFUNCTION("""COMPUTED_VALUE"""),380.7)</f>
        <v>380.7</v>
      </c>
      <c r="C1195" s="6">
        <f>IFERROR(__xludf.DUMMYFUNCTION("""COMPUTED_VALUE"""),386.6)</f>
        <v>386.6</v>
      </c>
      <c r="D1195" s="6">
        <f>IFERROR(__xludf.DUMMYFUNCTION("""COMPUTED_VALUE"""),374.05)</f>
        <v>374.05</v>
      </c>
      <c r="E1195" s="6">
        <f>IFERROR(__xludf.DUMMYFUNCTION("""COMPUTED_VALUE"""),375.15)</f>
        <v>375.15</v>
      </c>
      <c r="F1195" s="7">
        <f>IFERROR(__xludf.DUMMYFUNCTION("""COMPUTED_VALUE"""),5541001.0)</f>
        <v>5541001</v>
      </c>
      <c r="G1195" s="7" t="str">
        <f>IFERROR(__xludf.DUMMYFUNCTION("""COMPUTED_VALUE"""),"COALINDIA.NS")</f>
        <v>COALINDIA.NS</v>
      </c>
      <c r="H1195" s="8">
        <f t="shared" si="1"/>
        <v>-0.0145784082</v>
      </c>
      <c r="I1195" s="8">
        <f t="shared" si="2"/>
        <v>0.0145784082</v>
      </c>
      <c r="J1195" s="7" t="str">
        <f t="shared" si="3"/>
        <v>Mar-2025</v>
      </c>
      <c r="K1195" s="9">
        <f t="shared" si="4"/>
        <v>45717</v>
      </c>
      <c r="L1195" s="7" t="str">
        <f t="shared" si="5"/>
        <v/>
      </c>
      <c r="M1195" s="7" t="str">
        <f>IFERROR(__xludf.DUMMYFUNCTION("IFERROR(
  IF(
    F1195 &gt;
    3*AVERAGE(
       FILTER($F$2:$F10491,
         $G$2:$G10491=G1195,
         $A$2:$A10491&gt;=A1195-20,
         $A$2:$A10491&lt;=A1195
       )
    ),
    ""VOL_SPIKE_3X"",""""
  ),
"""")
"),"")</f>
        <v/>
      </c>
      <c r="N1195" s="7" t="str">
        <f t="shared" si="6"/>
        <v/>
      </c>
      <c r="O1195" s="7" t="str">
        <f t="shared" si="7"/>
        <v/>
      </c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>
      <c r="A1196" s="5">
        <f>IFERROR(__xludf.DUMMYFUNCTION("""COMPUTED_VALUE"""),45726.0)</f>
        <v>45726</v>
      </c>
      <c r="B1196" s="6">
        <f>IFERROR(__xludf.DUMMYFUNCTION("""COMPUTED_VALUE"""),336.5)</f>
        <v>336.5</v>
      </c>
      <c r="C1196" s="6">
        <f>IFERROR(__xludf.DUMMYFUNCTION("""COMPUTED_VALUE"""),344.0)</f>
        <v>344</v>
      </c>
      <c r="D1196" s="6">
        <f>IFERROR(__xludf.DUMMYFUNCTION("""COMPUTED_VALUE"""),324.25)</f>
        <v>324.25</v>
      </c>
      <c r="E1196" s="6">
        <f>IFERROR(__xludf.DUMMYFUNCTION("""COMPUTED_VALUE"""),325.8)</f>
        <v>325.8</v>
      </c>
      <c r="F1196" s="7">
        <f>IFERROR(__xludf.DUMMYFUNCTION("""COMPUTED_VALUE"""),7154245.0)</f>
        <v>7154245</v>
      </c>
      <c r="G1196" s="7" t="str">
        <f>IFERROR(__xludf.DUMMYFUNCTION("""COMPUTED_VALUE"""),"HINDPETRO.NS")</f>
        <v>HINDPETRO.NS</v>
      </c>
      <c r="H1196" s="8">
        <f t="shared" si="1"/>
        <v>-0.03179791976</v>
      </c>
      <c r="I1196" s="8">
        <f t="shared" si="2"/>
        <v>0.03179791976</v>
      </c>
      <c r="J1196" s="7" t="str">
        <f t="shared" si="3"/>
        <v>Mar-2025</v>
      </c>
      <c r="K1196" s="9">
        <f t="shared" si="4"/>
        <v>45717</v>
      </c>
      <c r="L1196" s="7" t="str">
        <f t="shared" si="5"/>
        <v/>
      </c>
      <c r="M1196" s="7" t="str">
        <f>IFERROR(__xludf.DUMMYFUNCTION("IFERROR(
  IF(
    F1196 &gt;
    3*AVERAGE(
       FILTER($F$2:$F10491,
         $G$2:$G10491=G1196,
         $A$2:$A10491&gt;=A1196-20,
         $A$2:$A10491&lt;=A1196
       )
    ),
    ""VOL_SPIKE_3X"",""""
  ),
"""")
"),"")</f>
        <v/>
      </c>
      <c r="N1196" s="7" t="str">
        <f t="shared" si="6"/>
        <v/>
      </c>
      <c r="O1196" s="7" t="str">
        <f t="shared" si="7"/>
        <v/>
      </c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>
      <c r="A1197" s="5">
        <f>IFERROR(__xludf.DUMMYFUNCTION("""COMPUTED_VALUE"""),45726.0)</f>
        <v>45726</v>
      </c>
      <c r="B1197" s="6">
        <f>IFERROR(__xludf.DUMMYFUNCTION("""COMPUTED_VALUE"""),124.0)</f>
        <v>124</v>
      </c>
      <c r="C1197" s="6">
        <f>IFERROR(__xludf.DUMMYFUNCTION("""COMPUTED_VALUE"""),125.44)</f>
        <v>125.44</v>
      </c>
      <c r="D1197" s="6">
        <f>IFERROR(__xludf.DUMMYFUNCTION("""COMPUTED_VALUE"""),121.1)</f>
        <v>121.1</v>
      </c>
      <c r="E1197" s="6">
        <f>IFERROR(__xludf.DUMMYFUNCTION("""COMPUTED_VALUE"""),121.59)</f>
        <v>121.59</v>
      </c>
      <c r="F1197" s="7">
        <f>IFERROR(__xludf.DUMMYFUNCTION("""COMPUTED_VALUE"""),1.27273E7)</f>
        <v>12727300</v>
      </c>
      <c r="G1197" s="7" t="str">
        <f>IFERROR(__xludf.DUMMYFUNCTION("""COMPUTED_VALUE"""),"IOC.NS")</f>
        <v>IOC.NS</v>
      </c>
      <c r="H1197" s="8">
        <f t="shared" si="1"/>
        <v>-0.01943548387</v>
      </c>
      <c r="I1197" s="8">
        <f t="shared" si="2"/>
        <v>0.01943548387</v>
      </c>
      <c r="J1197" s="7" t="str">
        <f t="shared" si="3"/>
        <v>Mar-2025</v>
      </c>
      <c r="K1197" s="9">
        <f t="shared" si="4"/>
        <v>45717</v>
      </c>
      <c r="L1197" s="7" t="str">
        <f t="shared" si="5"/>
        <v/>
      </c>
      <c r="M1197" s="7" t="str">
        <f>IFERROR(__xludf.DUMMYFUNCTION("IFERROR(
  IF(
    F1197 &gt;
    3*AVERAGE(
       FILTER($F$2:$F10491,
         $G$2:$G10491=G1197,
         $A$2:$A10491&gt;=A1197-20,
         $A$2:$A10491&lt;=A1197
       )
    ),
    ""VOL_SPIKE_3X"",""""
  ),
"""")
"),"")</f>
        <v/>
      </c>
      <c r="N1197" s="7" t="str">
        <f t="shared" si="6"/>
        <v/>
      </c>
      <c r="O1197" s="7" t="str">
        <f t="shared" si="7"/>
        <v/>
      </c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>
      <c r="A1198" s="5">
        <f>IFERROR(__xludf.DUMMYFUNCTION("""COMPUTED_VALUE"""),45726.0)</f>
        <v>45726</v>
      </c>
      <c r="B1198" s="6">
        <f>IFERROR(__xludf.DUMMYFUNCTION("""COMPUTED_VALUE"""),329.45)</f>
        <v>329.45</v>
      </c>
      <c r="C1198" s="6">
        <f>IFERROR(__xludf.DUMMYFUNCTION("""COMPUTED_VALUE"""),334.95)</f>
        <v>334.95</v>
      </c>
      <c r="D1198" s="6">
        <f>IFERROR(__xludf.DUMMYFUNCTION("""COMPUTED_VALUE"""),326.3)</f>
        <v>326.3</v>
      </c>
      <c r="E1198" s="6">
        <f>IFERROR(__xludf.DUMMYFUNCTION("""COMPUTED_VALUE"""),329.4)</f>
        <v>329.4</v>
      </c>
      <c r="F1198" s="7">
        <f>IFERROR(__xludf.DUMMYFUNCTION("""COMPUTED_VALUE"""),1.1383132E7)</f>
        <v>11383132</v>
      </c>
      <c r="G1198" s="7" t="str">
        <f>IFERROR(__xludf.DUMMYFUNCTION("""COMPUTED_VALUE"""),"NTPC.NS")</f>
        <v>NTPC.NS</v>
      </c>
      <c r="H1198" s="8">
        <f t="shared" si="1"/>
        <v>-0.0001517680983</v>
      </c>
      <c r="I1198" s="8">
        <f t="shared" si="2"/>
        <v>0.0001517680983</v>
      </c>
      <c r="J1198" s="7" t="str">
        <f t="shared" si="3"/>
        <v>Mar-2025</v>
      </c>
      <c r="K1198" s="9">
        <f t="shared" si="4"/>
        <v>45717</v>
      </c>
      <c r="L1198" s="7" t="str">
        <f t="shared" si="5"/>
        <v/>
      </c>
      <c r="M1198" s="7" t="str">
        <f>IFERROR(__xludf.DUMMYFUNCTION("IFERROR(
  IF(
    F1198 &gt;
    3*AVERAGE(
       FILTER($F$2:$F10491,
         $G$2:$G10491=G1198,
         $A$2:$A10491&gt;=A1198-20,
         $A$2:$A10491&lt;=A1198
       )
    ),
    ""VOL_SPIKE_3X"",""""
  ),
"""")
"),"")</f>
        <v/>
      </c>
      <c r="N1198" s="7" t="str">
        <f t="shared" si="6"/>
        <v/>
      </c>
      <c r="O1198" s="7" t="str">
        <f t="shared" si="7"/>
        <v/>
      </c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>
      <c r="A1199" s="5">
        <f>IFERROR(__xludf.DUMMYFUNCTION("""COMPUTED_VALUE"""),45726.0)</f>
        <v>45726</v>
      </c>
      <c r="B1199" s="6">
        <f>IFERROR(__xludf.DUMMYFUNCTION("""COMPUTED_VALUE"""),232.89)</f>
        <v>232.89</v>
      </c>
      <c r="C1199" s="6">
        <f>IFERROR(__xludf.DUMMYFUNCTION("""COMPUTED_VALUE"""),235.0)</f>
        <v>235</v>
      </c>
      <c r="D1199" s="6">
        <f>IFERROR(__xludf.DUMMYFUNCTION("""COMPUTED_VALUE"""),222.48)</f>
        <v>222.48</v>
      </c>
      <c r="E1199" s="6">
        <f>IFERROR(__xludf.DUMMYFUNCTION("""COMPUTED_VALUE"""),223.19)</f>
        <v>223.19</v>
      </c>
      <c r="F1199" s="7">
        <f>IFERROR(__xludf.DUMMYFUNCTION("""COMPUTED_VALUE"""),1.6489167E7)</f>
        <v>16489167</v>
      </c>
      <c r="G1199" s="7" t="str">
        <f>IFERROR(__xludf.DUMMYFUNCTION("""COMPUTED_VALUE"""),"ONGC.NS")</f>
        <v>ONGC.NS</v>
      </c>
      <c r="H1199" s="8">
        <f t="shared" si="1"/>
        <v>-0.04165056464</v>
      </c>
      <c r="I1199" s="8">
        <f t="shared" si="2"/>
        <v>0.04165056464</v>
      </c>
      <c r="J1199" s="7" t="str">
        <f t="shared" si="3"/>
        <v>Mar-2025</v>
      </c>
      <c r="K1199" s="9">
        <f t="shared" si="4"/>
        <v>45717</v>
      </c>
      <c r="L1199" s="7" t="str">
        <f t="shared" si="5"/>
        <v/>
      </c>
      <c r="M1199" s="7" t="str">
        <f>IFERROR(__xludf.DUMMYFUNCTION("IFERROR(
  IF(
    F1199 &gt;
    3*AVERAGE(
       FILTER($F$2:$F10491,
         $G$2:$G10491=G1199,
         $A$2:$A10491&gt;=A1199-20,
         $A$2:$A10491&lt;=A1199
       )
    ),
    ""VOL_SPIKE_3X"",""""
  ),
"""")
"),"")</f>
        <v/>
      </c>
      <c r="N1199" s="7" t="str">
        <f t="shared" si="6"/>
        <v/>
      </c>
      <c r="O1199" s="7" t="str">
        <f t="shared" si="7"/>
        <v/>
      </c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>
      <c r="A1200" s="5">
        <f>IFERROR(__xludf.DUMMYFUNCTION("""COMPUTED_VALUE"""),45726.0)</f>
        <v>45726</v>
      </c>
      <c r="B1200" s="6">
        <f>IFERROR(__xludf.DUMMYFUNCTION("""COMPUTED_VALUE"""),261.05)</f>
        <v>261.05</v>
      </c>
      <c r="C1200" s="6">
        <f>IFERROR(__xludf.DUMMYFUNCTION("""COMPUTED_VALUE"""),274.25)</f>
        <v>274.25</v>
      </c>
      <c r="D1200" s="6">
        <f>IFERROR(__xludf.DUMMYFUNCTION("""COMPUTED_VALUE"""),261.05)</f>
        <v>261.05</v>
      </c>
      <c r="E1200" s="6">
        <f>IFERROR(__xludf.DUMMYFUNCTION("""COMPUTED_VALUE"""),271.3)</f>
        <v>271.3</v>
      </c>
      <c r="F1200" s="7">
        <f>IFERROR(__xludf.DUMMYFUNCTION("""COMPUTED_VALUE"""),3.0233763E7)</f>
        <v>30233763</v>
      </c>
      <c r="G1200" s="7" t="str">
        <f>IFERROR(__xludf.DUMMYFUNCTION("""COMPUTED_VALUE"""),"POWERGRID.NS")</f>
        <v>POWERGRID.NS</v>
      </c>
      <c r="H1200" s="8">
        <f t="shared" si="1"/>
        <v>0.03926450871</v>
      </c>
      <c r="I1200" s="8">
        <f t="shared" si="2"/>
        <v>0.03926450871</v>
      </c>
      <c r="J1200" s="7" t="str">
        <f t="shared" si="3"/>
        <v>Mar-2025</v>
      </c>
      <c r="K1200" s="9">
        <f t="shared" si="4"/>
        <v>45717</v>
      </c>
      <c r="L1200" s="7" t="str">
        <f t="shared" si="5"/>
        <v/>
      </c>
      <c r="M1200" s="7" t="str">
        <f>IFERROR(__xludf.DUMMYFUNCTION("IFERROR(
  IF(
    F1200 &gt;
    3*AVERAGE(
       FILTER($F$2:$F10491,
         $G$2:$G10491=G1200,
         $A$2:$A10491&gt;=A1200-20,
         $A$2:$A10491&lt;=A1200
       )
    ),
    ""VOL_SPIKE_3X"",""""
  ),
"""")
"),"")</f>
        <v/>
      </c>
      <c r="N1200" s="7" t="str">
        <f t="shared" si="6"/>
        <v/>
      </c>
      <c r="O1200" s="7" t="str">
        <f t="shared" si="7"/>
        <v/>
      </c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>
      <c r="A1201" s="5">
        <f>IFERROR(__xludf.DUMMYFUNCTION("""COMPUTED_VALUE"""),45726.0)</f>
        <v>45726</v>
      </c>
      <c r="B1201" s="6">
        <f>IFERROR(__xludf.DUMMYFUNCTION("""COMPUTED_VALUE"""),1245.0)</f>
        <v>1245</v>
      </c>
      <c r="C1201" s="6">
        <f>IFERROR(__xludf.DUMMYFUNCTION("""COMPUTED_VALUE"""),1258.0)</f>
        <v>1258</v>
      </c>
      <c r="D1201" s="6">
        <f>IFERROR(__xludf.DUMMYFUNCTION("""COMPUTED_VALUE"""),1235.4)</f>
        <v>1235.4</v>
      </c>
      <c r="E1201" s="6">
        <f>IFERROR(__xludf.DUMMYFUNCTION("""COMPUTED_VALUE"""),1238.4)</f>
        <v>1238.4</v>
      </c>
      <c r="F1201" s="7">
        <f>IFERROR(__xludf.DUMMYFUNCTION("""COMPUTED_VALUE"""),1.1931051E7)</f>
        <v>11931051</v>
      </c>
      <c r="G1201" s="7" t="str">
        <f>IFERROR(__xludf.DUMMYFUNCTION("""COMPUTED_VALUE"""),"RELIANCE.NS")</f>
        <v>RELIANCE.NS</v>
      </c>
      <c r="H1201" s="8">
        <f t="shared" si="1"/>
        <v>-0.005301204819</v>
      </c>
      <c r="I1201" s="8">
        <f t="shared" si="2"/>
        <v>0.005301204819</v>
      </c>
      <c r="J1201" s="7" t="str">
        <f t="shared" si="3"/>
        <v>Mar-2025</v>
      </c>
      <c r="K1201" s="9">
        <f t="shared" si="4"/>
        <v>45717</v>
      </c>
      <c r="L1201" s="7" t="str">
        <f t="shared" si="5"/>
        <v/>
      </c>
      <c r="M1201" s="7" t="str">
        <f>IFERROR(__xludf.DUMMYFUNCTION("IFERROR(
  IF(
    F1201 &gt;
    3*AVERAGE(
       FILTER($F$2:$F10491,
         $G$2:$G10491=G1201,
         $A$2:$A10491&gt;=A1201-20,
         $A$2:$A10491&lt;=A1201
       )
    ),
    ""VOL_SPIKE_3X"",""""
  ),
"""")
"),"")</f>
        <v/>
      </c>
      <c r="N1201" s="7" t="str">
        <f t="shared" si="6"/>
        <v/>
      </c>
      <c r="O1201" s="7" t="str">
        <f t="shared" si="7"/>
        <v/>
      </c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5">
        <f>IFERROR(__xludf.DUMMYFUNCTION("""COMPUTED_VALUE"""),45727.0)</f>
        <v>45727</v>
      </c>
      <c r="B1202" s="6">
        <f>IFERROR(__xludf.DUMMYFUNCTION("""COMPUTED_VALUE"""),745.0)</f>
        <v>745</v>
      </c>
      <c r="C1202" s="6">
        <f>IFERROR(__xludf.DUMMYFUNCTION("""COMPUTED_VALUE"""),768.0)</f>
        <v>768</v>
      </c>
      <c r="D1202" s="6">
        <f>IFERROR(__xludf.DUMMYFUNCTION("""COMPUTED_VALUE"""),742.0)</f>
        <v>742</v>
      </c>
      <c r="E1202" s="6">
        <f>IFERROR(__xludf.DUMMYFUNCTION("""COMPUTED_VALUE"""),761.05)</f>
        <v>761.05</v>
      </c>
      <c r="F1202" s="7">
        <f>IFERROR(__xludf.DUMMYFUNCTION("""COMPUTED_VALUE"""),2785862.0)</f>
        <v>2785862</v>
      </c>
      <c r="G1202" s="7" t="str">
        <f>IFERROR(__xludf.DUMMYFUNCTION("""COMPUTED_VALUE"""),"ADANIENSOL.NS")</f>
        <v>ADANIENSOL.NS</v>
      </c>
      <c r="H1202" s="8">
        <f t="shared" si="1"/>
        <v>0.02154362416</v>
      </c>
      <c r="I1202" s="8">
        <f t="shared" si="2"/>
        <v>0.02154362416</v>
      </c>
      <c r="J1202" s="7" t="str">
        <f t="shared" si="3"/>
        <v>Mar-2025</v>
      </c>
      <c r="K1202" s="9">
        <f t="shared" si="4"/>
        <v>45717</v>
      </c>
      <c r="L1202" s="7" t="str">
        <f t="shared" si="5"/>
        <v/>
      </c>
      <c r="M1202" s="7" t="str">
        <f>IFERROR(__xludf.DUMMYFUNCTION("IFERROR(
  IF(
    F1202 &gt;
    3*AVERAGE(
       FILTER($F$2:$F10491,
         $G$2:$G10491=G1202,
         $A$2:$A10491&gt;=A1202-20,
         $A$2:$A10491&lt;=A1202
       )
    ),
    ""VOL_SPIKE_3X"",""""
  ),
"""")
"),"")</f>
        <v/>
      </c>
      <c r="N1202" s="7" t="str">
        <f t="shared" si="6"/>
        <v/>
      </c>
      <c r="O1202" s="7" t="str">
        <f t="shared" si="7"/>
        <v/>
      </c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>
      <c r="A1203" s="5">
        <f>IFERROR(__xludf.DUMMYFUNCTION("""COMPUTED_VALUE"""),45727.0)</f>
        <v>45727</v>
      </c>
      <c r="B1203" s="6">
        <f>IFERROR(__xludf.DUMMYFUNCTION("""COMPUTED_VALUE"""),819.25)</f>
        <v>819.25</v>
      </c>
      <c r="C1203" s="6">
        <f>IFERROR(__xludf.DUMMYFUNCTION("""COMPUTED_VALUE"""),834.35)</f>
        <v>834.35</v>
      </c>
      <c r="D1203" s="6">
        <f>IFERROR(__xludf.DUMMYFUNCTION("""COMPUTED_VALUE"""),810.6)</f>
        <v>810.6</v>
      </c>
      <c r="E1203" s="6">
        <f>IFERROR(__xludf.DUMMYFUNCTION("""COMPUTED_VALUE"""),824.2)</f>
        <v>824.2</v>
      </c>
      <c r="F1203" s="7">
        <f>IFERROR(__xludf.DUMMYFUNCTION("""COMPUTED_VALUE"""),3495317.0)</f>
        <v>3495317</v>
      </c>
      <c r="G1203" s="7" t="str">
        <f>IFERROR(__xludf.DUMMYFUNCTION("""COMPUTED_VALUE"""),"ADANIGREEN.NS")</f>
        <v>ADANIGREEN.NS</v>
      </c>
      <c r="H1203" s="8">
        <f t="shared" si="1"/>
        <v>0.006042111688</v>
      </c>
      <c r="I1203" s="8">
        <f t="shared" si="2"/>
        <v>0.006042111688</v>
      </c>
      <c r="J1203" s="7" t="str">
        <f t="shared" si="3"/>
        <v>Mar-2025</v>
      </c>
      <c r="K1203" s="9">
        <f t="shared" si="4"/>
        <v>45717</v>
      </c>
      <c r="L1203" s="7" t="str">
        <f t="shared" si="5"/>
        <v/>
      </c>
      <c r="M1203" s="7" t="str">
        <f>IFERROR(__xludf.DUMMYFUNCTION("IFERROR(
  IF(
    F1203 &gt;
    3*AVERAGE(
       FILTER($F$2:$F10491,
         $G$2:$G10491=G1203,
         $A$2:$A10491&gt;=A1203-20,
         $A$2:$A10491&lt;=A1203
       )
    ),
    ""VOL_SPIKE_3X"",""""
  ),
"""")
"),"")</f>
        <v/>
      </c>
      <c r="N1203" s="7" t="str">
        <f t="shared" si="6"/>
        <v/>
      </c>
      <c r="O1203" s="7" t="str">
        <f t="shared" si="7"/>
        <v/>
      </c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>
      <c r="A1204" s="5">
        <f>IFERROR(__xludf.DUMMYFUNCTION("""COMPUTED_VALUE"""),45727.0)</f>
        <v>45727</v>
      </c>
      <c r="B1204" s="6">
        <f>IFERROR(__xludf.DUMMYFUNCTION("""COMPUTED_VALUE"""),255.99)</f>
        <v>255.99</v>
      </c>
      <c r="C1204" s="6">
        <f>IFERROR(__xludf.DUMMYFUNCTION("""COMPUTED_VALUE"""),264.97)</f>
        <v>264.97</v>
      </c>
      <c r="D1204" s="6">
        <f>IFERROR(__xludf.DUMMYFUNCTION("""COMPUTED_VALUE"""),254.35)</f>
        <v>254.35</v>
      </c>
      <c r="E1204" s="6">
        <f>IFERROR(__xludf.DUMMYFUNCTION("""COMPUTED_VALUE"""),264.58)</f>
        <v>264.58</v>
      </c>
      <c r="F1204" s="7">
        <f>IFERROR(__xludf.DUMMYFUNCTION("""COMPUTED_VALUE"""),1.2306539E7)</f>
        <v>12306539</v>
      </c>
      <c r="G1204" s="7" t="str">
        <f>IFERROR(__xludf.DUMMYFUNCTION("""COMPUTED_VALUE"""),"BPCL.NS")</f>
        <v>BPCL.NS</v>
      </c>
      <c r="H1204" s="8">
        <f t="shared" si="1"/>
        <v>0.03355599828</v>
      </c>
      <c r="I1204" s="8">
        <f t="shared" si="2"/>
        <v>0.03355599828</v>
      </c>
      <c r="J1204" s="7" t="str">
        <f t="shared" si="3"/>
        <v>Mar-2025</v>
      </c>
      <c r="K1204" s="9">
        <f t="shared" si="4"/>
        <v>45717</v>
      </c>
      <c r="L1204" s="7" t="str">
        <f t="shared" si="5"/>
        <v/>
      </c>
      <c r="M1204" s="7" t="str">
        <f>IFERROR(__xludf.DUMMYFUNCTION("IFERROR(
  IF(
    F1204 &gt;
    3*AVERAGE(
       FILTER($F$2:$F10491,
         $G$2:$G10491=G1204,
         $A$2:$A10491&gt;=A1204-20,
         $A$2:$A10491&lt;=A1204
       )
    ),
    ""VOL_SPIKE_3X"",""""
  ),
"""")
"),"")</f>
        <v/>
      </c>
      <c r="N1204" s="7" t="str">
        <f t="shared" si="6"/>
        <v/>
      </c>
      <c r="O1204" s="7" t="str">
        <f t="shared" si="7"/>
        <v/>
      </c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>
      <c r="A1205" s="5">
        <f>IFERROR(__xludf.DUMMYFUNCTION("""COMPUTED_VALUE"""),45727.0)</f>
        <v>45727</v>
      </c>
      <c r="B1205" s="6">
        <f>IFERROR(__xludf.DUMMYFUNCTION("""COMPUTED_VALUE"""),371.0)</f>
        <v>371</v>
      </c>
      <c r="C1205" s="6">
        <f>IFERROR(__xludf.DUMMYFUNCTION("""COMPUTED_VALUE"""),380.0)</f>
        <v>380</v>
      </c>
      <c r="D1205" s="6">
        <f>IFERROR(__xludf.DUMMYFUNCTION("""COMPUTED_VALUE"""),368.0)</f>
        <v>368</v>
      </c>
      <c r="E1205" s="6">
        <f>IFERROR(__xludf.DUMMYFUNCTION("""COMPUTED_VALUE"""),379.05)</f>
        <v>379.05</v>
      </c>
      <c r="F1205" s="7">
        <f>IFERROR(__xludf.DUMMYFUNCTION("""COMPUTED_VALUE"""),5340552.0)</f>
        <v>5340552</v>
      </c>
      <c r="G1205" s="7" t="str">
        <f>IFERROR(__xludf.DUMMYFUNCTION("""COMPUTED_VALUE"""),"COALINDIA.NS")</f>
        <v>COALINDIA.NS</v>
      </c>
      <c r="H1205" s="8">
        <f t="shared" si="1"/>
        <v>0.02169811321</v>
      </c>
      <c r="I1205" s="8">
        <f t="shared" si="2"/>
        <v>0.02169811321</v>
      </c>
      <c r="J1205" s="7" t="str">
        <f t="shared" si="3"/>
        <v>Mar-2025</v>
      </c>
      <c r="K1205" s="9">
        <f t="shared" si="4"/>
        <v>45717</v>
      </c>
      <c r="L1205" s="7" t="str">
        <f t="shared" si="5"/>
        <v/>
      </c>
      <c r="M1205" s="7" t="str">
        <f>IFERROR(__xludf.DUMMYFUNCTION("IFERROR(
  IF(
    F1205 &gt;
    3*AVERAGE(
       FILTER($F$2:$F10491,
         $G$2:$G10491=G1205,
         $A$2:$A10491&gt;=A1205-20,
         $A$2:$A10491&lt;=A1205
       )
    ),
    ""VOL_SPIKE_3X"",""""
  ),
"""")
"),"")</f>
        <v/>
      </c>
      <c r="N1205" s="7" t="str">
        <f t="shared" si="6"/>
        <v/>
      </c>
      <c r="O1205" s="7" t="str">
        <f t="shared" si="7"/>
        <v/>
      </c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>
      <c r="A1206" s="5">
        <f>IFERROR(__xludf.DUMMYFUNCTION("""COMPUTED_VALUE"""),45727.0)</f>
        <v>45727</v>
      </c>
      <c r="B1206" s="6">
        <f>IFERROR(__xludf.DUMMYFUNCTION("""COMPUTED_VALUE"""),324.0)</f>
        <v>324</v>
      </c>
      <c r="C1206" s="6">
        <f>IFERROR(__xludf.DUMMYFUNCTION("""COMPUTED_VALUE"""),333.9)</f>
        <v>333.9</v>
      </c>
      <c r="D1206" s="6">
        <f>IFERROR(__xludf.DUMMYFUNCTION("""COMPUTED_VALUE"""),320.5)</f>
        <v>320.5</v>
      </c>
      <c r="E1206" s="6">
        <f>IFERROR(__xludf.DUMMYFUNCTION("""COMPUTED_VALUE"""),329.7)</f>
        <v>329.7</v>
      </c>
      <c r="F1206" s="7">
        <f>IFERROR(__xludf.DUMMYFUNCTION("""COMPUTED_VALUE"""),6272107.0)</f>
        <v>6272107</v>
      </c>
      <c r="G1206" s="7" t="str">
        <f>IFERROR(__xludf.DUMMYFUNCTION("""COMPUTED_VALUE"""),"HINDPETRO.NS")</f>
        <v>HINDPETRO.NS</v>
      </c>
      <c r="H1206" s="8">
        <f t="shared" si="1"/>
        <v>0.01759259259</v>
      </c>
      <c r="I1206" s="8">
        <f t="shared" si="2"/>
        <v>0.01759259259</v>
      </c>
      <c r="J1206" s="7" t="str">
        <f t="shared" si="3"/>
        <v>Mar-2025</v>
      </c>
      <c r="K1206" s="9">
        <f t="shared" si="4"/>
        <v>45717</v>
      </c>
      <c r="L1206" s="7" t="str">
        <f t="shared" si="5"/>
        <v/>
      </c>
      <c r="M1206" s="7" t="str">
        <f>IFERROR(__xludf.DUMMYFUNCTION("IFERROR(
  IF(
    F1206 &gt;
    3*AVERAGE(
       FILTER($F$2:$F10491,
         $G$2:$G10491=G1206,
         $A$2:$A10491&gt;=A1206-20,
         $A$2:$A10491&lt;=A1206
       )
    ),
    ""VOL_SPIKE_3X"",""""
  ),
"""")
"),"")</f>
        <v/>
      </c>
      <c r="N1206" s="7" t="str">
        <f t="shared" si="6"/>
        <v/>
      </c>
      <c r="O1206" s="7" t="str">
        <f t="shared" si="7"/>
        <v/>
      </c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>
      <c r="A1207" s="5">
        <f>IFERROR(__xludf.DUMMYFUNCTION("""COMPUTED_VALUE"""),45727.0)</f>
        <v>45727</v>
      </c>
      <c r="B1207" s="6">
        <f>IFERROR(__xludf.DUMMYFUNCTION("""COMPUTED_VALUE"""),121.19)</f>
        <v>121.19</v>
      </c>
      <c r="C1207" s="6">
        <f>IFERROR(__xludf.DUMMYFUNCTION("""COMPUTED_VALUE"""),125.25)</f>
        <v>125.25</v>
      </c>
      <c r="D1207" s="6">
        <f>IFERROR(__xludf.DUMMYFUNCTION("""COMPUTED_VALUE"""),120.34)</f>
        <v>120.34</v>
      </c>
      <c r="E1207" s="6">
        <f>IFERROR(__xludf.DUMMYFUNCTION("""COMPUTED_VALUE"""),124.82)</f>
        <v>124.82</v>
      </c>
      <c r="F1207" s="7">
        <f>IFERROR(__xludf.DUMMYFUNCTION("""COMPUTED_VALUE"""),1.8090217E7)</f>
        <v>18090217</v>
      </c>
      <c r="G1207" s="7" t="str">
        <f>IFERROR(__xludf.DUMMYFUNCTION("""COMPUTED_VALUE"""),"IOC.NS")</f>
        <v>IOC.NS</v>
      </c>
      <c r="H1207" s="8">
        <f t="shared" si="1"/>
        <v>0.02995296642</v>
      </c>
      <c r="I1207" s="8">
        <f t="shared" si="2"/>
        <v>0.02995296642</v>
      </c>
      <c r="J1207" s="7" t="str">
        <f t="shared" si="3"/>
        <v>Mar-2025</v>
      </c>
      <c r="K1207" s="9">
        <f t="shared" si="4"/>
        <v>45717</v>
      </c>
      <c r="L1207" s="7" t="str">
        <f t="shared" si="5"/>
        <v/>
      </c>
      <c r="M1207" s="7" t="str">
        <f>IFERROR(__xludf.DUMMYFUNCTION("IFERROR(
  IF(
    F1207 &gt;
    3*AVERAGE(
       FILTER($F$2:$F10491,
         $G$2:$G10491=G1207,
         $A$2:$A10491&gt;=A1207-20,
         $A$2:$A10491&lt;=A1207
       )
    ),
    ""VOL_SPIKE_3X"",""""
  ),
"""")
"),"")</f>
        <v/>
      </c>
      <c r="N1207" s="7" t="str">
        <f t="shared" si="6"/>
        <v/>
      </c>
      <c r="O1207" s="7" t="str">
        <f t="shared" si="7"/>
        <v/>
      </c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>
      <c r="A1208" s="5">
        <f>IFERROR(__xludf.DUMMYFUNCTION("""COMPUTED_VALUE"""),45727.0)</f>
        <v>45727</v>
      </c>
      <c r="B1208" s="6">
        <f>IFERROR(__xludf.DUMMYFUNCTION("""COMPUTED_VALUE"""),327.0)</f>
        <v>327</v>
      </c>
      <c r="C1208" s="6">
        <f>IFERROR(__xludf.DUMMYFUNCTION("""COMPUTED_VALUE"""),333.25)</f>
        <v>333.25</v>
      </c>
      <c r="D1208" s="6">
        <f>IFERROR(__xludf.DUMMYFUNCTION("""COMPUTED_VALUE"""),323.7)</f>
        <v>323.7</v>
      </c>
      <c r="E1208" s="6">
        <f>IFERROR(__xludf.DUMMYFUNCTION("""COMPUTED_VALUE"""),330.3)</f>
        <v>330.3</v>
      </c>
      <c r="F1208" s="7">
        <f>IFERROR(__xludf.DUMMYFUNCTION("""COMPUTED_VALUE"""),1.0299324E7)</f>
        <v>10299324</v>
      </c>
      <c r="G1208" s="7" t="str">
        <f>IFERROR(__xludf.DUMMYFUNCTION("""COMPUTED_VALUE"""),"NTPC.NS")</f>
        <v>NTPC.NS</v>
      </c>
      <c r="H1208" s="8">
        <f t="shared" si="1"/>
        <v>0.01009174312</v>
      </c>
      <c r="I1208" s="8">
        <f t="shared" si="2"/>
        <v>0.01009174312</v>
      </c>
      <c r="J1208" s="7" t="str">
        <f t="shared" si="3"/>
        <v>Mar-2025</v>
      </c>
      <c r="K1208" s="9">
        <f t="shared" si="4"/>
        <v>45717</v>
      </c>
      <c r="L1208" s="7" t="str">
        <f t="shared" si="5"/>
        <v/>
      </c>
      <c r="M1208" s="7" t="str">
        <f>IFERROR(__xludf.DUMMYFUNCTION("IFERROR(
  IF(
    F1208 &gt;
    3*AVERAGE(
       FILTER($F$2:$F10491,
         $G$2:$G10491=G1208,
         $A$2:$A10491&gt;=A1208-20,
         $A$2:$A10491&lt;=A1208
       )
    ),
    ""VOL_SPIKE_3X"",""""
  ),
"""")
"),"")</f>
        <v/>
      </c>
      <c r="N1208" s="7" t="str">
        <f t="shared" si="6"/>
        <v/>
      </c>
      <c r="O1208" s="7" t="str">
        <f t="shared" si="7"/>
        <v/>
      </c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>
      <c r="A1209" s="5">
        <f>IFERROR(__xludf.DUMMYFUNCTION("""COMPUTED_VALUE"""),45727.0)</f>
        <v>45727</v>
      </c>
      <c r="B1209" s="6">
        <f>IFERROR(__xludf.DUMMYFUNCTION("""COMPUTED_VALUE"""),220.9)</f>
        <v>220.9</v>
      </c>
      <c r="C1209" s="6">
        <f>IFERROR(__xludf.DUMMYFUNCTION("""COMPUTED_VALUE"""),227.26)</f>
        <v>227.26</v>
      </c>
      <c r="D1209" s="6">
        <f>IFERROR(__xludf.DUMMYFUNCTION("""COMPUTED_VALUE"""),220.1)</f>
        <v>220.1</v>
      </c>
      <c r="E1209" s="6">
        <f>IFERROR(__xludf.DUMMYFUNCTION("""COMPUTED_VALUE"""),226.72)</f>
        <v>226.72</v>
      </c>
      <c r="F1209" s="7">
        <f>IFERROR(__xludf.DUMMYFUNCTION("""COMPUTED_VALUE"""),1.0941588E7)</f>
        <v>10941588</v>
      </c>
      <c r="G1209" s="7" t="str">
        <f>IFERROR(__xludf.DUMMYFUNCTION("""COMPUTED_VALUE"""),"ONGC.NS")</f>
        <v>ONGC.NS</v>
      </c>
      <c r="H1209" s="8">
        <f t="shared" si="1"/>
        <v>0.02634676324</v>
      </c>
      <c r="I1209" s="8">
        <f t="shared" si="2"/>
        <v>0.02634676324</v>
      </c>
      <c r="J1209" s="7" t="str">
        <f t="shared" si="3"/>
        <v>Mar-2025</v>
      </c>
      <c r="K1209" s="9">
        <f t="shared" si="4"/>
        <v>45717</v>
      </c>
      <c r="L1209" s="7" t="str">
        <f t="shared" si="5"/>
        <v/>
      </c>
      <c r="M1209" s="7" t="str">
        <f>IFERROR(__xludf.DUMMYFUNCTION("IFERROR(
  IF(
    F1209 &gt;
    3*AVERAGE(
       FILTER($F$2:$F10491,
         $G$2:$G10491=G1209,
         $A$2:$A10491&gt;=A1209-20,
         $A$2:$A10491&lt;=A1209
       )
    ),
    ""VOL_SPIKE_3X"",""""
  ),
"""")
"),"")</f>
        <v/>
      </c>
      <c r="N1209" s="7" t="str">
        <f t="shared" si="6"/>
        <v/>
      </c>
      <c r="O1209" s="7" t="str">
        <f t="shared" si="7"/>
        <v/>
      </c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>
      <c r="A1210" s="5">
        <f>IFERROR(__xludf.DUMMYFUNCTION("""COMPUTED_VALUE"""),45727.0)</f>
        <v>45727</v>
      </c>
      <c r="B1210" s="6">
        <f>IFERROR(__xludf.DUMMYFUNCTION("""COMPUTED_VALUE"""),270.0)</f>
        <v>270</v>
      </c>
      <c r="C1210" s="6">
        <f>IFERROR(__xludf.DUMMYFUNCTION("""COMPUTED_VALUE"""),271.85)</f>
        <v>271.85</v>
      </c>
      <c r="D1210" s="6">
        <f>IFERROR(__xludf.DUMMYFUNCTION("""COMPUTED_VALUE"""),265.85)</f>
        <v>265.85</v>
      </c>
      <c r="E1210" s="6">
        <f>IFERROR(__xludf.DUMMYFUNCTION("""COMPUTED_VALUE"""),267.3)</f>
        <v>267.3</v>
      </c>
      <c r="F1210" s="7">
        <f>IFERROR(__xludf.DUMMYFUNCTION("""COMPUTED_VALUE"""),9255499.0)</f>
        <v>9255499</v>
      </c>
      <c r="G1210" s="7" t="str">
        <f>IFERROR(__xludf.DUMMYFUNCTION("""COMPUTED_VALUE"""),"POWERGRID.NS")</f>
        <v>POWERGRID.NS</v>
      </c>
      <c r="H1210" s="8">
        <f t="shared" si="1"/>
        <v>-0.01</v>
      </c>
      <c r="I1210" s="8">
        <f t="shared" si="2"/>
        <v>0.01</v>
      </c>
      <c r="J1210" s="7" t="str">
        <f t="shared" si="3"/>
        <v>Mar-2025</v>
      </c>
      <c r="K1210" s="9">
        <f t="shared" si="4"/>
        <v>45717</v>
      </c>
      <c r="L1210" s="7" t="str">
        <f t="shared" si="5"/>
        <v/>
      </c>
      <c r="M1210" s="7" t="str">
        <f>IFERROR(__xludf.DUMMYFUNCTION("IFERROR(
  IF(
    F1210 &gt;
    3*AVERAGE(
       FILTER($F$2:$F10491,
         $G$2:$G10491=G1210,
         $A$2:$A10491&gt;=A1210-20,
         $A$2:$A10491&lt;=A1210
       )
    ),
    ""VOL_SPIKE_3X"",""""
  ),
"""")
"),"")</f>
        <v/>
      </c>
      <c r="N1210" s="7" t="str">
        <f t="shared" si="6"/>
        <v/>
      </c>
      <c r="O1210" s="7" t="str">
        <f t="shared" si="7"/>
        <v/>
      </c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>
      <c r="A1211" s="5">
        <f>IFERROR(__xludf.DUMMYFUNCTION("""COMPUTED_VALUE"""),45727.0)</f>
        <v>45727</v>
      </c>
      <c r="B1211" s="6">
        <f>IFERROR(__xludf.DUMMYFUNCTION("""COMPUTED_VALUE"""),1240.0)</f>
        <v>1240</v>
      </c>
      <c r="C1211" s="6">
        <f>IFERROR(__xludf.DUMMYFUNCTION("""COMPUTED_VALUE"""),1249.5)</f>
        <v>1249.5</v>
      </c>
      <c r="D1211" s="6">
        <f>IFERROR(__xludf.DUMMYFUNCTION("""COMPUTED_VALUE"""),1229.75)</f>
        <v>1229.75</v>
      </c>
      <c r="E1211" s="6">
        <f>IFERROR(__xludf.DUMMYFUNCTION("""COMPUTED_VALUE"""),1247.3)</f>
        <v>1247.3</v>
      </c>
      <c r="F1211" s="7">
        <f>IFERROR(__xludf.DUMMYFUNCTION("""COMPUTED_VALUE"""),1.0089838E7)</f>
        <v>10089838</v>
      </c>
      <c r="G1211" s="7" t="str">
        <f>IFERROR(__xludf.DUMMYFUNCTION("""COMPUTED_VALUE"""),"RELIANCE.NS")</f>
        <v>RELIANCE.NS</v>
      </c>
      <c r="H1211" s="8">
        <f t="shared" si="1"/>
        <v>0.005887096774</v>
      </c>
      <c r="I1211" s="8">
        <f t="shared" si="2"/>
        <v>0.005887096774</v>
      </c>
      <c r="J1211" s="7" t="str">
        <f t="shared" si="3"/>
        <v>Mar-2025</v>
      </c>
      <c r="K1211" s="9">
        <f t="shared" si="4"/>
        <v>45717</v>
      </c>
      <c r="L1211" s="7" t="str">
        <f t="shared" si="5"/>
        <v/>
      </c>
      <c r="M1211" s="7" t="str">
        <f>IFERROR(__xludf.DUMMYFUNCTION("IFERROR(
  IF(
    F1211 &gt;
    3*AVERAGE(
       FILTER($F$2:$F10491,
         $G$2:$G10491=G1211,
         $A$2:$A10491&gt;=A1211-20,
         $A$2:$A10491&lt;=A1211
       )
    ),
    ""VOL_SPIKE_3X"",""""
  ),
"""")
"),"")</f>
        <v/>
      </c>
      <c r="N1211" s="7" t="str">
        <f t="shared" si="6"/>
        <v/>
      </c>
      <c r="O1211" s="7" t="str">
        <f t="shared" si="7"/>
        <v/>
      </c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>
      <c r="A1212" s="5">
        <f>IFERROR(__xludf.DUMMYFUNCTION("""COMPUTED_VALUE"""),45728.0)</f>
        <v>45728</v>
      </c>
      <c r="B1212" s="6">
        <f>IFERROR(__xludf.DUMMYFUNCTION("""COMPUTED_VALUE"""),765.0)</f>
        <v>765</v>
      </c>
      <c r="C1212" s="6">
        <f>IFERROR(__xludf.DUMMYFUNCTION("""COMPUTED_VALUE"""),784.9)</f>
        <v>784.9</v>
      </c>
      <c r="D1212" s="6">
        <f>IFERROR(__xludf.DUMMYFUNCTION("""COMPUTED_VALUE"""),744.05)</f>
        <v>744.05</v>
      </c>
      <c r="E1212" s="6">
        <f>IFERROR(__xludf.DUMMYFUNCTION("""COMPUTED_VALUE"""),781.75)</f>
        <v>781.75</v>
      </c>
      <c r="F1212" s="7">
        <f>IFERROR(__xludf.DUMMYFUNCTION("""COMPUTED_VALUE"""),2734197.0)</f>
        <v>2734197</v>
      </c>
      <c r="G1212" s="7" t="str">
        <f>IFERROR(__xludf.DUMMYFUNCTION("""COMPUTED_VALUE"""),"ADANIENSOL.NS")</f>
        <v>ADANIENSOL.NS</v>
      </c>
      <c r="H1212" s="8">
        <f t="shared" si="1"/>
        <v>0.02189542484</v>
      </c>
      <c r="I1212" s="8">
        <f t="shared" si="2"/>
        <v>0.02189542484</v>
      </c>
      <c r="J1212" s="7" t="str">
        <f t="shared" si="3"/>
        <v>Mar-2025</v>
      </c>
      <c r="K1212" s="9">
        <f t="shared" si="4"/>
        <v>45717</v>
      </c>
      <c r="L1212" s="7" t="str">
        <f t="shared" si="5"/>
        <v/>
      </c>
      <c r="M1212" s="7" t="str">
        <f>IFERROR(__xludf.DUMMYFUNCTION("IFERROR(
  IF(
    F1212 &gt;
    3*AVERAGE(
       FILTER($F$2:$F10491,
         $G$2:$G10491=G1212,
         $A$2:$A10491&gt;=A1212-20,
         $A$2:$A10491&lt;=A1212
       )
    ),
    ""VOL_SPIKE_3X"",""""
  ),
"""")
"),"")</f>
        <v/>
      </c>
      <c r="N1212" s="7" t="str">
        <f t="shared" si="6"/>
        <v/>
      </c>
      <c r="O1212" s="7" t="str">
        <f t="shared" si="7"/>
        <v/>
      </c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>
      <c r="A1213" s="5">
        <f>IFERROR(__xludf.DUMMYFUNCTION("""COMPUTED_VALUE"""),45728.0)</f>
        <v>45728</v>
      </c>
      <c r="B1213" s="6">
        <f>IFERROR(__xludf.DUMMYFUNCTION("""COMPUTED_VALUE"""),834.4)</f>
        <v>834.4</v>
      </c>
      <c r="C1213" s="6">
        <f>IFERROR(__xludf.DUMMYFUNCTION("""COMPUTED_VALUE"""),858.0)</f>
        <v>858</v>
      </c>
      <c r="D1213" s="6">
        <f>IFERROR(__xludf.DUMMYFUNCTION("""COMPUTED_VALUE"""),806.35)</f>
        <v>806.35</v>
      </c>
      <c r="E1213" s="6">
        <f>IFERROR(__xludf.DUMMYFUNCTION("""COMPUTED_VALUE"""),853.45)</f>
        <v>853.45</v>
      </c>
      <c r="F1213" s="7">
        <f>IFERROR(__xludf.DUMMYFUNCTION("""COMPUTED_VALUE"""),4826264.0)</f>
        <v>4826264</v>
      </c>
      <c r="G1213" s="7" t="str">
        <f>IFERROR(__xludf.DUMMYFUNCTION("""COMPUTED_VALUE"""),"ADANIGREEN.NS")</f>
        <v>ADANIGREEN.NS</v>
      </c>
      <c r="H1213" s="8">
        <f t="shared" si="1"/>
        <v>0.02283077661</v>
      </c>
      <c r="I1213" s="8">
        <f t="shared" si="2"/>
        <v>0.02283077661</v>
      </c>
      <c r="J1213" s="7" t="str">
        <f t="shared" si="3"/>
        <v>Mar-2025</v>
      </c>
      <c r="K1213" s="9">
        <f t="shared" si="4"/>
        <v>45717</v>
      </c>
      <c r="L1213" s="7" t="str">
        <f t="shared" si="5"/>
        <v/>
      </c>
      <c r="M1213" s="7" t="str">
        <f>IFERROR(__xludf.DUMMYFUNCTION("IFERROR(
  IF(
    F1213 &gt;
    3*AVERAGE(
       FILTER($F$2:$F10491,
         $G$2:$G10491=G1213,
         $A$2:$A10491&gt;=A1213-20,
         $A$2:$A10491&lt;=A1213
       )
    ),
    ""VOL_SPIKE_3X"",""""
  ),
"""")
"),"")</f>
        <v/>
      </c>
      <c r="N1213" s="7" t="str">
        <f t="shared" si="6"/>
        <v/>
      </c>
      <c r="O1213" s="7" t="str">
        <f t="shared" si="7"/>
        <v/>
      </c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>
      <c r="A1214" s="5">
        <f>IFERROR(__xludf.DUMMYFUNCTION("""COMPUTED_VALUE"""),45728.0)</f>
        <v>45728</v>
      </c>
      <c r="B1214" s="6">
        <f>IFERROR(__xludf.DUMMYFUNCTION("""COMPUTED_VALUE"""),266.5)</f>
        <v>266.5</v>
      </c>
      <c r="C1214" s="6">
        <f>IFERROR(__xludf.DUMMYFUNCTION("""COMPUTED_VALUE"""),272.0)</f>
        <v>272</v>
      </c>
      <c r="D1214" s="6">
        <f>IFERROR(__xludf.DUMMYFUNCTION("""COMPUTED_VALUE"""),263.4)</f>
        <v>263.4</v>
      </c>
      <c r="E1214" s="6">
        <f>IFERROR(__xludf.DUMMYFUNCTION("""COMPUTED_VALUE"""),266.32)</f>
        <v>266.32</v>
      </c>
      <c r="F1214" s="7">
        <f>IFERROR(__xludf.DUMMYFUNCTION("""COMPUTED_VALUE"""),1.0648004E7)</f>
        <v>10648004</v>
      </c>
      <c r="G1214" s="7" t="str">
        <f>IFERROR(__xludf.DUMMYFUNCTION("""COMPUTED_VALUE"""),"BPCL.NS")</f>
        <v>BPCL.NS</v>
      </c>
      <c r="H1214" s="8">
        <f t="shared" si="1"/>
        <v>-0.0006754221388</v>
      </c>
      <c r="I1214" s="8">
        <f t="shared" si="2"/>
        <v>0.0006754221388</v>
      </c>
      <c r="J1214" s="7" t="str">
        <f t="shared" si="3"/>
        <v>Mar-2025</v>
      </c>
      <c r="K1214" s="9">
        <f t="shared" si="4"/>
        <v>45717</v>
      </c>
      <c r="L1214" s="7" t="str">
        <f t="shared" si="5"/>
        <v/>
      </c>
      <c r="M1214" s="7" t="str">
        <f>IFERROR(__xludf.DUMMYFUNCTION("IFERROR(
  IF(
    F1214 &gt;
    3*AVERAGE(
       FILTER($F$2:$F10491,
         $G$2:$G10491=G1214,
         $A$2:$A10491&gt;=A1214-20,
         $A$2:$A10491&lt;=A1214
       )
    ),
    ""VOL_SPIKE_3X"",""""
  ),
"""")
"),"")</f>
        <v/>
      </c>
      <c r="N1214" s="7" t="str">
        <f t="shared" si="6"/>
        <v/>
      </c>
      <c r="O1214" s="7" t="str">
        <f t="shared" si="7"/>
        <v/>
      </c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>
      <c r="A1215" s="5">
        <f>IFERROR(__xludf.DUMMYFUNCTION("""COMPUTED_VALUE"""),45728.0)</f>
        <v>45728</v>
      </c>
      <c r="B1215" s="6">
        <f>IFERROR(__xludf.DUMMYFUNCTION("""COMPUTED_VALUE"""),379.55)</f>
        <v>379.55</v>
      </c>
      <c r="C1215" s="6">
        <f>IFERROR(__xludf.DUMMYFUNCTION("""COMPUTED_VALUE"""),382.85)</f>
        <v>382.85</v>
      </c>
      <c r="D1215" s="6">
        <f>IFERROR(__xludf.DUMMYFUNCTION("""COMPUTED_VALUE"""),373.8)</f>
        <v>373.8</v>
      </c>
      <c r="E1215" s="6">
        <f>IFERROR(__xludf.DUMMYFUNCTION("""COMPUTED_VALUE"""),380.7)</f>
        <v>380.7</v>
      </c>
      <c r="F1215" s="7">
        <f>IFERROR(__xludf.DUMMYFUNCTION("""COMPUTED_VALUE"""),3951912.0)</f>
        <v>3951912</v>
      </c>
      <c r="G1215" s="7" t="str">
        <f>IFERROR(__xludf.DUMMYFUNCTION("""COMPUTED_VALUE"""),"COALINDIA.NS")</f>
        <v>COALINDIA.NS</v>
      </c>
      <c r="H1215" s="8">
        <f t="shared" si="1"/>
        <v>0.003029903833</v>
      </c>
      <c r="I1215" s="8">
        <f t="shared" si="2"/>
        <v>0.003029903833</v>
      </c>
      <c r="J1215" s="7" t="str">
        <f t="shared" si="3"/>
        <v>Mar-2025</v>
      </c>
      <c r="K1215" s="9">
        <f t="shared" si="4"/>
        <v>45717</v>
      </c>
      <c r="L1215" s="7" t="str">
        <f t="shared" si="5"/>
        <v/>
      </c>
      <c r="M1215" s="7" t="str">
        <f>IFERROR(__xludf.DUMMYFUNCTION("IFERROR(
  IF(
    F1215 &gt;
    3*AVERAGE(
       FILTER($F$2:$F10491,
         $G$2:$G10491=G1215,
         $A$2:$A10491&gt;=A1215-20,
         $A$2:$A10491&lt;=A1215
       )
    ),
    ""VOL_SPIKE_3X"",""""
  ),
"""")
"),"")</f>
        <v/>
      </c>
      <c r="N1215" s="7" t="str">
        <f t="shared" si="6"/>
        <v/>
      </c>
      <c r="O1215" s="7" t="str">
        <f t="shared" si="7"/>
        <v/>
      </c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>
      <c r="A1216" s="5">
        <f>IFERROR(__xludf.DUMMYFUNCTION("""COMPUTED_VALUE"""),45728.0)</f>
        <v>45728</v>
      </c>
      <c r="B1216" s="6">
        <f>IFERROR(__xludf.DUMMYFUNCTION("""COMPUTED_VALUE"""),334.55)</f>
        <v>334.55</v>
      </c>
      <c r="C1216" s="6">
        <f>IFERROR(__xludf.DUMMYFUNCTION("""COMPUTED_VALUE"""),343.0)</f>
        <v>343</v>
      </c>
      <c r="D1216" s="6">
        <f>IFERROR(__xludf.DUMMYFUNCTION("""COMPUTED_VALUE"""),325.8)</f>
        <v>325.8</v>
      </c>
      <c r="E1216" s="6">
        <f>IFERROR(__xludf.DUMMYFUNCTION("""COMPUTED_VALUE"""),327.35)</f>
        <v>327.35</v>
      </c>
      <c r="F1216" s="7">
        <f>IFERROR(__xludf.DUMMYFUNCTION("""COMPUTED_VALUE"""),8497676.0)</f>
        <v>8497676</v>
      </c>
      <c r="G1216" s="7" t="str">
        <f>IFERROR(__xludf.DUMMYFUNCTION("""COMPUTED_VALUE"""),"HINDPETRO.NS")</f>
        <v>HINDPETRO.NS</v>
      </c>
      <c r="H1216" s="8">
        <f t="shared" si="1"/>
        <v>-0.02152144672</v>
      </c>
      <c r="I1216" s="8">
        <f t="shared" si="2"/>
        <v>0.02152144672</v>
      </c>
      <c r="J1216" s="7" t="str">
        <f t="shared" si="3"/>
        <v>Mar-2025</v>
      </c>
      <c r="K1216" s="9">
        <f t="shared" si="4"/>
        <v>45717</v>
      </c>
      <c r="L1216" s="7" t="str">
        <f t="shared" si="5"/>
        <v/>
      </c>
      <c r="M1216" s="7" t="str">
        <f>IFERROR(__xludf.DUMMYFUNCTION("IFERROR(
  IF(
    F1216 &gt;
    3*AVERAGE(
       FILTER($F$2:$F10491,
         $G$2:$G10491=G1216,
         $A$2:$A10491&gt;=A1216-20,
         $A$2:$A10491&lt;=A1216
       )
    ),
    ""VOL_SPIKE_3X"",""""
  ),
"""")
"),"")</f>
        <v/>
      </c>
      <c r="N1216" s="7" t="str">
        <f t="shared" si="6"/>
        <v/>
      </c>
      <c r="O1216" s="7" t="str">
        <f t="shared" si="7"/>
        <v/>
      </c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>
      <c r="A1217" s="5">
        <f>IFERROR(__xludf.DUMMYFUNCTION("""COMPUTED_VALUE"""),45728.0)</f>
        <v>45728</v>
      </c>
      <c r="B1217" s="6">
        <f>IFERROR(__xludf.DUMMYFUNCTION("""COMPUTED_VALUE"""),125.0)</f>
        <v>125</v>
      </c>
      <c r="C1217" s="6">
        <f>IFERROR(__xludf.DUMMYFUNCTION("""COMPUTED_VALUE"""),127.8)</f>
        <v>127.8</v>
      </c>
      <c r="D1217" s="6">
        <f>IFERROR(__xludf.DUMMYFUNCTION("""COMPUTED_VALUE"""),124.18)</f>
        <v>124.18</v>
      </c>
      <c r="E1217" s="6">
        <f>IFERROR(__xludf.DUMMYFUNCTION("""COMPUTED_VALUE"""),125.29)</f>
        <v>125.29</v>
      </c>
      <c r="F1217" s="7">
        <f>IFERROR(__xludf.DUMMYFUNCTION("""COMPUTED_VALUE"""),1.4079943E7)</f>
        <v>14079943</v>
      </c>
      <c r="G1217" s="7" t="str">
        <f>IFERROR(__xludf.DUMMYFUNCTION("""COMPUTED_VALUE"""),"IOC.NS")</f>
        <v>IOC.NS</v>
      </c>
      <c r="H1217" s="8">
        <f t="shared" si="1"/>
        <v>0.00232</v>
      </c>
      <c r="I1217" s="8">
        <f t="shared" si="2"/>
        <v>0.00232</v>
      </c>
      <c r="J1217" s="7" t="str">
        <f t="shared" si="3"/>
        <v>Mar-2025</v>
      </c>
      <c r="K1217" s="9">
        <f t="shared" si="4"/>
        <v>45717</v>
      </c>
      <c r="L1217" s="7" t="str">
        <f t="shared" si="5"/>
        <v/>
      </c>
      <c r="M1217" s="7" t="str">
        <f>IFERROR(__xludf.DUMMYFUNCTION("IFERROR(
  IF(
    F1217 &gt;
    3*AVERAGE(
       FILTER($F$2:$F10491,
         $G$2:$G10491=G1217,
         $A$2:$A10491&gt;=A1217-20,
         $A$2:$A10491&lt;=A1217
       )
    ),
    ""VOL_SPIKE_3X"",""""
  ),
"""")
"),"")</f>
        <v/>
      </c>
      <c r="N1217" s="7" t="str">
        <f t="shared" si="6"/>
        <v/>
      </c>
      <c r="O1217" s="7" t="str">
        <f t="shared" si="7"/>
        <v/>
      </c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>
      <c r="A1218" s="5">
        <f>IFERROR(__xludf.DUMMYFUNCTION("""COMPUTED_VALUE"""),45728.0)</f>
        <v>45728</v>
      </c>
      <c r="B1218" s="6">
        <f>IFERROR(__xludf.DUMMYFUNCTION("""COMPUTED_VALUE"""),331.0)</f>
        <v>331</v>
      </c>
      <c r="C1218" s="6">
        <f>IFERROR(__xludf.DUMMYFUNCTION("""COMPUTED_VALUE"""),334.8)</f>
        <v>334.8</v>
      </c>
      <c r="D1218" s="6">
        <f>IFERROR(__xludf.DUMMYFUNCTION("""COMPUTED_VALUE"""),326.4)</f>
        <v>326.4</v>
      </c>
      <c r="E1218" s="6">
        <f>IFERROR(__xludf.DUMMYFUNCTION("""COMPUTED_VALUE"""),330.15)</f>
        <v>330.15</v>
      </c>
      <c r="F1218" s="7">
        <f>IFERROR(__xludf.DUMMYFUNCTION("""COMPUTED_VALUE"""),6984859.0)</f>
        <v>6984859</v>
      </c>
      <c r="G1218" s="7" t="str">
        <f>IFERROR(__xludf.DUMMYFUNCTION("""COMPUTED_VALUE"""),"NTPC.NS")</f>
        <v>NTPC.NS</v>
      </c>
      <c r="H1218" s="8">
        <f t="shared" si="1"/>
        <v>-0.002567975831</v>
      </c>
      <c r="I1218" s="8">
        <f t="shared" si="2"/>
        <v>0.002567975831</v>
      </c>
      <c r="J1218" s="7" t="str">
        <f t="shared" si="3"/>
        <v>Mar-2025</v>
      </c>
      <c r="K1218" s="9">
        <f t="shared" si="4"/>
        <v>45717</v>
      </c>
      <c r="L1218" s="7" t="str">
        <f t="shared" si="5"/>
        <v/>
      </c>
      <c r="M1218" s="7" t="str">
        <f>IFERROR(__xludf.DUMMYFUNCTION("IFERROR(
  IF(
    F1218 &gt;
    3*AVERAGE(
       FILTER($F$2:$F10491,
         $G$2:$G10491=G1218,
         $A$2:$A10491&gt;=A1218-20,
         $A$2:$A10491&lt;=A1218
       )
    ),
    ""VOL_SPIKE_3X"",""""
  ),
"""")
"),"")</f>
        <v/>
      </c>
      <c r="N1218" s="7" t="str">
        <f t="shared" si="6"/>
        <v/>
      </c>
      <c r="O1218" s="7" t="str">
        <f t="shared" si="7"/>
        <v/>
      </c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>
      <c r="A1219" s="5">
        <f>IFERROR(__xludf.DUMMYFUNCTION("""COMPUTED_VALUE"""),45728.0)</f>
        <v>45728</v>
      </c>
      <c r="B1219" s="6">
        <f>IFERROR(__xludf.DUMMYFUNCTION("""COMPUTED_VALUE"""),227.1)</f>
        <v>227.1</v>
      </c>
      <c r="C1219" s="6">
        <f>IFERROR(__xludf.DUMMYFUNCTION("""COMPUTED_VALUE"""),228.84)</f>
        <v>228.84</v>
      </c>
      <c r="D1219" s="6">
        <f>IFERROR(__xludf.DUMMYFUNCTION("""COMPUTED_VALUE"""),222.36)</f>
        <v>222.36</v>
      </c>
      <c r="E1219" s="6">
        <f>IFERROR(__xludf.DUMMYFUNCTION("""COMPUTED_VALUE"""),224.4)</f>
        <v>224.4</v>
      </c>
      <c r="F1219" s="7">
        <f>IFERROR(__xludf.DUMMYFUNCTION("""COMPUTED_VALUE"""),6994310.0)</f>
        <v>6994310</v>
      </c>
      <c r="G1219" s="7" t="str">
        <f>IFERROR(__xludf.DUMMYFUNCTION("""COMPUTED_VALUE"""),"ONGC.NS")</f>
        <v>ONGC.NS</v>
      </c>
      <c r="H1219" s="8">
        <f t="shared" si="1"/>
        <v>-0.01188903567</v>
      </c>
      <c r="I1219" s="8">
        <f t="shared" si="2"/>
        <v>0.01188903567</v>
      </c>
      <c r="J1219" s="7" t="str">
        <f t="shared" si="3"/>
        <v>Mar-2025</v>
      </c>
      <c r="K1219" s="9">
        <f t="shared" si="4"/>
        <v>45717</v>
      </c>
      <c r="L1219" s="7" t="str">
        <f t="shared" si="5"/>
        <v/>
      </c>
      <c r="M1219" s="7" t="str">
        <f>IFERROR(__xludf.DUMMYFUNCTION("IFERROR(
  IF(
    F1219 &gt;
    3*AVERAGE(
       FILTER($F$2:$F10491,
         $G$2:$G10491=G1219,
         $A$2:$A10491&gt;=A1219-20,
         $A$2:$A10491&lt;=A1219
       )
    ),
    ""VOL_SPIKE_3X"",""""
  ),
"""")
"),"")</f>
        <v/>
      </c>
      <c r="N1219" s="7" t="str">
        <f t="shared" si="6"/>
        <v/>
      </c>
      <c r="O1219" s="7" t="str">
        <f t="shared" si="7"/>
        <v/>
      </c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>
      <c r="A1220" s="5">
        <f>IFERROR(__xludf.DUMMYFUNCTION("""COMPUTED_VALUE"""),45728.0)</f>
        <v>45728</v>
      </c>
      <c r="B1220" s="6">
        <f>IFERROR(__xludf.DUMMYFUNCTION("""COMPUTED_VALUE"""),270.7)</f>
        <v>270.7</v>
      </c>
      <c r="C1220" s="6">
        <f>IFERROR(__xludf.DUMMYFUNCTION("""COMPUTED_VALUE"""),272.4)</f>
        <v>272.4</v>
      </c>
      <c r="D1220" s="6">
        <f>IFERROR(__xludf.DUMMYFUNCTION("""COMPUTED_VALUE"""),263.6)</f>
        <v>263.6</v>
      </c>
      <c r="E1220" s="6">
        <f>IFERROR(__xludf.DUMMYFUNCTION("""COMPUTED_VALUE"""),267.1)</f>
        <v>267.1</v>
      </c>
      <c r="F1220" s="7">
        <f>IFERROR(__xludf.DUMMYFUNCTION("""COMPUTED_VALUE"""),1.1875548E7)</f>
        <v>11875548</v>
      </c>
      <c r="G1220" s="7" t="str">
        <f>IFERROR(__xludf.DUMMYFUNCTION("""COMPUTED_VALUE"""),"POWERGRID.NS")</f>
        <v>POWERGRID.NS</v>
      </c>
      <c r="H1220" s="8">
        <f t="shared" si="1"/>
        <v>-0.01329885482</v>
      </c>
      <c r="I1220" s="8">
        <f t="shared" si="2"/>
        <v>0.01329885482</v>
      </c>
      <c r="J1220" s="7" t="str">
        <f t="shared" si="3"/>
        <v>Mar-2025</v>
      </c>
      <c r="K1220" s="9">
        <f t="shared" si="4"/>
        <v>45717</v>
      </c>
      <c r="L1220" s="7" t="str">
        <f t="shared" si="5"/>
        <v/>
      </c>
      <c r="M1220" s="7" t="str">
        <f>IFERROR(__xludf.DUMMYFUNCTION("IFERROR(
  IF(
    F1220 &gt;
    3*AVERAGE(
       FILTER($F$2:$F10491,
         $G$2:$G10491=G1220,
         $A$2:$A10491&gt;=A1220-20,
         $A$2:$A10491&lt;=A1220
       )
    ),
    ""VOL_SPIKE_3X"",""""
  ),
"""")
"),"")</f>
        <v/>
      </c>
      <c r="N1220" s="7" t="str">
        <f t="shared" si="6"/>
        <v/>
      </c>
      <c r="O1220" s="7" t="str">
        <f t="shared" si="7"/>
        <v/>
      </c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>
      <c r="A1221" s="5">
        <f>IFERROR(__xludf.DUMMYFUNCTION("""COMPUTED_VALUE"""),45728.0)</f>
        <v>45728</v>
      </c>
      <c r="B1221" s="6">
        <f>IFERROR(__xludf.DUMMYFUNCTION("""COMPUTED_VALUE"""),1258.0)</f>
        <v>1258</v>
      </c>
      <c r="C1221" s="6">
        <f>IFERROR(__xludf.DUMMYFUNCTION("""COMPUTED_VALUE"""),1263.0)</f>
        <v>1263</v>
      </c>
      <c r="D1221" s="6">
        <f>IFERROR(__xludf.DUMMYFUNCTION("""COMPUTED_VALUE"""),1244.0)</f>
        <v>1244</v>
      </c>
      <c r="E1221" s="6">
        <f>IFERROR(__xludf.DUMMYFUNCTION("""COMPUTED_VALUE"""),1257.05)</f>
        <v>1257.05</v>
      </c>
      <c r="F1221" s="7">
        <f>IFERROR(__xludf.DUMMYFUNCTION("""COMPUTED_VALUE"""),1.1977555E7)</f>
        <v>11977555</v>
      </c>
      <c r="G1221" s="7" t="str">
        <f>IFERROR(__xludf.DUMMYFUNCTION("""COMPUTED_VALUE"""),"RELIANCE.NS")</f>
        <v>RELIANCE.NS</v>
      </c>
      <c r="H1221" s="8">
        <f t="shared" si="1"/>
        <v>-0.0007551669316</v>
      </c>
      <c r="I1221" s="8">
        <f t="shared" si="2"/>
        <v>0.0007551669316</v>
      </c>
      <c r="J1221" s="7" t="str">
        <f t="shared" si="3"/>
        <v>Mar-2025</v>
      </c>
      <c r="K1221" s="9">
        <f t="shared" si="4"/>
        <v>45717</v>
      </c>
      <c r="L1221" s="7" t="str">
        <f t="shared" si="5"/>
        <v/>
      </c>
      <c r="M1221" s="7" t="str">
        <f>IFERROR(__xludf.DUMMYFUNCTION("IFERROR(
  IF(
    F1221 &gt;
    3*AVERAGE(
       FILTER($F$2:$F10491,
         $G$2:$G10491=G1221,
         $A$2:$A10491&gt;=A1221-20,
         $A$2:$A10491&lt;=A1221
       )
    ),
    ""VOL_SPIKE_3X"",""""
  ),
"""")
"),"")</f>
        <v/>
      </c>
      <c r="N1221" s="7" t="str">
        <f t="shared" si="6"/>
        <v/>
      </c>
      <c r="O1221" s="7" t="str">
        <f t="shared" si="7"/>
        <v/>
      </c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>
      <c r="A1222" s="5">
        <f>IFERROR(__xludf.DUMMYFUNCTION("""COMPUTED_VALUE"""),45729.0)</f>
        <v>45729</v>
      </c>
      <c r="B1222" s="6">
        <f>IFERROR(__xludf.DUMMYFUNCTION("""COMPUTED_VALUE"""),783.8)</f>
        <v>783.8</v>
      </c>
      <c r="C1222" s="6">
        <f>IFERROR(__xludf.DUMMYFUNCTION("""COMPUTED_VALUE"""),795.95)</f>
        <v>795.95</v>
      </c>
      <c r="D1222" s="6">
        <f>IFERROR(__xludf.DUMMYFUNCTION("""COMPUTED_VALUE"""),776.85)</f>
        <v>776.85</v>
      </c>
      <c r="E1222" s="6">
        <f>IFERROR(__xludf.DUMMYFUNCTION("""COMPUTED_VALUE"""),783.2)</f>
        <v>783.2</v>
      </c>
      <c r="F1222" s="7">
        <f>IFERROR(__xludf.DUMMYFUNCTION("""COMPUTED_VALUE"""),2201144.0)</f>
        <v>2201144</v>
      </c>
      <c r="G1222" s="7" t="str">
        <f>IFERROR(__xludf.DUMMYFUNCTION("""COMPUTED_VALUE"""),"ADANIENSOL.NS")</f>
        <v>ADANIENSOL.NS</v>
      </c>
      <c r="H1222" s="8">
        <f t="shared" si="1"/>
        <v>-0.0007655014034</v>
      </c>
      <c r="I1222" s="8">
        <f t="shared" si="2"/>
        <v>0.0007655014034</v>
      </c>
      <c r="J1222" s="7" t="str">
        <f t="shared" si="3"/>
        <v>Mar-2025</v>
      </c>
      <c r="K1222" s="9">
        <f t="shared" si="4"/>
        <v>45717</v>
      </c>
      <c r="L1222" s="7" t="str">
        <f t="shared" si="5"/>
        <v/>
      </c>
      <c r="M1222" s="7" t="str">
        <f>IFERROR(__xludf.DUMMYFUNCTION("IFERROR(
  IF(
    F1222 &gt;
    3*AVERAGE(
       FILTER($F$2:$F10491,
         $G$2:$G10491=G1222,
         $A$2:$A10491&gt;=A1222-20,
         $A$2:$A10491&lt;=A1222
       )
    ),
    ""VOL_SPIKE_3X"",""""
  ),
"""")
"),"")</f>
        <v/>
      </c>
      <c r="N1222" s="7" t="str">
        <f t="shared" si="6"/>
        <v/>
      </c>
      <c r="O1222" s="7" t="str">
        <f t="shared" si="7"/>
        <v/>
      </c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>
      <c r="A1223" s="5">
        <f>IFERROR(__xludf.DUMMYFUNCTION("""COMPUTED_VALUE"""),45729.0)</f>
        <v>45729</v>
      </c>
      <c r="B1223" s="6">
        <f>IFERROR(__xludf.DUMMYFUNCTION("""COMPUTED_VALUE"""),874.0)</f>
        <v>874</v>
      </c>
      <c r="C1223" s="6">
        <f>IFERROR(__xludf.DUMMYFUNCTION("""COMPUTED_VALUE"""),896.85)</f>
        <v>896.85</v>
      </c>
      <c r="D1223" s="6">
        <f>IFERROR(__xludf.DUMMYFUNCTION("""COMPUTED_VALUE"""),858.0)</f>
        <v>858</v>
      </c>
      <c r="E1223" s="6">
        <f>IFERROR(__xludf.DUMMYFUNCTION("""COMPUTED_VALUE"""),873.65)</f>
        <v>873.65</v>
      </c>
      <c r="F1223" s="7">
        <f>IFERROR(__xludf.DUMMYFUNCTION("""COMPUTED_VALUE"""),1.177918E7)</f>
        <v>11779180</v>
      </c>
      <c r="G1223" s="7" t="str">
        <f>IFERROR(__xludf.DUMMYFUNCTION("""COMPUTED_VALUE"""),"ADANIGREEN.NS")</f>
        <v>ADANIGREEN.NS</v>
      </c>
      <c r="H1223" s="8">
        <f t="shared" si="1"/>
        <v>-0.0004004576659</v>
      </c>
      <c r="I1223" s="8">
        <f t="shared" si="2"/>
        <v>0.0004004576659</v>
      </c>
      <c r="J1223" s="7" t="str">
        <f t="shared" si="3"/>
        <v>Mar-2025</v>
      </c>
      <c r="K1223" s="9">
        <f t="shared" si="4"/>
        <v>45717</v>
      </c>
      <c r="L1223" s="7" t="str">
        <f t="shared" si="5"/>
        <v/>
      </c>
      <c r="M1223" s="7" t="str">
        <f>IFERROR(__xludf.DUMMYFUNCTION("IFERROR(
  IF(
    F1223 &gt;
    3*AVERAGE(
       FILTER($F$2:$F10491,
         $G$2:$G10491=G1223,
         $A$2:$A10491&gt;=A1223-20,
         $A$2:$A10491&lt;=A1223
       )
    ),
    ""VOL_SPIKE_3X"",""""
  ),
"""")
"),"")</f>
        <v/>
      </c>
      <c r="N1223" s="7" t="str">
        <f t="shared" si="6"/>
        <v/>
      </c>
      <c r="O1223" s="7" t="str">
        <f t="shared" si="7"/>
        <v/>
      </c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>
      <c r="A1224" s="5">
        <f>IFERROR(__xludf.DUMMYFUNCTION("""COMPUTED_VALUE"""),45729.0)</f>
        <v>45729</v>
      </c>
      <c r="B1224" s="6">
        <f>IFERROR(__xludf.DUMMYFUNCTION("""COMPUTED_VALUE"""),266.32)</f>
        <v>266.32</v>
      </c>
      <c r="C1224" s="6">
        <f>IFERROR(__xludf.DUMMYFUNCTION("""COMPUTED_VALUE"""),266.67)</f>
        <v>266.67</v>
      </c>
      <c r="D1224" s="6">
        <f>IFERROR(__xludf.DUMMYFUNCTION("""COMPUTED_VALUE"""),262.01)</f>
        <v>262.01</v>
      </c>
      <c r="E1224" s="6">
        <f>IFERROR(__xludf.DUMMYFUNCTION("""COMPUTED_VALUE"""),264.41)</f>
        <v>264.41</v>
      </c>
      <c r="F1224" s="7">
        <f>IFERROR(__xludf.DUMMYFUNCTION("""COMPUTED_VALUE"""),4545159.0)</f>
        <v>4545159</v>
      </c>
      <c r="G1224" s="7" t="str">
        <f>IFERROR(__xludf.DUMMYFUNCTION("""COMPUTED_VALUE"""),"BPCL.NS")</f>
        <v>BPCL.NS</v>
      </c>
      <c r="H1224" s="8">
        <f t="shared" si="1"/>
        <v>-0.00717182337</v>
      </c>
      <c r="I1224" s="8">
        <f t="shared" si="2"/>
        <v>0.00717182337</v>
      </c>
      <c r="J1224" s="7" t="str">
        <f t="shared" si="3"/>
        <v>Mar-2025</v>
      </c>
      <c r="K1224" s="9">
        <f t="shared" si="4"/>
        <v>45717</v>
      </c>
      <c r="L1224" s="7" t="str">
        <f t="shared" si="5"/>
        <v/>
      </c>
      <c r="M1224" s="7" t="str">
        <f>IFERROR(__xludf.DUMMYFUNCTION("IFERROR(
  IF(
    F1224 &gt;
    3*AVERAGE(
       FILTER($F$2:$F10491,
         $G$2:$G10491=G1224,
         $A$2:$A10491&gt;=A1224-20,
         $A$2:$A10491&lt;=A1224
       )
    ),
    ""VOL_SPIKE_3X"",""""
  ),
"""")
"),"")</f>
        <v/>
      </c>
      <c r="N1224" s="7" t="str">
        <f t="shared" si="6"/>
        <v/>
      </c>
      <c r="O1224" s="7" t="str">
        <f t="shared" si="7"/>
        <v/>
      </c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>
      <c r="A1225" s="5">
        <f>IFERROR(__xludf.DUMMYFUNCTION("""COMPUTED_VALUE"""),45729.0)</f>
        <v>45729</v>
      </c>
      <c r="B1225" s="6">
        <f>IFERROR(__xludf.DUMMYFUNCTION("""COMPUTED_VALUE"""),381.5)</f>
        <v>381.5</v>
      </c>
      <c r="C1225" s="6">
        <f>IFERROR(__xludf.DUMMYFUNCTION("""COMPUTED_VALUE"""),383.0)</f>
        <v>383</v>
      </c>
      <c r="D1225" s="6">
        <f>IFERROR(__xludf.DUMMYFUNCTION("""COMPUTED_VALUE"""),377.35)</f>
        <v>377.35</v>
      </c>
      <c r="E1225" s="6">
        <f>IFERROR(__xludf.DUMMYFUNCTION("""COMPUTED_VALUE"""),378.3)</f>
        <v>378.3</v>
      </c>
      <c r="F1225" s="7">
        <f>IFERROR(__xludf.DUMMYFUNCTION("""COMPUTED_VALUE"""),3918004.0)</f>
        <v>3918004</v>
      </c>
      <c r="G1225" s="7" t="str">
        <f>IFERROR(__xludf.DUMMYFUNCTION("""COMPUTED_VALUE"""),"COALINDIA.NS")</f>
        <v>COALINDIA.NS</v>
      </c>
      <c r="H1225" s="8">
        <f t="shared" si="1"/>
        <v>-0.008387942333</v>
      </c>
      <c r="I1225" s="8">
        <f t="shared" si="2"/>
        <v>0.008387942333</v>
      </c>
      <c r="J1225" s="7" t="str">
        <f t="shared" si="3"/>
        <v>Mar-2025</v>
      </c>
      <c r="K1225" s="9">
        <f t="shared" si="4"/>
        <v>45717</v>
      </c>
      <c r="L1225" s="7" t="str">
        <f t="shared" si="5"/>
        <v/>
      </c>
      <c r="M1225" s="7" t="str">
        <f>IFERROR(__xludf.DUMMYFUNCTION("IFERROR(
  IF(
    F1225 &gt;
    3*AVERAGE(
       FILTER($F$2:$F10491,
         $G$2:$G10491=G1225,
         $A$2:$A10491&gt;=A1225-20,
         $A$2:$A10491&lt;=A1225
       )
    ),
    ""VOL_SPIKE_3X"",""""
  ),
"""")
"),"")</f>
        <v/>
      </c>
      <c r="N1225" s="7" t="str">
        <f t="shared" si="6"/>
        <v/>
      </c>
      <c r="O1225" s="7" t="str">
        <f t="shared" si="7"/>
        <v/>
      </c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>
      <c r="A1226" s="5">
        <f>IFERROR(__xludf.DUMMYFUNCTION("""COMPUTED_VALUE"""),45729.0)</f>
        <v>45729</v>
      </c>
      <c r="B1226" s="6">
        <f>IFERROR(__xludf.DUMMYFUNCTION("""COMPUTED_VALUE"""),327.35)</f>
        <v>327.35</v>
      </c>
      <c r="C1226" s="6">
        <f>IFERROR(__xludf.DUMMYFUNCTION("""COMPUTED_VALUE"""),328.4)</f>
        <v>328.4</v>
      </c>
      <c r="D1226" s="6">
        <f>IFERROR(__xludf.DUMMYFUNCTION("""COMPUTED_VALUE"""),323.0)</f>
        <v>323</v>
      </c>
      <c r="E1226" s="6">
        <f>IFERROR(__xludf.DUMMYFUNCTION("""COMPUTED_VALUE"""),323.7)</f>
        <v>323.7</v>
      </c>
      <c r="F1226" s="7">
        <f>IFERROR(__xludf.DUMMYFUNCTION("""COMPUTED_VALUE"""),4696394.0)</f>
        <v>4696394</v>
      </c>
      <c r="G1226" s="7" t="str">
        <f>IFERROR(__xludf.DUMMYFUNCTION("""COMPUTED_VALUE"""),"HINDPETRO.NS")</f>
        <v>HINDPETRO.NS</v>
      </c>
      <c r="H1226" s="8">
        <f t="shared" si="1"/>
        <v>-0.0111501451</v>
      </c>
      <c r="I1226" s="8">
        <f t="shared" si="2"/>
        <v>0.0111501451</v>
      </c>
      <c r="J1226" s="7" t="str">
        <f t="shared" si="3"/>
        <v>Mar-2025</v>
      </c>
      <c r="K1226" s="9">
        <f t="shared" si="4"/>
        <v>45717</v>
      </c>
      <c r="L1226" s="7" t="str">
        <f t="shared" si="5"/>
        <v/>
      </c>
      <c r="M1226" s="7" t="str">
        <f>IFERROR(__xludf.DUMMYFUNCTION("IFERROR(
  IF(
    F1226 &gt;
    3*AVERAGE(
       FILTER($F$2:$F10491,
         $G$2:$G10491=G1226,
         $A$2:$A10491&gt;=A1226-20,
         $A$2:$A10491&lt;=A1226
       )
    ),
    ""VOL_SPIKE_3X"",""""
  ),
"""")
"),"")</f>
        <v/>
      </c>
      <c r="N1226" s="7" t="str">
        <f t="shared" si="6"/>
        <v/>
      </c>
      <c r="O1226" s="7" t="str">
        <f t="shared" si="7"/>
        <v/>
      </c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>
      <c r="A1227" s="5">
        <f>IFERROR(__xludf.DUMMYFUNCTION("""COMPUTED_VALUE"""),45729.0)</f>
        <v>45729</v>
      </c>
      <c r="B1227" s="6">
        <f>IFERROR(__xludf.DUMMYFUNCTION("""COMPUTED_VALUE"""),125.0)</f>
        <v>125</v>
      </c>
      <c r="C1227" s="6">
        <f>IFERROR(__xludf.DUMMYFUNCTION("""COMPUTED_VALUE"""),126.47)</f>
        <v>126.47</v>
      </c>
      <c r="D1227" s="6">
        <f>IFERROR(__xludf.DUMMYFUNCTION("""COMPUTED_VALUE"""),124.33)</f>
        <v>124.33</v>
      </c>
      <c r="E1227" s="6">
        <f>IFERROR(__xludf.DUMMYFUNCTION("""COMPUTED_VALUE"""),125.67)</f>
        <v>125.67</v>
      </c>
      <c r="F1227" s="7">
        <f>IFERROR(__xludf.DUMMYFUNCTION("""COMPUTED_VALUE"""),1.0882226E7)</f>
        <v>10882226</v>
      </c>
      <c r="G1227" s="7" t="str">
        <f>IFERROR(__xludf.DUMMYFUNCTION("""COMPUTED_VALUE"""),"IOC.NS")</f>
        <v>IOC.NS</v>
      </c>
      <c r="H1227" s="8">
        <f t="shared" si="1"/>
        <v>0.00536</v>
      </c>
      <c r="I1227" s="8">
        <f t="shared" si="2"/>
        <v>0.00536</v>
      </c>
      <c r="J1227" s="7" t="str">
        <f t="shared" si="3"/>
        <v>Mar-2025</v>
      </c>
      <c r="K1227" s="9">
        <f t="shared" si="4"/>
        <v>45717</v>
      </c>
      <c r="L1227" s="7" t="str">
        <f t="shared" si="5"/>
        <v/>
      </c>
      <c r="M1227" s="7" t="str">
        <f>IFERROR(__xludf.DUMMYFUNCTION("IFERROR(
  IF(
    F1227 &gt;
    3*AVERAGE(
       FILTER($F$2:$F10491,
         $G$2:$G10491=G1227,
         $A$2:$A10491&gt;=A1227-20,
         $A$2:$A10491&lt;=A1227
       )
    ),
    ""VOL_SPIKE_3X"",""""
  ),
"""")
"),"")</f>
        <v/>
      </c>
      <c r="N1227" s="7" t="str">
        <f t="shared" si="6"/>
        <v/>
      </c>
      <c r="O1227" s="7" t="str">
        <f t="shared" si="7"/>
        <v/>
      </c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>
      <c r="A1228" s="5">
        <f>IFERROR(__xludf.DUMMYFUNCTION("""COMPUTED_VALUE"""),45729.0)</f>
        <v>45729</v>
      </c>
      <c r="B1228" s="6">
        <f>IFERROR(__xludf.DUMMYFUNCTION("""COMPUTED_VALUE"""),332.0)</f>
        <v>332</v>
      </c>
      <c r="C1228" s="6">
        <f>IFERROR(__xludf.DUMMYFUNCTION("""COMPUTED_VALUE"""),334.55)</f>
        <v>334.55</v>
      </c>
      <c r="D1228" s="6">
        <f>IFERROR(__xludf.DUMMYFUNCTION("""COMPUTED_VALUE"""),328.45)</f>
        <v>328.45</v>
      </c>
      <c r="E1228" s="6">
        <f>IFERROR(__xludf.DUMMYFUNCTION("""COMPUTED_VALUE"""),331.9)</f>
        <v>331.9</v>
      </c>
      <c r="F1228" s="7">
        <f>IFERROR(__xludf.DUMMYFUNCTION("""COMPUTED_VALUE"""),8965150.0)</f>
        <v>8965150</v>
      </c>
      <c r="G1228" s="7" t="str">
        <f>IFERROR(__xludf.DUMMYFUNCTION("""COMPUTED_VALUE"""),"NTPC.NS")</f>
        <v>NTPC.NS</v>
      </c>
      <c r="H1228" s="8">
        <f t="shared" si="1"/>
        <v>-0.0003012048193</v>
      </c>
      <c r="I1228" s="8">
        <f t="shared" si="2"/>
        <v>0.0003012048193</v>
      </c>
      <c r="J1228" s="7" t="str">
        <f t="shared" si="3"/>
        <v>Mar-2025</v>
      </c>
      <c r="K1228" s="9">
        <f t="shared" si="4"/>
        <v>45717</v>
      </c>
      <c r="L1228" s="7" t="str">
        <f t="shared" si="5"/>
        <v/>
      </c>
      <c r="M1228" s="7" t="str">
        <f>IFERROR(__xludf.DUMMYFUNCTION("IFERROR(
  IF(
    F1228 &gt;
    3*AVERAGE(
       FILTER($F$2:$F10491,
         $G$2:$G10491=G1228,
         $A$2:$A10491&gt;=A1228-20,
         $A$2:$A10491&lt;=A1228
       )
    ),
    ""VOL_SPIKE_3X"",""""
  ),
"""")
"),"")</f>
        <v/>
      </c>
      <c r="N1228" s="7" t="str">
        <f t="shared" si="6"/>
        <v/>
      </c>
      <c r="O1228" s="7" t="str">
        <f t="shared" si="7"/>
        <v/>
      </c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>
      <c r="A1229" s="5">
        <f>IFERROR(__xludf.DUMMYFUNCTION("""COMPUTED_VALUE"""),45729.0)</f>
        <v>45729</v>
      </c>
      <c r="B1229" s="6">
        <f>IFERROR(__xludf.DUMMYFUNCTION("""COMPUTED_VALUE"""),228.15)</f>
        <v>228.15</v>
      </c>
      <c r="C1229" s="6">
        <f>IFERROR(__xludf.DUMMYFUNCTION("""COMPUTED_VALUE"""),230.4)</f>
        <v>230.4</v>
      </c>
      <c r="D1229" s="6">
        <f>IFERROR(__xludf.DUMMYFUNCTION("""COMPUTED_VALUE"""),224.87)</f>
        <v>224.87</v>
      </c>
      <c r="E1229" s="6">
        <f>IFERROR(__xludf.DUMMYFUNCTION("""COMPUTED_VALUE"""),225.43)</f>
        <v>225.43</v>
      </c>
      <c r="F1229" s="7">
        <f>IFERROR(__xludf.DUMMYFUNCTION("""COMPUTED_VALUE"""),1.6105085E7)</f>
        <v>16105085</v>
      </c>
      <c r="G1229" s="7" t="str">
        <f>IFERROR(__xludf.DUMMYFUNCTION("""COMPUTED_VALUE"""),"ONGC.NS")</f>
        <v>ONGC.NS</v>
      </c>
      <c r="H1229" s="8">
        <f t="shared" si="1"/>
        <v>-0.01192198115</v>
      </c>
      <c r="I1229" s="8">
        <f t="shared" si="2"/>
        <v>0.01192198115</v>
      </c>
      <c r="J1229" s="7" t="str">
        <f t="shared" si="3"/>
        <v>Mar-2025</v>
      </c>
      <c r="K1229" s="9">
        <f t="shared" si="4"/>
        <v>45717</v>
      </c>
      <c r="L1229" s="7" t="str">
        <f t="shared" si="5"/>
        <v/>
      </c>
      <c r="M1229" s="7" t="str">
        <f>IFERROR(__xludf.DUMMYFUNCTION("IFERROR(
  IF(
    F1229 &gt;
    3*AVERAGE(
       FILTER($F$2:$F10491,
         $G$2:$G10491=G1229,
         $A$2:$A10491&gt;=A1229-20,
         $A$2:$A10491&lt;=A1229
       )
    ),
    ""VOL_SPIKE_3X"",""""
  ),
"""")
"),"")</f>
        <v/>
      </c>
      <c r="N1229" s="7" t="str">
        <f t="shared" si="6"/>
        <v/>
      </c>
      <c r="O1229" s="7" t="str">
        <f t="shared" si="7"/>
        <v/>
      </c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>
      <c r="A1230" s="5">
        <f>IFERROR(__xludf.DUMMYFUNCTION("""COMPUTED_VALUE"""),45729.0)</f>
        <v>45729</v>
      </c>
      <c r="B1230" s="6">
        <f>IFERROR(__xludf.DUMMYFUNCTION("""COMPUTED_VALUE"""),269.8)</f>
        <v>269.8</v>
      </c>
      <c r="C1230" s="6">
        <f>IFERROR(__xludf.DUMMYFUNCTION("""COMPUTED_VALUE"""),270.65)</f>
        <v>270.65</v>
      </c>
      <c r="D1230" s="6">
        <f>IFERROR(__xludf.DUMMYFUNCTION("""COMPUTED_VALUE"""),265.5)</f>
        <v>265.5</v>
      </c>
      <c r="E1230" s="6">
        <f>IFERROR(__xludf.DUMMYFUNCTION("""COMPUTED_VALUE"""),267.65)</f>
        <v>267.65</v>
      </c>
      <c r="F1230" s="7">
        <f>IFERROR(__xludf.DUMMYFUNCTION("""COMPUTED_VALUE"""),9270442.0)</f>
        <v>9270442</v>
      </c>
      <c r="G1230" s="7" t="str">
        <f>IFERROR(__xludf.DUMMYFUNCTION("""COMPUTED_VALUE"""),"POWERGRID.NS")</f>
        <v>POWERGRID.NS</v>
      </c>
      <c r="H1230" s="8">
        <f t="shared" si="1"/>
        <v>-0.007968865827</v>
      </c>
      <c r="I1230" s="8">
        <f t="shared" si="2"/>
        <v>0.007968865827</v>
      </c>
      <c r="J1230" s="7" t="str">
        <f t="shared" si="3"/>
        <v>Mar-2025</v>
      </c>
      <c r="K1230" s="9">
        <f t="shared" si="4"/>
        <v>45717</v>
      </c>
      <c r="L1230" s="7" t="str">
        <f t="shared" si="5"/>
        <v/>
      </c>
      <c r="M1230" s="7" t="str">
        <f>IFERROR(__xludf.DUMMYFUNCTION("IFERROR(
  IF(
    F1230 &gt;
    3*AVERAGE(
       FILTER($F$2:$F10491,
         $G$2:$G10491=G1230,
         $A$2:$A10491&gt;=A1230-20,
         $A$2:$A10491&lt;=A1230
       )
    ),
    ""VOL_SPIKE_3X"",""""
  ),
"""")
"),"")</f>
        <v/>
      </c>
      <c r="N1230" s="7" t="str">
        <f t="shared" si="6"/>
        <v/>
      </c>
      <c r="O1230" s="7" t="str">
        <f t="shared" si="7"/>
        <v/>
      </c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>
      <c r="A1231" s="5">
        <f>IFERROR(__xludf.DUMMYFUNCTION("""COMPUTED_VALUE"""),45729.0)</f>
        <v>45729</v>
      </c>
      <c r="B1231" s="6">
        <f>IFERROR(__xludf.DUMMYFUNCTION("""COMPUTED_VALUE"""),1260.05)</f>
        <v>1260.05</v>
      </c>
      <c r="C1231" s="6">
        <f>IFERROR(__xludf.DUMMYFUNCTION("""COMPUTED_VALUE"""),1264.15)</f>
        <v>1264.15</v>
      </c>
      <c r="D1231" s="6">
        <f>IFERROR(__xludf.DUMMYFUNCTION("""COMPUTED_VALUE"""),1243.85)</f>
        <v>1243.85</v>
      </c>
      <c r="E1231" s="6">
        <f>IFERROR(__xludf.DUMMYFUNCTION("""COMPUTED_VALUE"""),1247.9)</f>
        <v>1247.9</v>
      </c>
      <c r="F1231" s="7">
        <f>IFERROR(__xludf.DUMMYFUNCTION("""COMPUTED_VALUE"""),9505270.0)</f>
        <v>9505270</v>
      </c>
      <c r="G1231" s="7" t="str">
        <f>IFERROR(__xludf.DUMMYFUNCTION("""COMPUTED_VALUE"""),"RELIANCE.NS")</f>
        <v>RELIANCE.NS</v>
      </c>
      <c r="H1231" s="8">
        <f t="shared" si="1"/>
        <v>-0.009642474505</v>
      </c>
      <c r="I1231" s="8">
        <f t="shared" si="2"/>
        <v>0.009642474505</v>
      </c>
      <c r="J1231" s="7" t="str">
        <f t="shared" si="3"/>
        <v>Mar-2025</v>
      </c>
      <c r="K1231" s="9">
        <f t="shared" si="4"/>
        <v>45717</v>
      </c>
      <c r="L1231" s="7" t="str">
        <f t="shared" si="5"/>
        <v/>
      </c>
      <c r="M1231" s="7" t="str">
        <f>IFERROR(__xludf.DUMMYFUNCTION("IFERROR(
  IF(
    F1231 &gt;
    3*AVERAGE(
       FILTER($F$2:$F10491,
         $G$2:$G10491=G1231,
         $A$2:$A10491&gt;=A1231-20,
         $A$2:$A10491&lt;=A1231
       )
    ),
    ""VOL_SPIKE_3X"",""""
  ),
"""")
"),"")</f>
        <v/>
      </c>
      <c r="N1231" s="7" t="str">
        <f t="shared" si="6"/>
        <v/>
      </c>
      <c r="O1231" s="7" t="str">
        <f t="shared" si="7"/>
        <v/>
      </c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>
      <c r="A1232" s="5">
        <f>IFERROR(__xludf.DUMMYFUNCTION("""COMPUTED_VALUE"""),45733.0)</f>
        <v>45733</v>
      </c>
      <c r="B1232" s="6">
        <f>IFERROR(__xludf.DUMMYFUNCTION("""COMPUTED_VALUE"""),779.8)</f>
        <v>779.8</v>
      </c>
      <c r="C1232" s="6">
        <f>IFERROR(__xludf.DUMMYFUNCTION("""COMPUTED_VALUE"""),801.15)</f>
        <v>801.15</v>
      </c>
      <c r="D1232" s="6">
        <f>IFERROR(__xludf.DUMMYFUNCTION("""COMPUTED_VALUE"""),776.8)</f>
        <v>776.8</v>
      </c>
      <c r="E1232" s="6">
        <f>IFERROR(__xludf.DUMMYFUNCTION("""COMPUTED_VALUE"""),795.6)</f>
        <v>795.6</v>
      </c>
      <c r="F1232" s="7">
        <f>IFERROR(__xludf.DUMMYFUNCTION("""COMPUTED_VALUE"""),1850753.0)</f>
        <v>1850753</v>
      </c>
      <c r="G1232" s="7" t="str">
        <f>IFERROR(__xludf.DUMMYFUNCTION("""COMPUTED_VALUE"""),"ADANIENSOL.NS")</f>
        <v>ADANIENSOL.NS</v>
      </c>
      <c r="H1232" s="8">
        <f t="shared" si="1"/>
        <v>0.02026160554</v>
      </c>
      <c r="I1232" s="8">
        <f t="shared" si="2"/>
        <v>0.02026160554</v>
      </c>
      <c r="J1232" s="7" t="str">
        <f t="shared" si="3"/>
        <v>Mar-2025</v>
      </c>
      <c r="K1232" s="9">
        <f t="shared" si="4"/>
        <v>45717</v>
      </c>
      <c r="L1232" s="7" t="str">
        <f t="shared" si="5"/>
        <v/>
      </c>
      <c r="M1232" s="7" t="str">
        <f>IFERROR(__xludf.DUMMYFUNCTION("IFERROR(
  IF(
    F1232 &gt;
    3*AVERAGE(
       FILTER($F$2:$F10491,
         $G$2:$G10491=G1232,
         $A$2:$A10491&gt;=A1232-20,
         $A$2:$A10491&lt;=A1232
       )
    ),
    ""VOL_SPIKE_3X"",""""
  ),
"""")
"),"")</f>
        <v/>
      </c>
      <c r="N1232" s="7" t="str">
        <f t="shared" si="6"/>
        <v/>
      </c>
      <c r="O1232" s="7" t="str">
        <f t="shared" si="7"/>
        <v/>
      </c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>
      <c r="A1233" s="5">
        <f>IFERROR(__xludf.DUMMYFUNCTION("""COMPUTED_VALUE"""),45733.0)</f>
        <v>45733</v>
      </c>
      <c r="B1233" s="6">
        <f>IFERROR(__xludf.DUMMYFUNCTION("""COMPUTED_VALUE"""),873.65)</f>
        <v>873.65</v>
      </c>
      <c r="C1233" s="6">
        <f>IFERROR(__xludf.DUMMYFUNCTION("""COMPUTED_VALUE"""),908.45)</f>
        <v>908.45</v>
      </c>
      <c r="D1233" s="6">
        <f>IFERROR(__xludf.DUMMYFUNCTION("""COMPUTED_VALUE"""),868.85)</f>
        <v>868.85</v>
      </c>
      <c r="E1233" s="6">
        <f>IFERROR(__xludf.DUMMYFUNCTION("""COMPUTED_VALUE"""),896.0)</f>
        <v>896</v>
      </c>
      <c r="F1233" s="7">
        <f>IFERROR(__xludf.DUMMYFUNCTION("""COMPUTED_VALUE"""),5903492.0)</f>
        <v>5903492</v>
      </c>
      <c r="G1233" s="7" t="str">
        <f>IFERROR(__xludf.DUMMYFUNCTION("""COMPUTED_VALUE"""),"ADANIGREEN.NS")</f>
        <v>ADANIGREEN.NS</v>
      </c>
      <c r="H1233" s="8">
        <f t="shared" si="1"/>
        <v>0.02558232702</v>
      </c>
      <c r="I1233" s="8">
        <f t="shared" si="2"/>
        <v>0.02558232702</v>
      </c>
      <c r="J1233" s="7" t="str">
        <f t="shared" si="3"/>
        <v>Mar-2025</v>
      </c>
      <c r="K1233" s="9">
        <f t="shared" si="4"/>
        <v>45717</v>
      </c>
      <c r="L1233" s="7" t="str">
        <f t="shared" si="5"/>
        <v/>
      </c>
      <c r="M1233" s="7" t="str">
        <f>IFERROR(__xludf.DUMMYFUNCTION("IFERROR(
  IF(
    F1233 &gt;
    3*AVERAGE(
       FILTER($F$2:$F10491,
         $G$2:$G10491=G1233,
         $A$2:$A10491&gt;=A1233-20,
         $A$2:$A10491&lt;=A1233
       )
    ),
    ""VOL_SPIKE_3X"",""""
  ),
"""")
"),"")</f>
        <v/>
      </c>
      <c r="N1233" s="7" t="str">
        <f t="shared" si="6"/>
        <v/>
      </c>
      <c r="O1233" s="7" t="str">
        <f t="shared" si="7"/>
        <v/>
      </c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>
      <c r="A1234" s="5">
        <f>IFERROR(__xludf.DUMMYFUNCTION("""COMPUTED_VALUE"""),45733.0)</f>
        <v>45733</v>
      </c>
      <c r="B1234" s="6">
        <f>IFERROR(__xludf.DUMMYFUNCTION("""COMPUTED_VALUE"""),261.11)</f>
        <v>261.11</v>
      </c>
      <c r="C1234" s="6">
        <f>IFERROR(__xludf.DUMMYFUNCTION("""COMPUTED_VALUE"""),263.69)</f>
        <v>263.69</v>
      </c>
      <c r="D1234" s="6">
        <f>IFERROR(__xludf.DUMMYFUNCTION("""COMPUTED_VALUE"""),258.31)</f>
        <v>258.31</v>
      </c>
      <c r="E1234" s="6">
        <f>IFERROR(__xludf.DUMMYFUNCTION("""COMPUTED_VALUE"""),261.41)</f>
        <v>261.41</v>
      </c>
      <c r="F1234" s="7">
        <f>IFERROR(__xludf.DUMMYFUNCTION("""COMPUTED_VALUE"""),6482574.0)</f>
        <v>6482574</v>
      </c>
      <c r="G1234" s="7" t="str">
        <f>IFERROR(__xludf.DUMMYFUNCTION("""COMPUTED_VALUE"""),"BPCL.NS")</f>
        <v>BPCL.NS</v>
      </c>
      <c r="H1234" s="8">
        <f t="shared" si="1"/>
        <v>0.001148941059</v>
      </c>
      <c r="I1234" s="8">
        <f t="shared" si="2"/>
        <v>0.001148941059</v>
      </c>
      <c r="J1234" s="7" t="str">
        <f t="shared" si="3"/>
        <v>Mar-2025</v>
      </c>
      <c r="K1234" s="9">
        <f t="shared" si="4"/>
        <v>45717</v>
      </c>
      <c r="L1234" s="7" t="str">
        <f t="shared" si="5"/>
        <v/>
      </c>
      <c r="M1234" s="7" t="str">
        <f>IFERROR(__xludf.DUMMYFUNCTION("IFERROR(
  IF(
    F1234 &gt;
    3*AVERAGE(
       FILTER($F$2:$F10491,
         $G$2:$G10491=G1234,
         $A$2:$A10491&gt;=A1234-20,
         $A$2:$A10491&lt;=A1234
       )
    ),
    ""VOL_SPIKE_3X"",""""
  ),
"""")
"),"")</f>
        <v/>
      </c>
      <c r="N1234" s="7" t="str">
        <f t="shared" si="6"/>
        <v/>
      </c>
      <c r="O1234" s="7" t="str">
        <f t="shared" si="7"/>
        <v/>
      </c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>
      <c r="A1235" s="5">
        <f>IFERROR(__xludf.DUMMYFUNCTION("""COMPUTED_VALUE"""),45733.0)</f>
        <v>45733</v>
      </c>
      <c r="B1235" s="6">
        <f>IFERROR(__xludf.DUMMYFUNCTION("""COMPUTED_VALUE"""),380.2)</f>
        <v>380.2</v>
      </c>
      <c r="C1235" s="6">
        <f>IFERROR(__xludf.DUMMYFUNCTION("""COMPUTED_VALUE"""),387.05)</f>
        <v>387.05</v>
      </c>
      <c r="D1235" s="6">
        <f>IFERROR(__xludf.DUMMYFUNCTION("""COMPUTED_VALUE"""),379.05)</f>
        <v>379.05</v>
      </c>
      <c r="E1235" s="6">
        <f>IFERROR(__xludf.DUMMYFUNCTION("""COMPUTED_VALUE"""),385.75)</f>
        <v>385.75</v>
      </c>
      <c r="F1235" s="7">
        <f>IFERROR(__xludf.DUMMYFUNCTION("""COMPUTED_VALUE"""),5456631.0)</f>
        <v>5456631</v>
      </c>
      <c r="G1235" s="7" t="str">
        <f>IFERROR(__xludf.DUMMYFUNCTION("""COMPUTED_VALUE"""),"COALINDIA.NS")</f>
        <v>COALINDIA.NS</v>
      </c>
      <c r="H1235" s="8">
        <f t="shared" si="1"/>
        <v>0.01459758022</v>
      </c>
      <c r="I1235" s="8">
        <f t="shared" si="2"/>
        <v>0.01459758022</v>
      </c>
      <c r="J1235" s="7" t="str">
        <f t="shared" si="3"/>
        <v>Mar-2025</v>
      </c>
      <c r="K1235" s="9">
        <f t="shared" si="4"/>
        <v>45717</v>
      </c>
      <c r="L1235" s="7" t="str">
        <f t="shared" si="5"/>
        <v/>
      </c>
      <c r="M1235" s="7" t="str">
        <f>IFERROR(__xludf.DUMMYFUNCTION("IFERROR(
  IF(
    F1235 &gt;
    3*AVERAGE(
       FILTER($F$2:$F10491,
         $G$2:$G10491=G1235,
         $A$2:$A10491&gt;=A1235-20,
         $A$2:$A10491&lt;=A1235
       )
    ),
    ""VOL_SPIKE_3X"",""""
  ),
"""")
"),"")</f>
        <v/>
      </c>
      <c r="N1235" s="7" t="str">
        <f t="shared" si="6"/>
        <v/>
      </c>
      <c r="O1235" s="7" t="str">
        <f t="shared" si="7"/>
        <v/>
      </c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>
      <c r="A1236" s="5">
        <f>IFERROR(__xludf.DUMMYFUNCTION("""COMPUTED_VALUE"""),45733.0)</f>
        <v>45733</v>
      </c>
      <c r="B1236" s="6">
        <f>IFERROR(__xludf.DUMMYFUNCTION("""COMPUTED_VALUE"""),325.85)</f>
        <v>325.85</v>
      </c>
      <c r="C1236" s="6">
        <f>IFERROR(__xludf.DUMMYFUNCTION("""COMPUTED_VALUE"""),330.4)</f>
        <v>330.4</v>
      </c>
      <c r="D1236" s="6">
        <f>IFERROR(__xludf.DUMMYFUNCTION("""COMPUTED_VALUE"""),323.7)</f>
        <v>323.7</v>
      </c>
      <c r="E1236" s="6">
        <f>IFERROR(__xludf.DUMMYFUNCTION("""COMPUTED_VALUE"""),325.0)</f>
        <v>325</v>
      </c>
      <c r="F1236" s="7">
        <f>IFERROR(__xludf.DUMMYFUNCTION("""COMPUTED_VALUE"""),5417463.0)</f>
        <v>5417463</v>
      </c>
      <c r="G1236" s="7" t="str">
        <f>IFERROR(__xludf.DUMMYFUNCTION("""COMPUTED_VALUE"""),"HINDPETRO.NS")</f>
        <v>HINDPETRO.NS</v>
      </c>
      <c r="H1236" s="8">
        <f t="shared" si="1"/>
        <v>-0.002608562222</v>
      </c>
      <c r="I1236" s="8">
        <f t="shared" si="2"/>
        <v>0.002608562222</v>
      </c>
      <c r="J1236" s="7" t="str">
        <f t="shared" si="3"/>
        <v>Mar-2025</v>
      </c>
      <c r="K1236" s="9">
        <f t="shared" si="4"/>
        <v>45717</v>
      </c>
      <c r="L1236" s="7" t="str">
        <f t="shared" si="5"/>
        <v/>
      </c>
      <c r="M1236" s="7" t="str">
        <f>IFERROR(__xludf.DUMMYFUNCTION("IFERROR(
  IF(
    F1236 &gt;
    3*AVERAGE(
       FILTER($F$2:$F10491,
         $G$2:$G10491=G1236,
         $A$2:$A10491&gt;=A1236-20,
         $A$2:$A10491&lt;=A1236
       )
    ),
    ""VOL_SPIKE_3X"",""""
  ),
"""")
"),"")</f>
        <v/>
      </c>
      <c r="N1236" s="7" t="str">
        <f t="shared" si="6"/>
        <v/>
      </c>
      <c r="O1236" s="7" t="str">
        <f t="shared" si="7"/>
        <v/>
      </c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>
      <c r="A1237" s="5">
        <f>IFERROR(__xludf.DUMMYFUNCTION("""COMPUTED_VALUE"""),45733.0)</f>
        <v>45733</v>
      </c>
      <c r="B1237" s="6">
        <f>IFERROR(__xludf.DUMMYFUNCTION("""COMPUTED_VALUE"""),332.95)</f>
        <v>332.95</v>
      </c>
      <c r="C1237" s="6">
        <f>IFERROR(__xludf.DUMMYFUNCTION("""COMPUTED_VALUE"""),334.5)</f>
        <v>334.5</v>
      </c>
      <c r="D1237" s="6">
        <f>IFERROR(__xludf.DUMMYFUNCTION("""COMPUTED_VALUE"""),330.5)</f>
        <v>330.5</v>
      </c>
      <c r="E1237" s="6">
        <f>IFERROR(__xludf.DUMMYFUNCTION("""COMPUTED_VALUE"""),331.65)</f>
        <v>331.65</v>
      </c>
      <c r="F1237" s="7">
        <f>IFERROR(__xludf.DUMMYFUNCTION("""COMPUTED_VALUE"""),4353562.0)</f>
        <v>4353562</v>
      </c>
      <c r="G1237" s="7" t="str">
        <f>IFERROR(__xludf.DUMMYFUNCTION("""COMPUTED_VALUE"""),"NTPC.NS")</f>
        <v>NTPC.NS</v>
      </c>
      <c r="H1237" s="8">
        <f t="shared" si="1"/>
        <v>-0.003904490164</v>
      </c>
      <c r="I1237" s="8">
        <f t="shared" si="2"/>
        <v>0.003904490164</v>
      </c>
      <c r="J1237" s="7" t="str">
        <f t="shared" si="3"/>
        <v>Mar-2025</v>
      </c>
      <c r="K1237" s="9">
        <f t="shared" si="4"/>
        <v>45717</v>
      </c>
      <c r="L1237" s="7" t="str">
        <f t="shared" si="5"/>
        <v/>
      </c>
      <c r="M1237" s="7" t="str">
        <f>IFERROR(__xludf.DUMMYFUNCTION("IFERROR(
  IF(
    F1237 &gt;
    3*AVERAGE(
       FILTER($F$2:$F10491,
         $G$2:$G10491=G1237,
         $A$2:$A10491&gt;=A1237-20,
         $A$2:$A10491&lt;=A1237
       )
    ),
    ""VOL_SPIKE_3X"",""""
  ),
"""")
"),"")</f>
        <v/>
      </c>
      <c r="N1237" s="7" t="str">
        <f t="shared" si="6"/>
        <v/>
      </c>
      <c r="O1237" s="7" t="str">
        <f t="shared" si="7"/>
        <v/>
      </c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>
      <c r="A1238" s="5">
        <f>IFERROR(__xludf.DUMMYFUNCTION("""COMPUTED_VALUE"""),45733.0)</f>
        <v>45733</v>
      </c>
      <c r="B1238" s="6">
        <f>IFERROR(__xludf.DUMMYFUNCTION("""COMPUTED_VALUE"""),226.52)</f>
        <v>226.52</v>
      </c>
      <c r="C1238" s="6">
        <f>IFERROR(__xludf.DUMMYFUNCTION("""COMPUTED_VALUE"""),230.45)</f>
        <v>230.45</v>
      </c>
      <c r="D1238" s="6">
        <f>IFERROR(__xludf.DUMMYFUNCTION("""COMPUTED_VALUE"""),226.24)</f>
        <v>226.24</v>
      </c>
      <c r="E1238" s="6">
        <f>IFERROR(__xludf.DUMMYFUNCTION("""COMPUTED_VALUE"""),229.74)</f>
        <v>229.74</v>
      </c>
      <c r="F1238" s="7">
        <f>IFERROR(__xludf.DUMMYFUNCTION("""COMPUTED_VALUE"""),8789001.0)</f>
        <v>8789001</v>
      </c>
      <c r="G1238" s="7" t="str">
        <f>IFERROR(__xludf.DUMMYFUNCTION("""COMPUTED_VALUE"""),"ONGC.NS")</f>
        <v>ONGC.NS</v>
      </c>
      <c r="H1238" s="8">
        <f t="shared" si="1"/>
        <v>0.01421508035</v>
      </c>
      <c r="I1238" s="8">
        <f t="shared" si="2"/>
        <v>0.01421508035</v>
      </c>
      <c r="J1238" s="7" t="str">
        <f t="shared" si="3"/>
        <v>Mar-2025</v>
      </c>
      <c r="K1238" s="9">
        <f t="shared" si="4"/>
        <v>45717</v>
      </c>
      <c r="L1238" s="7" t="str">
        <f t="shared" si="5"/>
        <v/>
      </c>
      <c r="M1238" s="7" t="str">
        <f>IFERROR(__xludf.DUMMYFUNCTION("IFERROR(
  IF(
    F1238 &gt;
    3*AVERAGE(
       FILTER($F$2:$F10491,
         $G$2:$G10491=G1238,
         $A$2:$A10491&gt;=A1238-20,
         $A$2:$A10491&lt;=A1238
       )
    ),
    ""VOL_SPIKE_3X"",""""
  ),
"""")
"),"")</f>
        <v/>
      </c>
      <c r="N1238" s="7" t="str">
        <f t="shared" si="6"/>
        <v/>
      </c>
      <c r="O1238" s="7" t="str">
        <f t="shared" si="7"/>
        <v/>
      </c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>
      <c r="A1239" s="5">
        <f>IFERROR(__xludf.DUMMYFUNCTION("""COMPUTED_VALUE"""),45733.0)</f>
        <v>45733</v>
      </c>
      <c r="B1239" s="6">
        <f>IFERROR(__xludf.DUMMYFUNCTION("""COMPUTED_VALUE"""),270.0)</f>
        <v>270</v>
      </c>
      <c r="C1239" s="6">
        <f>IFERROR(__xludf.DUMMYFUNCTION("""COMPUTED_VALUE"""),270.65)</f>
        <v>270.65</v>
      </c>
      <c r="D1239" s="6">
        <f>IFERROR(__xludf.DUMMYFUNCTION("""COMPUTED_VALUE"""),264.95)</f>
        <v>264.95</v>
      </c>
      <c r="E1239" s="6">
        <f>IFERROR(__xludf.DUMMYFUNCTION("""COMPUTED_VALUE"""),267.35)</f>
        <v>267.35</v>
      </c>
      <c r="F1239" s="7">
        <f>IFERROR(__xludf.DUMMYFUNCTION("""COMPUTED_VALUE"""),1.1987667E7)</f>
        <v>11987667</v>
      </c>
      <c r="G1239" s="7" t="str">
        <f>IFERROR(__xludf.DUMMYFUNCTION("""COMPUTED_VALUE"""),"POWERGRID.NS")</f>
        <v>POWERGRID.NS</v>
      </c>
      <c r="H1239" s="8">
        <f t="shared" si="1"/>
        <v>-0.009814814815</v>
      </c>
      <c r="I1239" s="8">
        <f t="shared" si="2"/>
        <v>0.009814814815</v>
      </c>
      <c r="J1239" s="7" t="str">
        <f t="shared" si="3"/>
        <v>Mar-2025</v>
      </c>
      <c r="K1239" s="9">
        <f t="shared" si="4"/>
        <v>45717</v>
      </c>
      <c r="L1239" s="7" t="str">
        <f t="shared" si="5"/>
        <v/>
      </c>
      <c r="M1239" s="7" t="str">
        <f>IFERROR(__xludf.DUMMYFUNCTION("IFERROR(
  IF(
    F1239 &gt;
    3*AVERAGE(
       FILTER($F$2:$F10491,
         $G$2:$G10491=G1239,
         $A$2:$A10491&gt;=A1239-20,
         $A$2:$A10491&lt;=A1239
       )
    ),
    ""VOL_SPIKE_3X"",""""
  ),
"""")
"),"")</f>
        <v/>
      </c>
      <c r="N1239" s="7" t="str">
        <f t="shared" si="6"/>
        <v/>
      </c>
      <c r="O1239" s="7" t="str">
        <f t="shared" si="7"/>
        <v/>
      </c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>
      <c r="A1240" s="5">
        <f>IFERROR(__xludf.DUMMYFUNCTION("""COMPUTED_VALUE"""),45733.0)</f>
        <v>45733</v>
      </c>
      <c r="B1240" s="6">
        <f>IFERROR(__xludf.DUMMYFUNCTION("""COMPUTED_VALUE"""),1242.15)</f>
        <v>1242.15</v>
      </c>
      <c r="C1240" s="6">
        <f>IFERROR(__xludf.DUMMYFUNCTION("""COMPUTED_VALUE"""),1257.4)</f>
        <v>1257.4</v>
      </c>
      <c r="D1240" s="6">
        <f>IFERROR(__xludf.DUMMYFUNCTION("""COMPUTED_VALUE"""),1233.1)</f>
        <v>1233.1</v>
      </c>
      <c r="E1240" s="6">
        <f>IFERROR(__xludf.DUMMYFUNCTION("""COMPUTED_VALUE"""),1238.85)</f>
        <v>1238.85</v>
      </c>
      <c r="F1240" s="7">
        <f>IFERROR(__xludf.DUMMYFUNCTION("""COMPUTED_VALUE"""),1.6640952E7)</f>
        <v>16640952</v>
      </c>
      <c r="G1240" s="7" t="str">
        <f>IFERROR(__xludf.DUMMYFUNCTION("""COMPUTED_VALUE"""),"RELIANCE.NS")</f>
        <v>RELIANCE.NS</v>
      </c>
      <c r="H1240" s="8">
        <f t="shared" si="1"/>
        <v>-0.002656683975</v>
      </c>
      <c r="I1240" s="8">
        <f t="shared" si="2"/>
        <v>0.002656683975</v>
      </c>
      <c r="J1240" s="7" t="str">
        <f t="shared" si="3"/>
        <v>Mar-2025</v>
      </c>
      <c r="K1240" s="9">
        <f t="shared" si="4"/>
        <v>45717</v>
      </c>
      <c r="L1240" s="7" t="str">
        <f t="shared" si="5"/>
        <v/>
      </c>
      <c r="M1240" s="7" t="str">
        <f>IFERROR(__xludf.DUMMYFUNCTION("IFERROR(
  IF(
    F1240 &gt;
    3*AVERAGE(
       FILTER($F$2:$F10491,
         $G$2:$G10491=G1240,
         $A$2:$A10491&gt;=A1240-20,
         $A$2:$A10491&lt;=A1240
       )
    ),
    ""VOL_SPIKE_3X"",""""
  ),
"""")
"),"")</f>
        <v/>
      </c>
      <c r="N1240" s="7" t="str">
        <f t="shared" si="6"/>
        <v/>
      </c>
      <c r="O1240" s="7" t="str">
        <f t="shared" si="7"/>
        <v/>
      </c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>
      <c r="A1241" s="5">
        <f>IFERROR(__xludf.DUMMYFUNCTION("""COMPUTED_VALUE"""),45734.0)</f>
        <v>45734</v>
      </c>
      <c r="B1241" s="6">
        <f>IFERROR(__xludf.DUMMYFUNCTION("""COMPUTED_VALUE"""),800.7)</f>
        <v>800.7</v>
      </c>
      <c r="C1241" s="6">
        <f>IFERROR(__xludf.DUMMYFUNCTION("""COMPUTED_VALUE"""),807.8)</f>
        <v>807.8</v>
      </c>
      <c r="D1241" s="6">
        <f>IFERROR(__xludf.DUMMYFUNCTION("""COMPUTED_VALUE"""),786.3)</f>
        <v>786.3</v>
      </c>
      <c r="E1241" s="6">
        <f>IFERROR(__xludf.DUMMYFUNCTION("""COMPUTED_VALUE"""),798.55)</f>
        <v>798.55</v>
      </c>
      <c r="F1241" s="7">
        <f>IFERROR(__xludf.DUMMYFUNCTION("""COMPUTED_VALUE"""),1344527.0)</f>
        <v>1344527</v>
      </c>
      <c r="G1241" s="7" t="str">
        <f>IFERROR(__xludf.DUMMYFUNCTION("""COMPUTED_VALUE"""),"ADANIENSOL.NS")</f>
        <v>ADANIENSOL.NS</v>
      </c>
      <c r="H1241" s="8">
        <f t="shared" si="1"/>
        <v>-0.002685150493</v>
      </c>
      <c r="I1241" s="8">
        <f t="shared" si="2"/>
        <v>0.002685150493</v>
      </c>
      <c r="J1241" s="7" t="str">
        <f t="shared" si="3"/>
        <v>Mar-2025</v>
      </c>
      <c r="K1241" s="9">
        <f t="shared" si="4"/>
        <v>45717</v>
      </c>
      <c r="L1241" s="7" t="str">
        <f t="shared" si="5"/>
        <v/>
      </c>
      <c r="M1241" s="7" t="str">
        <f>IFERROR(__xludf.DUMMYFUNCTION("IFERROR(
  IF(
    F1241 &gt;
    3*AVERAGE(
       FILTER($F$2:$F10491,
         $G$2:$G10491=G1241,
         $A$2:$A10491&gt;=A1241-20,
         $A$2:$A10491&lt;=A1241
       )
    ),
    ""VOL_SPIKE_3X"",""""
  ),
"""")
"),"")</f>
        <v/>
      </c>
      <c r="N1241" s="7" t="str">
        <f t="shared" si="6"/>
        <v/>
      </c>
      <c r="O1241" s="7" t="str">
        <f t="shared" si="7"/>
        <v/>
      </c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>
      <c r="A1242" s="5">
        <f>IFERROR(__xludf.DUMMYFUNCTION("""COMPUTED_VALUE"""),45734.0)</f>
        <v>45734</v>
      </c>
      <c r="B1242" s="6">
        <f>IFERROR(__xludf.DUMMYFUNCTION("""COMPUTED_VALUE"""),904.7)</f>
        <v>904.7</v>
      </c>
      <c r="C1242" s="6">
        <f>IFERROR(__xludf.DUMMYFUNCTION("""COMPUTED_VALUE"""),911.9)</f>
        <v>911.9</v>
      </c>
      <c r="D1242" s="6">
        <f>IFERROR(__xludf.DUMMYFUNCTION("""COMPUTED_VALUE"""),889.1)</f>
        <v>889.1</v>
      </c>
      <c r="E1242" s="6">
        <f>IFERROR(__xludf.DUMMYFUNCTION("""COMPUTED_VALUE"""),900.9)</f>
        <v>900.9</v>
      </c>
      <c r="F1242" s="7">
        <f>IFERROR(__xludf.DUMMYFUNCTION("""COMPUTED_VALUE"""),4222109.0)</f>
        <v>4222109</v>
      </c>
      <c r="G1242" s="7" t="str">
        <f>IFERROR(__xludf.DUMMYFUNCTION("""COMPUTED_VALUE"""),"ADANIGREEN.NS")</f>
        <v>ADANIGREEN.NS</v>
      </c>
      <c r="H1242" s="8">
        <f t="shared" si="1"/>
        <v>-0.004200287388</v>
      </c>
      <c r="I1242" s="8">
        <f t="shared" si="2"/>
        <v>0.004200287388</v>
      </c>
      <c r="J1242" s="7" t="str">
        <f t="shared" si="3"/>
        <v>Mar-2025</v>
      </c>
      <c r="K1242" s="9">
        <f t="shared" si="4"/>
        <v>45717</v>
      </c>
      <c r="L1242" s="7" t="str">
        <f t="shared" si="5"/>
        <v/>
      </c>
      <c r="M1242" s="7" t="str">
        <f>IFERROR(__xludf.DUMMYFUNCTION("IFERROR(
  IF(
    F1242 &gt;
    3*AVERAGE(
       FILTER($F$2:$F10491,
         $G$2:$G10491=G1242,
         $A$2:$A10491&gt;=A1242-20,
         $A$2:$A10491&lt;=A1242
       )
    ),
    ""VOL_SPIKE_3X"",""""
  ),
"""")
"),"")</f>
        <v/>
      </c>
      <c r="N1242" s="7" t="str">
        <f t="shared" si="6"/>
        <v/>
      </c>
      <c r="O1242" s="7" t="str">
        <f t="shared" si="7"/>
        <v/>
      </c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>
      <c r="A1243" s="5">
        <f>IFERROR(__xludf.DUMMYFUNCTION("""COMPUTED_VALUE"""),45734.0)</f>
        <v>45734</v>
      </c>
      <c r="B1243" s="6">
        <f>IFERROR(__xludf.DUMMYFUNCTION("""COMPUTED_VALUE"""),262.15)</f>
        <v>262.15</v>
      </c>
      <c r="C1243" s="6">
        <f>IFERROR(__xludf.DUMMYFUNCTION("""COMPUTED_VALUE"""),263.3)</f>
        <v>263.3</v>
      </c>
      <c r="D1243" s="6">
        <f>IFERROR(__xludf.DUMMYFUNCTION("""COMPUTED_VALUE"""),259.51)</f>
        <v>259.51</v>
      </c>
      <c r="E1243" s="6">
        <f>IFERROR(__xludf.DUMMYFUNCTION("""COMPUTED_VALUE"""),262.18)</f>
        <v>262.18</v>
      </c>
      <c r="F1243" s="7">
        <f>IFERROR(__xludf.DUMMYFUNCTION("""COMPUTED_VALUE"""),5548862.0)</f>
        <v>5548862</v>
      </c>
      <c r="G1243" s="7" t="str">
        <f>IFERROR(__xludf.DUMMYFUNCTION("""COMPUTED_VALUE"""),"BPCL.NS")</f>
        <v>BPCL.NS</v>
      </c>
      <c r="H1243" s="8">
        <f t="shared" si="1"/>
        <v>0.0001144382987</v>
      </c>
      <c r="I1243" s="8">
        <f t="shared" si="2"/>
        <v>0.0001144382987</v>
      </c>
      <c r="J1243" s="7" t="str">
        <f t="shared" si="3"/>
        <v>Mar-2025</v>
      </c>
      <c r="K1243" s="9">
        <f t="shared" si="4"/>
        <v>45717</v>
      </c>
      <c r="L1243" s="7" t="str">
        <f t="shared" si="5"/>
        <v/>
      </c>
      <c r="M1243" s="7" t="str">
        <f>IFERROR(__xludf.DUMMYFUNCTION("IFERROR(
  IF(
    F1243 &gt;
    3*AVERAGE(
       FILTER($F$2:$F10491,
         $G$2:$G10491=G1243,
         $A$2:$A10491&gt;=A1243-20,
         $A$2:$A10491&lt;=A1243
       )
    ),
    ""VOL_SPIKE_3X"",""""
  ),
"""")
"),"")</f>
        <v/>
      </c>
      <c r="N1243" s="7" t="str">
        <f t="shared" si="6"/>
        <v/>
      </c>
      <c r="O1243" s="7" t="str">
        <f t="shared" si="7"/>
        <v/>
      </c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>
      <c r="A1244" s="5">
        <f>IFERROR(__xludf.DUMMYFUNCTION("""COMPUTED_VALUE"""),45734.0)</f>
        <v>45734</v>
      </c>
      <c r="B1244" s="6">
        <f>IFERROR(__xludf.DUMMYFUNCTION("""COMPUTED_VALUE"""),387.45)</f>
        <v>387.45</v>
      </c>
      <c r="C1244" s="6">
        <f>IFERROR(__xludf.DUMMYFUNCTION("""COMPUTED_VALUE"""),393.15)</f>
        <v>393.15</v>
      </c>
      <c r="D1244" s="6">
        <f>IFERROR(__xludf.DUMMYFUNCTION("""COMPUTED_VALUE"""),386.45)</f>
        <v>386.45</v>
      </c>
      <c r="E1244" s="6">
        <f>IFERROR(__xludf.DUMMYFUNCTION("""COMPUTED_VALUE"""),389.3)</f>
        <v>389.3</v>
      </c>
      <c r="F1244" s="7">
        <f>IFERROR(__xludf.DUMMYFUNCTION("""COMPUTED_VALUE"""),6211943.0)</f>
        <v>6211943</v>
      </c>
      <c r="G1244" s="7" t="str">
        <f>IFERROR(__xludf.DUMMYFUNCTION("""COMPUTED_VALUE"""),"COALINDIA.NS")</f>
        <v>COALINDIA.NS</v>
      </c>
      <c r="H1244" s="8">
        <f t="shared" si="1"/>
        <v>0.004774809653</v>
      </c>
      <c r="I1244" s="8">
        <f t="shared" si="2"/>
        <v>0.004774809653</v>
      </c>
      <c r="J1244" s="7" t="str">
        <f t="shared" si="3"/>
        <v>Mar-2025</v>
      </c>
      <c r="K1244" s="9">
        <f t="shared" si="4"/>
        <v>45717</v>
      </c>
      <c r="L1244" s="7" t="str">
        <f t="shared" si="5"/>
        <v/>
      </c>
      <c r="M1244" s="7" t="str">
        <f>IFERROR(__xludf.DUMMYFUNCTION("IFERROR(
  IF(
    F1244 &gt;
    3*AVERAGE(
       FILTER($F$2:$F10491,
         $G$2:$G10491=G1244,
         $A$2:$A10491&gt;=A1244-20,
         $A$2:$A10491&lt;=A1244
       )
    ),
    ""VOL_SPIKE_3X"",""""
  ),
"""")
"),"")</f>
        <v/>
      </c>
      <c r="N1244" s="7" t="str">
        <f t="shared" si="6"/>
        <v/>
      </c>
      <c r="O1244" s="7" t="str">
        <f t="shared" si="7"/>
        <v/>
      </c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>
      <c r="A1245" s="5">
        <f>IFERROR(__xludf.DUMMYFUNCTION("""COMPUTED_VALUE"""),45734.0)</f>
        <v>45734</v>
      </c>
      <c r="B1245" s="6">
        <f>IFERROR(__xludf.DUMMYFUNCTION("""COMPUTED_VALUE"""),325.95)</f>
        <v>325.95</v>
      </c>
      <c r="C1245" s="6">
        <f>IFERROR(__xludf.DUMMYFUNCTION("""COMPUTED_VALUE"""),330.0)</f>
        <v>330</v>
      </c>
      <c r="D1245" s="6">
        <f>IFERROR(__xludf.DUMMYFUNCTION("""COMPUTED_VALUE"""),319.5)</f>
        <v>319.5</v>
      </c>
      <c r="E1245" s="6">
        <f>IFERROR(__xludf.DUMMYFUNCTION("""COMPUTED_VALUE"""),324.0)</f>
        <v>324</v>
      </c>
      <c r="F1245" s="7">
        <f>IFERROR(__xludf.DUMMYFUNCTION("""COMPUTED_VALUE"""),5203598.0)</f>
        <v>5203598</v>
      </c>
      <c r="G1245" s="7" t="str">
        <f>IFERROR(__xludf.DUMMYFUNCTION("""COMPUTED_VALUE"""),"HINDPETRO.NS")</f>
        <v>HINDPETRO.NS</v>
      </c>
      <c r="H1245" s="8">
        <f t="shared" si="1"/>
        <v>-0.005982512655</v>
      </c>
      <c r="I1245" s="8">
        <f t="shared" si="2"/>
        <v>0.005982512655</v>
      </c>
      <c r="J1245" s="7" t="str">
        <f t="shared" si="3"/>
        <v>Mar-2025</v>
      </c>
      <c r="K1245" s="9">
        <f t="shared" si="4"/>
        <v>45717</v>
      </c>
      <c r="L1245" s="7" t="str">
        <f t="shared" si="5"/>
        <v/>
      </c>
      <c r="M1245" s="7" t="str">
        <f>IFERROR(__xludf.DUMMYFUNCTION("IFERROR(
  IF(
    F1245 &gt;
    3*AVERAGE(
       FILTER($F$2:$F10491,
         $G$2:$G10491=G1245,
         $A$2:$A10491&gt;=A1245-20,
         $A$2:$A10491&lt;=A1245
       )
    ),
    ""VOL_SPIKE_3X"",""""
  ),
"""")
"),"")</f>
        <v/>
      </c>
      <c r="N1245" s="7" t="str">
        <f t="shared" si="6"/>
        <v/>
      </c>
      <c r="O1245" s="7" t="str">
        <f t="shared" si="7"/>
        <v/>
      </c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>
      <c r="A1246" s="5">
        <f>IFERROR(__xludf.DUMMYFUNCTION("""COMPUTED_VALUE"""),45734.0)</f>
        <v>45734</v>
      </c>
      <c r="B1246" s="6">
        <f>IFERROR(__xludf.DUMMYFUNCTION("""COMPUTED_VALUE"""),124.5)</f>
        <v>124.5</v>
      </c>
      <c r="C1246" s="6">
        <f>IFERROR(__xludf.DUMMYFUNCTION("""COMPUTED_VALUE"""),125.5)</f>
        <v>125.5</v>
      </c>
      <c r="D1246" s="6">
        <f>IFERROR(__xludf.DUMMYFUNCTION("""COMPUTED_VALUE"""),123.68)</f>
        <v>123.68</v>
      </c>
      <c r="E1246" s="6">
        <f>IFERROR(__xludf.DUMMYFUNCTION("""COMPUTED_VALUE"""),125.15)</f>
        <v>125.15</v>
      </c>
      <c r="F1246" s="7">
        <f>IFERROR(__xludf.DUMMYFUNCTION("""COMPUTED_VALUE"""),8940367.0)</f>
        <v>8940367</v>
      </c>
      <c r="G1246" s="7" t="str">
        <f>IFERROR(__xludf.DUMMYFUNCTION("""COMPUTED_VALUE"""),"IOC.NS")</f>
        <v>IOC.NS</v>
      </c>
      <c r="H1246" s="8">
        <f t="shared" si="1"/>
        <v>0.005220883534</v>
      </c>
      <c r="I1246" s="8">
        <f t="shared" si="2"/>
        <v>0.005220883534</v>
      </c>
      <c r="J1246" s="7" t="str">
        <f t="shared" si="3"/>
        <v>Mar-2025</v>
      </c>
      <c r="K1246" s="9">
        <f t="shared" si="4"/>
        <v>45717</v>
      </c>
      <c r="L1246" s="7" t="str">
        <f t="shared" si="5"/>
        <v/>
      </c>
      <c r="M1246" s="7" t="str">
        <f>IFERROR(__xludf.DUMMYFUNCTION("IFERROR(
  IF(
    F1246 &gt;
    3*AVERAGE(
       FILTER($F$2:$F10491,
         $G$2:$G10491=G1246,
         $A$2:$A10491&gt;=A1246-20,
         $A$2:$A10491&lt;=A1246
       )
    ),
    ""VOL_SPIKE_3X"",""""
  ),
"""")
"),"")</f>
        <v/>
      </c>
      <c r="N1246" s="7" t="str">
        <f t="shared" si="6"/>
        <v/>
      </c>
      <c r="O1246" s="7" t="str">
        <f t="shared" si="7"/>
        <v/>
      </c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>
      <c r="A1247" s="5">
        <f>IFERROR(__xludf.DUMMYFUNCTION("""COMPUTED_VALUE"""),45734.0)</f>
        <v>45734</v>
      </c>
      <c r="B1247" s="6">
        <f>IFERROR(__xludf.DUMMYFUNCTION("""COMPUTED_VALUE"""),333.3)</f>
        <v>333.3</v>
      </c>
      <c r="C1247" s="6">
        <f>IFERROR(__xludf.DUMMYFUNCTION("""COMPUTED_VALUE"""),337.9)</f>
        <v>337.9</v>
      </c>
      <c r="D1247" s="6">
        <f>IFERROR(__xludf.DUMMYFUNCTION("""COMPUTED_VALUE"""),331.35)</f>
        <v>331.35</v>
      </c>
      <c r="E1247" s="6">
        <f>IFERROR(__xludf.DUMMYFUNCTION("""COMPUTED_VALUE"""),337.35)</f>
        <v>337.35</v>
      </c>
      <c r="F1247" s="7">
        <f>IFERROR(__xludf.DUMMYFUNCTION("""COMPUTED_VALUE"""),8580255.0)</f>
        <v>8580255</v>
      </c>
      <c r="G1247" s="7" t="str">
        <f>IFERROR(__xludf.DUMMYFUNCTION("""COMPUTED_VALUE"""),"NTPC.NS")</f>
        <v>NTPC.NS</v>
      </c>
      <c r="H1247" s="8">
        <f t="shared" si="1"/>
        <v>0.01215121512</v>
      </c>
      <c r="I1247" s="8">
        <f t="shared" si="2"/>
        <v>0.01215121512</v>
      </c>
      <c r="J1247" s="7" t="str">
        <f t="shared" si="3"/>
        <v>Mar-2025</v>
      </c>
      <c r="K1247" s="9">
        <f t="shared" si="4"/>
        <v>45717</v>
      </c>
      <c r="L1247" s="7" t="str">
        <f t="shared" si="5"/>
        <v/>
      </c>
      <c r="M1247" s="7" t="str">
        <f>IFERROR(__xludf.DUMMYFUNCTION("IFERROR(
  IF(
    F1247 &gt;
    3*AVERAGE(
       FILTER($F$2:$F10491,
         $G$2:$G10491=G1247,
         $A$2:$A10491&gt;=A1247-20,
         $A$2:$A10491&lt;=A1247
       )
    ),
    ""VOL_SPIKE_3X"",""""
  ),
"""")
"),"")</f>
        <v/>
      </c>
      <c r="N1247" s="7" t="str">
        <f t="shared" si="6"/>
        <v/>
      </c>
      <c r="O1247" s="7" t="str">
        <f t="shared" si="7"/>
        <v/>
      </c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>
      <c r="A1248" s="5">
        <f>IFERROR(__xludf.DUMMYFUNCTION("""COMPUTED_VALUE"""),45734.0)</f>
        <v>45734</v>
      </c>
      <c r="B1248" s="6">
        <f>IFERROR(__xludf.DUMMYFUNCTION("""COMPUTED_VALUE"""),230.84)</f>
        <v>230.84</v>
      </c>
      <c r="C1248" s="6">
        <f>IFERROR(__xludf.DUMMYFUNCTION("""COMPUTED_VALUE"""),232.5)</f>
        <v>232.5</v>
      </c>
      <c r="D1248" s="6">
        <f>IFERROR(__xludf.DUMMYFUNCTION("""COMPUTED_VALUE"""),228.52)</f>
        <v>228.52</v>
      </c>
      <c r="E1248" s="6">
        <f>IFERROR(__xludf.DUMMYFUNCTION("""COMPUTED_VALUE"""),232.12)</f>
        <v>232.12</v>
      </c>
      <c r="F1248" s="7">
        <f>IFERROR(__xludf.DUMMYFUNCTION("""COMPUTED_VALUE"""),9647391.0)</f>
        <v>9647391</v>
      </c>
      <c r="G1248" s="7" t="str">
        <f>IFERROR(__xludf.DUMMYFUNCTION("""COMPUTED_VALUE"""),"ONGC.NS")</f>
        <v>ONGC.NS</v>
      </c>
      <c r="H1248" s="8">
        <f t="shared" si="1"/>
        <v>0.00554496621</v>
      </c>
      <c r="I1248" s="8">
        <f t="shared" si="2"/>
        <v>0.00554496621</v>
      </c>
      <c r="J1248" s="7" t="str">
        <f t="shared" si="3"/>
        <v>Mar-2025</v>
      </c>
      <c r="K1248" s="9">
        <f t="shared" si="4"/>
        <v>45717</v>
      </c>
      <c r="L1248" s="7" t="str">
        <f t="shared" si="5"/>
        <v/>
      </c>
      <c r="M1248" s="7" t="str">
        <f>IFERROR(__xludf.DUMMYFUNCTION("IFERROR(
  IF(
    F1248 &gt;
    3*AVERAGE(
       FILTER($F$2:$F10491,
         $G$2:$G10491=G1248,
         $A$2:$A10491&gt;=A1248-20,
         $A$2:$A10491&lt;=A1248
       )
    ),
    ""VOL_SPIKE_3X"",""""
  ),
"""")
"),"")</f>
        <v/>
      </c>
      <c r="N1248" s="7" t="str">
        <f t="shared" si="6"/>
        <v/>
      </c>
      <c r="O1248" s="7" t="str">
        <f t="shared" si="7"/>
        <v/>
      </c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>
      <c r="A1249" s="5">
        <f>IFERROR(__xludf.DUMMYFUNCTION("""COMPUTED_VALUE"""),45734.0)</f>
        <v>45734</v>
      </c>
      <c r="B1249" s="6">
        <f>IFERROR(__xludf.DUMMYFUNCTION("""COMPUTED_VALUE"""),269.15)</f>
        <v>269.15</v>
      </c>
      <c r="C1249" s="6">
        <f>IFERROR(__xludf.DUMMYFUNCTION("""COMPUTED_VALUE"""),272.4)</f>
        <v>272.4</v>
      </c>
      <c r="D1249" s="6">
        <f>IFERROR(__xludf.DUMMYFUNCTION("""COMPUTED_VALUE"""),267.3)</f>
        <v>267.3</v>
      </c>
      <c r="E1249" s="6">
        <f>IFERROR(__xludf.DUMMYFUNCTION("""COMPUTED_VALUE"""),270.8)</f>
        <v>270.8</v>
      </c>
      <c r="F1249" s="7">
        <f>IFERROR(__xludf.DUMMYFUNCTION("""COMPUTED_VALUE"""),8899126.0)</f>
        <v>8899126</v>
      </c>
      <c r="G1249" s="7" t="str">
        <f>IFERROR(__xludf.DUMMYFUNCTION("""COMPUTED_VALUE"""),"POWERGRID.NS")</f>
        <v>POWERGRID.NS</v>
      </c>
      <c r="H1249" s="8">
        <f t="shared" si="1"/>
        <v>0.006130410552</v>
      </c>
      <c r="I1249" s="8">
        <f t="shared" si="2"/>
        <v>0.006130410552</v>
      </c>
      <c r="J1249" s="7" t="str">
        <f t="shared" si="3"/>
        <v>Mar-2025</v>
      </c>
      <c r="K1249" s="9">
        <f t="shared" si="4"/>
        <v>45717</v>
      </c>
      <c r="L1249" s="7" t="str">
        <f t="shared" si="5"/>
        <v/>
      </c>
      <c r="M1249" s="7" t="str">
        <f>IFERROR(__xludf.DUMMYFUNCTION("IFERROR(
  IF(
    F1249 &gt;
    3*AVERAGE(
       FILTER($F$2:$F10491,
         $G$2:$G10491=G1249,
         $A$2:$A10491&gt;=A1249-20,
         $A$2:$A10491&lt;=A1249
       )
    ),
    ""VOL_SPIKE_3X"",""""
  ),
"""")
"),"")</f>
        <v/>
      </c>
      <c r="N1249" s="7" t="str">
        <f t="shared" si="6"/>
        <v/>
      </c>
      <c r="O1249" s="7" t="str">
        <f t="shared" si="7"/>
        <v/>
      </c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>
      <c r="A1250" s="5">
        <f>IFERROR(__xludf.DUMMYFUNCTION("""COMPUTED_VALUE"""),45734.0)</f>
        <v>45734</v>
      </c>
      <c r="B1250" s="6">
        <f>IFERROR(__xludf.DUMMYFUNCTION("""COMPUTED_VALUE"""),1244.7)</f>
        <v>1244.7</v>
      </c>
      <c r="C1250" s="6">
        <f>IFERROR(__xludf.DUMMYFUNCTION("""COMPUTED_VALUE"""),1248.35)</f>
        <v>1248.35</v>
      </c>
      <c r="D1250" s="6">
        <f>IFERROR(__xludf.DUMMYFUNCTION("""COMPUTED_VALUE"""),1235.0)</f>
        <v>1235</v>
      </c>
      <c r="E1250" s="6">
        <f>IFERROR(__xludf.DUMMYFUNCTION("""COMPUTED_VALUE"""),1238.8)</f>
        <v>1238.8</v>
      </c>
      <c r="F1250" s="7">
        <f>IFERROR(__xludf.DUMMYFUNCTION("""COMPUTED_VALUE"""),1.5745877E7)</f>
        <v>15745877</v>
      </c>
      <c r="G1250" s="7" t="str">
        <f>IFERROR(__xludf.DUMMYFUNCTION("""COMPUTED_VALUE"""),"RELIANCE.NS")</f>
        <v>RELIANCE.NS</v>
      </c>
      <c r="H1250" s="8">
        <f t="shared" si="1"/>
        <v>-0.004740098016</v>
      </c>
      <c r="I1250" s="8">
        <f t="shared" si="2"/>
        <v>0.004740098016</v>
      </c>
      <c r="J1250" s="7" t="str">
        <f t="shared" si="3"/>
        <v>Mar-2025</v>
      </c>
      <c r="K1250" s="9">
        <f t="shared" si="4"/>
        <v>45717</v>
      </c>
      <c r="L1250" s="7" t="str">
        <f t="shared" si="5"/>
        <v/>
      </c>
      <c r="M1250" s="7" t="str">
        <f>IFERROR(__xludf.DUMMYFUNCTION("IFERROR(
  IF(
    F1250 &gt;
    3*AVERAGE(
       FILTER($F$2:$F10491,
         $G$2:$G10491=G1250,
         $A$2:$A10491&gt;=A1250-20,
         $A$2:$A10491&lt;=A1250
       )
    ),
    ""VOL_SPIKE_3X"",""""
  ),
"""")
"),"")</f>
        <v/>
      </c>
      <c r="N1250" s="7" t="str">
        <f t="shared" si="6"/>
        <v/>
      </c>
      <c r="O1250" s="7" t="str">
        <f t="shared" si="7"/>
        <v/>
      </c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>
      <c r="A1251" s="5">
        <f>IFERROR(__xludf.DUMMYFUNCTION("""COMPUTED_VALUE"""),45735.0)</f>
        <v>45735</v>
      </c>
      <c r="B1251" s="6">
        <f>IFERROR(__xludf.DUMMYFUNCTION("""COMPUTED_VALUE"""),801.1)</f>
        <v>801.1</v>
      </c>
      <c r="C1251" s="6">
        <f>IFERROR(__xludf.DUMMYFUNCTION("""COMPUTED_VALUE"""),820.65)</f>
        <v>820.65</v>
      </c>
      <c r="D1251" s="6">
        <f>IFERROR(__xludf.DUMMYFUNCTION("""COMPUTED_VALUE"""),799.15)</f>
        <v>799.15</v>
      </c>
      <c r="E1251" s="6">
        <f>IFERROR(__xludf.DUMMYFUNCTION("""COMPUTED_VALUE"""),813.9)</f>
        <v>813.9</v>
      </c>
      <c r="F1251" s="7">
        <f>IFERROR(__xludf.DUMMYFUNCTION("""COMPUTED_VALUE"""),1417575.0)</f>
        <v>1417575</v>
      </c>
      <c r="G1251" s="7" t="str">
        <f>IFERROR(__xludf.DUMMYFUNCTION("""COMPUTED_VALUE"""),"ADANIENSOL.NS")</f>
        <v>ADANIENSOL.NS</v>
      </c>
      <c r="H1251" s="8">
        <f t="shared" si="1"/>
        <v>0.01597803021</v>
      </c>
      <c r="I1251" s="8">
        <f t="shared" si="2"/>
        <v>0.01597803021</v>
      </c>
      <c r="J1251" s="7" t="str">
        <f t="shared" si="3"/>
        <v>Mar-2025</v>
      </c>
      <c r="K1251" s="9">
        <f t="shared" si="4"/>
        <v>45717</v>
      </c>
      <c r="L1251" s="7" t="str">
        <f t="shared" si="5"/>
        <v/>
      </c>
      <c r="M1251" s="7" t="str">
        <f>IFERROR(__xludf.DUMMYFUNCTION("IFERROR(
  IF(
    F1251 &gt;
    3*AVERAGE(
       FILTER($F$2:$F10491,
         $G$2:$G10491=G1251,
         $A$2:$A10491&gt;=A1251-20,
         $A$2:$A10491&lt;=A1251
       )
    ),
    ""VOL_SPIKE_3X"",""""
  ),
"""")
"),"")</f>
        <v/>
      </c>
      <c r="N1251" s="7" t="str">
        <f t="shared" si="6"/>
        <v/>
      </c>
      <c r="O1251" s="7" t="str">
        <f t="shared" si="7"/>
        <v/>
      </c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>
      <c r="A1252" s="5">
        <f>IFERROR(__xludf.DUMMYFUNCTION("""COMPUTED_VALUE"""),45735.0)</f>
        <v>45735</v>
      </c>
      <c r="B1252" s="6">
        <f>IFERROR(__xludf.DUMMYFUNCTION("""COMPUTED_VALUE"""),904.05)</f>
        <v>904.05</v>
      </c>
      <c r="C1252" s="6">
        <f>IFERROR(__xludf.DUMMYFUNCTION("""COMPUTED_VALUE"""),918.75)</f>
        <v>918.75</v>
      </c>
      <c r="D1252" s="6">
        <f>IFERROR(__xludf.DUMMYFUNCTION("""COMPUTED_VALUE"""),901.4)</f>
        <v>901.4</v>
      </c>
      <c r="E1252" s="6">
        <f>IFERROR(__xludf.DUMMYFUNCTION("""COMPUTED_VALUE"""),911.2)</f>
        <v>911.2</v>
      </c>
      <c r="F1252" s="7">
        <f>IFERROR(__xludf.DUMMYFUNCTION("""COMPUTED_VALUE"""),2980425.0)</f>
        <v>2980425</v>
      </c>
      <c r="G1252" s="7" t="str">
        <f>IFERROR(__xludf.DUMMYFUNCTION("""COMPUTED_VALUE"""),"ADANIGREEN.NS")</f>
        <v>ADANIGREEN.NS</v>
      </c>
      <c r="H1252" s="8">
        <f t="shared" si="1"/>
        <v>0.007908854599</v>
      </c>
      <c r="I1252" s="8">
        <f t="shared" si="2"/>
        <v>0.007908854599</v>
      </c>
      <c r="J1252" s="7" t="str">
        <f t="shared" si="3"/>
        <v>Mar-2025</v>
      </c>
      <c r="K1252" s="9">
        <f t="shared" si="4"/>
        <v>45717</v>
      </c>
      <c r="L1252" s="7" t="str">
        <f t="shared" si="5"/>
        <v/>
      </c>
      <c r="M1252" s="7" t="str">
        <f>IFERROR(__xludf.DUMMYFUNCTION("IFERROR(
  IF(
    F1252 &gt;
    3*AVERAGE(
       FILTER($F$2:$F10491,
         $G$2:$G10491=G1252,
         $A$2:$A10491&gt;=A1252-20,
         $A$2:$A10491&lt;=A1252
       )
    ),
    ""VOL_SPIKE_3X"",""""
  ),
"""")
"),"")</f>
        <v/>
      </c>
      <c r="N1252" s="7" t="str">
        <f t="shared" si="6"/>
        <v/>
      </c>
      <c r="O1252" s="7" t="str">
        <f t="shared" si="7"/>
        <v/>
      </c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>
      <c r="A1253" s="5">
        <f>IFERROR(__xludf.DUMMYFUNCTION("""COMPUTED_VALUE"""),45735.0)</f>
        <v>45735</v>
      </c>
      <c r="B1253" s="6">
        <f>IFERROR(__xludf.DUMMYFUNCTION("""COMPUTED_VALUE"""),263.51)</f>
        <v>263.51</v>
      </c>
      <c r="C1253" s="6">
        <f>IFERROR(__xludf.DUMMYFUNCTION("""COMPUTED_VALUE"""),266.49)</f>
        <v>266.49</v>
      </c>
      <c r="D1253" s="6">
        <f>IFERROR(__xludf.DUMMYFUNCTION("""COMPUTED_VALUE"""),263.01)</f>
        <v>263.01</v>
      </c>
      <c r="E1253" s="6">
        <f>IFERROR(__xludf.DUMMYFUNCTION("""COMPUTED_VALUE"""),265.26)</f>
        <v>265.26</v>
      </c>
      <c r="F1253" s="7">
        <f>IFERROR(__xludf.DUMMYFUNCTION("""COMPUTED_VALUE"""),4955027.0)</f>
        <v>4955027</v>
      </c>
      <c r="G1253" s="7" t="str">
        <f>IFERROR(__xludf.DUMMYFUNCTION("""COMPUTED_VALUE"""),"BPCL.NS")</f>
        <v>BPCL.NS</v>
      </c>
      <c r="H1253" s="8">
        <f t="shared" si="1"/>
        <v>0.006641114189</v>
      </c>
      <c r="I1253" s="8">
        <f t="shared" si="2"/>
        <v>0.006641114189</v>
      </c>
      <c r="J1253" s="7" t="str">
        <f t="shared" si="3"/>
        <v>Mar-2025</v>
      </c>
      <c r="K1253" s="9">
        <f t="shared" si="4"/>
        <v>45717</v>
      </c>
      <c r="L1253" s="7" t="str">
        <f t="shared" si="5"/>
        <v/>
      </c>
      <c r="M1253" s="7" t="str">
        <f>IFERROR(__xludf.DUMMYFUNCTION("IFERROR(
  IF(
    F1253 &gt;
    3*AVERAGE(
       FILTER($F$2:$F10491,
         $G$2:$G10491=G1253,
         $A$2:$A10491&gt;=A1253-20,
         $A$2:$A10491&lt;=A1253
       )
    ),
    ""VOL_SPIKE_3X"",""""
  ),
"""")
"),"")</f>
        <v/>
      </c>
      <c r="N1253" s="7" t="str">
        <f t="shared" si="6"/>
        <v/>
      </c>
      <c r="O1253" s="7" t="str">
        <f t="shared" si="7"/>
        <v/>
      </c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>
      <c r="A1254" s="5">
        <f>IFERROR(__xludf.DUMMYFUNCTION("""COMPUTED_VALUE"""),45735.0)</f>
        <v>45735</v>
      </c>
      <c r="B1254" s="6">
        <f>IFERROR(__xludf.DUMMYFUNCTION("""COMPUTED_VALUE"""),390.05)</f>
        <v>390.05</v>
      </c>
      <c r="C1254" s="6">
        <f>IFERROR(__xludf.DUMMYFUNCTION("""COMPUTED_VALUE"""),398.05)</f>
        <v>398.05</v>
      </c>
      <c r="D1254" s="6">
        <f>IFERROR(__xludf.DUMMYFUNCTION("""COMPUTED_VALUE"""),388.8)</f>
        <v>388.8</v>
      </c>
      <c r="E1254" s="6">
        <f>IFERROR(__xludf.DUMMYFUNCTION("""COMPUTED_VALUE"""),395.85)</f>
        <v>395.85</v>
      </c>
      <c r="F1254" s="7">
        <f>IFERROR(__xludf.DUMMYFUNCTION("""COMPUTED_VALUE"""),5827114.0)</f>
        <v>5827114</v>
      </c>
      <c r="G1254" s="7" t="str">
        <f>IFERROR(__xludf.DUMMYFUNCTION("""COMPUTED_VALUE"""),"COALINDIA.NS")</f>
        <v>COALINDIA.NS</v>
      </c>
      <c r="H1254" s="8">
        <f t="shared" si="1"/>
        <v>0.01486988848</v>
      </c>
      <c r="I1254" s="8">
        <f t="shared" si="2"/>
        <v>0.01486988848</v>
      </c>
      <c r="J1254" s="7" t="str">
        <f t="shared" si="3"/>
        <v>Mar-2025</v>
      </c>
      <c r="K1254" s="9">
        <f t="shared" si="4"/>
        <v>45717</v>
      </c>
      <c r="L1254" s="7" t="str">
        <f t="shared" si="5"/>
        <v/>
      </c>
      <c r="M1254" s="7" t="str">
        <f>IFERROR(__xludf.DUMMYFUNCTION("IFERROR(
  IF(
    F1254 &gt;
    3*AVERAGE(
       FILTER($F$2:$F10491,
         $G$2:$G10491=G1254,
         $A$2:$A10491&gt;=A1254-20,
         $A$2:$A10491&lt;=A1254
       )
    ),
    ""VOL_SPIKE_3X"",""""
  ),
"""")
"),"")</f>
        <v/>
      </c>
      <c r="N1254" s="7" t="str">
        <f t="shared" si="6"/>
        <v/>
      </c>
      <c r="O1254" s="7" t="str">
        <f t="shared" si="7"/>
        <v/>
      </c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>
      <c r="A1255" s="5">
        <f>IFERROR(__xludf.DUMMYFUNCTION("""COMPUTED_VALUE"""),45735.0)</f>
        <v>45735</v>
      </c>
      <c r="B1255" s="6">
        <f>IFERROR(__xludf.DUMMYFUNCTION("""COMPUTED_VALUE"""),326.0)</f>
        <v>326</v>
      </c>
      <c r="C1255" s="6">
        <f>IFERROR(__xludf.DUMMYFUNCTION("""COMPUTED_VALUE"""),330.4)</f>
        <v>330.4</v>
      </c>
      <c r="D1255" s="6">
        <f>IFERROR(__xludf.DUMMYFUNCTION("""COMPUTED_VALUE"""),324.1)</f>
        <v>324.1</v>
      </c>
      <c r="E1255" s="6">
        <f>IFERROR(__xludf.DUMMYFUNCTION("""COMPUTED_VALUE"""),328.0)</f>
        <v>328</v>
      </c>
      <c r="F1255" s="7">
        <f>IFERROR(__xludf.DUMMYFUNCTION("""COMPUTED_VALUE"""),5942282.0)</f>
        <v>5942282</v>
      </c>
      <c r="G1255" s="7" t="str">
        <f>IFERROR(__xludf.DUMMYFUNCTION("""COMPUTED_VALUE"""),"HINDPETRO.NS")</f>
        <v>HINDPETRO.NS</v>
      </c>
      <c r="H1255" s="8">
        <f t="shared" si="1"/>
        <v>0.006134969325</v>
      </c>
      <c r="I1255" s="8">
        <f t="shared" si="2"/>
        <v>0.006134969325</v>
      </c>
      <c r="J1255" s="7" t="str">
        <f t="shared" si="3"/>
        <v>Mar-2025</v>
      </c>
      <c r="K1255" s="9">
        <f t="shared" si="4"/>
        <v>45717</v>
      </c>
      <c r="L1255" s="7" t="str">
        <f t="shared" si="5"/>
        <v/>
      </c>
      <c r="M1255" s="7" t="str">
        <f>IFERROR(__xludf.DUMMYFUNCTION("IFERROR(
  IF(
    F1255 &gt;
    3*AVERAGE(
       FILTER($F$2:$F10491,
         $G$2:$G10491=G1255,
         $A$2:$A10491&gt;=A1255-20,
         $A$2:$A10491&lt;=A1255
       )
    ),
    ""VOL_SPIKE_3X"",""""
  ),
"""")
"),"")</f>
        <v/>
      </c>
      <c r="N1255" s="7" t="str">
        <f t="shared" si="6"/>
        <v/>
      </c>
      <c r="O1255" s="7" t="str">
        <f t="shared" si="7"/>
        <v/>
      </c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>
      <c r="A1256" s="5">
        <f>IFERROR(__xludf.DUMMYFUNCTION("""COMPUTED_VALUE"""),45735.0)</f>
        <v>45735</v>
      </c>
      <c r="B1256" s="6">
        <f>IFERROR(__xludf.DUMMYFUNCTION("""COMPUTED_VALUE"""),125.31)</f>
        <v>125.31</v>
      </c>
      <c r="C1256" s="6">
        <f>IFERROR(__xludf.DUMMYFUNCTION("""COMPUTED_VALUE"""),127.9)</f>
        <v>127.9</v>
      </c>
      <c r="D1256" s="6">
        <f>IFERROR(__xludf.DUMMYFUNCTION("""COMPUTED_VALUE"""),125.31)</f>
        <v>125.31</v>
      </c>
      <c r="E1256" s="6">
        <f>IFERROR(__xludf.DUMMYFUNCTION("""COMPUTED_VALUE"""),127.75)</f>
        <v>127.75</v>
      </c>
      <c r="F1256" s="7">
        <f>IFERROR(__xludf.DUMMYFUNCTION("""COMPUTED_VALUE"""),1.1273526E7)</f>
        <v>11273526</v>
      </c>
      <c r="G1256" s="7" t="str">
        <f>IFERROR(__xludf.DUMMYFUNCTION("""COMPUTED_VALUE"""),"IOC.NS")</f>
        <v>IOC.NS</v>
      </c>
      <c r="H1256" s="8">
        <f t="shared" si="1"/>
        <v>0.01947171016</v>
      </c>
      <c r="I1256" s="8">
        <f t="shared" si="2"/>
        <v>0.01947171016</v>
      </c>
      <c r="J1256" s="7" t="str">
        <f t="shared" si="3"/>
        <v>Mar-2025</v>
      </c>
      <c r="K1256" s="9">
        <f t="shared" si="4"/>
        <v>45717</v>
      </c>
      <c r="L1256" s="7" t="str">
        <f t="shared" si="5"/>
        <v/>
      </c>
      <c r="M1256" s="7" t="str">
        <f>IFERROR(__xludf.DUMMYFUNCTION("IFERROR(
  IF(
    F1256 &gt;
    3*AVERAGE(
       FILTER($F$2:$F10491,
         $G$2:$G10491=G1256,
         $A$2:$A10491&gt;=A1256-20,
         $A$2:$A10491&lt;=A1256
       )
    ),
    ""VOL_SPIKE_3X"",""""
  ),
"""")
"),"")</f>
        <v/>
      </c>
      <c r="N1256" s="7" t="str">
        <f t="shared" si="6"/>
        <v/>
      </c>
      <c r="O1256" s="7" t="str">
        <f t="shared" si="7"/>
        <v/>
      </c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>
      <c r="A1257" s="5">
        <f>IFERROR(__xludf.DUMMYFUNCTION("""COMPUTED_VALUE"""),45735.0)</f>
        <v>45735</v>
      </c>
      <c r="B1257" s="6">
        <f>IFERROR(__xludf.DUMMYFUNCTION("""COMPUTED_VALUE"""),339.0)</f>
        <v>339</v>
      </c>
      <c r="C1257" s="6">
        <f>IFERROR(__xludf.DUMMYFUNCTION("""COMPUTED_VALUE"""),343.9)</f>
        <v>343.9</v>
      </c>
      <c r="D1257" s="6">
        <f>IFERROR(__xludf.DUMMYFUNCTION("""COMPUTED_VALUE"""),336.35)</f>
        <v>336.35</v>
      </c>
      <c r="E1257" s="6">
        <f>IFERROR(__xludf.DUMMYFUNCTION("""COMPUTED_VALUE"""),341.3)</f>
        <v>341.3</v>
      </c>
      <c r="F1257" s="7">
        <f>IFERROR(__xludf.DUMMYFUNCTION("""COMPUTED_VALUE"""),3.0582397E7)</f>
        <v>30582397</v>
      </c>
      <c r="G1257" s="7" t="str">
        <f>IFERROR(__xludf.DUMMYFUNCTION("""COMPUTED_VALUE"""),"NTPC.NS")</f>
        <v>NTPC.NS</v>
      </c>
      <c r="H1257" s="8">
        <f t="shared" si="1"/>
        <v>0.006784660767</v>
      </c>
      <c r="I1257" s="8">
        <f t="shared" si="2"/>
        <v>0.006784660767</v>
      </c>
      <c r="J1257" s="7" t="str">
        <f t="shared" si="3"/>
        <v>Mar-2025</v>
      </c>
      <c r="K1257" s="9">
        <f t="shared" si="4"/>
        <v>45717</v>
      </c>
      <c r="L1257" s="7" t="str">
        <f t="shared" si="5"/>
        <v/>
      </c>
      <c r="M1257" s="7" t="str">
        <f>IFERROR(__xludf.DUMMYFUNCTION("IFERROR(
  IF(
    F1257 &gt;
    3*AVERAGE(
       FILTER($F$2:$F10491,
         $G$2:$G10491=G1257,
         $A$2:$A10491&gt;=A1257-20,
         $A$2:$A10491&lt;=A1257
       )
    ),
    ""VOL_SPIKE_3X"",""""
  ),
"""")
"),"")</f>
        <v/>
      </c>
      <c r="N1257" s="7" t="str">
        <f t="shared" si="6"/>
        <v/>
      </c>
      <c r="O1257" s="7" t="str">
        <f t="shared" si="7"/>
        <v/>
      </c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>
      <c r="A1258" s="5">
        <f>IFERROR(__xludf.DUMMYFUNCTION("""COMPUTED_VALUE"""),45735.0)</f>
        <v>45735</v>
      </c>
      <c r="B1258" s="6">
        <f>IFERROR(__xludf.DUMMYFUNCTION("""COMPUTED_VALUE"""),232.5)</f>
        <v>232.5</v>
      </c>
      <c r="C1258" s="6">
        <f>IFERROR(__xludf.DUMMYFUNCTION("""COMPUTED_VALUE"""),235.14)</f>
        <v>235.14</v>
      </c>
      <c r="D1258" s="6">
        <f>IFERROR(__xludf.DUMMYFUNCTION("""COMPUTED_VALUE"""),231.6)</f>
        <v>231.6</v>
      </c>
      <c r="E1258" s="6">
        <f>IFERROR(__xludf.DUMMYFUNCTION("""COMPUTED_VALUE"""),232.57)</f>
        <v>232.57</v>
      </c>
      <c r="F1258" s="7">
        <f>IFERROR(__xludf.DUMMYFUNCTION("""COMPUTED_VALUE"""),8626593.0)</f>
        <v>8626593</v>
      </c>
      <c r="G1258" s="7" t="str">
        <f>IFERROR(__xludf.DUMMYFUNCTION("""COMPUTED_VALUE"""),"ONGC.NS")</f>
        <v>ONGC.NS</v>
      </c>
      <c r="H1258" s="8">
        <f t="shared" si="1"/>
        <v>0.0003010752688</v>
      </c>
      <c r="I1258" s="8">
        <f t="shared" si="2"/>
        <v>0.0003010752688</v>
      </c>
      <c r="J1258" s="7" t="str">
        <f t="shared" si="3"/>
        <v>Mar-2025</v>
      </c>
      <c r="K1258" s="9">
        <f t="shared" si="4"/>
        <v>45717</v>
      </c>
      <c r="L1258" s="7" t="str">
        <f t="shared" si="5"/>
        <v/>
      </c>
      <c r="M1258" s="7" t="str">
        <f>IFERROR(__xludf.DUMMYFUNCTION("IFERROR(
  IF(
    F1258 &gt;
    3*AVERAGE(
       FILTER($F$2:$F10491,
         $G$2:$G10491=G1258,
         $A$2:$A10491&gt;=A1258-20,
         $A$2:$A10491&lt;=A1258
       )
    ),
    ""VOL_SPIKE_3X"",""""
  ),
"""")
"),"")</f>
        <v/>
      </c>
      <c r="N1258" s="7" t="str">
        <f t="shared" si="6"/>
        <v/>
      </c>
      <c r="O1258" s="7" t="str">
        <f t="shared" si="7"/>
        <v/>
      </c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>
      <c r="A1259" s="5">
        <f>IFERROR(__xludf.DUMMYFUNCTION("""COMPUTED_VALUE"""),45735.0)</f>
        <v>45735</v>
      </c>
      <c r="B1259" s="6">
        <f>IFERROR(__xludf.DUMMYFUNCTION("""COMPUTED_VALUE"""),272.0)</f>
        <v>272</v>
      </c>
      <c r="C1259" s="6">
        <f>IFERROR(__xludf.DUMMYFUNCTION("""COMPUTED_VALUE"""),278.3)</f>
        <v>278.3</v>
      </c>
      <c r="D1259" s="6">
        <f>IFERROR(__xludf.DUMMYFUNCTION("""COMPUTED_VALUE"""),269.8)</f>
        <v>269.8</v>
      </c>
      <c r="E1259" s="6">
        <f>IFERROR(__xludf.DUMMYFUNCTION("""COMPUTED_VALUE"""),277.2)</f>
        <v>277.2</v>
      </c>
      <c r="F1259" s="7">
        <f>IFERROR(__xludf.DUMMYFUNCTION("""COMPUTED_VALUE"""),1.308995E7)</f>
        <v>13089950</v>
      </c>
      <c r="G1259" s="7" t="str">
        <f>IFERROR(__xludf.DUMMYFUNCTION("""COMPUTED_VALUE"""),"POWERGRID.NS")</f>
        <v>POWERGRID.NS</v>
      </c>
      <c r="H1259" s="8">
        <f t="shared" si="1"/>
        <v>0.01911764706</v>
      </c>
      <c r="I1259" s="8">
        <f t="shared" si="2"/>
        <v>0.01911764706</v>
      </c>
      <c r="J1259" s="7" t="str">
        <f t="shared" si="3"/>
        <v>Mar-2025</v>
      </c>
      <c r="K1259" s="9">
        <f t="shared" si="4"/>
        <v>45717</v>
      </c>
      <c r="L1259" s="7" t="str">
        <f t="shared" si="5"/>
        <v/>
      </c>
      <c r="M1259" s="7" t="str">
        <f>IFERROR(__xludf.DUMMYFUNCTION("IFERROR(
  IF(
    F1259 &gt;
    3*AVERAGE(
       FILTER($F$2:$F10491,
         $G$2:$G10491=G1259,
         $A$2:$A10491&gt;=A1259-20,
         $A$2:$A10491&lt;=A1259
       )
    ),
    ""VOL_SPIKE_3X"",""""
  ),
"""")
"),"")</f>
        <v/>
      </c>
      <c r="N1259" s="7" t="str">
        <f t="shared" si="6"/>
        <v/>
      </c>
      <c r="O1259" s="7" t="str">
        <f t="shared" si="7"/>
        <v/>
      </c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>
      <c r="A1260" s="5">
        <f>IFERROR(__xludf.DUMMYFUNCTION("""COMPUTED_VALUE"""),45735.0)</f>
        <v>45735</v>
      </c>
      <c r="B1260" s="6">
        <f>IFERROR(__xludf.DUMMYFUNCTION("""COMPUTED_VALUE"""),1241.05)</f>
        <v>1241.05</v>
      </c>
      <c r="C1260" s="6">
        <f>IFERROR(__xludf.DUMMYFUNCTION("""COMPUTED_VALUE"""),1253.25)</f>
        <v>1253.25</v>
      </c>
      <c r="D1260" s="6">
        <f>IFERROR(__xludf.DUMMYFUNCTION("""COMPUTED_VALUE"""),1238.8)</f>
        <v>1238.8</v>
      </c>
      <c r="E1260" s="6">
        <f>IFERROR(__xludf.DUMMYFUNCTION("""COMPUTED_VALUE"""),1247.15)</f>
        <v>1247.15</v>
      </c>
      <c r="F1260" s="7">
        <f>IFERROR(__xludf.DUMMYFUNCTION("""COMPUTED_VALUE"""),1.6162399E7)</f>
        <v>16162399</v>
      </c>
      <c r="G1260" s="7" t="str">
        <f>IFERROR(__xludf.DUMMYFUNCTION("""COMPUTED_VALUE"""),"RELIANCE.NS")</f>
        <v>RELIANCE.NS</v>
      </c>
      <c r="H1260" s="8">
        <f t="shared" si="1"/>
        <v>0.00491519278</v>
      </c>
      <c r="I1260" s="8">
        <f t="shared" si="2"/>
        <v>0.00491519278</v>
      </c>
      <c r="J1260" s="7" t="str">
        <f t="shared" si="3"/>
        <v>Mar-2025</v>
      </c>
      <c r="K1260" s="9">
        <f t="shared" si="4"/>
        <v>45717</v>
      </c>
      <c r="L1260" s="7" t="str">
        <f t="shared" si="5"/>
        <v/>
      </c>
      <c r="M1260" s="7" t="str">
        <f>IFERROR(__xludf.DUMMYFUNCTION("IFERROR(
  IF(
    F1260 &gt;
    3*AVERAGE(
       FILTER($F$2:$F10491,
         $G$2:$G10491=G1260,
         $A$2:$A10491&gt;=A1260-20,
         $A$2:$A10491&lt;=A1260
       )
    ),
    ""VOL_SPIKE_3X"",""""
  ),
"""")
"),"")</f>
        <v/>
      </c>
      <c r="N1260" s="7" t="str">
        <f t="shared" si="6"/>
        <v/>
      </c>
      <c r="O1260" s="7" t="str">
        <f t="shared" si="7"/>
        <v/>
      </c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>
      <c r="A1261" s="5">
        <f>IFERROR(__xludf.DUMMYFUNCTION("""COMPUTED_VALUE"""),45736.0)</f>
        <v>45736</v>
      </c>
      <c r="B1261" s="6">
        <f>IFERROR(__xludf.DUMMYFUNCTION("""COMPUTED_VALUE"""),820.0)</f>
        <v>820</v>
      </c>
      <c r="C1261" s="6">
        <f>IFERROR(__xludf.DUMMYFUNCTION("""COMPUTED_VALUE"""),823.0)</f>
        <v>823</v>
      </c>
      <c r="D1261" s="6">
        <f>IFERROR(__xludf.DUMMYFUNCTION("""COMPUTED_VALUE"""),800.9)</f>
        <v>800.9</v>
      </c>
      <c r="E1261" s="6">
        <f>IFERROR(__xludf.DUMMYFUNCTION("""COMPUTED_VALUE"""),815.1)</f>
        <v>815.1</v>
      </c>
      <c r="F1261" s="7">
        <f>IFERROR(__xludf.DUMMYFUNCTION("""COMPUTED_VALUE"""),1286932.0)</f>
        <v>1286932</v>
      </c>
      <c r="G1261" s="7" t="str">
        <f>IFERROR(__xludf.DUMMYFUNCTION("""COMPUTED_VALUE"""),"ADANIENSOL.NS")</f>
        <v>ADANIENSOL.NS</v>
      </c>
      <c r="H1261" s="8">
        <f t="shared" si="1"/>
        <v>-0.005975609756</v>
      </c>
      <c r="I1261" s="8">
        <f t="shared" si="2"/>
        <v>0.005975609756</v>
      </c>
      <c r="J1261" s="7" t="str">
        <f t="shared" si="3"/>
        <v>Mar-2025</v>
      </c>
      <c r="K1261" s="9">
        <f t="shared" si="4"/>
        <v>45717</v>
      </c>
      <c r="L1261" s="7" t="str">
        <f t="shared" si="5"/>
        <v/>
      </c>
      <c r="M1261" s="7" t="str">
        <f>IFERROR(__xludf.DUMMYFUNCTION("IFERROR(
  IF(
    F1261 &gt;
    3*AVERAGE(
       FILTER($F$2:$F10491,
         $G$2:$G10491=G1261,
         $A$2:$A10491&gt;=A1261-20,
         $A$2:$A10491&lt;=A1261
       )
    ),
    ""VOL_SPIKE_3X"",""""
  ),
"""")
"),"")</f>
        <v/>
      </c>
      <c r="N1261" s="7" t="str">
        <f t="shared" si="6"/>
        <v/>
      </c>
      <c r="O1261" s="7" t="str">
        <f t="shared" si="7"/>
        <v/>
      </c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>
      <c r="A1262" s="5">
        <f>IFERROR(__xludf.DUMMYFUNCTION("""COMPUTED_VALUE"""),45736.0)</f>
        <v>45736</v>
      </c>
      <c r="B1262" s="6">
        <f>IFERROR(__xludf.DUMMYFUNCTION("""COMPUTED_VALUE"""),920.3)</f>
        <v>920.3</v>
      </c>
      <c r="C1262" s="6">
        <f>IFERROR(__xludf.DUMMYFUNCTION("""COMPUTED_VALUE"""),927.95)</f>
        <v>927.95</v>
      </c>
      <c r="D1262" s="6">
        <f>IFERROR(__xludf.DUMMYFUNCTION("""COMPUTED_VALUE"""),902.05)</f>
        <v>902.05</v>
      </c>
      <c r="E1262" s="6">
        <f>IFERROR(__xludf.DUMMYFUNCTION("""COMPUTED_VALUE"""),923.4)</f>
        <v>923.4</v>
      </c>
      <c r="F1262" s="7">
        <f>IFERROR(__xludf.DUMMYFUNCTION("""COMPUTED_VALUE"""),3210117.0)</f>
        <v>3210117</v>
      </c>
      <c r="G1262" s="7" t="str">
        <f>IFERROR(__xludf.DUMMYFUNCTION("""COMPUTED_VALUE"""),"ADANIGREEN.NS")</f>
        <v>ADANIGREEN.NS</v>
      </c>
      <c r="H1262" s="8">
        <f t="shared" si="1"/>
        <v>0.003368466804</v>
      </c>
      <c r="I1262" s="8">
        <f t="shared" si="2"/>
        <v>0.003368466804</v>
      </c>
      <c r="J1262" s="7" t="str">
        <f t="shared" si="3"/>
        <v>Mar-2025</v>
      </c>
      <c r="K1262" s="9">
        <f t="shared" si="4"/>
        <v>45717</v>
      </c>
      <c r="L1262" s="7" t="str">
        <f t="shared" si="5"/>
        <v/>
      </c>
      <c r="M1262" s="7" t="str">
        <f>IFERROR(__xludf.DUMMYFUNCTION("IFERROR(
  IF(
    F1262 &gt;
    3*AVERAGE(
       FILTER($F$2:$F10491,
         $G$2:$G10491=G1262,
         $A$2:$A10491&gt;=A1262-20,
         $A$2:$A10491&lt;=A1262
       )
    ),
    ""VOL_SPIKE_3X"",""""
  ),
"""")
"),"")</f>
        <v/>
      </c>
      <c r="N1262" s="7" t="str">
        <f t="shared" si="6"/>
        <v/>
      </c>
      <c r="O1262" s="7" t="str">
        <f t="shared" si="7"/>
        <v/>
      </c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>
      <c r="A1263" s="5">
        <f>IFERROR(__xludf.DUMMYFUNCTION("""COMPUTED_VALUE"""),45736.0)</f>
        <v>45736</v>
      </c>
      <c r="B1263" s="6">
        <f>IFERROR(__xludf.DUMMYFUNCTION("""COMPUTED_VALUE"""),266.6)</f>
        <v>266.6</v>
      </c>
      <c r="C1263" s="6">
        <f>IFERROR(__xludf.DUMMYFUNCTION("""COMPUTED_VALUE"""),272.93)</f>
        <v>272.93</v>
      </c>
      <c r="D1263" s="6">
        <f>IFERROR(__xludf.DUMMYFUNCTION("""COMPUTED_VALUE"""),264.75)</f>
        <v>264.75</v>
      </c>
      <c r="E1263" s="6">
        <f>IFERROR(__xludf.DUMMYFUNCTION("""COMPUTED_VALUE"""),272.13)</f>
        <v>272.13</v>
      </c>
      <c r="F1263" s="7">
        <f>IFERROR(__xludf.DUMMYFUNCTION("""COMPUTED_VALUE"""),1.0789615E7)</f>
        <v>10789615</v>
      </c>
      <c r="G1263" s="7" t="str">
        <f>IFERROR(__xludf.DUMMYFUNCTION("""COMPUTED_VALUE"""),"BPCL.NS")</f>
        <v>BPCL.NS</v>
      </c>
      <c r="H1263" s="8">
        <f t="shared" si="1"/>
        <v>0.02074268567</v>
      </c>
      <c r="I1263" s="8">
        <f t="shared" si="2"/>
        <v>0.02074268567</v>
      </c>
      <c r="J1263" s="7" t="str">
        <f t="shared" si="3"/>
        <v>Mar-2025</v>
      </c>
      <c r="K1263" s="9">
        <f t="shared" si="4"/>
        <v>45717</v>
      </c>
      <c r="L1263" s="7" t="str">
        <f t="shared" si="5"/>
        <v/>
      </c>
      <c r="M1263" s="7" t="str">
        <f>IFERROR(__xludf.DUMMYFUNCTION("IFERROR(
  IF(
    F1263 &gt;
    3*AVERAGE(
       FILTER($F$2:$F10491,
         $G$2:$G10491=G1263,
         $A$2:$A10491&gt;=A1263-20,
         $A$2:$A10491&lt;=A1263
       )
    ),
    ""VOL_SPIKE_3X"",""""
  ),
"""")
"),"")</f>
        <v/>
      </c>
      <c r="N1263" s="7" t="str">
        <f t="shared" si="6"/>
        <v/>
      </c>
      <c r="O1263" s="7" t="str">
        <f t="shared" si="7"/>
        <v/>
      </c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>
      <c r="A1264" s="5">
        <f>IFERROR(__xludf.DUMMYFUNCTION("""COMPUTED_VALUE"""),45736.0)</f>
        <v>45736</v>
      </c>
      <c r="B1264" s="6">
        <f>IFERROR(__xludf.DUMMYFUNCTION("""COMPUTED_VALUE"""),397.7)</f>
        <v>397.7</v>
      </c>
      <c r="C1264" s="6">
        <f>IFERROR(__xludf.DUMMYFUNCTION("""COMPUTED_VALUE"""),398.1)</f>
        <v>398.1</v>
      </c>
      <c r="D1264" s="6">
        <f>IFERROR(__xludf.DUMMYFUNCTION("""COMPUTED_VALUE"""),392.05)</f>
        <v>392.05</v>
      </c>
      <c r="E1264" s="6">
        <f>IFERROR(__xludf.DUMMYFUNCTION("""COMPUTED_VALUE"""),396.4)</f>
        <v>396.4</v>
      </c>
      <c r="F1264" s="7">
        <f>IFERROR(__xludf.DUMMYFUNCTION("""COMPUTED_VALUE"""),7025398.0)</f>
        <v>7025398</v>
      </c>
      <c r="G1264" s="7" t="str">
        <f>IFERROR(__xludf.DUMMYFUNCTION("""COMPUTED_VALUE"""),"COALINDIA.NS")</f>
        <v>COALINDIA.NS</v>
      </c>
      <c r="H1264" s="8">
        <f t="shared" si="1"/>
        <v>-0.003268795575</v>
      </c>
      <c r="I1264" s="8">
        <f t="shared" si="2"/>
        <v>0.003268795575</v>
      </c>
      <c r="J1264" s="7" t="str">
        <f t="shared" si="3"/>
        <v>Mar-2025</v>
      </c>
      <c r="K1264" s="9">
        <f t="shared" si="4"/>
        <v>45717</v>
      </c>
      <c r="L1264" s="7" t="str">
        <f t="shared" si="5"/>
        <v/>
      </c>
      <c r="M1264" s="7" t="str">
        <f>IFERROR(__xludf.DUMMYFUNCTION("IFERROR(
  IF(
    F1264 &gt;
    3*AVERAGE(
       FILTER($F$2:$F10491,
         $G$2:$G10491=G1264,
         $A$2:$A10491&gt;=A1264-20,
         $A$2:$A10491&lt;=A1264
       )
    ),
    ""VOL_SPIKE_3X"",""""
  ),
"""")
"),"")</f>
        <v/>
      </c>
      <c r="N1264" s="7" t="str">
        <f t="shared" si="6"/>
        <v/>
      </c>
      <c r="O1264" s="7" t="str">
        <f t="shared" si="7"/>
        <v/>
      </c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>
      <c r="A1265" s="5">
        <f>IFERROR(__xludf.DUMMYFUNCTION("""COMPUTED_VALUE"""),45736.0)</f>
        <v>45736</v>
      </c>
      <c r="B1265" s="6">
        <f>IFERROR(__xludf.DUMMYFUNCTION("""COMPUTED_VALUE"""),330.8)</f>
        <v>330.8</v>
      </c>
      <c r="C1265" s="6">
        <f>IFERROR(__xludf.DUMMYFUNCTION("""COMPUTED_VALUE"""),339.5)</f>
        <v>339.5</v>
      </c>
      <c r="D1265" s="6">
        <f>IFERROR(__xludf.DUMMYFUNCTION("""COMPUTED_VALUE"""),327.05)</f>
        <v>327.05</v>
      </c>
      <c r="E1265" s="6">
        <f>IFERROR(__xludf.DUMMYFUNCTION("""COMPUTED_VALUE"""),336.55)</f>
        <v>336.55</v>
      </c>
      <c r="F1265" s="7">
        <f>IFERROR(__xludf.DUMMYFUNCTION("""COMPUTED_VALUE"""),4833173.0)</f>
        <v>4833173</v>
      </c>
      <c r="G1265" s="7" t="str">
        <f>IFERROR(__xludf.DUMMYFUNCTION("""COMPUTED_VALUE"""),"HINDPETRO.NS")</f>
        <v>HINDPETRO.NS</v>
      </c>
      <c r="H1265" s="8">
        <f t="shared" si="1"/>
        <v>0.01738210399</v>
      </c>
      <c r="I1265" s="8">
        <f t="shared" si="2"/>
        <v>0.01738210399</v>
      </c>
      <c r="J1265" s="7" t="str">
        <f t="shared" si="3"/>
        <v>Mar-2025</v>
      </c>
      <c r="K1265" s="9">
        <f t="shared" si="4"/>
        <v>45717</v>
      </c>
      <c r="L1265" s="7" t="str">
        <f t="shared" si="5"/>
        <v/>
      </c>
      <c r="M1265" s="7" t="str">
        <f>IFERROR(__xludf.DUMMYFUNCTION("IFERROR(
  IF(
    F1265 &gt;
    3*AVERAGE(
       FILTER($F$2:$F10491,
         $G$2:$G10491=G1265,
         $A$2:$A10491&gt;=A1265-20,
         $A$2:$A10491&lt;=A1265
       )
    ),
    ""VOL_SPIKE_3X"",""""
  ),
"""")
"),"")</f>
        <v/>
      </c>
      <c r="N1265" s="7" t="str">
        <f t="shared" si="6"/>
        <v/>
      </c>
      <c r="O1265" s="7" t="str">
        <f t="shared" si="7"/>
        <v/>
      </c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>
      <c r="A1266" s="5">
        <f>IFERROR(__xludf.DUMMYFUNCTION("""COMPUTED_VALUE"""),45736.0)</f>
        <v>45736</v>
      </c>
      <c r="B1266" s="6">
        <f>IFERROR(__xludf.DUMMYFUNCTION("""COMPUTED_VALUE"""),128.4)</f>
        <v>128.4</v>
      </c>
      <c r="C1266" s="6">
        <f>IFERROR(__xludf.DUMMYFUNCTION("""COMPUTED_VALUE"""),131.0)</f>
        <v>131</v>
      </c>
      <c r="D1266" s="6">
        <f>IFERROR(__xludf.DUMMYFUNCTION("""COMPUTED_VALUE"""),127.42)</f>
        <v>127.42</v>
      </c>
      <c r="E1266" s="6">
        <f>IFERROR(__xludf.DUMMYFUNCTION("""COMPUTED_VALUE"""),129.21)</f>
        <v>129.21</v>
      </c>
      <c r="F1266" s="7">
        <f>IFERROR(__xludf.DUMMYFUNCTION("""COMPUTED_VALUE"""),1.3947925E7)</f>
        <v>13947925</v>
      </c>
      <c r="G1266" s="7" t="str">
        <f>IFERROR(__xludf.DUMMYFUNCTION("""COMPUTED_VALUE"""),"IOC.NS")</f>
        <v>IOC.NS</v>
      </c>
      <c r="H1266" s="8">
        <f t="shared" si="1"/>
        <v>0.006308411215</v>
      </c>
      <c r="I1266" s="8">
        <f t="shared" si="2"/>
        <v>0.006308411215</v>
      </c>
      <c r="J1266" s="7" t="str">
        <f t="shared" si="3"/>
        <v>Mar-2025</v>
      </c>
      <c r="K1266" s="9">
        <f t="shared" si="4"/>
        <v>45717</v>
      </c>
      <c r="L1266" s="7" t="str">
        <f t="shared" si="5"/>
        <v/>
      </c>
      <c r="M1266" s="7" t="str">
        <f>IFERROR(__xludf.DUMMYFUNCTION("IFERROR(
  IF(
    F1266 &gt;
    3*AVERAGE(
       FILTER($F$2:$F10491,
         $G$2:$G10491=G1266,
         $A$2:$A10491&gt;=A1266-20,
         $A$2:$A10491&lt;=A1266
       )
    ),
    ""VOL_SPIKE_3X"",""""
  ),
"""")
"),"")</f>
        <v/>
      </c>
      <c r="N1266" s="7" t="str">
        <f t="shared" si="6"/>
        <v/>
      </c>
      <c r="O1266" s="7" t="str">
        <f t="shared" si="7"/>
        <v/>
      </c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>
      <c r="A1267" s="5">
        <f>IFERROR(__xludf.DUMMYFUNCTION("""COMPUTED_VALUE"""),45736.0)</f>
        <v>45736</v>
      </c>
      <c r="B1267" s="6">
        <f>IFERROR(__xludf.DUMMYFUNCTION("""COMPUTED_VALUE"""),344.7)</f>
        <v>344.7</v>
      </c>
      <c r="C1267" s="6">
        <f>IFERROR(__xludf.DUMMYFUNCTION("""COMPUTED_VALUE"""),344.7)</f>
        <v>344.7</v>
      </c>
      <c r="D1267" s="6">
        <f>IFERROR(__xludf.DUMMYFUNCTION("""COMPUTED_VALUE"""),340.3)</f>
        <v>340.3</v>
      </c>
      <c r="E1267" s="6">
        <f>IFERROR(__xludf.DUMMYFUNCTION("""COMPUTED_VALUE"""),341.75)</f>
        <v>341.75</v>
      </c>
      <c r="F1267" s="7">
        <f>IFERROR(__xludf.DUMMYFUNCTION("""COMPUTED_VALUE"""),1.5002119E7)</f>
        <v>15002119</v>
      </c>
      <c r="G1267" s="7" t="str">
        <f>IFERROR(__xludf.DUMMYFUNCTION("""COMPUTED_VALUE"""),"NTPC.NS")</f>
        <v>NTPC.NS</v>
      </c>
      <c r="H1267" s="8">
        <f t="shared" si="1"/>
        <v>-0.008558166522</v>
      </c>
      <c r="I1267" s="8">
        <f t="shared" si="2"/>
        <v>0.008558166522</v>
      </c>
      <c r="J1267" s="7" t="str">
        <f t="shared" si="3"/>
        <v>Mar-2025</v>
      </c>
      <c r="K1267" s="9">
        <f t="shared" si="4"/>
        <v>45717</v>
      </c>
      <c r="L1267" s="7" t="str">
        <f t="shared" si="5"/>
        <v/>
      </c>
      <c r="M1267" s="7" t="str">
        <f>IFERROR(__xludf.DUMMYFUNCTION("IFERROR(
  IF(
    F1267 &gt;
    3*AVERAGE(
       FILTER($F$2:$F10491,
         $G$2:$G10491=G1267,
         $A$2:$A10491&gt;=A1267-20,
         $A$2:$A10491&lt;=A1267
       )
    ),
    ""VOL_SPIKE_3X"",""""
  ),
"""")
"),"")</f>
        <v/>
      </c>
      <c r="N1267" s="7" t="str">
        <f t="shared" si="6"/>
        <v/>
      </c>
      <c r="O1267" s="7" t="str">
        <f t="shared" si="7"/>
        <v/>
      </c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>
      <c r="A1268" s="5">
        <f>IFERROR(__xludf.DUMMYFUNCTION("""COMPUTED_VALUE"""),45736.0)</f>
        <v>45736</v>
      </c>
      <c r="B1268" s="6">
        <f>IFERROR(__xludf.DUMMYFUNCTION("""COMPUTED_VALUE"""),233.48)</f>
        <v>233.48</v>
      </c>
      <c r="C1268" s="6">
        <f>IFERROR(__xludf.DUMMYFUNCTION("""COMPUTED_VALUE"""),237.04)</f>
        <v>237.04</v>
      </c>
      <c r="D1268" s="6">
        <f>IFERROR(__xludf.DUMMYFUNCTION("""COMPUTED_VALUE"""),232.01)</f>
        <v>232.01</v>
      </c>
      <c r="E1268" s="6">
        <f>IFERROR(__xludf.DUMMYFUNCTION("""COMPUTED_VALUE"""),235.59)</f>
        <v>235.59</v>
      </c>
      <c r="F1268" s="7">
        <f>IFERROR(__xludf.DUMMYFUNCTION("""COMPUTED_VALUE"""),1.8955995E7)</f>
        <v>18955995</v>
      </c>
      <c r="G1268" s="7" t="str">
        <f>IFERROR(__xludf.DUMMYFUNCTION("""COMPUTED_VALUE"""),"ONGC.NS")</f>
        <v>ONGC.NS</v>
      </c>
      <c r="H1268" s="8">
        <f t="shared" si="1"/>
        <v>0.009037176632</v>
      </c>
      <c r="I1268" s="8">
        <f t="shared" si="2"/>
        <v>0.009037176632</v>
      </c>
      <c r="J1268" s="7" t="str">
        <f t="shared" si="3"/>
        <v>Mar-2025</v>
      </c>
      <c r="K1268" s="9">
        <f t="shared" si="4"/>
        <v>45717</v>
      </c>
      <c r="L1268" s="7" t="str">
        <f t="shared" si="5"/>
        <v/>
      </c>
      <c r="M1268" s="7" t="str">
        <f>IFERROR(__xludf.DUMMYFUNCTION("IFERROR(
  IF(
    F1268 &gt;
    3*AVERAGE(
       FILTER($F$2:$F10491,
         $G$2:$G10491=G1268,
         $A$2:$A10491&gt;=A1268-20,
         $A$2:$A10491&lt;=A1268
       )
    ),
    ""VOL_SPIKE_3X"",""""
  ),
"""")
"),"")</f>
        <v/>
      </c>
      <c r="N1268" s="7" t="str">
        <f t="shared" si="6"/>
        <v/>
      </c>
      <c r="O1268" s="7" t="str">
        <f t="shared" si="7"/>
        <v/>
      </c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>
      <c r="A1269" s="5">
        <f>IFERROR(__xludf.DUMMYFUNCTION("""COMPUTED_VALUE"""),45736.0)</f>
        <v>45736</v>
      </c>
      <c r="B1269" s="6">
        <f>IFERROR(__xludf.DUMMYFUNCTION("""COMPUTED_VALUE"""),283.5)</f>
        <v>283.5</v>
      </c>
      <c r="C1269" s="6">
        <f>IFERROR(__xludf.DUMMYFUNCTION("""COMPUTED_VALUE"""),283.55)</f>
        <v>283.55</v>
      </c>
      <c r="D1269" s="6">
        <f>IFERROR(__xludf.DUMMYFUNCTION("""COMPUTED_VALUE"""),277.05)</f>
        <v>277.05</v>
      </c>
      <c r="E1269" s="6">
        <f>IFERROR(__xludf.DUMMYFUNCTION("""COMPUTED_VALUE"""),280.35)</f>
        <v>280.35</v>
      </c>
      <c r="F1269" s="7">
        <f>IFERROR(__xludf.DUMMYFUNCTION("""COMPUTED_VALUE"""),1.3710249E7)</f>
        <v>13710249</v>
      </c>
      <c r="G1269" s="7" t="str">
        <f>IFERROR(__xludf.DUMMYFUNCTION("""COMPUTED_VALUE"""),"POWERGRID.NS")</f>
        <v>POWERGRID.NS</v>
      </c>
      <c r="H1269" s="8">
        <f t="shared" si="1"/>
        <v>-0.01111111111</v>
      </c>
      <c r="I1269" s="8">
        <f t="shared" si="2"/>
        <v>0.01111111111</v>
      </c>
      <c r="J1269" s="7" t="str">
        <f t="shared" si="3"/>
        <v>Mar-2025</v>
      </c>
      <c r="K1269" s="9">
        <f t="shared" si="4"/>
        <v>45717</v>
      </c>
      <c r="L1269" s="7" t="str">
        <f t="shared" si="5"/>
        <v/>
      </c>
      <c r="M1269" s="7" t="str">
        <f>IFERROR(__xludf.DUMMYFUNCTION("IFERROR(
  IF(
    F1269 &gt;
    3*AVERAGE(
       FILTER($F$2:$F10491,
         $G$2:$G10491=G1269,
         $A$2:$A10491&gt;=A1269-20,
         $A$2:$A10491&lt;=A1269
       )
    ),
    ""VOL_SPIKE_3X"",""""
  ),
"""")
"),"")</f>
        <v/>
      </c>
      <c r="N1269" s="7" t="str">
        <f t="shared" si="6"/>
        <v/>
      </c>
      <c r="O1269" s="7" t="str">
        <f t="shared" si="7"/>
        <v/>
      </c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>
      <c r="A1270" s="5">
        <f>IFERROR(__xludf.DUMMYFUNCTION("""COMPUTED_VALUE"""),45736.0)</f>
        <v>45736</v>
      </c>
      <c r="B1270" s="6">
        <f>IFERROR(__xludf.DUMMYFUNCTION("""COMPUTED_VALUE"""),1251.85)</f>
        <v>1251.85</v>
      </c>
      <c r="C1270" s="6">
        <f>IFERROR(__xludf.DUMMYFUNCTION("""COMPUTED_VALUE"""),1273.0)</f>
        <v>1273</v>
      </c>
      <c r="D1270" s="6">
        <f>IFERROR(__xludf.DUMMYFUNCTION("""COMPUTED_VALUE"""),1250.05)</f>
        <v>1250.05</v>
      </c>
      <c r="E1270" s="6">
        <f>IFERROR(__xludf.DUMMYFUNCTION("""COMPUTED_VALUE"""),1269.15)</f>
        <v>1269.15</v>
      </c>
      <c r="F1270" s="7">
        <f>IFERROR(__xludf.DUMMYFUNCTION("""COMPUTED_VALUE"""),1.5971477E7)</f>
        <v>15971477</v>
      </c>
      <c r="G1270" s="7" t="str">
        <f>IFERROR(__xludf.DUMMYFUNCTION("""COMPUTED_VALUE"""),"RELIANCE.NS")</f>
        <v>RELIANCE.NS</v>
      </c>
      <c r="H1270" s="8">
        <f t="shared" si="1"/>
        <v>0.01381954707</v>
      </c>
      <c r="I1270" s="8">
        <f t="shared" si="2"/>
        <v>0.01381954707</v>
      </c>
      <c r="J1270" s="7" t="str">
        <f t="shared" si="3"/>
        <v>Mar-2025</v>
      </c>
      <c r="K1270" s="9">
        <f t="shared" si="4"/>
        <v>45717</v>
      </c>
      <c r="L1270" s="7" t="str">
        <f t="shared" si="5"/>
        <v/>
      </c>
      <c r="M1270" s="7" t="str">
        <f>IFERROR(__xludf.DUMMYFUNCTION("IFERROR(
  IF(
    F1270 &gt;
    3*AVERAGE(
       FILTER($F$2:$F10491,
         $G$2:$G10491=G1270,
         $A$2:$A10491&gt;=A1270-20,
         $A$2:$A10491&lt;=A1270
       )
    ),
    ""VOL_SPIKE_3X"",""""
  ),
"""")
"),"")</f>
        <v/>
      </c>
      <c r="N1270" s="7" t="str">
        <f t="shared" si="6"/>
        <v/>
      </c>
      <c r="O1270" s="7" t="str">
        <f t="shared" si="7"/>
        <v/>
      </c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>
      <c r="A1271" s="5">
        <f>IFERROR(__xludf.DUMMYFUNCTION("""COMPUTED_VALUE"""),45737.0)</f>
        <v>45737</v>
      </c>
      <c r="B1271" s="6">
        <f>IFERROR(__xludf.DUMMYFUNCTION("""COMPUTED_VALUE"""),815.0)</f>
        <v>815</v>
      </c>
      <c r="C1271" s="6">
        <f>IFERROR(__xludf.DUMMYFUNCTION("""COMPUTED_VALUE"""),846.95)</f>
        <v>846.95</v>
      </c>
      <c r="D1271" s="6">
        <f>IFERROR(__xludf.DUMMYFUNCTION("""COMPUTED_VALUE"""),811.85)</f>
        <v>811.85</v>
      </c>
      <c r="E1271" s="6">
        <f>IFERROR(__xludf.DUMMYFUNCTION("""COMPUTED_VALUE"""),831.7)</f>
        <v>831.7</v>
      </c>
      <c r="F1271" s="7">
        <f>IFERROR(__xludf.DUMMYFUNCTION("""COMPUTED_VALUE"""),2711820.0)</f>
        <v>2711820</v>
      </c>
      <c r="G1271" s="7" t="str">
        <f>IFERROR(__xludf.DUMMYFUNCTION("""COMPUTED_VALUE"""),"ADANIENSOL.NS")</f>
        <v>ADANIENSOL.NS</v>
      </c>
      <c r="H1271" s="8">
        <f t="shared" si="1"/>
        <v>0.02049079755</v>
      </c>
      <c r="I1271" s="8">
        <f t="shared" si="2"/>
        <v>0.02049079755</v>
      </c>
      <c r="J1271" s="7" t="str">
        <f t="shared" si="3"/>
        <v>Mar-2025</v>
      </c>
      <c r="K1271" s="9">
        <f t="shared" si="4"/>
        <v>45717</v>
      </c>
      <c r="L1271" s="7" t="str">
        <f t="shared" si="5"/>
        <v/>
      </c>
      <c r="M1271" s="7" t="str">
        <f>IFERROR(__xludf.DUMMYFUNCTION("IFERROR(
  IF(
    F1271 &gt;
    3*AVERAGE(
       FILTER($F$2:$F10491,
         $G$2:$G10491=G1271,
         $A$2:$A10491&gt;=A1271-20,
         $A$2:$A10491&lt;=A1271
       )
    ),
    ""VOL_SPIKE_3X"",""""
  ),
"""")
"),"")</f>
        <v/>
      </c>
      <c r="N1271" s="7" t="str">
        <f t="shared" si="6"/>
        <v/>
      </c>
      <c r="O1271" s="7" t="str">
        <f t="shared" si="7"/>
        <v/>
      </c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>
      <c r="A1272" s="5">
        <f>IFERROR(__xludf.DUMMYFUNCTION("""COMPUTED_VALUE"""),45737.0)</f>
        <v>45737</v>
      </c>
      <c r="B1272" s="6">
        <f>IFERROR(__xludf.DUMMYFUNCTION("""COMPUTED_VALUE"""),925.0)</f>
        <v>925</v>
      </c>
      <c r="C1272" s="6">
        <f>IFERROR(__xludf.DUMMYFUNCTION("""COMPUTED_VALUE"""),983.35)</f>
        <v>983.35</v>
      </c>
      <c r="D1272" s="6">
        <f>IFERROR(__xludf.DUMMYFUNCTION("""COMPUTED_VALUE"""),920.55)</f>
        <v>920.55</v>
      </c>
      <c r="E1272" s="6">
        <f>IFERROR(__xludf.DUMMYFUNCTION("""COMPUTED_VALUE"""),954.25)</f>
        <v>954.25</v>
      </c>
      <c r="F1272" s="7">
        <f>IFERROR(__xludf.DUMMYFUNCTION("""COMPUTED_VALUE"""),8147557.0)</f>
        <v>8147557</v>
      </c>
      <c r="G1272" s="7" t="str">
        <f>IFERROR(__xludf.DUMMYFUNCTION("""COMPUTED_VALUE"""),"ADANIGREEN.NS")</f>
        <v>ADANIGREEN.NS</v>
      </c>
      <c r="H1272" s="8">
        <f t="shared" si="1"/>
        <v>0.03162162162</v>
      </c>
      <c r="I1272" s="8">
        <f t="shared" si="2"/>
        <v>0.03162162162</v>
      </c>
      <c r="J1272" s="7" t="str">
        <f t="shared" si="3"/>
        <v>Mar-2025</v>
      </c>
      <c r="K1272" s="9">
        <f t="shared" si="4"/>
        <v>45717</v>
      </c>
      <c r="L1272" s="7" t="str">
        <f t="shared" si="5"/>
        <v/>
      </c>
      <c r="M1272" s="7" t="str">
        <f>IFERROR(__xludf.DUMMYFUNCTION("IFERROR(
  IF(
    F1272 &gt;
    3*AVERAGE(
       FILTER($F$2:$F10491,
         $G$2:$G10491=G1272,
         $A$2:$A10491&gt;=A1272-20,
         $A$2:$A10491&lt;=A1272
       )
    ),
    ""VOL_SPIKE_3X"",""""
  ),
"""")
"),"")</f>
        <v/>
      </c>
      <c r="N1272" s="7" t="str">
        <f t="shared" si="6"/>
        <v/>
      </c>
      <c r="O1272" s="7" t="str">
        <f t="shared" si="7"/>
        <v/>
      </c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>
      <c r="A1273" s="5">
        <f>IFERROR(__xludf.DUMMYFUNCTION("""COMPUTED_VALUE"""),45737.0)</f>
        <v>45737</v>
      </c>
      <c r="B1273" s="6">
        <f>IFERROR(__xludf.DUMMYFUNCTION("""COMPUTED_VALUE"""),272.2)</f>
        <v>272.2</v>
      </c>
      <c r="C1273" s="6">
        <f>IFERROR(__xludf.DUMMYFUNCTION("""COMPUTED_VALUE"""),285.85)</f>
        <v>285.85</v>
      </c>
      <c r="D1273" s="6">
        <f>IFERROR(__xludf.DUMMYFUNCTION("""COMPUTED_VALUE"""),271.06)</f>
        <v>271.06</v>
      </c>
      <c r="E1273" s="6">
        <f>IFERROR(__xludf.DUMMYFUNCTION("""COMPUTED_VALUE"""),279.66)</f>
        <v>279.66</v>
      </c>
      <c r="F1273" s="7">
        <f>IFERROR(__xludf.DUMMYFUNCTION("""COMPUTED_VALUE"""),2.6173451E7)</f>
        <v>26173451</v>
      </c>
      <c r="G1273" s="7" t="str">
        <f>IFERROR(__xludf.DUMMYFUNCTION("""COMPUTED_VALUE"""),"BPCL.NS")</f>
        <v>BPCL.NS</v>
      </c>
      <c r="H1273" s="8">
        <f t="shared" si="1"/>
        <v>0.02740631888</v>
      </c>
      <c r="I1273" s="8">
        <f t="shared" si="2"/>
        <v>0.02740631888</v>
      </c>
      <c r="J1273" s="7" t="str">
        <f t="shared" si="3"/>
        <v>Mar-2025</v>
      </c>
      <c r="K1273" s="9">
        <f t="shared" si="4"/>
        <v>45717</v>
      </c>
      <c r="L1273" s="7" t="str">
        <f t="shared" si="5"/>
        <v/>
      </c>
      <c r="M1273" s="7" t="str">
        <f>IFERROR(__xludf.DUMMYFUNCTION("IFERROR(
  IF(
    F1273 &gt;
    3*AVERAGE(
       FILTER($F$2:$F10491,
         $G$2:$G10491=G1273,
         $A$2:$A10491&gt;=A1273-20,
         $A$2:$A10491&lt;=A1273
       )
    ),
    ""VOL_SPIKE_3X"",""""
  ),
"""")
"),"")</f>
        <v/>
      </c>
      <c r="N1273" s="7" t="str">
        <f t="shared" si="6"/>
        <v/>
      </c>
      <c r="O1273" s="7" t="str">
        <f t="shared" si="7"/>
        <v/>
      </c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>
      <c r="A1274" s="5">
        <f>IFERROR(__xludf.DUMMYFUNCTION("""COMPUTED_VALUE"""),45737.0)</f>
        <v>45737</v>
      </c>
      <c r="B1274" s="6">
        <f>IFERROR(__xludf.DUMMYFUNCTION("""COMPUTED_VALUE"""),396.4)</f>
        <v>396.4</v>
      </c>
      <c r="C1274" s="6">
        <f>IFERROR(__xludf.DUMMYFUNCTION("""COMPUTED_VALUE"""),411.1)</f>
        <v>411.1</v>
      </c>
      <c r="D1274" s="6">
        <f>IFERROR(__xludf.DUMMYFUNCTION("""COMPUTED_VALUE"""),395.1)</f>
        <v>395.1</v>
      </c>
      <c r="E1274" s="6">
        <f>IFERROR(__xludf.DUMMYFUNCTION("""COMPUTED_VALUE"""),405.4)</f>
        <v>405.4</v>
      </c>
      <c r="F1274" s="7">
        <f>IFERROR(__xludf.DUMMYFUNCTION("""COMPUTED_VALUE"""),1.6564019E7)</f>
        <v>16564019</v>
      </c>
      <c r="G1274" s="7" t="str">
        <f>IFERROR(__xludf.DUMMYFUNCTION("""COMPUTED_VALUE"""),"COALINDIA.NS")</f>
        <v>COALINDIA.NS</v>
      </c>
      <c r="H1274" s="8">
        <f t="shared" si="1"/>
        <v>0.02270433905</v>
      </c>
      <c r="I1274" s="8">
        <f t="shared" si="2"/>
        <v>0.02270433905</v>
      </c>
      <c r="J1274" s="7" t="str">
        <f t="shared" si="3"/>
        <v>Mar-2025</v>
      </c>
      <c r="K1274" s="9">
        <f t="shared" si="4"/>
        <v>45717</v>
      </c>
      <c r="L1274" s="7" t="str">
        <f t="shared" si="5"/>
        <v/>
      </c>
      <c r="M1274" s="7" t="str">
        <f>IFERROR(__xludf.DUMMYFUNCTION("IFERROR(
  IF(
    F1274 &gt;
    3*AVERAGE(
       FILTER($F$2:$F10491,
         $G$2:$G10491=G1274,
         $A$2:$A10491&gt;=A1274-20,
         $A$2:$A10491&lt;=A1274
       )
    ),
    ""VOL_SPIKE_3X"",""""
  ),
"""")
"),"")</f>
        <v/>
      </c>
      <c r="N1274" s="7" t="str">
        <f t="shared" si="6"/>
        <v/>
      </c>
      <c r="O1274" s="7" t="str">
        <f t="shared" si="7"/>
        <v/>
      </c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>
      <c r="A1275" s="5">
        <f>IFERROR(__xludf.DUMMYFUNCTION("""COMPUTED_VALUE"""),45737.0)</f>
        <v>45737</v>
      </c>
      <c r="B1275" s="6">
        <f>IFERROR(__xludf.DUMMYFUNCTION("""COMPUTED_VALUE"""),336.0)</f>
        <v>336</v>
      </c>
      <c r="C1275" s="6">
        <f>IFERROR(__xludf.DUMMYFUNCTION("""COMPUTED_VALUE"""),360.2)</f>
        <v>360.2</v>
      </c>
      <c r="D1275" s="6">
        <f>IFERROR(__xludf.DUMMYFUNCTION("""COMPUTED_VALUE"""),334.1)</f>
        <v>334.1</v>
      </c>
      <c r="E1275" s="6">
        <f>IFERROR(__xludf.DUMMYFUNCTION("""COMPUTED_VALUE"""),356.95)</f>
        <v>356.95</v>
      </c>
      <c r="F1275" s="7">
        <f>IFERROR(__xludf.DUMMYFUNCTION("""COMPUTED_VALUE"""),1.573359E7)</f>
        <v>15733590</v>
      </c>
      <c r="G1275" s="7" t="str">
        <f>IFERROR(__xludf.DUMMYFUNCTION("""COMPUTED_VALUE"""),"HINDPETRO.NS")</f>
        <v>HINDPETRO.NS</v>
      </c>
      <c r="H1275" s="8">
        <f t="shared" si="1"/>
        <v>0.06235119048</v>
      </c>
      <c r="I1275" s="8">
        <f t="shared" si="2"/>
        <v>0.06235119048</v>
      </c>
      <c r="J1275" s="7" t="str">
        <f t="shared" si="3"/>
        <v>Mar-2025</v>
      </c>
      <c r="K1275" s="9">
        <f t="shared" si="4"/>
        <v>45717</v>
      </c>
      <c r="L1275" s="7" t="str">
        <f t="shared" si="5"/>
        <v>PRICE_MOVE_5PCT+</v>
      </c>
      <c r="M1275" s="7" t="str">
        <f>IFERROR(__xludf.DUMMYFUNCTION("IFERROR(
  IF(
    F1275 &gt;
    3*AVERAGE(
       FILTER($F$2:$F10491,
         $G$2:$G10491=G1275,
         $A$2:$A10491&gt;=A1275-20,
         $A$2:$A10491&lt;=A1275
       )
    ),
    ""VOL_SPIKE_3X"",""""
  ),
"""")
"),"")</f>
        <v/>
      </c>
      <c r="N1275" s="7" t="str">
        <f t="shared" si="6"/>
        <v>PRICE_MOVE_5PCT+</v>
      </c>
      <c r="O1275" s="7" t="str">
        <f t="shared" si="7"/>
        <v/>
      </c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>
      <c r="A1276" s="5">
        <f>IFERROR(__xludf.DUMMYFUNCTION("""COMPUTED_VALUE"""),45737.0)</f>
        <v>45737</v>
      </c>
      <c r="B1276" s="6">
        <f>IFERROR(__xludf.DUMMYFUNCTION("""COMPUTED_VALUE"""),129.26)</f>
        <v>129.26</v>
      </c>
      <c r="C1276" s="6">
        <f>IFERROR(__xludf.DUMMYFUNCTION("""COMPUTED_VALUE"""),133.45)</f>
        <v>133.45</v>
      </c>
      <c r="D1276" s="6">
        <f>IFERROR(__xludf.DUMMYFUNCTION("""COMPUTED_VALUE"""),128.75)</f>
        <v>128.75</v>
      </c>
      <c r="E1276" s="6">
        <f>IFERROR(__xludf.DUMMYFUNCTION("""COMPUTED_VALUE"""),131.51)</f>
        <v>131.51</v>
      </c>
      <c r="F1276" s="7">
        <f>IFERROR(__xludf.DUMMYFUNCTION("""COMPUTED_VALUE"""),4.292851E7)</f>
        <v>42928510</v>
      </c>
      <c r="G1276" s="7" t="str">
        <f>IFERROR(__xludf.DUMMYFUNCTION("""COMPUTED_VALUE"""),"IOC.NS")</f>
        <v>IOC.NS</v>
      </c>
      <c r="H1276" s="8">
        <f t="shared" si="1"/>
        <v>0.01740677704</v>
      </c>
      <c r="I1276" s="8">
        <f t="shared" si="2"/>
        <v>0.01740677704</v>
      </c>
      <c r="J1276" s="7" t="str">
        <f t="shared" si="3"/>
        <v>Mar-2025</v>
      </c>
      <c r="K1276" s="9">
        <f t="shared" si="4"/>
        <v>45717</v>
      </c>
      <c r="L1276" s="7" t="str">
        <f t="shared" si="5"/>
        <v/>
      </c>
      <c r="M1276" s="7" t="str">
        <f>IFERROR(__xludf.DUMMYFUNCTION("IFERROR(
  IF(
    F1276 &gt;
    3*AVERAGE(
       FILTER($F$2:$F10491,
         $G$2:$G10491=G1276,
         $A$2:$A10491&gt;=A1276-20,
         $A$2:$A10491&lt;=A1276
       )
    ),
    ""VOL_SPIKE_3X"",""""
  ),
"""")
"),"")</f>
        <v/>
      </c>
      <c r="N1276" s="7" t="str">
        <f t="shared" si="6"/>
        <v/>
      </c>
      <c r="O1276" s="7" t="str">
        <f t="shared" si="7"/>
        <v/>
      </c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>
      <c r="A1277" s="5">
        <f>IFERROR(__xludf.DUMMYFUNCTION("""COMPUTED_VALUE"""),45737.0)</f>
        <v>45737</v>
      </c>
      <c r="B1277" s="6">
        <f>IFERROR(__xludf.DUMMYFUNCTION("""COMPUTED_VALUE"""),342.0)</f>
        <v>342</v>
      </c>
      <c r="C1277" s="6">
        <f>IFERROR(__xludf.DUMMYFUNCTION("""COMPUTED_VALUE"""),353.85)</f>
        <v>353.85</v>
      </c>
      <c r="D1277" s="6">
        <f>IFERROR(__xludf.DUMMYFUNCTION("""COMPUTED_VALUE"""),341.75)</f>
        <v>341.75</v>
      </c>
      <c r="E1277" s="6">
        <f>IFERROR(__xludf.DUMMYFUNCTION("""COMPUTED_VALUE"""),351.3)</f>
        <v>351.3</v>
      </c>
      <c r="F1277" s="7">
        <f>IFERROR(__xludf.DUMMYFUNCTION("""COMPUTED_VALUE"""),3.6406837E7)</f>
        <v>36406837</v>
      </c>
      <c r="G1277" s="7" t="str">
        <f>IFERROR(__xludf.DUMMYFUNCTION("""COMPUTED_VALUE"""),"NTPC.NS")</f>
        <v>NTPC.NS</v>
      </c>
      <c r="H1277" s="8">
        <f t="shared" si="1"/>
        <v>0.02719298246</v>
      </c>
      <c r="I1277" s="8">
        <f t="shared" si="2"/>
        <v>0.02719298246</v>
      </c>
      <c r="J1277" s="7" t="str">
        <f t="shared" si="3"/>
        <v>Mar-2025</v>
      </c>
      <c r="K1277" s="9">
        <f t="shared" si="4"/>
        <v>45717</v>
      </c>
      <c r="L1277" s="7" t="str">
        <f t="shared" si="5"/>
        <v/>
      </c>
      <c r="M1277" s="7" t="str">
        <f>IFERROR(__xludf.DUMMYFUNCTION("IFERROR(
  IF(
    F1277 &gt;
    3*AVERAGE(
       FILTER($F$2:$F10491,
         $G$2:$G10491=G1277,
         $A$2:$A10491&gt;=A1277-20,
         $A$2:$A10491&lt;=A1277
       )
    ),
    ""VOL_SPIKE_3X"",""""
  ),
"""")
"),"")</f>
        <v/>
      </c>
      <c r="N1277" s="7" t="str">
        <f t="shared" si="6"/>
        <v/>
      </c>
      <c r="O1277" s="7" t="str">
        <f t="shared" si="7"/>
        <v/>
      </c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>
      <c r="A1278" s="5">
        <f>IFERROR(__xludf.DUMMYFUNCTION("""COMPUTED_VALUE"""),45737.0)</f>
        <v>45737</v>
      </c>
      <c r="B1278" s="6">
        <f>IFERROR(__xludf.DUMMYFUNCTION("""COMPUTED_VALUE"""),235.8)</f>
        <v>235.8</v>
      </c>
      <c r="C1278" s="6">
        <f>IFERROR(__xludf.DUMMYFUNCTION("""COMPUTED_VALUE"""),248.0)</f>
        <v>248</v>
      </c>
      <c r="D1278" s="6">
        <f>IFERROR(__xludf.DUMMYFUNCTION("""COMPUTED_VALUE"""),235.8)</f>
        <v>235.8</v>
      </c>
      <c r="E1278" s="6">
        <f>IFERROR(__xludf.DUMMYFUNCTION("""COMPUTED_VALUE"""),242.42)</f>
        <v>242.42</v>
      </c>
      <c r="F1278" s="7">
        <f>IFERROR(__xludf.DUMMYFUNCTION("""COMPUTED_VALUE"""),2.9285333E7)</f>
        <v>29285333</v>
      </c>
      <c r="G1278" s="7" t="str">
        <f>IFERROR(__xludf.DUMMYFUNCTION("""COMPUTED_VALUE"""),"ONGC.NS")</f>
        <v>ONGC.NS</v>
      </c>
      <c r="H1278" s="8">
        <f t="shared" si="1"/>
        <v>0.02807463953</v>
      </c>
      <c r="I1278" s="8">
        <f t="shared" si="2"/>
        <v>0.02807463953</v>
      </c>
      <c r="J1278" s="7" t="str">
        <f t="shared" si="3"/>
        <v>Mar-2025</v>
      </c>
      <c r="K1278" s="9">
        <f t="shared" si="4"/>
        <v>45717</v>
      </c>
      <c r="L1278" s="7" t="str">
        <f t="shared" si="5"/>
        <v/>
      </c>
      <c r="M1278" s="7" t="str">
        <f>IFERROR(__xludf.DUMMYFUNCTION("IFERROR(
  IF(
    F1278 &gt;
    3*AVERAGE(
       FILTER($F$2:$F10491,
         $G$2:$G10491=G1278,
         $A$2:$A10491&gt;=A1278-20,
         $A$2:$A10491&lt;=A1278
       )
    ),
    ""VOL_SPIKE_3X"",""""
  ),
"""")
"),"")</f>
        <v/>
      </c>
      <c r="N1278" s="7" t="str">
        <f t="shared" si="6"/>
        <v/>
      </c>
      <c r="O1278" s="7" t="str">
        <f t="shared" si="7"/>
        <v/>
      </c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>
      <c r="A1279" s="5">
        <f>IFERROR(__xludf.DUMMYFUNCTION("""COMPUTED_VALUE"""),45737.0)</f>
        <v>45737</v>
      </c>
      <c r="B1279" s="6">
        <f>IFERROR(__xludf.DUMMYFUNCTION("""COMPUTED_VALUE"""),281.0)</f>
        <v>281</v>
      </c>
      <c r="C1279" s="6">
        <f>IFERROR(__xludf.DUMMYFUNCTION("""COMPUTED_VALUE"""),285.15)</f>
        <v>285.15</v>
      </c>
      <c r="D1279" s="6">
        <f>IFERROR(__xludf.DUMMYFUNCTION("""COMPUTED_VALUE"""),280.05)</f>
        <v>280.05</v>
      </c>
      <c r="E1279" s="6">
        <f>IFERROR(__xludf.DUMMYFUNCTION("""COMPUTED_VALUE"""),283.1)</f>
        <v>283.1</v>
      </c>
      <c r="F1279" s="7">
        <f>IFERROR(__xludf.DUMMYFUNCTION("""COMPUTED_VALUE"""),2.6003527E7)</f>
        <v>26003527</v>
      </c>
      <c r="G1279" s="7" t="str">
        <f>IFERROR(__xludf.DUMMYFUNCTION("""COMPUTED_VALUE"""),"POWERGRID.NS")</f>
        <v>POWERGRID.NS</v>
      </c>
      <c r="H1279" s="8">
        <f t="shared" si="1"/>
        <v>0.007473309609</v>
      </c>
      <c r="I1279" s="8">
        <f t="shared" si="2"/>
        <v>0.007473309609</v>
      </c>
      <c r="J1279" s="7" t="str">
        <f t="shared" si="3"/>
        <v>Mar-2025</v>
      </c>
      <c r="K1279" s="9">
        <f t="shared" si="4"/>
        <v>45717</v>
      </c>
      <c r="L1279" s="7" t="str">
        <f t="shared" si="5"/>
        <v/>
      </c>
      <c r="M1279" s="7" t="str">
        <f>IFERROR(__xludf.DUMMYFUNCTION("IFERROR(
  IF(
    F1279 &gt;
    3*AVERAGE(
       FILTER($F$2:$F10491,
         $G$2:$G10491=G1279,
         $A$2:$A10491&gt;=A1279-20,
         $A$2:$A10491&lt;=A1279
       )
    ),
    ""VOL_SPIKE_3X"",""""
  ),
"""")
"),"")</f>
        <v/>
      </c>
      <c r="N1279" s="7" t="str">
        <f t="shared" si="6"/>
        <v/>
      </c>
      <c r="O1279" s="7" t="str">
        <f t="shared" si="7"/>
        <v/>
      </c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>
      <c r="A1280" s="5">
        <f>IFERROR(__xludf.DUMMYFUNCTION("""COMPUTED_VALUE"""),45737.0)</f>
        <v>45737</v>
      </c>
      <c r="B1280" s="6">
        <f>IFERROR(__xludf.DUMMYFUNCTION("""COMPUTED_VALUE"""),1275.0)</f>
        <v>1275</v>
      </c>
      <c r="C1280" s="6">
        <f>IFERROR(__xludf.DUMMYFUNCTION("""COMPUTED_VALUE"""),1281.0)</f>
        <v>1281</v>
      </c>
      <c r="D1280" s="6">
        <f>IFERROR(__xludf.DUMMYFUNCTION("""COMPUTED_VALUE"""),1270.1)</f>
        <v>1270.1</v>
      </c>
      <c r="E1280" s="6">
        <f>IFERROR(__xludf.DUMMYFUNCTION("""COMPUTED_VALUE"""),1276.35)</f>
        <v>1276.35</v>
      </c>
      <c r="F1280" s="7">
        <f>IFERROR(__xludf.DUMMYFUNCTION("""COMPUTED_VALUE"""),2.1780769E7)</f>
        <v>21780769</v>
      </c>
      <c r="G1280" s="7" t="str">
        <f>IFERROR(__xludf.DUMMYFUNCTION("""COMPUTED_VALUE"""),"RELIANCE.NS")</f>
        <v>RELIANCE.NS</v>
      </c>
      <c r="H1280" s="8">
        <f t="shared" si="1"/>
        <v>0.001058823529</v>
      </c>
      <c r="I1280" s="8">
        <f t="shared" si="2"/>
        <v>0.001058823529</v>
      </c>
      <c r="J1280" s="7" t="str">
        <f t="shared" si="3"/>
        <v>Mar-2025</v>
      </c>
      <c r="K1280" s="9">
        <f t="shared" si="4"/>
        <v>45717</v>
      </c>
      <c r="L1280" s="7" t="str">
        <f t="shared" si="5"/>
        <v/>
      </c>
      <c r="M1280" s="7" t="str">
        <f>IFERROR(__xludf.DUMMYFUNCTION("IFERROR(
  IF(
    F1280 &gt;
    3*AVERAGE(
       FILTER($F$2:$F10491,
         $G$2:$G10491=G1280,
         $A$2:$A10491&gt;=A1280-20,
         $A$2:$A10491&lt;=A1280
       )
    ),
    ""VOL_SPIKE_3X"",""""
  ),
"""")
"),"")</f>
        <v/>
      </c>
      <c r="N1280" s="7" t="str">
        <f t="shared" si="6"/>
        <v/>
      </c>
      <c r="O1280" s="7" t="str">
        <f t="shared" si="7"/>
        <v/>
      </c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>
      <c r="A1281" s="5">
        <f>IFERROR(__xludf.DUMMYFUNCTION("""COMPUTED_VALUE"""),45740.0)</f>
        <v>45740</v>
      </c>
      <c r="B1281" s="6">
        <f>IFERROR(__xludf.DUMMYFUNCTION("""COMPUTED_VALUE"""),838.75)</f>
        <v>838.75</v>
      </c>
      <c r="C1281" s="6">
        <f>IFERROR(__xludf.DUMMYFUNCTION("""COMPUTED_VALUE"""),844.7)</f>
        <v>844.7</v>
      </c>
      <c r="D1281" s="6">
        <f>IFERROR(__xludf.DUMMYFUNCTION("""COMPUTED_VALUE"""),817.55)</f>
        <v>817.55</v>
      </c>
      <c r="E1281" s="6">
        <f>IFERROR(__xludf.DUMMYFUNCTION("""COMPUTED_VALUE"""),820.25)</f>
        <v>820.25</v>
      </c>
      <c r="F1281" s="7">
        <f>IFERROR(__xludf.DUMMYFUNCTION("""COMPUTED_VALUE"""),1808999.0)</f>
        <v>1808999</v>
      </c>
      <c r="G1281" s="7" t="str">
        <f>IFERROR(__xludf.DUMMYFUNCTION("""COMPUTED_VALUE"""),"ADANIENSOL.NS")</f>
        <v>ADANIENSOL.NS</v>
      </c>
      <c r="H1281" s="8">
        <f t="shared" si="1"/>
        <v>-0.02205663189</v>
      </c>
      <c r="I1281" s="8">
        <f t="shared" si="2"/>
        <v>0.02205663189</v>
      </c>
      <c r="J1281" s="7" t="str">
        <f t="shared" si="3"/>
        <v>Mar-2025</v>
      </c>
      <c r="K1281" s="9">
        <f t="shared" si="4"/>
        <v>45717</v>
      </c>
      <c r="L1281" s="7" t="str">
        <f t="shared" si="5"/>
        <v/>
      </c>
      <c r="M1281" s="7" t="str">
        <f>IFERROR(__xludf.DUMMYFUNCTION("IFERROR(
  IF(
    F1281 &gt;
    3*AVERAGE(
       FILTER($F$2:$F10491,
         $G$2:$G10491=G1281,
         $A$2:$A10491&gt;=A1281-20,
         $A$2:$A10491&lt;=A1281
       )
    ),
    ""VOL_SPIKE_3X"",""""
  ),
"""")
"),"")</f>
        <v/>
      </c>
      <c r="N1281" s="7" t="str">
        <f t="shared" si="6"/>
        <v/>
      </c>
      <c r="O1281" s="7" t="str">
        <f t="shared" si="7"/>
        <v/>
      </c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>
      <c r="A1282" s="5">
        <f>IFERROR(__xludf.DUMMYFUNCTION("""COMPUTED_VALUE"""),45740.0)</f>
        <v>45740</v>
      </c>
      <c r="B1282" s="6">
        <f>IFERROR(__xludf.DUMMYFUNCTION("""COMPUTED_VALUE"""),972.0)</f>
        <v>972</v>
      </c>
      <c r="C1282" s="6">
        <f>IFERROR(__xludf.DUMMYFUNCTION("""COMPUTED_VALUE"""),981.0)</f>
        <v>981</v>
      </c>
      <c r="D1282" s="6">
        <f>IFERROR(__xludf.DUMMYFUNCTION("""COMPUTED_VALUE"""),949.05)</f>
        <v>949.05</v>
      </c>
      <c r="E1282" s="6">
        <f>IFERROR(__xludf.DUMMYFUNCTION("""COMPUTED_VALUE"""),952.9)</f>
        <v>952.9</v>
      </c>
      <c r="F1282" s="7">
        <f>IFERROR(__xludf.DUMMYFUNCTION("""COMPUTED_VALUE"""),3632791.0)</f>
        <v>3632791</v>
      </c>
      <c r="G1282" s="7" t="str">
        <f>IFERROR(__xludf.DUMMYFUNCTION("""COMPUTED_VALUE"""),"ADANIGREEN.NS")</f>
        <v>ADANIGREEN.NS</v>
      </c>
      <c r="H1282" s="8">
        <f t="shared" si="1"/>
        <v>-0.01965020576</v>
      </c>
      <c r="I1282" s="8">
        <f t="shared" si="2"/>
        <v>0.01965020576</v>
      </c>
      <c r="J1282" s="7" t="str">
        <f t="shared" si="3"/>
        <v>Mar-2025</v>
      </c>
      <c r="K1282" s="9">
        <f t="shared" si="4"/>
        <v>45717</v>
      </c>
      <c r="L1282" s="7" t="str">
        <f t="shared" si="5"/>
        <v/>
      </c>
      <c r="M1282" s="7" t="str">
        <f>IFERROR(__xludf.DUMMYFUNCTION("IFERROR(
  IF(
    F1282 &gt;
    3*AVERAGE(
       FILTER($F$2:$F10491,
         $G$2:$G10491=G1282,
         $A$2:$A10491&gt;=A1282-20,
         $A$2:$A10491&lt;=A1282
       )
    ),
    ""VOL_SPIKE_3X"",""""
  ),
"""")
"),"")</f>
        <v/>
      </c>
      <c r="N1282" s="7" t="str">
        <f t="shared" si="6"/>
        <v/>
      </c>
      <c r="O1282" s="7" t="str">
        <f t="shared" si="7"/>
        <v/>
      </c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>
      <c r="A1283" s="5">
        <f>IFERROR(__xludf.DUMMYFUNCTION("""COMPUTED_VALUE"""),45740.0)</f>
        <v>45740</v>
      </c>
      <c r="B1283" s="6">
        <f>IFERROR(__xludf.DUMMYFUNCTION("""COMPUTED_VALUE"""),282.0)</f>
        <v>282</v>
      </c>
      <c r="C1283" s="6">
        <f>IFERROR(__xludf.DUMMYFUNCTION("""COMPUTED_VALUE"""),285.3)</f>
        <v>285.3</v>
      </c>
      <c r="D1283" s="6">
        <f>IFERROR(__xludf.DUMMYFUNCTION("""COMPUTED_VALUE"""),280.0)</f>
        <v>280</v>
      </c>
      <c r="E1283" s="6">
        <f>IFERROR(__xludf.DUMMYFUNCTION("""COMPUTED_VALUE"""),280.44)</f>
        <v>280.44</v>
      </c>
      <c r="F1283" s="7">
        <f>IFERROR(__xludf.DUMMYFUNCTION("""COMPUTED_VALUE"""),1.1376607E7)</f>
        <v>11376607</v>
      </c>
      <c r="G1283" s="7" t="str">
        <f>IFERROR(__xludf.DUMMYFUNCTION("""COMPUTED_VALUE"""),"BPCL.NS")</f>
        <v>BPCL.NS</v>
      </c>
      <c r="H1283" s="8">
        <f t="shared" si="1"/>
        <v>-0.005531914894</v>
      </c>
      <c r="I1283" s="8">
        <f t="shared" si="2"/>
        <v>0.005531914894</v>
      </c>
      <c r="J1283" s="7" t="str">
        <f t="shared" si="3"/>
        <v>Mar-2025</v>
      </c>
      <c r="K1283" s="9">
        <f t="shared" si="4"/>
        <v>45717</v>
      </c>
      <c r="L1283" s="7" t="str">
        <f t="shared" si="5"/>
        <v/>
      </c>
      <c r="M1283" s="7" t="str">
        <f>IFERROR(__xludf.DUMMYFUNCTION("IFERROR(
  IF(
    F1283 &gt;
    3*AVERAGE(
       FILTER($F$2:$F10491,
         $G$2:$G10491=G1283,
         $A$2:$A10491&gt;=A1283-20,
         $A$2:$A10491&lt;=A1283
       )
    ),
    ""VOL_SPIKE_3X"",""""
  ),
"""")
"),"")</f>
        <v/>
      </c>
      <c r="N1283" s="7" t="str">
        <f t="shared" si="6"/>
        <v/>
      </c>
      <c r="O1283" s="7" t="str">
        <f t="shared" si="7"/>
        <v/>
      </c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>
      <c r="A1284" s="5">
        <f>IFERROR(__xludf.DUMMYFUNCTION("""COMPUTED_VALUE"""),45740.0)</f>
        <v>45740</v>
      </c>
      <c r="B1284" s="6">
        <f>IFERROR(__xludf.DUMMYFUNCTION("""COMPUTED_VALUE"""),407.95)</f>
        <v>407.95</v>
      </c>
      <c r="C1284" s="6">
        <f>IFERROR(__xludf.DUMMYFUNCTION("""COMPUTED_VALUE"""),411.8)</f>
        <v>411.8</v>
      </c>
      <c r="D1284" s="6">
        <f>IFERROR(__xludf.DUMMYFUNCTION("""COMPUTED_VALUE"""),405.05)</f>
        <v>405.05</v>
      </c>
      <c r="E1284" s="6">
        <f>IFERROR(__xludf.DUMMYFUNCTION("""COMPUTED_VALUE"""),406.0)</f>
        <v>406</v>
      </c>
      <c r="F1284" s="7">
        <f>IFERROR(__xludf.DUMMYFUNCTION("""COMPUTED_VALUE"""),5260300.0)</f>
        <v>5260300</v>
      </c>
      <c r="G1284" s="7" t="str">
        <f>IFERROR(__xludf.DUMMYFUNCTION("""COMPUTED_VALUE"""),"COALINDIA.NS")</f>
        <v>COALINDIA.NS</v>
      </c>
      <c r="H1284" s="8">
        <f t="shared" si="1"/>
        <v>-0.004779997549</v>
      </c>
      <c r="I1284" s="8">
        <f t="shared" si="2"/>
        <v>0.004779997549</v>
      </c>
      <c r="J1284" s="7" t="str">
        <f t="shared" si="3"/>
        <v>Mar-2025</v>
      </c>
      <c r="K1284" s="9">
        <f t="shared" si="4"/>
        <v>45717</v>
      </c>
      <c r="L1284" s="7" t="str">
        <f t="shared" si="5"/>
        <v/>
      </c>
      <c r="M1284" s="7" t="str">
        <f>IFERROR(__xludf.DUMMYFUNCTION("IFERROR(
  IF(
    F1284 &gt;
    3*AVERAGE(
       FILTER($F$2:$F10491,
         $G$2:$G10491=G1284,
         $A$2:$A10491&gt;=A1284-20,
         $A$2:$A10491&lt;=A1284
       )
    ),
    ""VOL_SPIKE_3X"",""""
  ),
"""")
"),"")</f>
        <v/>
      </c>
      <c r="N1284" s="7" t="str">
        <f t="shared" si="6"/>
        <v/>
      </c>
      <c r="O1284" s="7" t="str">
        <f t="shared" si="7"/>
        <v/>
      </c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>
      <c r="A1285" s="5">
        <f>IFERROR(__xludf.DUMMYFUNCTION("""COMPUTED_VALUE"""),45740.0)</f>
        <v>45740</v>
      </c>
      <c r="B1285" s="6">
        <f>IFERROR(__xludf.DUMMYFUNCTION("""COMPUTED_VALUE"""),371.0)</f>
        <v>371</v>
      </c>
      <c r="C1285" s="6">
        <f>IFERROR(__xludf.DUMMYFUNCTION("""COMPUTED_VALUE"""),372.0)</f>
        <v>372</v>
      </c>
      <c r="D1285" s="6">
        <f>IFERROR(__xludf.DUMMYFUNCTION("""COMPUTED_VALUE"""),354.3)</f>
        <v>354.3</v>
      </c>
      <c r="E1285" s="6">
        <f>IFERROR(__xludf.DUMMYFUNCTION("""COMPUTED_VALUE"""),361.9)</f>
        <v>361.9</v>
      </c>
      <c r="F1285" s="7">
        <f>IFERROR(__xludf.DUMMYFUNCTION("""COMPUTED_VALUE"""),9399628.0)</f>
        <v>9399628</v>
      </c>
      <c r="G1285" s="7" t="str">
        <f>IFERROR(__xludf.DUMMYFUNCTION("""COMPUTED_VALUE"""),"HINDPETRO.NS")</f>
        <v>HINDPETRO.NS</v>
      </c>
      <c r="H1285" s="8">
        <f t="shared" si="1"/>
        <v>-0.02452830189</v>
      </c>
      <c r="I1285" s="8">
        <f t="shared" si="2"/>
        <v>0.02452830189</v>
      </c>
      <c r="J1285" s="7" t="str">
        <f t="shared" si="3"/>
        <v>Mar-2025</v>
      </c>
      <c r="K1285" s="9">
        <f t="shared" si="4"/>
        <v>45717</v>
      </c>
      <c r="L1285" s="7" t="str">
        <f t="shared" si="5"/>
        <v/>
      </c>
      <c r="M1285" s="7" t="str">
        <f>IFERROR(__xludf.DUMMYFUNCTION("IFERROR(
  IF(
    F1285 &gt;
    3*AVERAGE(
       FILTER($F$2:$F10491,
         $G$2:$G10491=G1285,
         $A$2:$A10491&gt;=A1285-20,
         $A$2:$A10491&lt;=A1285
       )
    ),
    ""VOL_SPIKE_3X"",""""
  ),
"""")
"),"")</f>
        <v/>
      </c>
      <c r="N1285" s="7" t="str">
        <f t="shared" si="6"/>
        <v/>
      </c>
      <c r="O1285" s="7" t="str">
        <f t="shared" si="7"/>
        <v/>
      </c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>
      <c r="A1286" s="5">
        <f>IFERROR(__xludf.DUMMYFUNCTION("""COMPUTED_VALUE"""),45740.0)</f>
        <v>45740</v>
      </c>
      <c r="B1286" s="6">
        <f>IFERROR(__xludf.DUMMYFUNCTION("""COMPUTED_VALUE"""),133.0)</f>
        <v>133</v>
      </c>
      <c r="C1286" s="6">
        <f>IFERROR(__xludf.DUMMYFUNCTION("""COMPUTED_VALUE"""),134.33)</f>
        <v>134.33</v>
      </c>
      <c r="D1286" s="6">
        <f>IFERROR(__xludf.DUMMYFUNCTION("""COMPUTED_VALUE"""),131.37)</f>
        <v>131.37</v>
      </c>
      <c r="E1286" s="6">
        <f>IFERROR(__xludf.DUMMYFUNCTION("""COMPUTED_VALUE"""),133.67)</f>
        <v>133.67</v>
      </c>
      <c r="F1286" s="7">
        <f>IFERROR(__xludf.DUMMYFUNCTION("""COMPUTED_VALUE"""),1.3965745E7)</f>
        <v>13965745</v>
      </c>
      <c r="G1286" s="7" t="str">
        <f>IFERROR(__xludf.DUMMYFUNCTION("""COMPUTED_VALUE"""),"IOC.NS")</f>
        <v>IOC.NS</v>
      </c>
      <c r="H1286" s="8">
        <f t="shared" si="1"/>
        <v>0.005037593985</v>
      </c>
      <c r="I1286" s="8">
        <f t="shared" si="2"/>
        <v>0.005037593985</v>
      </c>
      <c r="J1286" s="7" t="str">
        <f t="shared" si="3"/>
        <v>Mar-2025</v>
      </c>
      <c r="K1286" s="9">
        <f t="shared" si="4"/>
        <v>45717</v>
      </c>
      <c r="L1286" s="7" t="str">
        <f t="shared" si="5"/>
        <v/>
      </c>
      <c r="M1286" s="7" t="str">
        <f>IFERROR(__xludf.DUMMYFUNCTION("IFERROR(
  IF(
    F1286 &gt;
    3*AVERAGE(
       FILTER($F$2:$F10491,
         $G$2:$G10491=G1286,
         $A$2:$A10491&gt;=A1286-20,
         $A$2:$A10491&lt;=A1286
       )
    ),
    ""VOL_SPIKE_3X"",""""
  ),
"""")
"),"")</f>
        <v/>
      </c>
      <c r="N1286" s="7" t="str">
        <f t="shared" si="6"/>
        <v/>
      </c>
      <c r="O1286" s="7" t="str">
        <f t="shared" si="7"/>
        <v/>
      </c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>
      <c r="A1287" s="5">
        <f>IFERROR(__xludf.DUMMYFUNCTION("""COMPUTED_VALUE"""),45740.0)</f>
        <v>45740</v>
      </c>
      <c r="B1287" s="6">
        <f>IFERROR(__xludf.DUMMYFUNCTION("""COMPUTED_VALUE"""),357.0)</f>
        <v>357</v>
      </c>
      <c r="C1287" s="6">
        <f>IFERROR(__xludf.DUMMYFUNCTION("""COMPUTED_VALUE"""),368.0)</f>
        <v>368</v>
      </c>
      <c r="D1287" s="6">
        <f>IFERROR(__xludf.DUMMYFUNCTION("""COMPUTED_VALUE"""),353.65)</f>
        <v>353.65</v>
      </c>
      <c r="E1287" s="6">
        <f>IFERROR(__xludf.DUMMYFUNCTION("""COMPUTED_VALUE"""),366.95)</f>
        <v>366.95</v>
      </c>
      <c r="F1287" s="7">
        <f>IFERROR(__xludf.DUMMYFUNCTION("""COMPUTED_VALUE"""),2.4588471E7)</f>
        <v>24588471</v>
      </c>
      <c r="G1287" s="7" t="str">
        <f>IFERROR(__xludf.DUMMYFUNCTION("""COMPUTED_VALUE"""),"NTPC.NS")</f>
        <v>NTPC.NS</v>
      </c>
      <c r="H1287" s="8">
        <f t="shared" si="1"/>
        <v>0.02787114846</v>
      </c>
      <c r="I1287" s="8">
        <f t="shared" si="2"/>
        <v>0.02787114846</v>
      </c>
      <c r="J1287" s="7" t="str">
        <f t="shared" si="3"/>
        <v>Mar-2025</v>
      </c>
      <c r="K1287" s="9">
        <f t="shared" si="4"/>
        <v>45717</v>
      </c>
      <c r="L1287" s="7" t="str">
        <f t="shared" si="5"/>
        <v/>
      </c>
      <c r="M1287" s="7" t="str">
        <f>IFERROR(__xludf.DUMMYFUNCTION("IFERROR(
  IF(
    F1287 &gt;
    3*AVERAGE(
       FILTER($F$2:$F10491,
         $G$2:$G10491=G1287,
         $A$2:$A10491&gt;=A1287-20,
         $A$2:$A10491&lt;=A1287
       )
    ),
    ""VOL_SPIKE_3X"",""""
  ),
"""")
"),"")</f>
        <v/>
      </c>
      <c r="N1287" s="7" t="str">
        <f t="shared" si="6"/>
        <v/>
      </c>
      <c r="O1287" s="7" t="str">
        <f t="shared" si="7"/>
        <v/>
      </c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>
      <c r="A1288" s="5">
        <f>IFERROR(__xludf.DUMMYFUNCTION("""COMPUTED_VALUE"""),45740.0)</f>
        <v>45740</v>
      </c>
      <c r="B1288" s="6">
        <f>IFERROR(__xludf.DUMMYFUNCTION("""COMPUTED_VALUE"""),244.19)</f>
        <v>244.19</v>
      </c>
      <c r="C1288" s="6">
        <f>IFERROR(__xludf.DUMMYFUNCTION("""COMPUTED_VALUE"""),246.4)</f>
        <v>246.4</v>
      </c>
      <c r="D1288" s="6">
        <f>IFERROR(__xludf.DUMMYFUNCTION("""COMPUTED_VALUE"""),242.75)</f>
        <v>242.75</v>
      </c>
      <c r="E1288" s="6">
        <f>IFERROR(__xludf.DUMMYFUNCTION("""COMPUTED_VALUE"""),243.83)</f>
        <v>243.83</v>
      </c>
      <c r="F1288" s="7">
        <f>IFERROR(__xludf.DUMMYFUNCTION("""COMPUTED_VALUE"""),1.0566066E7)</f>
        <v>10566066</v>
      </c>
      <c r="G1288" s="7" t="str">
        <f>IFERROR(__xludf.DUMMYFUNCTION("""COMPUTED_VALUE"""),"ONGC.NS")</f>
        <v>ONGC.NS</v>
      </c>
      <c r="H1288" s="8">
        <f t="shared" si="1"/>
        <v>-0.001474261845</v>
      </c>
      <c r="I1288" s="8">
        <f t="shared" si="2"/>
        <v>0.001474261845</v>
      </c>
      <c r="J1288" s="7" t="str">
        <f t="shared" si="3"/>
        <v>Mar-2025</v>
      </c>
      <c r="K1288" s="9">
        <f t="shared" si="4"/>
        <v>45717</v>
      </c>
      <c r="L1288" s="7" t="str">
        <f t="shared" si="5"/>
        <v/>
      </c>
      <c r="M1288" s="7" t="str">
        <f>IFERROR(__xludf.DUMMYFUNCTION("IFERROR(
  IF(
    F1288 &gt;
    3*AVERAGE(
       FILTER($F$2:$F10491,
         $G$2:$G10491=G1288,
         $A$2:$A10491&gt;=A1288-20,
         $A$2:$A10491&lt;=A1288
       )
    ),
    ""VOL_SPIKE_3X"",""""
  ),
"""")
"),"")</f>
        <v/>
      </c>
      <c r="N1288" s="7" t="str">
        <f t="shared" si="6"/>
        <v/>
      </c>
      <c r="O1288" s="7" t="str">
        <f t="shared" si="7"/>
        <v/>
      </c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>
      <c r="A1289" s="5">
        <f>IFERROR(__xludf.DUMMYFUNCTION("""COMPUTED_VALUE"""),45740.0)</f>
        <v>45740</v>
      </c>
      <c r="B1289" s="6">
        <f>IFERROR(__xludf.DUMMYFUNCTION("""COMPUTED_VALUE"""),285.0)</f>
        <v>285</v>
      </c>
      <c r="C1289" s="6">
        <f>IFERROR(__xludf.DUMMYFUNCTION("""COMPUTED_VALUE"""),293.95)</f>
        <v>293.95</v>
      </c>
      <c r="D1289" s="6">
        <f>IFERROR(__xludf.DUMMYFUNCTION("""COMPUTED_VALUE"""),284.45)</f>
        <v>284.45</v>
      </c>
      <c r="E1289" s="6">
        <f>IFERROR(__xludf.DUMMYFUNCTION("""COMPUTED_VALUE"""),291.85)</f>
        <v>291.85</v>
      </c>
      <c r="F1289" s="7">
        <f>IFERROR(__xludf.DUMMYFUNCTION("""COMPUTED_VALUE"""),1.9966817E7)</f>
        <v>19966817</v>
      </c>
      <c r="G1289" s="7" t="str">
        <f>IFERROR(__xludf.DUMMYFUNCTION("""COMPUTED_VALUE"""),"POWERGRID.NS")</f>
        <v>POWERGRID.NS</v>
      </c>
      <c r="H1289" s="8">
        <f t="shared" si="1"/>
        <v>0.02403508772</v>
      </c>
      <c r="I1289" s="8">
        <f t="shared" si="2"/>
        <v>0.02403508772</v>
      </c>
      <c r="J1289" s="7" t="str">
        <f t="shared" si="3"/>
        <v>Mar-2025</v>
      </c>
      <c r="K1289" s="9">
        <f t="shared" si="4"/>
        <v>45717</v>
      </c>
      <c r="L1289" s="7" t="str">
        <f t="shared" si="5"/>
        <v/>
      </c>
      <c r="M1289" s="7" t="str">
        <f>IFERROR(__xludf.DUMMYFUNCTION("IFERROR(
  IF(
    F1289 &gt;
    3*AVERAGE(
       FILTER($F$2:$F10491,
         $G$2:$G10491=G1289,
         $A$2:$A10491&gt;=A1289-20,
         $A$2:$A10491&lt;=A1289
       )
    ),
    ""VOL_SPIKE_3X"",""""
  ),
"""")
"),"")</f>
        <v/>
      </c>
      <c r="N1289" s="7" t="str">
        <f t="shared" si="6"/>
        <v/>
      </c>
      <c r="O1289" s="7" t="str">
        <f t="shared" si="7"/>
        <v/>
      </c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>
      <c r="A1290" s="5">
        <f>IFERROR(__xludf.DUMMYFUNCTION("""COMPUTED_VALUE"""),45740.0)</f>
        <v>45740</v>
      </c>
      <c r="B1290" s="6">
        <f>IFERROR(__xludf.DUMMYFUNCTION("""COMPUTED_VALUE"""),1291.0)</f>
        <v>1291</v>
      </c>
      <c r="C1290" s="6">
        <f>IFERROR(__xludf.DUMMYFUNCTION("""COMPUTED_VALUE"""),1306.0)</f>
        <v>1306</v>
      </c>
      <c r="D1290" s="6">
        <f>IFERROR(__xludf.DUMMYFUNCTION("""COMPUTED_VALUE"""),1284.25)</f>
        <v>1284.25</v>
      </c>
      <c r="E1290" s="6">
        <f>IFERROR(__xludf.DUMMYFUNCTION("""COMPUTED_VALUE"""),1302.1)</f>
        <v>1302.1</v>
      </c>
      <c r="F1290" s="7">
        <f>IFERROR(__xludf.DUMMYFUNCTION("""COMPUTED_VALUE"""),2.0299319E7)</f>
        <v>20299319</v>
      </c>
      <c r="G1290" s="7" t="str">
        <f>IFERROR(__xludf.DUMMYFUNCTION("""COMPUTED_VALUE"""),"RELIANCE.NS")</f>
        <v>RELIANCE.NS</v>
      </c>
      <c r="H1290" s="8">
        <f t="shared" si="1"/>
        <v>0.008597986057</v>
      </c>
      <c r="I1290" s="8">
        <f t="shared" si="2"/>
        <v>0.008597986057</v>
      </c>
      <c r="J1290" s="7" t="str">
        <f t="shared" si="3"/>
        <v>Mar-2025</v>
      </c>
      <c r="K1290" s="9">
        <f t="shared" si="4"/>
        <v>45717</v>
      </c>
      <c r="L1290" s="7" t="str">
        <f t="shared" si="5"/>
        <v/>
      </c>
      <c r="M1290" s="7" t="str">
        <f>IFERROR(__xludf.DUMMYFUNCTION("IFERROR(
  IF(
    F1290 &gt;
    3*AVERAGE(
       FILTER($F$2:$F10491,
         $G$2:$G10491=G1290,
         $A$2:$A10491&gt;=A1290-20,
         $A$2:$A10491&lt;=A1290
       )
    ),
    ""VOL_SPIKE_3X"",""""
  ),
"""")
"),"")</f>
        <v/>
      </c>
      <c r="N1290" s="7" t="str">
        <f t="shared" si="6"/>
        <v/>
      </c>
      <c r="O1290" s="7" t="str">
        <f t="shared" si="7"/>
        <v/>
      </c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>
      <c r="A1291" s="5">
        <f>IFERROR(__xludf.DUMMYFUNCTION("""COMPUTED_VALUE"""),45741.0)</f>
        <v>45741</v>
      </c>
      <c r="B1291" s="6">
        <f>IFERROR(__xludf.DUMMYFUNCTION("""COMPUTED_VALUE"""),822.0)</f>
        <v>822</v>
      </c>
      <c r="C1291" s="6">
        <f>IFERROR(__xludf.DUMMYFUNCTION("""COMPUTED_VALUE"""),838.9)</f>
        <v>838.9</v>
      </c>
      <c r="D1291" s="6">
        <f>IFERROR(__xludf.DUMMYFUNCTION("""COMPUTED_VALUE"""),812.35)</f>
        <v>812.35</v>
      </c>
      <c r="E1291" s="6">
        <f>IFERROR(__xludf.DUMMYFUNCTION("""COMPUTED_VALUE"""),816.55)</f>
        <v>816.55</v>
      </c>
      <c r="F1291" s="7">
        <f>IFERROR(__xludf.DUMMYFUNCTION("""COMPUTED_VALUE"""),2713855.0)</f>
        <v>2713855</v>
      </c>
      <c r="G1291" s="7" t="str">
        <f>IFERROR(__xludf.DUMMYFUNCTION("""COMPUTED_VALUE"""),"ADANIENSOL.NS")</f>
        <v>ADANIENSOL.NS</v>
      </c>
      <c r="H1291" s="8">
        <f t="shared" si="1"/>
        <v>-0.006630170316</v>
      </c>
      <c r="I1291" s="8">
        <f t="shared" si="2"/>
        <v>0.006630170316</v>
      </c>
      <c r="J1291" s="7" t="str">
        <f t="shared" si="3"/>
        <v>Mar-2025</v>
      </c>
      <c r="K1291" s="9">
        <f t="shared" si="4"/>
        <v>45717</v>
      </c>
      <c r="L1291" s="7" t="str">
        <f t="shared" si="5"/>
        <v/>
      </c>
      <c r="M1291" s="7" t="str">
        <f>IFERROR(__xludf.DUMMYFUNCTION("IFERROR(
  IF(
    F1291 &gt;
    3*AVERAGE(
       FILTER($F$2:$F10491,
         $G$2:$G10491=G1291,
         $A$2:$A10491&gt;=A1291-20,
         $A$2:$A10491&lt;=A1291
       )
    ),
    ""VOL_SPIKE_3X"",""""
  ),
"""")
"),"")</f>
        <v/>
      </c>
      <c r="N1291" s="7" t="str">
        <f t="shared" si="6"/>
        <v/>
      </c>
      <c r="O1291" s="7" t="str">
        <f t="shared" si="7"/>
        <v/>
      </c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>
      <c r="A1292" s="5">
        <f>IFERROR(__xludf.DUMMYFUNCTION("""COMPUTED_VALUE"""),45741.0)</f>
        <v>45741</v>
      </c>
      <c r="B1292" s="6">
        <f>IFERROR(__xludf.DUMMYFUNCTION("""COMPUTED_VALUE"""),959.0)</f>
        <v>959</v>
      </c>
      <c r="C1292" s="6">
        <f>IFERROR(__xludf.DUMMYFUNCTION("""COMPUTED_VALUE"""),966.0)</f>
        <v>966</v>
      </c>
      <c r="D1292" s="6">
        <f>IFERROR(__xludf.DUMMYFUNCTION("""COMPUTED_VALUE"""),916.0)</f>
        <v>916</v>
      </c>
      <c r="E1292" s="6">
        <f>IFERROR(__xludf.DUMMYFUNCTION("""COMPUTED_VALUE"""),923.4)</f>
        <v>923.4</v>
      </c>
      <c r="F1292" s="7">
        <f>IFERROR(__xludf.DUMMYFUNCTION("""COMPUTED_VALUE"""),3504686.0)</f>
        <v>3504686</v>
      </c>
      <c r="G1292" s="7" t="str">
        <f>IFERROR(__xludf.DUMMYFUNCTION("""COMPUTED_VALUE"""),"ADANIGREEN.NS")</f>
        <v>ADANIGREEN.NS</v>
      </c>
      <c r="H1292" s="8">
        <f t="shared" si="1"/>
        <v>-0.03712200209</v>
      </c>
      <c r="I1292" s="8">
        <f t="shared" si="2"/>
        <v>0.03712200209</v>
      </c>
      <c r="J1292" s="7" t="str">
        <f t="shared" si="3"/>
        <v>Mar-2025</v>
      </c>
      <c r="K1292" s="9">
        <f t="shared" si="4"/>
        <v>45717</v>
      </c>
      <c r="L1292" s="7" t="str">
        <f t="shared" si="5"/>
        <v/>
      </c>
      <c r="M1292" s="7" t="str">
        <f>IFERROR(__xludf.DUMMYFUNCTION("IFERROR(
  IF(
    F1292 &gt;
    3*AVERAGE(
       FILTER($F$2:$F10491,
         $G$2:$G10491=G1292,
         $A$2:$A10491&gt;=A1292-20,
         $A$2:$A10491&lt;=A1292
       )
    ),
    ""VOL_SPIKE_3X"",""""
  ),
"""")
"),"")</f>
        <v/>
      </c>
      <c r="N1292" s="7" t="str">
        <f t="shared" si="6"/>
        <v/>
      </c>
      <c r="O1292" s="7" t="str">
        <f t="shared" si="7"/>
        <v/>
      </c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>
      <c r="A1293" s="5">
        <f>IFERROR(__xludf.DUMMYFUNCTION("""COMPUTED_VALUE"""),45741.0)</f>
        <v>45741</v>
      </c>
      <c r="B1293" s="6">
        <f>IFERROR(__xludf.DUMMYFUNCTION("""COMPUTED_VALUE"""),280.57)</f>
        <v>280.57</v>
      </c>
      <c r="C1293" s="6">
        <f>IFERROR(__xludf.DUMMYFUNCTION("""COMPUTED_VALUE"""),283.96)</f>
        <v>283.96</v>
      </c>
      <c r="D1293" s="6">
        <f>IFERROR(__xludf.DUMMYFUNCTION("""COMPUTED_VALUE"""),277.18)</f>
        <v>277.18</v>
      </c>
      <c r="E1293" s="6">
        <f>IFERROR(__xludf.DUMMYFUNCTION("""COMPUTED_VALUE"""),279.11)</f>
        <v>279.11</v>
      </c>
      <c r="F1293" s="7">
        <f>IFERROR(__xludf.DUMMYFUNCTION("""COMPUTED_VALUE"""),1.2143699E7)</f>
        <v>12143699</v>
      </c>
      <c r="G1293" s="7" t="str">
        <f>IFERROR(__xludf.DUMMYFUNCTION("""COMPUTED_VALUE"""),"BPCL.NS")</f>
        <v>BPCL.NS</v>
      </c>
      <c r="H1293" s="8">
        <f t="shared" si="1"/>
        <v>-0.005203692483</v>
      </c>
      <c r="I1293" s="8">
        <f t="shared" si="2"/>
        <v>0.005203692483</v>
      </c>
      <c r="J1293" s="7" t="str">
        <f t="shared" si="3"/>
        <v>Mar-2025</v>
      </c>
      <c r="K1293" s="9">
        <f t="shared" si="4"/>
        <v>45717</v>
      </c>
      <c r="L1293" s="7" t="str">
        <f t="shared" si="5"/>
        <v/>
      </c>
      <c r="M1293" s="7" t="str">
        <f>IFERROR(__xludf.DUMMYFUNCTION("IFERROR(
  IF(
    F1293 &gt;
    3*AVERAGE(
       FILTER($F$2:$F10491,
         $G$2:$G10491=G1293,
         $A$2:$A10491&gt;=A1293-20,
         $A$2:$A10491&lt;=A1293
       )
    ),
    ""VOL_SPIKE_3X"",""""
  ),
"""")
"),"")</f>
        <v/>
      </c>
      <c r="N1293" s="7" t="str">
        <f t="shared" si="6"/>
        <v/>
      </c>
      <c r="O1293" s="7" t="str">
        <f t="shared" si="7"/>
        <v/>
      </c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>
      <c r="A1294" s="5">
        <f>IFERROR(__xludf.DUMMYFUNCTION("""COMPUTED_VALUE"""),45741.0)</f>
        <v>45741</v>
      </c>
      <c r="B1294" s="6">
        <f>IFERROR(__xludf.DUMMYFUNCTION("""COMPUTED_VALUE"""),408.0)</f>
        <v>408</v>
      </c>
      <c r="C1294" s="6">
        <f>IFERROR(__xludf.DUMMYFUNCTION("""COMPUTED_VALUE"""),408.25)</f>
        <v>408.25</v>
      </c>
      <c r="D1294" s="6">
        <f>IFERROR(__xludf.DUMMYFUNCTION("""COMPUTED_VALUE"""),397.1)</f>
        <v>397.1</v>
      </c>
      <c r="E1294" s="6">
        <f>IFERROR(__xludf.DUMMYFUNCTION("""COMPUTED_VALUE"""),398.3)</f>
        <v>398.3</v>
      </c>
      <c r="F1294" s="7">
        <f>IFERROR(__xludf.DUMMYFUNCTION("""COMPUTED_VALUE"""),5636291.0)</f>
        <v>5636291</v>
      </c>
      <c r="G1294" s="7" t="str">
        <f>IFERROR(__xludf.DUMMYFUNCTION("""COMPUTED_VALUE"""),"COALINDIA.NS")</f>
        <v>COALINDIA.NS</v>
      </c>
      <c r="H1294" s="8">
        <f t="shared" si="1"/>
        <v>-0.0237745098</v>
      </c>
      <c r="I1294" s="8">
        <f t="shared" si="2"/>
        <v>0.0237745098</v>
      </c>
      <c r="J1294" s="7" t="str">
        <f t="shared" si="3"/>
        <v>Mar-2025</v>
      </c>
      <c r="K1294" s="9">
        <f t="shared" si="4"/>
        <v>45717</v>
      </c>
      <c r="L1294" s="7" t="str">
        <f t="shared" si="5"/>
        <v/>
      </c>
      <c r="M1294" s="7" t="str">
        <f>IFERROR(__xludf.DUMMYFUNCTION("IFERROR(
  IF(
    F1294 &gt;
    3*AVERAGE(
       FILTER($F$2:$F10491,
         $G$2:$G10491=G1294,
         $A$2:$A10491&gt;=A1294-20,
         $A$2:$A10491&lt;=A1294
       )
    ),
    ""VOL_SPIKE_3X"",""""
  ),
"""")
"),"")</f>
        <v/>
      </c>
      <c r="N1294" s="7" t="str">
        <f t="shared" si="6"/>
        <v/>
      </c>
      <c r="O1294" s="7" t="str">
        <f t="shared" si="7"/>
        <v/>
      </c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>
      <c r="A1295" s="5">
        <f>IFERROR(__xludf.DUMMYFUNCTION("""COMPUTED_VALUE"""),45741.0)</f>
        <v>45741</v>
      </c>
      <c r="B1295" s="6">
        <f>IFERROR(__xludf.DUMMYFUNCTION("""COMPUTED_VALUE"""),359.05)</f>
        <v>359.05</v>
      </c>
      <c r="C1295" s="6">
        <f>IFERROR(__xludf.DUMMYFUNCTION("""COMPUTED_VALUE"""),365.0)</f>
        <v>365</v>
      </c>
      <c r="D1295" s="6">
        <f>IFERROR(__xludf.DUMMYFUNCTION("""COMPUTED_VALUE"""),352.7)</f>
        <v>352.7</v>
      </c>
      <c r="E1295" s="6">
        <f>IFERROR(__xludf.DUMMYFUNCTION("""COMPUTED_VALUE"""),361.45)</f>
        <v>361.45</v>
      </c>
      <c r="F1295" s="7">
        <f>IFERROR(__xludf.DUMMYFUNCTION("""COMPUTED_VALUE"""),6724910.0)</f>
        <v>6724910</v>
      </c>
      <c r="G1295" s="7" t="str">
        <f>IFERROR(__xludf.DUMMYFUNCTION("""COMPUTED_VALUE"""),"HINDPETRO.NS")</f>
        <v>HINDPETRO.NS</v>
      </c>
      <c r="H1295" s="8">
        <f t="shared" si="1"/>
        <v>0.006684305807</v>
      </c>
      <c r="I1295" s="8">
        <f t="shared" si="2"/>
        <v>0.006684305807</v>
      </c>
      <c r="J1295" s="7" t="str">
        <f t="shared" si="3"/>
        <v>Mar-2025</v>
      </c>
      <c r="K1295" s="9">
        <f t="shared" si="4"/>
        <v>45717</v>
      </c>
      <c r="L1295" s="7" t="str">
        <f t="shared" si="5"/>
        <v/>
      </c>
      <c r="M1295" s="7" t="str">
        <f>IFERROR(__xludf.DUMMYFUNCTION("IFERROR(
  IF(
    F1295 &gt;
    3*AVERAGE(
       FILTER($F$2:$F10491,
         $G$2:$G10491=G1295,
         $A$2:$A10491&gt;=A1295-20,
         $A$2:$A10491&lt;=A1295
       )
    ),
    ""VOL_SPIKE_3X"",""""
  ),
"""")
"),"")</f>
        <v/>
      </c>
      <c r="N1295" s="7" t="str">
        <f t="shared" si="6"/>
        <v/>
      </c>
      <c r="O1295" s="7" t="str">
        <f t="shared" si="7"/>
        <v/>
      </c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>
      <c r="A1296" s="5">
        <f>IFERROR(__xludf.DUMMYFUNCTION("""COMPUTED_VALUE"""),45741.0)</f>
        <v>45741</v>
      </c>
      <c r="B1296" s="6">
        <f>IFERROR(__xludf.DUMMYFUNCTION("""COMPUTED_VALUE"""),134.0)</f>
        <v>134</v>
      </c>
      <c r="C1296" s="6">
        <f>IFERROR(__xludf.DUMMYFUNCTION("""COMPUTED_VALUE"""),134.23)</f>
        <v>134.23</v>
      </c>
      <c r="D1296" s="6">
        <f>IFERROR(__xludf.DUMMYFUNCTION("""COMPUTED_VALUE"""),130.45)</f>
        <v>130.45</v>
      </c>
      <c r="E1296" s="6">
        <f>IFERROR(__xludf.DUMMYFUNCTION("""COMPUTED_VALUE"""),131.03)</f>
        <v>131.03</v>
      </c>
      <c r="F1296" s="7">
        <f>IFERROR(__xludf.DUMMYFUNCTION("""COMPUTED_VALUE"""),1.2380949E7)</f>
        <v>12380949</v>
      </c>
      <c r="G1296" s="7" t="str">
        <f>IFERROR(__xludf.DUMMYFUNCTION("""COMPUTED_VALUE"""),"IOC.NS")</f>
        <v>IOC.NS</v>
      </c>
      <c r="H1296" s="8">
        <f t="shared" si="1"/>
        <v>-0.0221641791</v>
      </c>
      <c r="I1296" s="8">
        <f t="shared" si="2"/>
        <v>0.0221641791</v>
      </c>
      <c r="J1296" s="7" t="str">
        <f t="shared" si="3"/>
        <v>Mar-2025</v>
      </c>
      <c r="K1296" s="9">
        <f t="shared" si="4"/>
        <v>45717</v>
      </c>
      <c r="L1296" s="7" t="str">
        <f t="shared" si="5"/>
        <v/>
      </c>
      <c r="M1296" s="7" t="str">
        <f>IFERROR(__xludf.DUMMYFUNCTION("IFERROR(
  IF(
    F1296 &gt;
    3*AVERAGE(
       FILTER($F$2:$F10491,
         $G$2:$G10491=G1296,
         $A$2:$A10491&gt;=A1296-20,
         $A$2:$A10491&lt;=A1296
       )
    ),
    ""VOL_SPIKE_3X"",""""
  ),
"""")
"),"")</f>
        <v/>
      </c>
      <c r="N1296" s="7" t="str">
        <f t="shared" si="6"/>
        <v/>
      </c>
      <c r="O1296" s="7" t="str">
        <f t="shared" si="7"/>
        <v/>
      </c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>
      <c r="A1297" s="5">
        <f>IFERROR(__xludf.DUMMYFUNCTION("""COMPUTED_VALUE"""),45741.0)</f>
        <v>45741</v>
      </c>
      <c r="B1297" s="6">
        <f>IFERROR(__xludf.DUMMYFUNCTION("""COMPUTED_VALUE"""),369.0)</f>
        <v>369</v>
      </c>
      <c r="C1297" s="6">
        <f>IFERROR(__xludf.DUMMYFUNCTION("""COMPUTED_VALUE"""),371.45)</f>
        <v>371.45</v>
      </c>
      <c r="D1297" s="6">
        <f>IFERROR(__xludf.DUMMYFUNCTION("""COMPUTED_VALUE"""),364.15)</f>
        <v>364.15</v>
      </c>
      <c r="E1297" s="6">
        <f>IFERROR(__xludf.DUMMYFUNCTION("""COMPUTED_VALUE"""),366.95)</f>
        <v>366.95</v>
      </c>
      <c r="F1297" s="7">
        <f>IFERROR(__xludf.DUMMYFUNCTION("""COMPUTED_VALUE"""),2.3189083E7)</f>
        <v>23189083</v>
      </c>
      <c r="G1297" s="7" t="str">
        <f>IFERROR(__xludf.DUMMYFUNCTION("""COMPUTED_VALUE"""),"NTPC.NS")</f>
        <v>NTPC.NS</v>
      </c>
      <c r="H1297" s="8">
        <f t="shared" si="1"/>
        <v>-0.005555555556</v>
      </c>
      <c r="I1297" s="8">
        <f t="shared" si="2"/>
        <v>0.005555555556</v>
      </c>
      <c r="J1297" s="7" t="str">
        <f t="shared" si="3"/>
        <v>Mar-2025</v>
      </c>
      <c r="K1297" s="9">
        <f t="shared" si="4"/>
        <v>45717</v>
      </c>
      <c r="L1297" s="7" t="str">
        <f t="shared" si="5"/>
        <v/>
      </c>
      <c r="M1297" s="7" t="str">
        <f>IFERROR(__xludf.DUMMYFUNCTION("IFERROR(
  IF(
    F1297 &gt;
    3*AVERAGE(
       FILTER($F$2:$F10491,
         $G$2:$G10491=G1297,
         $A$2:$A10491&gt;=A1297-20,
         $A$2:$A10491&lt;=A1297
       )
    ),
    ""VOL_SPIKE_3X"",""""
  ),
"""")
"),"")</f>
        <v/>
      </c>
      <c r="N1297" s="7" t="str">
        <f t="shared" si="6"/>
        <v/>
      </c>
      <c r="O1297" s="7" t="str">
        <f t="shared" si="7"/>
        <v/>
      </c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>
      <c r="A1298" s="5">
        <f>IFERROR(__xludf.DUMMYFUNCTION("""COMPUTED_VALUE"""),45741.0)</f>
        <v>45741</v>
      </c>
      <c r="B1298" s="6">
        <f>IFERROR(__xludf.DUMMYFUNCTION("""COMPUTED_VALUE"""),244.01)</f>
        <v>244.01</v>
      </c>
      <c r="C1298" s="6">
        <f>IFERROR(__xludf.DUMMYFUNCTION("""COMPUTED_VALUE"""),245.37)</f>
        <v>245.37</v>
      </c>
      <c r="D1298" s="6">
        <f>IFERROR(__xludf.DUMMYFUNCTION("""COMPUTED_VALUE"""),240.55)</f>
        <v>240.55</v>
      </c>
      <c r="E1298" s="6">
        <f>IFERROR(__xludf.DUMMYFUNCTION("""COMPUTED_VALUE"""),242.25)</f>
        <v>242.25</v>
      </c>
      <c r="F1298" s="7">
        <f>IFERROR(__xludf.DUMMYFUNCTION("""COMPUTED_VALUE"""),8915800.0)</f>
        <v>8915800</v>
      </c>
      <c r="G1298" s="7" t="str">
        <f>IFERROR(__xludf.DUMMYFUNCTION("""COMPUTED_VALUE"""),"ONGC.NS")</f>
        <v>ONGC.NS</v>
      </c>
      <c r="H1298" s="8">
        <f t="shared" si="1"/>
        <v>-0.007212819147</v>
      </c>
      <c r="I1298" s="8">
        <f t="shared" si="2"/>
        <v>0.007212819147</v>
      </c>
      <c r="J1298" s="7" t="str">
        <f t="shared" si="3"/>
        <v>Mar-2025</v>
      </c>
      <c r="K1298" s="9">
        <f t="shared" si="4"/>
        <v>45717</v>
      </c>
      <c r="L1298" s="7" t="str">
        <f t="shared" si="5"/>
        <v/>
      </c>
      <c r="M1298" s="7" t="str">
        <f>IFERROR(__xludf.DUMMYFUNCTION("IFERROR(
  IF(
    F1298 &gt;
    3*AVERAGE(
       FILTER($F$2:$F10491,
         $G$2:$G10491=G1298,
         $A$2:$A10491&gt;=A1298-20,
         $A$2:$A10491&lt;=A1298
       )
    ),
    ""VOL_SPIKE_3X"",""""
  ),
"""")
"),"")</f>
        <v/>
      </c>
      <c r="N1298" s="7" t="str">
        <f t="shared" si="6"/>
        <v/>
      </c>
      <c r="O1298" s="7" t="str">
        <f t="shared" si="7"/>
        <v/>
      </c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>
      <c r="A1299" s="5">
        <f>IFERROR(__xludf.DUMMYFUNCTION("""COMPUTED_VALUE"""),45741.0)</f>
        <v>45741</v>
      </c>
      <c r="B1299" s="6">
        <f>IFERROR(__xludf.DUMMYFUNCTION("""COMPUTED_VALUE"""),291.0)</f>
        <v>291</v>
      </c>
      <c r="C1299" s="6">
        <f>IFERROR(__xludf.DUMMYFUNCTION("""COMPUTED_VALUE"""),295.25)</f>
        <v>295.25</v>
      </c>
      <c r="D1299" s="6">
        <f>IFERROR(__xludf.DUMMYFUNCTION("""COMPUTED_VALUE"""),287.65)</f>
        <v>287.65</v>
      </c>
      <c r="E1299" s="6">
        <f>IFERROR(__xludf.DUMMYFUNCTION("""COMPUTED_VALUE"""),291.0)</f>
        <v>291</v>
      </c>
      <c r="F1299" s="7">
        <f>IFERROR(__xludf.DUMMYFUNCTION("""COMPUTED_VALUE"""),1.6983852E7)</f>
        <v>16983852</v>
      </c>
      <c r="G1299" s="7" t="str">
        <f>IFERROR(__xludf.DUMMYFUNCTION("""COMPUTED_VALUE"""),"POWERGRID.NS")</f>
        <v>POWERGRID.NS</v>
      </c>
      <c r="H1299" s="8">
        <f t="shared" si="1"/>
        <v>0</v>
      </c>
      <c r="I1299" s="8">
        <f t="shared" si="2"/>
        <v>0</v>
      </c>
      <c r="J1299" s="7" t="str">
        <f t="shared" si="3"/>
        <v>Mar-2025</v>
      </c>
      <c r="K1299" s="9">
        <f t="shared" si="4"/>
        <v>45717</v>
      </c>
      <c r="L1299" s="7" t="str">
        <f t="shared" si="5"/>
        <v/>
      </c>
      <c r="M1299" s="7" t="str">
        <f>IFERROR(__xludf.DUMMYFUNCTION("IFERROR(
  IF(
    F1299 &gt;
    3*AVERAGE(
       FILTER($F$2:$F10491,
         $G$2:$G10491=G1299,
         $A$2:$A10491&gt;=A1299-20,
         $A$2:$A10491&lt;=A1299
       )
    ),
    ""VOL_SPIKE_3X"",""""
  ),
"""")
"),"")</f>
        <v/>
      </c>
      <c r="N1299" s="7" t="str">
        <f t="shared" si="6"/>
        <v/>
      </c>
      <c r="O1299" s="7" t="str">
        <f t="shared" si="7"/>
        <v/>
      </c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>
      <c r="A1300" s="5">
        <f>IFERROR(__xludf.DUMMYFUNCTION("""COMPUTED_VALUE"""),45741.0)</f>
        <v>45741</v>
      </c>
      <c r="B1300" s="6">
        <f>IFERROR(__xludf.DUMMYFUNCTION("""COMPUTED_VALUE"""),1307.7)</f>
        <v>1307.7</v>
      </c>
      <c r="C1300" s="6">
        <f>IFERROR(__xludf.DUMMYFUNCTION("""COMPUTED_VALUE"""),1307.7)</f>
        <v>1307.7</v>
      </c>
      <c r="D1300" s="6">
        <f>IFERROR(__xludf.DUMMYFUNCTION("""COMPUTED_VALUE"""),1282.6)</f>
        <v>1282.6</v>
      </c>
      <c r="E1300" s="6">
        <f>IFERROR(__xludf.DUMMYFUNCTION("""COMPUTED_VALUE"""),1285.45)</f>
        <v>1285.45</v>
      </c>
      <c r="F1300" s="7">
        <f>IFERROR(__xludf.DUMMYFUNCTION("""COMPUTED_VALUE"""),1.3713899E7)</f>
        <v>13713899</v>
      </c>
      <c r="G1300" s="7" t="str">
        <f>IFERROR(__xludf.DUMMYFUNCTION("""COMPUTED_VALUE"""),"RELIANCE.NS")</f>
        <v>RELIANCE.NS</v>
      </c>
      <c r="H1300" s="8">
        <f t="shared" si="1"/>
        <v>-0.0170146058</v>
      </c>
      <c r="I1300" s="8">
        <f t="shared" si="2"/>
        <v>0.0170146058</v>
      </c>
      <c r="J1300" s="7" t="str">
        <f t="shared" si="3"/>
        <v>Mar-2025</v>
      </c>
      <c r="K1300" s="9">
        <f t="shared" si="4"/>
        <v>45717</v>
      </c>
      <c r="L1300" s="7" t="str">
        <f t="shared" si="5"/>
        <v/>
      </c>
      <c r="M1300" s="7" t="str">
        <f>IFERROR(__xludf.DUMMYFUNCTION("IFERROR(
  IF(
    F1300 &gt;
    3*AVERAGE(
       FILTER($F$2:$F10491,
         $G$2:$G10491=G1300,
         $A$2:$A10491&gt;=A1300-20,
         $A$2:$A10491&lt;=A1300
       )
    ),
    ""VOL_SPIKE_3X"",""""
  ),
"""")
"),"")</f>
        <v/>
      </c>
      <c r="N1300" s="7" t="str">
        <f t="shared" si="6"/>
        <v/>
      </c>
      <c r="O1300" s="7" t="str">
        <f t="shared" si="7"/>
        <v/>
      </c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>
      <c r="A1301" s="5">
        <f>IFERROR(__xludf.DUMMYFUNCTION("""COMPUTED_VALUE"""),45742.0)</f>
        <v>45742</v>
      </c>
      <c r="B1301" s="6">
        <f>IFERROR(__xludf.DUMMYFUNCTION("""COMPUTED_VALUE"""),817.05)</f>
        <v>817.05</v>
      </c>
      <c r="C1301" s="6">
        <f>IFERROR(__xludf.DUMMYFUNCTION("""COMPUTED_VALUE"""),832.6)</f>
        <v>832.6</v>
      </c>
      <c r="D1301" s="6">
        <f>IFERROR(__xludf.DUMMYFUNCTION("""COMPUTED_VALUE"""),800.5)</f>
        <v>800.5</v>
      </c>
      <c r="E1301" s="6">
        <f>IFERROR(__xludf.DUMMYFUNCTION("""COMPUTED_VALUE"""),803.0)</f>
        <v>803</v>
      </c>
      <c r="F1301" s="7">
        <f>IFERROR(__xludf.DUMMYFUNCTION("""COMPUTED_VALUE"""),2042407.0)</f>
        <v>2042407</v>
      </c>
      <c r="G1301" s="7" t="str">
        <f>IFERROR(__xludf.DUMMYFUNCTION("""COMPUTED_VALUE"""),"ADANIENSOL.NS")</f>
        <v>ADANIENSOL.NS</v>
      </c>
      <c r="H1301" s="8">
        <f t="shared" si="1"/>
        <v>-0.01719601004</v>
      </c>
      <c r="I1301" s="8">
        <f t="shared" si="2"/>
        <v>0.01719601004</v>
      </c>
      <c r="J1301" s="7" t="str">
        <f t="shared" si="3"/>
        <v>Mar-2025</v>
      </c>
      <c r="K1301" s="9">
        <f t="shared" si="4"/>
        <v>45717</v>
      </c>
      <c r="L1301" s="7" t="str">
        <f t="shared" si="5"/>
        <v/>
      </c>
      <c r="M1301" s="7" t="str">
        <f>IFERROR(__xludf.DUMMYFUNCTION("IFERROR(
  IF(
    F1301 &gt;
    3*AVERAGE(
       FILTER($F$2:$F10491,
         $G$2:$G10491=G1301,
         $A$2:$A10491&gt;=A1301-20,
         $A$2:$A10491&lt;=A1301
       )
    ),
    ""VOL_SPIKE_3X"",""""
  ),
"""")
"),"")</f>
        <v/>
      </c>
      <c r="N1301" s="7" t="str">
        <f t="shared" si="6"/>
        <v/>
      </c>
      <c r="O1301" s="7" t="str">
        <f t="shared" si="7"/>
        <v/>
      </c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5">
        <f>IFERROR(__xludf.DUMMYFUNCTION("""COMPUTED_VALUE"""),45742.0)</f>
        <v>45742</v>
      </c>
      <c r="B1302" s="6">
        <f>IFERROR(__xludf.DUMMYFUNCTION("""COMPUTED_VALUE"""),921.95)</f>
        <v>921.95</v>
      </c>
      <c r="C1302" s="6">
        <f>IFERROR(__xludf.DUMMYFUNCTION("""COMPUTED_VALUE"""),942.0)</f>
        <v>942</v>
      </c>
      <c r="D1302" s="6">
        <f>IFERROR(__xludf.DUMMYFUNCTION("""COMPUTED_VALUE"""),910.0)</f>
        <v>910</v>
      </c>
      <c r="E1302" s="6">
        <f>IFERROR(__xludf.DUMMYFUNCTION("""COMPUTED_VALUE"""),912.1)</f>
        <v>912.1</v>
      </c>
      <c r="F1302" s="7">
        <f>IFERROR(__xludf.DUMMYFUNCTION("""COMPUTED_VALUE"""),3194761.0)</f>
        <v>3194761</v>
      </c>
      <c r="G1302" s="7" t="str">
        <f>IFERROR(__xludf.DUMMYFUNCTION("""COMPUTED_VALUE"""),"ADANIGREEN.NS")</f>
        <v>ADANIGREEN.NS</v>
      </c>
      <c r="H1302" s="8">
        <f t="shared" si="1"/>
        <v>-0.01068387657</v>
      </c>
      <c r="I1302" s="8">
        <f t="shared" si="2"/>
        <v>0.01068387657</v>
      </c>
      <c r="J1302" s="7" t="str">
        <f t="shared" si="3"/>
        <v>Mar-2025</v>
      </c>
      <c r="K1302" s="9">
        <f t="shared" si="4"/>
        <v>45717</v>
      </c>
      <c r="L1302" s="7" t="str">
        <f t="shared" si="5"/>
        <v/>
      </c>
      <c r="M1302" s="7" t="str">
        <f>IFERROR(__xludf.DUMMYFUNCTION("IFERROR(
  IF(
    F1302 &gt;
    3*AVERAGE(
       FILTER($F$2:$F10491,
         $G$2:$G10491=G1302,
         $A$2:$A10491&gt;=A1302-20,
         $A$2:$A10491&lt;=A1302
       )
    ),
    ""VOL_SPIKE_3X"",""""
  ),
"""")
"),"")</f>
        <v/>
      </c>
      <c r="N1302" s="7" t="str">
        <f t="shared" si="6"/>
        <v/>
      </c>
      <c r="O1302" s="7" t="str">
        <f t="shared" si="7"/>
        <v/>
      </c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>
      <c r="A1303" s="5">
        <f>IFERROR(__xludf.DUMMYFUNCTION("""COMPUTED_VALUE"""),45742.0)</f>
        <v>45742</v>
      </c>
      <c r="B1303" s="6">
        <f>IFERROR(__xludf.DUMMYFUNCTION("""COMPUTED_VALUE"""),278.0)</f>
        <v>278</v>
      </c>
      <c r="C1303" s="6">
        <f>IFERROR(__xludf.DUMMYFUNCTION("""COMPUTED_VALUE"""),283.33)</f>
        <v>283.33</v>
      </c>
      <c r="D1303" s="6">
        <f>IFERROR(__xludf.DUMMYFUNCTION("""COMPUTED_VALUE"""),272.13)</f>
        <v>272.13</v>
      </c>
      <c r="E1303" s="6">
        <f>IFERROR(__xludf.DUMMYFUNCTION("""COMPUTED_VALUE"""),273.01)</f>
        <v>273.01</v>
      </c>
      <c r="F1303" s="7">
        <f>IFERROR(__xludf.DUMMYFUNCTION("""COMPUTED_VALUE"""),9475308.0)</f>
        <v>9475308</v>
      </c>
      <c r="G1303" s="7" t="str">
        <f>IFERROR(__xludf.DUMMYFUNCTION("""COMPUTED_VALUE"""),"BPCL.NS")</f>
        <v>BPCL.NS</v>
      </c>
      <c r="H1303" s="8">
        <f t="shared" si="1"/>
        <v>-0.01794964029</v>
      </c>
      <c r="I1303" s="8">
        <f t="shared" si="2"/>
        <v>0.01794964029</v>
      </c>
      <c r="J1303" s="7" t="str">
        <f t="shared" si="3"/>
        <v>Mar-2025</v>
      </c>
      <c r="K1303" s="9">
        <f t="shared" si="4"/>
        <v>45717</v>
      </c>
      <c r="L1303" s="7" t="str">
        <f t="shared" si="5"/>
        <v/>
      </c>
      <c r="M1303" s="7" t="str">
        <f>IFERROR(__xludf.DUMMYFUNCTION("IFERROR(
  IF(
    F1303 &gt;
    3*AVERAGE(
       FILTER($F$2:$F10491,
         $G$2:$G10491=G1303,
         $A$2:$A10491&gt;=A1303-20,
         $A$2:$A10491&lt;=A1303
       )
    ),
    ""VOL_SPIKE_3X"",""""
  ),
"""")
"),"")</f>
        <v/>
      </c>
      <c r="N1303" s="7" t="str">
        <f t="shared" si="6"/>
        <v/>
      </c>
      <c r="O1303" s="7" t="str">
        <f t="shared" si="7"/>
        <v/>
      </c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>
      <c r="A1304" s="5">
        <f>IFERROR(__xludf.DUMMYFUNCTION("""COMPUTED_VALUE"""),45742.0)</f>
        <v>45742</v>
      </c>
      <c r="B1304" s="6">
        <f>IFERROR(__xludf.DUMMYFUNCTION("""COMPUTED_VALUE"""),398.5)</f>
        <v>398.5</v>
      </c>
      <c r="C1304" s="6">
        <f>IFERROR(__xludf.DUMMYFUNCTION("""COMPUTED_VALUE"""),402.45)</f>
        <v>402.45</v>
      </c>
      <c r="D1304" s="6">
        <f>IFERROR(__xludf.DUMMYFUNCTION("""COMPUTED_VALUE"""),393.15)</f>
        <v>393.15</v>
      </c>
      <c r="E1304" s="6">
        <f>IFERROR(__xludf.DUMMYFUNCTION("""COMPUTED_VALUE"""),394.8)</f>
        <v>394.8</v>
      </c>
      <c r="F1304" s="7">
        <f>IFERROR(__xludf.DUMMYFUNCTION("""COMPUTED_VALUE"""),5025274.0)</f>
        <v>5025274</v>
      </c>
      <c r="G1304" s="7" t="str">
        <f>IFERROR(__xludf.DUMMYFUNCTION("""COMPUTED_VALUE"""),"COALINDIA.NS")</f>
        <v>COALINDIA.NS</v>
      </c>
      <c r="H1304" s="8">
        <f t="shared" si="1"/>
        <v>-0.009284818068</v>
      </c>
      <c r="I1304" s="8">
        <f t="shared" si="2"/>
        <v>0.009284818068</v>
      </c>
      <c r="J1304" s="7" t="str">
        <f t="shared" si="3"/>
        <v>Mar-2025</v>
      </c>
      <c r="K1304" s="9">
        <f t="shared" si="4"/>
        <v>45717</v>
      </c>
      <c r="L1304" s="7" t="str">
        <f t="shared" si="5"/>
        <v/>
      </c>
      <c r="M1304" s="7" t="str">
        <f>IFERROR(__xludf.DUMMYFUNCTION("IFERROR(
  IF(
    F1304 &gt;
    3*AVERAGE(
       FILTER($F$2:$F10491,
         $G$2:$G10491=G1304,
         $A$2:$A10491&gt;=A1304-20,
         $A$2:$A10491&lt;=A1304
       )
    ),
    ""VOL_SPIKE_3X"",""""
  ),
"""")
"),"")</f>
        <v/>
      </c>
      <c r="N1304" s="7" t="str">
        <f t="shared" si="6"/>
        <v/>
      </c>
      <c r="O1304" s="7" t="str">
        <f t="shared" si="7"/>
        <v/>
      </c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>
      <c r="A1305" s="5">
        <f>IFERROR(__xludf.DUMMYFUNCTION("""COMPUTED_VALUE"""),45742.0)</f>
        <v>45742</v>
      </c>
      <c r="B1305" s="6">
        <f>IFERROR(__xludf.DUMMYFUNCTION("""COMPUTED_VALUE"""),360.15)</f>
        <v>360.15</v>
      </c>
      <c r="C1305" s="6">
        <f>IFERROR(__xludf.DUMMYFUNCTION("""COMPUTED_VALUE"""),364.5)</f>
        <v>364.5</v>
      </c>
      <c r="D1305" s="6">
        <f>IFERROR(__xludf.DUMMYFUNCTION("""COMPUTED_VALUE"""),351.05)</f>
        <v>351.05</v>
      </c>
      <c r="E1305" s="6">
        <f>IFERROR(__xludf.DUMMYFUNCTION("""COMPUTED_VALUE"""),351.9)</f>
        <v>351.9</v>
      </c>
      <c r="F1305" s="7">
        <f>IFERROR(__xludf.DUMMYFUNCTION("""COMPUTED_VALUE"""),4094188.0)</f>
        <v>4094188</v>
      </c>
      <c r="G1305" s="7" t="str">
        <f>IFERROR(__xludf.DUMMYFUNCTION("""COMPUTED_VALUE"""),"HINDPETRO.NS")</f>
        <v>HINDPETRO.NS</v>
      </c>
      <c r="H1305" s="8">
        <f t="shared" si="1"/>
        <v>-0.02290712203</v>
      </c>
      <c r="I1305" s="8">
        <f t="shared" si="2"/>
        <v>0.02290712203</v>
      </c>
      <c r="J1305" s="7" t="str">
        <f t="shared" si="3"/>
        <v>Mar-2025</v>
      </c>
      <c r="K1305" s="9">
        <f t="shared" si="4"/>
        <v>45717</v>
      </c>
      <c r="L1305" s="7" t="str">
        <f t="shared" si="5"/>
        <v/>
      </c>
      <c r="M1305" s="7" t="str">
        <f>IFERROR(__xludf.DUMMYFUNCTION("IFERROR(
  IF(
    F1305 &gt;
    3*AVERAGE(
       FILTER($F$2:$F10491,
         $G$2:$G10491=G1305,
         $A$2:$A10491&gt;=A1305-20,
         $A$2:$A10491&lt;=A1305
       )
    ),
    ""VOL_SPIKE_3X"",""""
  ),
"""")
"),"")</f>
        <v/>
      </c>
      <c r="N1305" s="7" t="str">
        <f t="shared" si="6"/>
        <v/>
      </c>
      <c r="O1305" s="7" t="str">
        <f t="shared" si="7"/>
        <v/>
      </c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>
      <c r="A1306" s="5">
        <f>IFERROR(__xludf.DUMMYFUNCTION("""COMPUTED_VALUE"""),45742.0)</f>
        <v>45742</v>
      </c>
      <c r="B1306" s="6">
        <f>IFERROR(__xludf.DUMMYFUNCTION("""COMPUTED_VALUE"""),130.9)</f>
        <v>130.9</v>
      </c>
      <c r="C1306" s="6">
        <f>IFERROR(__xludf.DUMMYFUNCTION("""COMPUTED_VALUE"""),133.3)</f>
        <v>133.3</v>
      </c>
      <c r="D1306" s="6">
        <f>IFERROR(__xludf.DUMMYFUNCTION("""COMPUTED_VALUE"""),128.9)</f>
        <v>128.9</v>
      </c>
      <c r="E1306" s="6">
        <f>IFERROR(__xludf.DUMMYFUNCTION("""COMPUTED_VALUE"""),129.09)</f>
        <v>129.09</v>
      </c>
      <c r="F1306" s="7">
        <f>IFERROR(__xludf.DUMMYFUNCTION("""COMPUTED_VALUE"""),1.6379725E7)</f>
        <v>16379725</v>
      </c>
      <c r="G1306" s="7" t="str">
        <f>IFERROR(__xludf.DUMMYFUNCTION("""COMPUTED_VALUE"""),"IOC.NS")</f>
        <v>IOC.NS</v>
      </c>
      <c r="H1306" s="8">
        <f t="shared" si="1"/>
        <v>-0.01382734912</v>
      </c>
      <c r="I1306" s="8">
        <f t="shared" si="2"/>
        <v>0.01382734912</v>
      </c>
      <c r="J1306" s="7" t="str">
        <f t="shared" si="3"/>
        <v>Mar-2025</v>
      </c>
      <c r="K1306" s="9">
        <f t="shared" si="4"/>
        <v>45717</v>
      </c>
      <c r="L1306" s="7" t="str">
        <f t="shared" si="5"/>
        <v/>
      </c>
      <c r="M1306" s="7" t="str">
        <f>IFERROR(__xludf.DUMMYFUNCTION("IFERROR(
  IF(
    F1306 &gt;
    3*AVERAGE(
       FILTER($F$2:$F10491,
         $G$2:$G10491=G1306,
         $A$2:$A10491&gt;=A1306-20,
         $A$2:$A10491&lt;=A1306
       )
    ),
    ""VOL_SPIKE_3X"",""""
  ),
"""")
"),"")</f>
        <v/>
      </c>
      <c r="N1306" s="7" t="str">
        <f t="shared" si="6"/>
        <v/>
      </c>
      <c r="O1306" s="7" t="str">
        <f t="shared" si="7"/>
        <v/>
      </c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>
      <c r="A1307" s="5">
        <f>IFERROR(__xludf.DUMMYFUNCTION("""COMPUTED_VALUE"""),45742.0)</f>
        <v>45742</v>
      </c>
      <c r="B1307" s="6">
        <f>IFERROR(__xludf.DUMMYFUNCTION("""COMPUTED_VALUE"""),366.95)</f>
        <v>366.95</v>
      </c>
      <c r="C1307" s="6">
        <f>IFERROR(__xludf.DUMMYFUNCTION("""COMPUTED_VALUE"""),369.0)</f>
        <v>369</v>
      </c>
      <c r="D1307" s="6">
        <f>IFERROR(__xludf.DUMMYFUNCTION("""COMPUTED_VALUE"""),353.3)</f>
        <v>353.3</v>
      </c>
      <c r="E1307" s="6">
        <f>IFERROR(__xludf.DUMMYFUNCTION("""COMPUTED_VALUE"""),354.65)</f>
        <v>354.65</v>
      </c>
      <c r="F1307" s="7">
        <f>IFERROR(__xludf.DUMMYFUNCTION("""COMPUTED_VALUE"""),1.8668095E7)</f>
        <v>18668095</v>
      </c>
      <c r="G1307" s="7" t="str">
        <f>IFERROR(__xludf.DUMMYFUNCTION("""COMPUTED_VALUE"""),"NTPC.NS")</f>
        <v>NTPC.NS</v>
      </c>
      <c r="H1307" s="8">
        <f t="shared" si="1"/>
        <v>-0.03351955307</v>
      </c>
      <c r="I1307" s="8">
        <f t="shared" si="2"/>
        <v>0.03351955307</v>
      </c>
      <c r="J1307" s="7" t="str">
        <f t="shared" si="3"/>
        <v>Mar-2025</v>
      </c>
      <c r="K1307" s="9">
        <f t="shared" si="4"/>
        <v>45717</v>
      </c>
      <c r="L1307" s="7" t="str">
        <f t="shared" si="5"/>
        <v/>
      </c>
      <c r="M1307" s="7" t="str">
        <f>IFERROR(__xludf.DUMMYFUNCTION("IFERROR(
  IF(
    F1307 &gt;
    3*AVERAGE(
       FILTER($F$2:$F10491,
         $G$2:$G10491=G1307,
         $A$2:$A10491&gt;=A1307-20,
         $A$2:$A10491&lt;=A1307
       )
    ),
    ""VOL_SPIKE_3X"",""""
  ),
"""")
"),"")</f>
        <v/>
      </c>
      <c r="N1307" s="7" t="str">
        <f t="shared" si="6"/>
        <v/>
      </c>
      <c r="O1307" s="7" t="str">
        <f t="shared" si="7"/>
        <v/>
      </c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>
      <c r="A1308" s="5">
        <f>IFERROR(__xludf.DUMMYFUNCTION("""COMPUTED_VALUE"""),45742.0)</f>
        <v>45742</v>
      </c>
      <c r="B1308" s="6">
        <f>IFERROR(__xludf.DUMMYFUNCTION("""COMPUTED_VALUE"""),243.35)</f>
        <v>243.35</v>
      </c>
      <c r="C1308" s="6">
        <f>IFERROR(__xludf.DUMMYFUNCTION("""COMPUTED_VALUE"""),244.5)</f>
        <v>244.5</v>
      </c>
      <c r="D1308" s="6">
        <f>IFERROR(__xludf.DUMMYFUNCTION("""COMPUTED_VALUE"""),239.37)</f>
        <v>239.37</v>
      </c>
      <c r="E1308" s="6">
        <f>IFERROR(__xludf.DUMMYFUNCTION("""COMPUTED_VALUE"""),239.72)</f>
        <v>239.72</v>
      </c>
      <c r="F1308" s="7">
        <f>IFERROR(__xludf.DUMMYFUNCTION("""COMPUTED_VALUE"""),7543985.0)</f>
        <v>7543985</v>
      </c>
      <c r="G1308" s="7" t="str">
        <f>IFERROR(__xludf.DUMMYFUNCTION("""COMPUTED_VALUE"""),"ONGC.NS")</f>
        <v>ONGC.NS</v>
      </c>
      <c r="H1308" s="8">
        <f t="shared" si="1"/>
        <v>-0.01491678652</v>
      </c>
      <c r="I1308" s="8">
        <f t="shared" si="2"/>
        <v>0.01491678652</v>
      </c>
      <c r="J1308" s="7" t="str">
        <f t="shared" si="3"/>
        <v>Mar-2025</v>
      </c>
      <c r="K1308" s="9">
        <f t="shared" si="4"/>
        <v>45717</v>
      </c>
      <c r="L1308" s="7" t="str">
        <f t="shared" si="5"/>
        <v/>
      </c>
      <c r="M1308" s="7" t="str">
        <f>IFERROR(__xludf.DUMMYFUNCTION("IFERROR(
  IF(
    F1308 &gt;
    3*AVERAGE(
       FILTER($F$2:$F10491,
         $G$2:$G10491=G1308,
         $A$2:$A10491&gt;=A1308-20,
         $A$2:$A10491&lt;=A1308
       )
    ),
    ""VOL_SPIKE_3X"",""""
  ),
"""")
"),"")</f>
        <v/>
      </c>
      <c r="N1308" s="7" t="str">
        <f t="shared" si="6"/>
        <v/>
      </c>
      <c r="O1308" s="7" t="str">
        <f t="shared" si="7"/>
        <v/>
      </c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>
      <c r="A1309" s="5">
        <f>IFERROR(__xludf.DUMMYFUNCTION("""COMPUTED_VALUE"""),45742.0)</f>
        <v>45742</v>
      </c>
      <c r="B1309" s="6">
        <f>IFERROR(__xludf.DUMMYFUNCTION("""COMPUTED_VALUE"""),291.7)</f>
        <v>291.7</v>
      </c>
      <c r="C1309" s="6">
        <f>IFERROR(__xludf.DUMMYFUNCTION("""COMPUTED_VALUE"""),296.75)</f>
        <v>296.75</v>
      </c>
      <c r="D1309" s="6">
        <f>IFERROR(__xludf.DUMMYFUNCTION("""COMPUTED_VALUE"""),289.55)</f>
        <v>289.55</v>
      </c>
      <c r="E1309" s="6">
        <f>IFERROR(__xludf.DUMMYFUNCTION("""COMPUTED_VALUE"""),290.85)</f>
        <v>290.85</v>
      </c>
      <c r="F1309" s="7">
        <f>IFERROR(__xludf.DUMMYFUNCTION("""COMPUTED_VALUE"""),2.0367015E7)</f>
        <v>20367015</v>
      </c>
      <c r="G1309" s="7" t="str">
        <f>IFERROR(__xludf.DUMMYFUNCTION("""COMPUTED_VALUE"""),"POWERGRID.NS")</f>
        <v>POWERGRID.NS</v>
      </c>
      <c r="H1309" s="8">
        <f t="shared" si="1"/>
        <v>-0.002913952691</v>
      </c>
      <c r="I1309" s="8">
        <f t="shared" si="2"/>
        <v>0.002913952691</v>
      </c>
      <c r="J1309" s="7" t="str">
        <f t="shared" si="3"/>
        <v>Mar-2025</v>
      </c>
      <c r="K1309" s="9">
        <f t="shared" si="4"/>
        <v>45717</v>
      </c>
      <c r="L1309" s="7" t="str">
        <f t="shared" si="5"/>
        <v/>
      </c>
      <c r="M1309" s="7" t="str">
        <f>IFERROR(__xludf.DUMMYFUNCTION("IFERROR(
  IF(
    F1309 &gt;
    3*AVERAGE(
       FILTER($F$2:$F10491,
         $G$2:$G10491=G1309,
         $A$2:$A10491&gt;=A1309-20,
         $A$2:$A10491&lt;=A1309
       )
    ),
    ""VOL_SPIKE_3X"",""""
  ),
"""")
"),"")</f>
        <v/>
      </c>
      <c r="N1309" s="7" t="str">
        <f t="shared" si="6"/>
        <v/>
      </c>
      <c r="O1309" s="7" t="str">
        <f t="shared" si="7"/>
        <v/>
      </c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>
      <c r="A1310" s="5">
        <f>IFERROR(__xludf.DUMMYFUNCTION("""COMPUTED_VALUE"""),45742.0)</f>
        <v>45742</v>
      </c>
      <c r="B1310" s="6">
        <f>IFERROR(__xludf.DUMMYFUNCTION("""COMPUTED_VALUE"""),1291.0)</f>
        <v>1291</v>
      </c>
      <c r="C1310" s="6">
        <f>IFERROR(__xludf.DUMMYFUNCTION("""COMPUTED_VALUE"""),1293.8)</f>
        <v>1293.8</v>
      </c>
      <c r="D1310" s="6">
        <f>IFERROR(__xludf.DUMMYFUNCTION("""COMPUTED_VALUE"""),1268.75)</f>
        <v>1268.75</v>
      </c>
      <c r="E1310" s="6">
        <f>IFERROR(__xludf.DUMMYFUNCTION("""COMPUTED_VALUE"""),1273.05)</f>
        <v>1273.05</v>
      </c>
      <c r="F1310" s="7">
        <f>IFERROR(__xludf.DUMMYFUNCTION("""COMPUTED_VALUE"""),1.2074747E7)</f>
        <v>12074747</v>
      </c>
      <c r="G1310" s="7" t="str">
        <f>IFERROR(__xludf.DUMMYFUNCTION("""COMPUTED_VALUE"""),"RELIANCE.NS")</f>
        <v>RELIANCE.NS</v>
      </c>
      <c r="H1310" s="8">
        <f t="shared" si="1"/>
        <v>-0.01390395043</v>
      </c>
      <c r="I1310" s="8">
        <f t="shared" si="2"/>
        <v>0.01390395043</v>
      </c>
      <c r="J1310" s="7" t="str">
        <f t="shared" si="3"/>
        <v>Mar-2025</v>
      </c>
      <c r="K1310" s="9">
        <f t="shared" si="4"/>
        <v>45717</v>
      </c>
      <c r="L1310" s="7" t="str">
        <f t="shared" si="5"/>
        <v/>
      </c>
      <c r="M1310" s="7" t="str">
        <f>IFERROR(__xludf.DUMMYFUNCTION("IFERROR(
  IF(
    F1310 &gt;
    3*AVERAGE(
       FILTER($F$2:$F10491,
         $G$2:$G10491=G1310,
         $A$2:$A10491&gt;=A1310-20,
         $A$2:$A10491&lt;=A1310
       )
    ),
    ""VOL_SPIKE_3X"",""""
  ),
"""")
"),"")</f>
        <v/>
      </c>
      <c r="N1310" s="7" t="str">
        <f t="shared" si="6"/>
        <v/>
      </c>
      <c r="O1310" s="7" t="str">
        <f t="shared" si="7"/>
        <v/>
      </c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>
      <c r="A1311" s="5">
        <f>IFERROR(__xludf.DUMMYFUNCTION("""COMPUTED_VALUE"""),45743.0)</f>
        <v>45743</v>
      </c>
      <c r="B1311" s="6">
        <f>IFERROR(__xludf.DUMMYFUNCTION("""COMPUTED_VALUE"""),803.0)</f>
        <v>803</v>
      </c>
      <c r="C1311" s="6">
        <f>IFERROR(__xludf.DUMMYFUNCTION("""COMPUTED_VALUE"""),882.45)</f>
        <v>882.45</v>
      </c>
      <c r="D1311" s="6">
        <f>IFERROR(__xludf.DUMMYFUNCTION("""COMPUTED_VALUE"""),796.05)</f>
        <v>796.05</v>
      </c>
      <c r="E1311" s="6">
        <f>IFERROR(__xludf.DUMMYFUNCTION("""COMPUTED_VALUE"""),872.85)</f>
        <v>872.85</v>
      </c>
      <c r="F1311" s="7">
        <f>IFERROR(__xludf.DUMMYFUNCTION("""COMPUTED_VALUE"""),8208182.0)</f>
        <v>8208182</v>
      </c>
      <c r="G1311" s="7" t="str">
        <f>IFERROR(__xludf.DUMMYFUNCTION("""COMPUTED_VALUE"""),"ADANIENSOL.NS")</f>
        <v>ADANIENSOL.NS</v>
      </c>
      <c r="H1311" s="8">
        <f t="shared" si="1"/>
        <v>0.08698630137</v>
      </c>
      <c r="I1311" s="8">
        <f t="shared" si="2"/>
        <v>0.08698630137</v>
      </c>
      <c r="J1311" s="7" t="str">
        <f t="shared" si="3"/>
        <v>Mar-2025</v>
      </c>
      <c r="K1311" s="9">
        <f t="shared" si="4"/>
        <v>45717</v>
      </c>
      <c r="L1311" s="7" t="str">
        <f t="shared" si="5"/>
        <v>PRICE_MOVE_5PCT+</v>
      </c>
      <c r="M1311" s="7" t="str">
        <f>IFERROR(__xludf.DUMMYFUNCTION("IFERROR(
  IF(
    F1311 &gt;
    3*AVERAGE(
       FILTER($F$2:$F10491,
         $G$2:$G10491=G1311,
         $A$2:$A10491&gt;=A1311-20,
         $A$2:$A10491&lt;=A1311
       )
    ),
    ""VOL_SPIKE_3X"",""""
  ),
"""")
"),"")</f>
        <v/>
      </c>
      <c r="N1311" s="7" t="str">
        <f t="shared" si="6"/>
        <v>PRICE_MOVE_5PCT+</v>
      </c>
      <c r="O1311" s="7" t="str">
        <f t="shared" si="7"/>
        <v/>
      </c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>
      <c r="A1312" s="5">
        <f>IFERROR(__xludf.DUMMYFUNCTION("""COMPUTED_VALUE"""),45743.0)</f>
        <v>45743</v>
      </c>
      <c r="B1312" s="6">
        <f>IFERROR(__xludf.DUMMYFUNCTION("""COMPUTED_VALUE"""),910.0)</f>
        <v>910</v>
      </c>
      <c r="C1312" s="6">
        <f>IFERROR(__xludf.DUMMYFUNCTION("""COMPUTED_VALUE"""),966.6)</f>
        <v>966.6</v>
      </c>
      <c r="D1312" s="6">
        <f>IFERROR(__xludf.DUMMYFUNCTION("""COMPUTED_VALUE"""),905.2)</f>
        <v>905.2</v>
      </c>
      <c r="E1312" s="6">
        <f>IFERROR(__xludf.DUMMYFUNCTION("""COMPUTED_VALUE"""),959.9)</f>
        <v>959.9</v>
      </c>
      <c r="F1312" s="7">
        <f>IFERROR(__xludf.DUMMYFUNCTION("""COMPUTED_VALUE"""),5918219.0)</f>
        <v>5918219</v>
      </c>
      <c r="G1312" s="7" t="str">
        <f>IFERROR(__xludf.DUMMYFUNCTION("""COMPUTED_VALUE"""),"ADANIGREEN.NS")</f>
        <v>ADANIGREEN.NS</v>
      </c>
      <c r="H1312" s="8">
        <f t="shared" si="1"/>
        <v>0.05483516484</v>
      </c>
      <c r="I1312" s="8">
        <f t="shared" si="2"/>
        <v>0.05483516484</v>
      </c>
      <c r="J1312" s="7" t="str">
        <f t="shared" si="3"/>
        <v>Mar-2025</v>
      </c>
      <c r="K1312" s="9">
        <f t="shared" si="4"/>
        <v>45717</v>
      </c>
      <c r="L1312" s="7" t="str">
        <f t="shared" si="5"/>
        <v>PRICE_MOVE_5PCT+</v>
      </c>
      <c r="M1312" s="7" t="str">
        <f>IFERROR(__xludf.DUMMYFUNCTION("IFERROR(
  IF(
    F1312 &gt;
    3*AVERAGE(
       FILTER($F$2:$F10491,
         $G$2:$G10491=G1312,
         $A$2:$A10491&gt;=A1312-20,
         $A$2:$A10491&lt;=A1312
       )
    ),
    ""VOL_SPIKE_3X"",""""
  ),
"""")
"),"")</f>
        <v/>
      </c>
      <c r="N1312" s="7" t="str">
        <f t="shared" si="6"/>
        <v>PRICE_MOVE_5PCT+</v>
      </c>
      <c r="O1312" s="7" t="str">
        <f t="shared" si="7"/>
        <v/>
      </c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>
      <c r="A1313" s="5">
        <f>IFERROR(__xludf.DUMMYFUNCTION("""COMPUTED_VALUE"""),45743.0)</f>
        <v>45743</v>
      </c>
      <c r="B1313" s="6">
        <f>IFERROR(__xludf.DUMMYFUNCTION("""COMPUTED_VALUE"""),273.39)</f>
        <v>273.39</v>
      </c>
      <c r="C1313" s="6">
        <f>IFERROR(__xludf.DUMMYFUNCTION("""COMPUTED_VALUE"""),279.85)</f>
        <v>279.85</v>
      </c>
      <c r="D1313" s="6">
        <f>IFERROR(__xludf.DUMMYFUNCTION("""COMPUTED_VALUE"""),272.18)</f>
        <v>272.18</v>
      </c>
      <c r="E1313" s="6">
        <f>IFERROR(__xludf.DUMMYFUNCTION("""COMPUTED_VALUE"""),276.06)</f>
        <v>276.06</v>
      </c>
      <c r="F1313" s="7">
        <f>IFERROR(__xludf.DUMMYFUNCTION("""COMPUTED_VALUE"""),1.07524873E8)</f>
        <v>107524873</v>
      </c>
      <c r="G1313" s="7" t="str">
        <f>IFERROR(__xludf.DUMMYFUNCTION("""COMPUTED_VALUE"""),"BPCL.NS")</f>
        <v>BPCL.NS</v>
      </c>
      <c r="H1313" s="8">
        <f t="shared" si="1"/>
        <v>0.009766267969</v>
      </c>
      <c r="I1313" s="8">
        <f t="shared" si="2"/>
        <v>0.009766267969</v>
      </c>
      <c r="J1313" s="7" t="str">
        <f t="shared" si="3"/>
        <v>Mar-2025</v>
      </c>
      <c r="K1313" s="9">
        <f t="shared" si="4"/>
        <v>45717</v>
      </c>
      <c r="L1313" s="7" t="str">
        <f t="shared" si="5"/>
        <v/>
      </c>
      <c r="M1313" s="7" t="str">
        <f>IFERROR(__xludf.DUMMYFUNCTION("IFERROR(
  IF(
    F1313 &gt;
    3*AVERAGE(
       FILTER($F$2:$F10491,
         $G$2:$G10491=G1313,
         $A$2:$A10491&gt;=A1313-20,
         $A$2:$A10491&lt;=A1313
       )
    ),
    ""VOL_SPIKE_3X"",""""
  ),
"""")
"),"VOL_SPIKE_3X")</f>
        <v>VOL_SPIKE_3X</v>
      </c>
      <c r="N1313" s="7" t="str">
        <f t="shared" si="6"/>
        <v>VOL_SPIKE_3X</v>
      </c>
      <c r="O1313" s="7" t="str">
        <f t="shared" si="7"/>
        <v/>
      </c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>
      <c r="A1314" s="5">
        <f>IFERROR(__xludf.DUMMYFUNCTION("""COMPUTED_VALUE"""),45743.0)</f>
        <v>45743</v>
      </c>
      <c r="B1314" s="6">
        <f>IFERROR(__xludf.DUMMYFUNCTION("""COMPUTED_VALUE"""),393.25)</f>
        <v>393.25</v>
      </c>
      <c r="C1314" s="6">
        <f>IFERROR(__xludf.DUMMYFUNCTION("""COMPUTED_VALUE"""),399.65)</f>
        <v>399.65</v>
      </c>
      <c r="D1314" s="6">
        <f>IFERROR(__xludf.DUMMYFUNCTION("""COMPUTED_VALUE"""),392.05)</f>
        <v>392.05</v>
      </c>
      <c r="E1314" s="6">
        <f>IFERROR(__xludf.DUMMYFUNCTION("""COMPUTED_VALUE"""),396.85)</f>
        <v>396.85</v>
      </c>
      <c r="F1314" s="7">
        <f>IFERROR(__xludf.DUMMYFUNCTION("""COMPUTED_VALUE"""),7697174.0)</f>
        <v>7697174</v>
      </c>
      <c r="G1314" s="7" t="str">
        <f>IFERROR(__xludf.DUMMYFUNCTION("""COMPUTED_VALUE"""),"COALINDIA.NS")</f>
        <v>COALINDIA.NS</v>
      </c>
      <c r="H1314" s="8">
        <f t="shared" si="1"/>
        <v>0.009154481882</v>
      </c>
      <c r="I1314" s="8">
        <f t="shared" si="2"/>
        <v>0.009154481882</v>
      </c>
      <c r="J1314" s="7" t="str">
        <f t="shared" si="3"/>
        <v>Mar-2025</v>
      </c>
      <c r="K1314" s="9">
        <f t="shared" si="4"/>
        <v>45717</v>
      </c>
      <c r="L1314" s="7" t="str">
        <f t="shared" si="5"/>
        <v/>
      </c>
      <c r="M1314" s="7" t="str">
        <f>IFERROR(__xludf.DUMMYFUNCTION("IFERROR(
  IF(
    F1314 &gt;
    3*AVERAGE(
       FILTER($F$2:$F10491,
         $G$2:$G10491=G1314,
         $A$2:$A10491&gt;=A1314-20,
         $A$2:$A10491&lt;=A1314
       )
    ),
    ""VOL_SPIKE_3X"",""""
  ),
"""")
"),"")</f>
        <v/>
      </c>
      <c r="N1314" s="7" t="str">
        <f t="shared" si="6"/>
        <v/>
      </c>
      <c r="O1314" s="7" t="str">
        <f t="shared" si="7"/>
        <v/>
      </c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>
      <c r="A1315" s="5">
        <f>IFERROR(__xludf.DUMMYFUNCTION("""COMPUTED_VALUE"""),45743.0)</f>
        <v>45743</v>
      </c>
      <c r="B1315" s="6">
        <f>IFERROR(__xludf.DUMMYFUNCTION("""COMPUTED_VALUE"""),350.75)</f>
        <v>350.75</v>
      </c>
      <c r="C1315" s="6">
        <f>IFERROR(__xludf.DUMMYFUNCTION("""COMPUTED_VALUE"""),364.0)</f>
        <v>364</v>
      </c>
      <c r="D1315" s="6">
        <f>IFERROR(__xludf.DUMMYFUNCTION("""COMPUTED_VALUE"""),349.15)</f>
        <v>349.15</v>
      </c>
      <c r="E1315" s="6">
        <f>IFERROR(__xludf.DUMMYFUNCTION("""COMPUTED_VALUE"""),359.55)</f>
        <v>359.55</v>
      </c>
      <c r="F1315" s="7">
        <f>IFERROR(__xludf.DUMMYFUNCTION("""COMPUTED_VALUE"""),4545137.0)</f>
        <v>4545137</v>
      </c>
      <c r="G1315" s="7" t="str">
        <f>IFERROR(__xludf.DUMMYFUNCTION("""COMPUTED_VALUE"""),"HINDPETRO.NS")</f>
        <v>HINDPETRO.NS</v>
      </c>
      <c r="H1315" s="8">
        <f t="shared" si="1"/>
        <v>0.0250890948</v>
      </c>
      <c r="I1315" s="8">
        <f t="shared" si="2"/>
        <v>0.0250890948</v>
      </c>
      <c r="J1315" s="7" t="str">
        <f t="shared" si="3"/>
        <v>Mar-2025</v>
      </c>
      <c r="K1315" s="9">
        <f t="shared" si="4"/>
        <v>45717</v>
      </c>
      <c r="L1315" s="7" t="str">
        <f t="shared" si="5"/>
        <v/>
      </c>
      <c r="M1315" s="7" t="str">
        <f>IFERROR(__xludf.DUMMYFUNCTION("IFERROR(
  IF(
    F1315 &gt;
    3*AVERAGE(
       FILTER($F$2:$F10491,
         $G$2:$G10491=G1315,
         $A$2:$A10491&gt;=A1315-20,
         $A$2:$A10491&lt;=A1315
       )
    ),
    ""VOL_SPIKE_3X"",""""
  ),
"""")
"),"")</f>
        <v/>
      </c>
      <c r="N1315" s="7" t="str">
        <f t="shared" si="6"/>
        <v/>
      </c>
      <c r="O1315" s="7" t="str">
        <f t="shared" si="7"/>
        <v/>
      </c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>
      <c r="A1316" s="5">
        <f>IFERROR(__xludf.DUMMYFUNCTION("""COMPUTED_VALUE"""),45743.0)</f>
        <v>45743</v>
      </c>
      <c r="B1316" s="6">
        <f>IFERROR(__xludf.DUMMYFUNCTION("""COMPUTED_VALUE"""),129.05)</f>
        <v>129.05</v>
      </c>
      <c r="C1316" s="6">
        <f>IFERROR(__xludf.DUMMYFUNCTION("""COMPUTED_VALUE"""),130.95)</f>
        <v>130.95</v>
      </c>
      <c r="D1316" s="6">
        <f>IFERROR(__xludf.DUMMYFUNCTION("""COMPUTED_VALUE"""),128.52)</f>
        <v>128.52</v>
      </c>
      <c r="E1316" s="6">
        <f>IFERROR(__xludf.DUMMYFUNCTION("""COMPUTED_VALUE"""),130.36)</f>
        <v>130.36</v>
      </c>
      <c r="F1316" s="7">
        <f>IFERROR(__xludf.DUMMYFUNCTION("""COMPUTED_VALUE"""),1.3141045E7)</f>
        <v>13141045</v>
      </c>
      <c r="G1316" s="7" t="str">
        <f>IFERROR(__xludf.DUMMYFUNCTION("""COMPUTED_VALUE"""),"IOC.NS")</f>
        <v>IOC.NS</v>
      </c>
      <c r="H1316" s="8">
        <f t="shared" si="1"/>
        <v>0.01015110422</v>
      </c>
      <c r="I1316" s="8">
        <f t="shared" si="2"/>
        <v>0.01015110422</v>
      </c>
      <c r="J1316" s="7" t="str">
        <f t="shared" si="3"/>
        <v>Mar-2025</v>
      </c>
      <c r="K1316" s="9">
        <f t="shared" si="4"/>
        <v>45717</v>
      </c>
      <c r="L1316" s="7" t="str">
        <f t="shared" si="5"/>
        <v/>
      </c>
      <c r="M1316" s="7" t="str">
        <f>IFERROR(__xludf.DUMMYFUNCTION("IFERROR(
  IF(
    F1316 &gt;
    3*AVERAGE(
       FILTER($F$2:$F10491,
         $G$2:$G10491=G1316,
         $A$2:$A10491&gt;=A1316-20,
         $A$2:$A10491&lt;=A1316
       )
    ),
    ""VOL_SPIKE_3X"",""""
  ),
"""")
"),"")</f>
        <v/>
      </c>
      <c r="N1316" s="7" t="str">
        <f t="shared" si="6"/>
        <v/>
      </c>
      <c r="O1316" s="7" t="str">
        <f t="shared" si="7"/>
        <v/>
      </c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>
      <c r="A1317" s="5">
        <f>IFERROR(__xludf.DUMMYFUNCTION("""COMPUTED_VALUE"""),45743.0)</f>
        <v>45743</v>
      </c>
      <c r="B1317" s="6">
        <f>IFERROR(__xludf.DUMMYFUNCTION("""COMPUTED_VALUE"""),353.9)</f>
        <v>353.9</v>
      </c>
      <c r="C1317" s="6">
        <f>IFERROR(__xludf.DUMMYFUNCTION("""COMPUTED_VALUE"""),364.45)</f>
        <v>364.45</v>
      </c>
      <c r="D1317" s="6">
        <f>IFERROR(__xludf.DUMMYFUNCTION("""COMPUTED_VALUE"""),351.0)</f>
        <v>351</v>
      </c>
      <c r="E1317" s="6">
        <f>IFERROR(__xludf.DUMMYFUNCTION("""COMPUTED_VALUE"""),360.65)</f>
        <v>360.65</v>
      </c>
      <c r="F1317" s="7">
        <f>IFERROR(__xludf.DUMMYFUNCTION("""COMPUTED_VALUE"""),3.7930538E7)</f>
        <v>37930538</v>
      </c>
      <c r="G1317" s="7" t="str">
        <f>IFERROR(__xludf.DUMMYFUNCTION("""COMPUTED_VALUE"""),"NTPC.NS")</f>
        <v>NTPC.NS</v>
      </c>
      <c r="H1317" s="8">
        <f t="shared" si="1"/>
        <v>0.01907318452</v>
      </c>
      <c r="I1317" s="8">
        <f t="shared" si="2"/>
        <v>0.01907318452</v>
      </c>
      <c r="J1317" s="7" t="str">
        <f t="shared" si="3"/>
        <v>Mar-2025</v>
      </c>
      <c r="K1317" s="9">
        <f t="shared" si="4"/>
        <v>45717</v>
      </c>
      <c r="L1317" s="7" t="str">
        <f t="shared" si="5"/>
        <v/>
      </c>
      <c r="M1317" s="7" t="str">
        <f>IFERROR(__xludf.DUMMYFUNCTION("IFERROR(
  IF(
    F1317 &gt;
    3*AVERAGE(
       FILTER($F$2:$F10491,
         $G$2:$G10491=G1317,
         $A$2:$A10491&gt;=A1317-20,
         $A$2:$A10491&lt;=A1317
       )
    ),
    ""VOL_SPIKE_3X"",""""
  ),
"""")
"),"")</f>
        <v/>
      </c>
      <c r="N1317" s="7" t="str">
        <f t="shared" si="6"/>
        <v/>
      </c>
      <c r="O1317" s="7" t="str">
        <f t="shared" si="7"/>
        <v/>
      </c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>
      <c r="A1318" s="5">
        <f>IFERROR(__xludf.DUMMYFUNCTION("""COMPUTED_VALUE"""),45743.0)</f>
        <v>45743</v>
      </c>
      <c r="B1318" s="6">
        <f>IFERROR(__xludf.DUMMYFUNCTION("""COMPUTED_VALUE"""),238.87)</f>
        <v>238.87</v>
      </c>
      <c r="C1318" s="6">
        <f>IFERROR(__xludf.DUMMYFUNCTION("""COMPUTED_VALUE"""),243.4)</f>
        <v>243.4</v>
      </c>
      <c r="D1318" s="6">
        <f>IFERROR(__xludf.DUMMYFUNCTION("""COMPUTED_VALUE"""),238.65)</f>
        <v>238.65</v>
      </c>
      <c r="E1318" s="6">
        <f>IFERROR(__xludf.DUMMYFUNCTION("""COMPUTED_VALUE"""),242.17)</f>
        <v>242.17</v>
      </c>
      <c r="F1318" s="7">
        <f>IFERROR(__xludf.DUMMYFUNCTION("""COMPUTED_VALUE"""),9935664.0)</f>
        <v>9935664</v>
      </c>
      <c r="G1318" s="7" t="str">
        <f>IFERROR(__xludf.DUMMYFUNCTION("""COMPUTED_VALUE"""),"ONGC.NS")</f>
        <v>ONGC.NS</v>
      </c>
      <c r="H1318" s="8">
        <f t="shared" si="1"/>
        <v>0.01381504584</v>
      </c>
      <c r="I1318" s="8">
        <f t="shared" si="2"/>
        <v>0.01381504584</v>
      </c>
      <c r="J1318" s="7" t="str">
        <f t="shared" si="3"/>
        <v>Mar-2025</v>
      </c>
      <c r="K1318" s="9">
        <f t="shared" si="4"/>
        <v>45717</v>
      </c>
      <c r="L1318" s="7" t="str">
        <f t="shared" si="5"/>
        <v/>
      </c>
      <c r="M1318" s="7" t="str">
        <f>IFERROR(__xludf.DUMMYFUNCTION("IFERROR(
  IF(
    F1318 &gt;
    3*AVERAGE(
       FILTER($F$2:$F10491,
         $G$2:$G10491=G1318,
         $A$2:$A10491&gt;=A1318-20,
         $A$2:$A10491&lt;=A1318
       )
    ),
    ""VOL_SPIKE_3X"",""""
  ),
"""")
"),"")</f>
        <v/>
      </c>
      <c r="N1318" s="7" t="str">
        <f t="shared" si="6"/>
        <v/>
      </c>
      <c r="O1318" s="7" t="str">
        <f t="shared" si="7"/>
        <v/>
      </c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>
      <c r="A1319" s="5">
        <f>IFERROR(__xludf.DUMMYFUNCTION("""COMPUTED_VALUE"""),45743.0)</f>
        <v>45743</v>
      </c>
      <c r="B1319" s="6">
        <f>IFERROR(__xludf.DUMMYFUNCTION("""COMPUTED_VALUE"""),289.0)</f>
        <v>289</v>
      </c>
      <c r="C1319" s="6">
        <f>IFERROR(__xludf.DUMMYFUNCTION("""COMPUTED_VALUE"""),297.25)</f>
        <v>297.25</v>
      </c>
      <c r="D1319" s="6">
        <f>IFERROR(__xludf.DUMMYFUNCTION("""COMPUTED_VALUE"""),289.0)</f>
        <v>289</v>
      </c>
      <c r="E1319" s="6">
        <f>IFERROR(__xludf.DUMMYFUNCTION("""COMPUTED_VALUE"""),295.5)</f>
        <v>295.5</v>
      </c>
      <c r="F1319" s="7">
        <f>IFERROR(__xludf.DUMMYFUNCTION("""COMPUTED_VALUE"""),3.7203166E7)</f>
        <v>37203166</v>
      </c>
      <c r="G1319" s="7" t="str">
        <f>IFERROR(__xludf.DUMMYFUNCTION("""COMPUTED_VALUE"""),"POWERGRID.NS")</f>
        <v>POWERGRID.NS</v>
      </c>
      <c r="H1319" s="8">
        <f t="shared" si="1"/>
        <v>0.02249134948</v>
      </c>
      <c r="I1319" s="8">
        <f t="shared" si="2"/>
        <v>0.02249134948</v>
      </c>
      <c r="J1319" s="7" t="str">
        <f t="shared" si="3"/>
        <v>Mar-2025</v>
      </c>
      <c r="K1319" s="9">
        <f t="shared" si="4"/>
        <v>45717</v>
      </c>
      <c r="L1319" s="7" t="str">
        <f t="shared" si="5"/>
        <v/>
      </c>
      <c r="M1319" s="7" t="str">
        <f>IFERROR(__xludf.DUMMYFUNCTION("IFERROR(
  IF(
    F1319 &gt;
    3*AVERAGE(
       FILTER($F$2:$F10491,
         $G$2:$G10491=G1319,
         $A$2:$A10491&gt;=A1319-20,
         $A$2:$A10491&lt;=A1319
       )
    ),
    ""VOL_SPIKE_3X"",""""
  ),
"""")
"),"")</f>
        <v/>
      </c>
      <c r="N1319" s="7" t="str">
        <f t="shared" si="6"/>
        <v/>
      </c>
      <c r="O1319" s="7" t="str">
        <f t="shared" si="7"/>
        <v/>
      </c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>
      <c r="A1320" s="5">
        <f>IFERROR(__xludf.DUMMYFUNCTION("""COMPUTED_VALUE"""),45743.0)</f>
        <v>45743</v>
      </c>
      <c r="B1320" s="6">
        <f>IFERROR(__xludf.DUMMYFUNCTION("""COMPUTED_VALUE"""),1278.15)</f>
        <v>1278.15</v>
      </c>
      <c r="C1320" s="6">
        <f>IFERROR(__xludf.DUMMYFUNCTION("""COMPUTED_VALUE"""),1285.0)</f>
        <v>1285</v>
      </c>
      <c r="D1320" s="6">
        <f>IFERROR(__xludf.DUMMYFUNCTION("""COMPUTED_VALUE"""),1271.3)</f>
        <v>1271.3</v>
      </c>
      <c r="E1320" s="6">
        <f>IFERROR(__xludf.DUMMYFUNCTION("""COMPUTED_VALUE"""),1278.2)</f>
        <v>1278.2</v>
      </c>
      <c r="F1320" s="7">
        <f>IFERROR(__xludf.DUMMYFUNCTION("""COMPUTED_VALUE"""),1.5028056E7)</f>
        <v>15028056</v>
      </c>
      <c r="G1320" s="7" t="str">
        <f>IFERROR(__xludf.DUMMYFUNCTION("""COMPUTED_VALUE"""),"RELIANCE.NS")</f>
        <v>RELIANCE.NS</v>
      </c>
      <c r="H1320" s="8">
        <f t="shared" si="1"/>
        <v>0.00003911903924</v>
      </c>
      <c r="I1320" s="8">
        <f t="shared" si="2"/>
        <v>0.00003911903924</v>
      </c>
      <c r="J1320" s="7" t="str">
        <f t="shared" si="3"/>
        <v>Mar-2025</v>
      </c>
      <c r="K1320" s="9">
        <f t="shared" si="4"/>
        <v>45717</v>
      </c>
      <c r="L1320" s="7" t="str">
        <f t="shared" si="5"/>
        <v/>
      </c>
      <c r="M1320" s="7" t="str">
        <f>IFERROR(__xludf.DUMMYFUNCTION("IFERROR(
  IF(
    F1320 &gt;
    3*AVERAGE(
       FILTER($F$2:$F10491,
         $G$2:$G10491=G1320,
         $A$2:$A10491&gt;=A1320-20,
         $A$2:$A10491&lt;=A1320
       )
    ),
    ""VOL_SPIKE_3X"",""""
  ),
"""")
"),"")</f>
        <v/>
      </c>
      <c r="N1320" s="7" t="str">
        <f t="shared" si="6"/>
        <v/>
      </c>
      <c r="O1320" s="7" t="str">
        <f t="shared" si="7"/>
        <v/>
      </c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>
      <c r="A1321" s="5">
        <f>IFERROR(__xludf.DUMMYFUNCTION("""COMPUTED_VALUE"""),45744.0)</f>
        <v>45744</v>
      </c>
      <c r="B1321" s="6">
        <f>IFERROR(__xludf.DUMMYFUNCTION("""COMPUTED_VALUE"""),872.85)</f>
        <v>872.85</v>
      </c>
      <c r="C1321" s="6">
        <f>IFERROR(__xludf.DUMMYFUNCTION("""COMPUTED_VALUE"""),894.9)</f>
        <v>894.9</v>
      </c>
      <c r="D1321" s="6">
        <f>IFERROR(__xludf.DUMMYFUNCTION("""COMPUTED_VALUE"""),864.0)</f>
        <v>864</v>
      </c>
      <c r="E1321" s="6">
        <f>IFERROR(__xludf.DUMMYFUNCTION("""COMPUTED_VALUE"""),872.0)</f>
        <v>872</v>
      </c>
      <c r="F1321" s="7">
        <f>IFERROR(__xludf.DUMMYFUNCTION("""COMPUTED_VALUE"""),3727492.0)</f>
        <v>3727492</v>
      </c>
      <c r="G1321" s="7" t="str">
        <f>IFERROR(__xludf.DUMMYFUNCTION("""COMPUTED_VALUE"""),"ADANIENSOL.NS")</f>
        <v>ADANIENSOL.NS</v>
      </c>
      <c r="H1321" s="8">
        <f t="shared" si="1"/>
        <v>-0.0009738213897</v>
      </c>
      <c r="I1321" s="8">
        <f t="shared" si="2"/>
        <v>0.0009738213897</v>
      </c>
      <c r="J1321" s="7" t="str">
        <f t="shared" si="3"/>
        <v>Mar-2025</v>
      </c>
      <c r="K1321" s="9">
        <f t="shared" si="4"/>
        <v>45717</v>
      </c>
      <c r="L1321" s="7" t="str">
        <f t="shared" si="5"/>
        <v/>
      </c>
      <c r="M1321" s="7" t="str">
        <f>IFERROR(__xludf.DUMMYFUNCTION("IFERROR(
  IF(
    F1321 &gt;
    3*AVERAGE(
       FILTER($F$2:$F10491,
         $G$2:$G10491=G1321,
         $A$2:$A10491&gt;=A1321-20,
         $A$2:$A10491&lt;=A1321
       )
    ),
    ""VOL_SPIKE_3X"",""""
  ),
"""")
"),"")</f>
        <v/>
      </c>
      <c r="N1321" s="7" t="str">
        <f t="shared" si="6"/>
        <v/>
      </c>
      <c r="O1321" s="7" t="str">
        <f t="shared" si="7"/>
        <v/>
      </c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>
      <c r="A1322" s="5">
        <f>IFERROR(__xludf.DUMMYFUNCTION("""COMPUTED_VALUE"""),45744.0)</f>
        <v>45744</v>
      </c>
      <c r="B1322" s="6">
        <f>IFERROR(__xludf.DUMMYFUNCTION("""COMPUTED_VALUE"""),967.85)</f>
        <v>967.85</v>
      </c>
      <c r="C1322" s="6">
        <f>IFERROR(__xludf.DUMMYFUNCTION("""COMPUTED_VALUE"""),976.45)</f>
        <v>976.45</v>
      </c>
      <c r="D1322" s="6">
        <f>IFERROR(__xludf.DUMMYFUNCTION("""COMPUTED_VALUE"""),942.05)</f>
        <v>942.05</v>
      </c>
      <c r="E1322" s="6">
        <f>IFERROR(__xludf.DUMMYFUNCTION("""COMPUTED_VALUE"""),948.65)</f>
        <v>948.65</v>
      </c>
      <c r="F1322" s="7">
        <f>IFERROR(__xludf.DUMMYFUNCTION("""COMPUTED_VALUE"""),4083088.0)</f>
        <v>4083088</v>
      </c>
      <c r="G1322" s="7" t="str">
        <f>IFERROR(__xludf.DUMMYFUNCTION("""COMPUTED_VALUE"""),"ADANIGREEN.NS")</f>
        <v>ADANIGREEN.NS</v>
      </c>
      <c r="H1322" s="8">
        <f t="shared" si="1"/>
        <v>-0.01983778478</v>
      </c>
      <c r="I1322" s="8">
        <f t="shared" si="2"/>
        <v>0.01983778478</v>
      </c>
      <c r="J1322" s="7" t="str">
        <f t="shared" si="3"/>
        <v>Mar-2025</v>
      </c>
      <c r="K1322" s="9">
        <f t="shared" si="4"/>
        <v>45717</v>
      </c>
      <c r="L1322" s="7" t="str">
        <f t="shared" si="5"/>
        <v/>
      </c>
      <c r="M1322" s="7" t="str">
        <f>IFERROR(__xludf.DUMMYFUNCTION("IFERROR(
  IF(
    F1322 &gt;
    3*AVERAGE(
       FILTER($F$2:$F10491,
         $G$2:$G10491=G1322,
         $A$2:$A10491&gt;=A1322-20,
         $A$2:$A10491&lt;=A1322
       )
    ),
    ""VOL_SPIKE_3X"",""""
  ),
"""")
"),"")</f>
        <v/>
      </c>
      <c r="N1322" s="7" t="str">
        <f t="shared" si="6"/>
        <v/>
      </c>
      <c r="O1322" s="7" t="str">
        <f t="shared" si="7"/>
        <v/>
      </c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>
      <c r="A1323" s="5">
        <f>IFERROR(__xludf.DUMMYFUNCTION("""COMPUTED_VALUE"""),45744.0)</f>
        <v>45744</v>
      </c>
      <c r="B1323" s="6">
        <f>IFERROR(__xludf.DUMMYFUNCTION("""COMPUTED_VALUE"""),276.99)</f>
        <v>276.99</v>
      </c>
      <c r="C1323" s="6">
        <f>IFERROR(__xludf.DUMMYFUNCTION("""COMPUTED_VALUE"""),284.33)</f>
        <v>284.33</v>
      </c>
      <c r="D1323" s="6">
        <f>IFERROR(__xludf.DUMMYFUNCTION("""COMPUTED_VALUE"""),276.3)</f>
        <v>276.3</v>
      </c>
      <c r="E1323" s="6">
        <f>IFERROR(__xludf.DUMMYFUNCTION("""COMPUTED_VALUE"""),278.47)</f>
        <v>278.47</v>
      </c>
      <c r="F1323" s="7">
        <f>IFERROR(__xludf.DUMMYFUNCTION("""COMPUTED_VALUE"""),1.2687883E7)</f>
        <v>12687883</v>
      </c>
      <c r="G1323" s="7" t="str">
        <f>IFERROR(__xludf.DUMMYFUNCTION("""COMPUTED_VALUE"""),"BPCL.NS")</f>
        <v>BPCL.NS</v>
      </c>
      <c r="H1323" s="8">
        <f t="shared" si="1"/>
        <v>0.005343153182</v>
      </c>
      <c r="I1323" s="8">
        <f t="shared" si="2"/>
        <v>0.005343153182</v>
      </c>
      <c r="J1323" s="7" t="str">
        <f t="shared" si="3"/>
        <v>Mar-2025</v>
      </c>
      <c r="K1323" s="9">
        <f t="shared" si="4"/>
        <v>45717</v>
      </c>
      <c r="L1323" s="7" t="str">
        <f t="shared" si="5"/>
        <v/>
      </c>
      <c r="M1323" s="7" t="str">
        <f>IFERROR(__xludf.DUMMYFUNCTION("IFERROR(
  IF(
    F1323 &gt;
    3*AVERAGE(
       FILTER($F$2:$F10491,
         $G$2:$G10491=G1323,
         $A$2:$A10491&gt;=A1323-20,
         $A$2:$A10491&lt;=A1323
       )
    ),
    ""VOL_SPIKE_3X"",""""
  ),
"""")
"),"")</f>
        <v/>
      </c>
      <c r="N1323" s="7" t="str">
        <f t="shared" si="6"/>
        <v/>
      </c>
      <c r="O1323" s="7" t="str">
        <f t="shared" si="7"/>
        <v/>
      </c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>
      <c r="A1324" s="5">
        <f>IFERROR(__xludf.DUMMYFUNCTION("""COMPUTED_VALUE"""),45744.0)</f>
        <v>45744</v>
      </c>
      <c r="B1324" s="6">
        <f>IFERROR(__xludf.DUMMYFUNCTION("""COMPUTED_VALUE"""),397.0)</f>
        <v>397</v>
      </c>
      <c r="C1324" s="6">
        <f>IFERROR(__xludf.DUMMYFUNCTION("""COMPUTED_VALUE"""),401.9)</f>
        <v>401.9</v>
      </c>
      <c r="D1324" s="6">
        <f>IFERROR(__xludf.DUMMYFUNCTION("""COMPUTED_VALUE"""),393.5)</f>
        <v>393.5</v>
      </c>
      <c r="E1324" s="6">
        <f>IFERROR(__xludf.DUMMYFUNCTION("""COMPUTED_VALUE"""),398.2)</f>
        <v>398.2</v>
      </c>
      <c r="F1324" s="7">
        <f>IFERROR(__xludf.DUMMYFUNCTION("""COMPUTED_VALUE"""),6923988.0)</f>
        <v>6923988</v>
      </c>
      <c r="G1324" s="7" t="str">
        <f>IFERROR(__xludf.DUMMYFUNCTION("""COMPUTED_VALUE"""),"COALINDIA.NS")</f>
        <v>COALINDIA.NS</v>
      </c>
      <c r="H1324" s="8">
        <f t="shared" si="1"/>
        <v>0.003022670025</v>
      </c>
      <c r="I1324" s="8">
        <f t="shared" si="2"/>
        <v>0.003022670025</v>
      </c>
      <c r="J1324" s="7" t="str">
        <f t="shared" si="3"/>
        <v>Mar-2025</v>
      </c>
      <c r="K1324" s="9">
        <f t="shared" si="4"/>
        <v>45717</v>
      </c>
      <c r="L1324" s="7" t="str">
        <f t="shared" si="5"/>
        <v/>
      </c>
      <c r="M1324" s="7" t="str">
        <f>IFERROR(__xludf.DUMMYFUNCTION("IFERROR(
  IF(
    F1324 &gt;
    3*AVERAGE(
       FILTER($F$2:$F10491,
         $G$2:$G10491=G1324,
         $A$2:$A10491&gt;=A1324-20,
         $A$2:$A10491&lt;=A1324
       )
    ),
    ""VOL_SPIKE_3X"",""""
  ),
"""")
"),"")</f>
        <v/>
      </c>
      <c r="N1324" s="7" t="str">
        <f t="shared" si="6"/>
        <v/>
      </c>
      <c r="O1324" s="7" t="str">
        <f t="shared" si="7"/>
        <v/>
      </c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>
      <c r="A1325" s="5">
        <f>IFERROR(__xludf.DUMMYFUNCTION("""COMPUTED_VALUE"""),45744.0)</f>
        <v>45744</v>
      </c>
      <c r="B1325" s="6">
        <f>IFERROR(__xludf.DUMMYFUNCTION("""COMPUTED_VALUE"""),363.75)</f>
        <v>363.75</v>
      </c>
      <c r="C1325" s="6">
        <f>IFERROR(__xludf.DUMMYFUNCTION("""COMPUTED_VALUE"""),369.35)</f>
        <v>369.35</v>
      </c>
      <c r="D1325" s="6">
        <f>IFERROR(__xludf.DUMMYFUNCTION("""COMPUTED_VALUE"""),358.05)</f>
        <v>358.05</v>
      </c>
      <c r="E1325" s="6">
        <f>IFERROR(__xludf.DUMMYFUNCTION("""COMPUTED_VALUE"""),360.35)</f>
        <v>360.35</v>
      </c>
      <c r="F1325" s="7">
        <f>IFERROR(__xludf.DUMMYFUNCTION("""COMPUTED_VALUE"""),5348515.0)</f>
        <v>5348515</v>
      </c>
      <c r="G1325" s="7" t="str">
        <f>IFERROR(__xludf.DUMMYFUNCTION("""COMPUTED_VALUE"""),"HINDPETRO.NS")</f>
        <v>HINDPETRO.NS</v>
      </c>
      <c r="H1325" s="8">
        <f t="shared" si="1"/>
        <v>-0.009347079038</v>
      </c>
      <c r="I1325" s="8">
        <f t="shared" si="2"/>
        <v>0.009347079038</v>
      </c>
      <c r="J1325" s="7" t="str">
        <f t="shared" si="3"/>
        <v>Mar-2025</v>
      </c>
      <c r="K1325" s="9">
        <f t="shared" si="4"/>
        <v>45717</v>
      </c>
      <c r="L1325" s="7" t="str">
        <f t="shared" si="5"/>
        <v/>
      </c>
      <c r="M1325" s="7" t="str">
        <f>IFERROR(__xludf.DUMMYFUNCTION("IFERROR(
  IF(
    F1325 &gt;
    3*AVERAGE(
       FILTER($F$2:$F10491,
         $G$2:$G10491=G1325,
         $A$2:$A10491&gt;=A1325-20,
         $A$2:$A10491&lt;=A1325
       )
    ),
    ""VOL_SPIKE_3X"",""""
  ),
"""")
"),"")</f>
        <v/>
      </c>
      <c r="N1325" s="7" t="str">
        <f t="shared" si="6"/>
        <v/>
      </c>
      <c r="O1325" s="7" t="str">
        <f t="shared" si="7"/>
        <v/>
      </c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>
      <c r="A1326" s="5">
        <f>IFERROR(__xludf.DUMMYFUNCTION("""COMPUTED_VALUE"""),45744.0)</f>
        <v>45744</v>
      </c>
      <c r="B1326" s="6">
        <f>IFERROR(__xludf.DUMMYFUNCTION("""COMPUTED_VALUE"""),130.0)</f>
        <v>130</v>
      </c>
      <c r="C1326" s="6">
        <f>IFERROR(__xludf.DUMMYFUNCTION("""COMPUTED_VALUE"""),131.27)</f>
        <v>131.27</v>
      </c>
      <c r="D1326" s="6">
        <f>IFERROR(__xludf.DUMMYFUNCTION("""COMPUTED_VALUE"""),127.5)</f>
        <v>127.5</v>
      </c>
      <c r="E1326" s="6">
        <f>IFERROR(__xludf.DUMMYFUNCTION("""COMPUTED_VALUE"""),127.7)</f>
        <v>127.7</v>
      </c>
      <c r="F1326" s="7">
        <f>IFERROR(__xludf.DUMMYFUNCTION("""COMPUTED_VALUE"""),1.5396398E7)</f>
        <v>15396398</v>
      </c>
      <c r="G1326" s="7" t="str">
        <f>IFERROR(__xludf.DUMMYFUNCTION("""COMPUTED_VALUE"""),"IOC.NS")</f>
        <v>IOC.NS</v>
      </c>
      <c r="H1326" s="8">
        <f t="shared" si="1"/>
        <v>-0.01769230769</v>
      </c>
      <c r="I1326" s="8">
        <f t="shared" si="2"/>
        <v>0.01769230769</v>
      </c>
      <c r="J1326" s="7" t="str">
        <f t="shared" si="3"/>
        <v>Mar-2025</v>
      </c>
      <c r="K1326" s="9">
        <f t="shared" si="4"/>
        <v>45717</v>
      </c>
      <c r="L1326" s="7" t="str">
        <f t="shared" si="5"/>
        <v/>
      </c>
      <c r="M1326" s="7" t="str">
        <f>IFERROR(__xludf.DUMMYFUNCTION("IFERROR(
  IF(
    F1326 &gt;
    3*AVERAGE(
       FILTER($F$2:$F10491,
         $G$2:$G10491=G1326,
         $A$2:$A10491&gt;=A1326-20,
         $A$2:$A10491&lt;=A1326
       )
    ),
    ""VOL_SPIKE_3X"",""""
  ),
"""")
"),"")</f>
        <v/>
      </c>
      <c r="N1326" s="7" t="str">
        <f t="shared" si="6"/>
        <v/>
      </c>
      <c r="O1326" s="7" t="str">
        <f t="shared" si="7"/>
        <v/>
      </c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>
      <c r="A1327" s="5">
        <f>IFERROR(__xludf.DUMMYFUNCTION("""COMPUTED_VALUE"""),45744.0)</f>
        <v>45744</v>
      </c>
      <c r="B1327" s="6">
        <f>IFERROR(__xludf.DUMMYFUNCTION("""COMPUTED_VALUE"""),362.0)</f>
        <v>362</v>
      </c>
      <c r="C1327" s="6">
        <f>IFERROR(__xludf.DUMMYFUNCTION("""COMPUTED_VALUE"""),364.3)</f>
        <v>364.3</v>
      </c>
      <c r="D1327" s="6">
        <f>IFERROR(__xludf.DUMMYFUNCTION("""COMPUTED_VALUE"""),356.45)</f>
        <v>356.45</v>
      </c>
      <c r="E1327" s="6">
        <f>IFERROR(__xludf.DUMMYFUNCTION("""COMPUTED_VALUE"""),357.6)</f>
        <v>357.6</v>
      </c>
      <c r="F1327" s="7">
        <f>IFERROR(__xludf.DUMMYFUNCTION("""COMPUTED_VALUE"""),1.1327077E7)</f>
        <v>11327077</v>
      </c>
      <c r="G1327" s="7" t="str">
        <f>IFERROR(__xludf.DUMMYFUNCTION("""COMPUTED_VALUE"""),"NTPC.NS")</f>
        <v>NTPC.NS</v>
      </c>
      <c r="H1327" s="8">
        <f t="shared" si="1"/>
        <v>-0.01215469613</v>
      </c>
      <c r="I1327" s="8">
        <f t="shared" si="2"/>
        <v>0.01215469613</v>
      </c>
      <c r="J1327" s="7" t="str">
        <f t="shared" si="3"/>
        <v>Mar-2025</v>
      </c>
      <c r="K1327" s="9">
        <f t="shared" si="4"/>
        <v>45717</v>
      </c>
      <c r="L1327" s="7" t="str">
        <f t="shared" si="5"/>
        <v/>
      </c>
      <c r="M1327" s="7" t="str">
        <f>IFERROR(__xludf.DUMMYFUNCTION("IFERROR(
  IF(
    F1327 &gt;
    3*AVERAGE(
       FILTER($F$2:$F10491,
         $G$2:$G10491=G1327,
         $A$2:$A10491&gt;=A1327-20,
         $A$2:$A10491&lt;=A1327
       )
    ),
    ""VOL_SPIKE_3X"",""""
  ),
"""")
"),"")</f>
        <v/>
      </c>
      <c r="N1327" s="7" t="str">
        <f t="shared" si="6"/>
        <v/>
      </c>
      <c r="O1327" s="7" t="str">
        <f t="shared" si="7"/>
        <v/>
      </c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>
      <c r="A1328" s="5">
        <f>IFERROR(__xludf.DUMMYFUNCTION("""COMPUTED_VALUE"""),45744.0)</f>
        <v>45744</v>
      </c>
      <c r="B1328" s="6">
        <f>IFERROR(__xludf.DUMMYFUNCTION("""COMPUTED_VALUE"""),243.44)</f>
        <v>243.44</v>
      </c>
      <c r="C1328" s="6">
        <f>IFERROR(__xludf.DUMMYFUNCTION("""COMPUTED_VALUE"""),254.9)</f>
        <v>254.9</v>
      </c>
      <c r="D1328" s="6">
        <f>IFERROR(__xludf.DUMMYFUNCTION("""COMPUTED_VALUE"""),243.26)</f>
        <v>243.26</v>
      </c>
      <c r="E1328" s="6">
        <f>IFERROR(__xludf.DUMMYFUNCTION("""COMPUTED_VALUE"""),246.38)</f>
        <v>246.38</v>
      </c>
      <c r="F1328" s="7">
        <f>IFERROR(__xludf.DUMMYFUNCTION("""COMPUTED_VALUE"""),3.2905564E7)</f>
        <v>32905564</v>
      </c>
      <c r="G1328" s="7" t="str">
        <f>IFERROR(__xludf.DUMMYFUNCTION("""COMPUTED_VALUE"""),"ONGC.NS")</f>
        <v>ONGC.NS</v>
      </c>
      <c r="H1328" s="8">
        <f t="shared" si="1"/>
        <v>0.0120768978</v>
      </c>
      <c r="I1328" s="8">
        <f t="shared" si="2"/>
        <v>0.0120768978</v>
      </c>
      <c r="J1328" s="7" t="str">
        <f t="shared" si="3"/>
        <v>Mar-2025</v>
      </c>
      <c r="K1328" s="9">
        <f t="shared" si="4"/>
        <v>45717</v>
      </c>
      <c r="L1328" s="7" t="str">
        <f t="shared" si="5"/>
        <v/>
      </c>
      <c r="M1328" s="7" t="str">
        <f>IFERROR(__xludf.DUMMYFUNCTION("IFERROR(
  IF(
    F1328 &gt;
    3*AVERAGE(
       FILTER($F$2:$F10491,
         $G$2:$G10491=G1328,
         $A$2:$A10491&gt;=A1328-20,
         $A$2:$A10491&lt;=A1328
       )
    ),
    ""VOL_SPIKE_3X"",""""
  ),
"""")
"),"")</f>
        <v/>
      </c>
      <c r="N1328" s="7" t="str">
        <f t="shared" si="6"/>
        <v/>
      </c>
      <c r="O1328" s="7" t="str">
        <f t="shared" si="7"/>
        <v/>
      </c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>
      <c r="A1329" s="5">
        <f>IFERROR(__xludf.DUMMYFUNCTION("""COMPUTED_VALUE"""),45744.0)</f>
        <v>45744</v>
      </c>
      <c r="B1329" s="6">
        <f>IFERROR(__xludf.DUMMYFUNCTION("""COMPUTED_VALUE"""),293.9)</f>
        <v>293.9</v>
      </c>
      <c r="C1329" s="6">
        <f>IFERROR(__xludf.DUMMYFUNCTION("""COMPUTED_VALUE"""),294.25)</f>
        <v>294.25</v>
      </c>
      <c r="D1329" s="6">
        <f>IFERROR(__xludf.DUMMYFUNCTION("""COMPUTED_VALUE"""),288.3)</f>
        <v>288.3</v>
      </c>
      <c r="E1329" s="6">
        <f>IFERROR(__xludf.DUMMYFUNCTION("""COMPUTED_VALUE"""),290.35)</f>
        <v>290.35</v>
      </c>
      <c r="F1329" s="7">
        <f>IFERROR(__xludf.DUMMYFUNCTION("""COMPUTED_VALUE"""),1.08349E7)</f>
        <v>10834900</v>
      </c>
      <c r="G1329" s="7" t="str">
        <f>IFERROR(__xludf.DUMMYFUNCTION("""COMPUTED_VALUE"""),"POWERGRID.NS")</f>
        <v>POWERGRID.NS</v>
      </c>
      <c r="H1329" s="8">
        <f t="shared" si="1"/>
        <v>-0.01207893841</v>
      </c>
      <c r="I1329" s="8">
        <f t="shared" si="2"/>
        <v>0.01207893841</v>
      </c>
      <c r="J1329" s="7" t="str">
        <f t="shared" si="3"/>
        <v>Mar-2025</v>
      </c>
      <c r="K1329" s="9">
        <f t="shared" si="4"/>
        <v>45717</v>
      </c>
      <c r="L1329" s="7" t="str">
        <f t="shared" si="5"/>
        <v/>
      </c>
      <c r="M1329" s="7" t="str">
        <f>IFERROR(__xludf.DUMMYFUNCTION("IFERROR(
  IF(
    F1329 &gt;
    3*AVERAGE(
       FILTER($F$2:$F10491,
         $G$2:$G10491=G1329,
         $A$2:$A10491&gt;=A1329-20,
         $A$2:$A10491&lt;=A1329
       )
    ),
    ""VOL_SPIKE_3X"",""""
  ),
"""")
"),"")</f>
        <v/>
      </c>
      <c r="N1329" s="7" t="str">
        <f t="shared" si="6"/>
        <v/>
      </c>
      <c r="O1329" s="7" t="str">
        <f t="shared" si="7"/>
        <v/>
      </c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>
      <c r="A1330" s="5">
        <f>IFERROR(__xludf.DUMMYFUNCTION("""COMPUTED_VALUE"""),45744.0)</f>
        <v>45744</v>
      </c>
      <c r="B1330" s="6">
        <f>IFERROR(__xludf.DUMMYFUNCTION("""COMPUTED_VALUE"""),1280.0)</f>
        <v>1280</v>
      </c>
      <c r="C1330" s="6">
        <f>IFERROR(__xludf.DUMMYFUNCTION("""COMPUTED_VALUE"""),1295.75)</f>
        <v>1295.75</v>
      </c>
      <c r="D1330" s="6">
        <f>IFERROR(__xludf.DUMMYFUNCTION("""COMPUTED_VALUE"""),1269.0)</f>
        <v>1269</v>
      </c>
      <c r="E1330" s="6">
        <f>IFERROR(__xludf.DUMMYFUNCTION("""COMPUTED_VALUE"""),1275.1)</f>
        <v>1275.1</v>
      </c>
      <c r="F1330" s="7">
        <f>IFERROR(__xludf.DUMMYFUNCTION("""COMPUTED_VALUE"""),1.8147129E7)</f>
        <v>18147129</v>
      </c>
      <c r="G1330" s="7" t="str">
        <f>IFERROR(__xludf.DUMMYFUNCTION("""COMPUTED_VALUE"""),"RELIANCE.NS")</f>
        <v>RELIANCE.NS</v>
      </c>
      <c r="H1330" s="8">
        <f t="shared" si="1"/>
        <v>-0.003828125</v>
      </c>
      <c r="I1330" s="8">
        <f t="shared" si="2"/>
        <v>0.003828125</v>
      </c>
      <c r="J1330" s="7" t="str">
        <f t="shared" si="3"/>
        <v>Mar-2025</v>
      </c>
      <c r="K1330" s="9">
        <f t="shared" si="4"/>
        <v>45717</v>
      </c>
      <c r="L1330" s="7" t="str">
        <f t="shared" si="5"/>
        <v/>
      </c>
      <c r="M1330" s="7" t="str">
        <f>IFERROR(__xludf.DUMMYFUNCTION("IFERROR(
  IF(
    F1330 &gt;
    3*AVERAGE(
       FILTER($F$2:$F10491,
         $G$2:$G10491=G1330,
         $A$2:$A10491&gt;=A1330-20,
         $A$2:$A10491&lt;=A1330
       )
    ),
    ""VOL_SPIKE_3X"",""""
  ),
"""")
"),"")</f>
        <v/>
      </c>
      <c r="N1330" s="7" t="str">
        <f t="shared" si="6"/>
        <v/>
      </c>
      <c r="O1330" s="7" t="str">
        <f t="shared" si="7"/>
        <v/>
      </c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>
      <c r="A1331" s="5">
        <f>IFERROR(__xludf.DUMMYFUNCTION("""COMPUTED_VALUE"""),45748.0)</f>
        <v>45748</v>
      </c>
      <c r="B1331" s="6">
        <f>IFERROR(__xludf.DUMMYFUNCTION("""COMPUTED_VALUE"""),857.4)</f>
        <v>857.4</v>
      </c>
      <c r="C1331" s="6">
        <f>IFERROR(__xludf.DUMMYFUNCTION("""COMPUTED_VALUE"""),884.9)</f>
        <v>884.9</v>
      </c>
      <c r="D1331" s="6">
        <f>IFERROR(__xludf.DUMMYFUNCTION("""COMPUTED_VALUE"""),856.1)</f>
        <v>856.1</v>
      </c>
      <c r="E1331" s="6">
        <f>IFERROR(__xludf.DUMMYFUNCTION("""COMPUTED_VALUE"""),866.35)</f>
        <v>866.35</v>
      </c>
      <c r="F1331" s="7">
        <f>IFERROR(__xludf.DUMMYFUNCTION("""COMPUTED_VALUE"""),1899810.0)</f>
        <v>1899810</v>
      </c>
      <c r="G1331" s="7" t="str">
        <f>IFERROR(__xludf.DUMMYFUNCTION("""COMPUTED_VALUE"""),"ADANIENSOL.NS")</f>
        <v>ADANIENSOL.NS</v>
      </c>
      <c r="H1331" s="8">
        <f t="shared" si="1"/>
        <v>0.01043853511</v>
      </c>
      <c r="I1331" s="8">
        <f t="shared" si="2"/>
        <v>0.01043853511</v>
      </c>
      <c r="J1331" s="7" t="str">
        <f t="shared" si="3"/>
        <v>Apr-2025</v>
      </c>
      <c r="K1331" s="9">
        <f t="shared" si="4"/>
        <v>45748</v>
      </c>
      <c r="L1331" s="7" t="str">
        <f t="shared" si="5"/>
        <v/>
      </c>
      <c r="M1331" s="7" t="str">
        <f>IFERROR(__xludf.DUMMYFUNCTION("IFERROR(
  IF(
    F1331 &gt;
    3*AVERAGE(
       FILTER($F$2:$F10491,
         $G$2:$G10491=G1331,
         $A$2:$A10491&gt;=A1331-20,
         $A$2:$A10491&lt;=A1331
       )
    ),
    ""VOL_SPIKE_3X"",""""
  ),
"""")
"),"")</f>
        <v/>
      </c>
      <c r="N1331" s="7" t="str">
        <f t="shared" si="6"/>
        <v/>
      </c>
      <c r="O1331" s="7" t="str">
        <f t="shared" si="7"/>
        <v/>
      </c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>
      <c r="A1332" s="5">
        <f>IFERROR(__xludf.DUMMYFUNCTION("""COMPUTED_VALUE"""),45748.0)</f>
        <v>45748</v>
      </c>
      <c r="B1332" s="6">
        <f>IFERROR(__xludf.DUMMYFUNCTION("""COMPUTED_VALUE"""),948.0)</f>
        <v>948</v>
      </c>
      <c r="C1332" s="6">
        <f>IFERROR(__xludf.DUMMYFUNCTION("""COMPUTED_VALUE"""),962.0)</f>
        <v>962</v>
      </c>
      <c r="D1332" s="6">
        <f>IFERROR(__xludf.DUMMYFUNCTION("""COMPUTED_VALUE"""),916.65)</f>
        <v>916.65</v>
      </c>
      <c r="E1332" s="6">
        <f>IFERROR(__xludf.DUMMYFUNCTION("""COMPUTED_VALUE"""),919.15)</f>
        <v>919.15</v>
      </c>
      <c r="F1332" s="7">
        <f>IFERROR(__xludf.DUMMYFUNCTION("""COMPUTED_VALUE"""),3393666.0)</f>
        <v>3393666</v>
      </c>
      <c r="G1332" s="7" t="str">
        <f>IFERROR(__xludf.DUMMYFUNCTION("""COMPUTED_VALUE"""),"ADANIGREEN.NS")</f>
        <v>ADANIGREEN.NS</v>
      </c>
      <c r="H1332" s="8">
        <f t="shared" si="1"/>
        <v>-0.03043248945</v>
      </c>
      <c r="I1332" s="8">
        <f t="shared" si="2"/>
        <v>0.03043248945</v>
      </c>
      <c r="J1332" s="7" t="str">
        <f t="shared" si="3"/>
        <v>Apr-2025</v>
      </c>
      <c r="K1332" s="9">
        <f t="shared" si="4"/>
        <v>45748</v>
      </c>
      <c r="L1332" s="7" t="str">
        <f t="shared" si="5"/>
        <v/>
      </c>
      <c r="M1332" s="7" t="str">
        <f>IFERROR(__xludf.DUMMYFUNCTION("IFERROR(
  IF(
    F1332 &gt;
    3*AVERAGE(
       FILTER($F$2:$F10491,
         $G$2:$G10491=G1332,
         $A$2:$A10491&gt;=A1332-20,
         $A$2:$A10491&lt;=A1332
       )
    ),
    ""VOL_SPIKE_3X"",""""
  ),
"""")
"),"")</f>
        <v/>
      </c>
      <c r="N1332" s="7" t="str">
        <f t="shared" si="6"/>
        <v/>
      </c>
      <c r="O1332" s="7" t="str">
        <f t="shared" si="7"/>
        <v/>
      </c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>
      <c r="A1333" s="5">
        <f>IFERROR(__xludf.DUMMYFUNCTION("""COMPUTED_VALUE"""),45748.0)</f>
        <v>45748</v>
      </c>
      <c r="B1333" s="6">
        <f>IFERROR(__xludf.DUMMYFUNCTION("""COMPUTED_VALUE"""),275.0)</f>
        <v>275</v>
      </c>
      <c r="C1333" s="6">
        <f>IFERROR(__xludf.DUMMYFUNCTION("""COMPUTED_VALUE"""),287.0)</f>
        <v>287</v>
      </c>
      <c r="D1333" s="6">
        <f>IFERROR(__xludf.DUMMYFUNCTION("""COMPUTED_VALUE"""),275.0)</f>
        <v>275</v>
      </c>
      <c r="E1333" s="6">
        <f>IFERROR(__xludf.DUMMYFUNCTION("""COMPUTED_VALUE"""),284.6)</f>
        <v>284.6</v>
      </c>
      <c r="F1333" s="7">
        <f>IFERROR(__xludf.DUMMYFUNCTION("""COMPUTED_VALUE"""),2.0780255E7)</f>
        <v>20780255</v>
      </c>
      <c r="G1333" s="7" t="str">
        <f>IFERROR(__xludf.DUMMYFUNCTION("""COMPUTED_VALUE"""),"BPCL.NS")</f>
        <v>BPCL.NS</v>
      </c>
      <c r="H1333" s="8">
        <f t="shared" si="1"/>
        <v>0.03490909091</v>
      </c>
      <c r="I1333" s="8">
        <f t="shared" si="2"/>
        <v>0.03490909091</v>
      </c>
      <c r="J1333" s="7" t="str">
        <f t="shared" si="3"/>
        <v>Apr-2025</v>
      </c>
      <c r="K1333" s="9">
        <f t="shared" si="4"/>
        <v>45748</v>
      </c>
      <c r="L1333" s="7" t="str">
        <f t="shared" si="5"/>
        <v/>
      </c>
      <c r="M1333" s="7" t="str">
        <f>IFERROR(__xludf.DUMMYFUNCTION("IFERROR(
  IF(
    F1333 &gt;
    3*AVERAGE(
       FILTER($F$2:$F10491,
         $G$2:$G10491=G1333,
         $A$2:$A10491&gt;=A1333-20,
         $A$2:$A10491&lt;=A1333
       )
    ),
    ""VOL_SPIKE_3X"",""""
  ),
"""")
"),"")</f>
        <v/>
      </c>
      <c r="N1333" s="7" t="str">
        <f t="shared" si="6"/>
        <v/>
      </c>
      <c r="O1333" s="7" t="str">
        <f t="shared" si="7"/>
        <v/>
      </c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>
      <c r="A1334" s="5">
        <f>IFERROR(__xludf.DUMMYFUNCTION("""COMPUTED_VALUE"""),45748.0)</f>
        <v>45748</v>
      </c>
      <c r="B1334" s="6">
        <f>IFERROR(__xludf.DUMMYFUNCTION("""COMPUTED_VALUE"""),397.8)</f>
        <v>397.8</v>
      </c>
      <c r="C1334" s="6">
        <f>IFERROR(__xludf.DUMMYFUNCTION("""COMPUTED_VALUE"""),402.55)</f>
        <v>402.55</v>
      </c>
      <c r="D1334" s="6">
        <f>IFERROR(__xludf.DUMMYFUNCTION("""COMPUTED_VALUE"""),395.05)</f>
        <v>395.05</v>
      </c>
      <c r="E1334" s="6">
        <f>IFERROR(__xludf.DUMMYFUNCTION("""COMPUTED_VALUE"""),397.65)</f>
        <v>397.65</v>
      </c>
      <c r="F1334" s="7">
        <f>IFERROR(__xludf.DUMMYFUNCTION("""COMPUTED_VALUE"""),4332950.0)</f>
        <v>4332950</v>
      </c>
      <c r="G1334" s="7" t="str">
        <f>IFERROR(__xludf.DUMMYFUNCTION("""COMPUTED_VALUE"""),"COALINDIA.NS")</f>
        <v>COALINDIA.NS</v>
      </c>
      <c r="H1334" s="8">
        <f t="shared" si="1"/>
        <v>-0.0003770739065</v>
      </c>
      <c r="I1334" s="8">
        <f t="shared" si="2"/>
        <v>0.0003770739065</v>
      </c>
      <c r="J1334" s="7" t="str">
        <f t="shared" si="3"/>
        <v>Apr-2025</v>
      </c>
      <c r="K1334" s="9">
        <f t="shared" si="4"/>
        <v>45748</v>
      </c>
      <c r="L1334" s="7" t="str">
        <f t="shared" si="5"/>
        <v/>
      </c>
      <c r="M1334" s="7" t="str">
        <f>IFERROR(__xludf.DUMMYFUNCTION("IFERROR(
  IF(
    F1334 &gt;
    3*AVERAGE(
       FILTER($F$2:$F10491,
         $G$2:$G10491=G1334,
         $A$2:$A10491&gt;=A1334-20,
         $A$2:$A10491&lt;=A1334
       )
    ),
    ""VOL_SPIKE_3X"",""""
  ),
"""")
"),"")</f>
        <v/>
      </c>
      <c r="N1334" s="7" t="str">
        <f t="shared" si="6"/>
        <v/>
      </c>
      <c r="O1334" s="7" t="str">
        <f t="shared" si="7"/>
        <v/>
      </c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>
      <c r="A1335" s="5">
        <f>IFERROR(__xludf.DUMMYFUNCTION("""COMPUTED_VALUE"""),45748.0)</f>
        <v>45748</v>
      </c>
      <c r="B1335" s="6">
        <f>IFERROR(__xludf.DUMMYFUNCTION("""COMPUTED_VALUE"""),354.8)</f>
        <v>354.8</v>
      </c>
      <c r="C1335" s="6">
        <f>IFERROR(__xludf.DUMMYFUNCTION("""COMPUTED_VALUE"""),363.5)</f>
        <v>363.5</v>
      </c>
      <c r="D1335" s="6">
        <f>IFERROR(__xludf.DUMMYFUNCTION("""COMPUTED_VALUE"""),349.6)</f>
        <v>349.6</v>
      </c>
      <c r="E1335" s="6">
        <f>IFERROR(__xludf.DUMMYFUNCTION("""COMPUTED_VALUE"""),361.7)</f>
        <v>361.7</v>
      </c>
      <c r="F1335" s="7">
        <f>IFERROR(__xludf.DUMMYFUNCTION("""COMPUTED_VALUE"""),5111753.0)</f>
        <v>5111753</v>
      </c>
      <c r="G1335" s="7" t="str">
        <f>IFERROR(__xludf.DUMMYFUNCTION("""COMPUTED_VALUE"""),"HINDPETRO.NS")</f>
        <v>HINDPETRO.NS</v>
      </c>
      <c r="H1335" s="8">
        <f t="shared" si="1"/>
        <v>0.0194475761</v>
      </c>
      <c r="I1335" s="8">
        <f t="shared" si="2"/>
        <v>0.0194475761</v>
      </c>
      <c r="J1335" s="7" t="str">
        <f t="shared" si="3"/>
        <v>Apr-2025</v>
      </c>
      <c r="K1335" s="9">
        <f t="shared" si="4"/>
        <v>45748</v>
      </c>
      <c r="L1335" s="7" t="str">
        <f t="shared" si="5"/>
        <v/>
      </c>
      <c r="M1335" s="7" t="str">
        <f>IFERROR(__xludf.DUMMYFUNCTION("IFERROR(
  IF(
    F1335 &gt;
    3*AVERAGE(
       FILTER($F$2:$F10491,
         $G$2:$G10491=G1335,
         $A$2:$A10491&gt;=A1335-20,
         $A$2:$A10491&lt;=A1335
       )
    ),
    ""VOL_SPIKE_3X"",""""
  ),
"""")
"),"")</f>
        <v/>
      </c>
      <c r="N1335" s="7" t="str">
        <f t="shared" si="6"/>
        <v/>
      </c>
      <c r="O1335" s="7" t="str">
        <f t="shared" si="7"/>
        <v/>
      </c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>
      <c r="A1336" s="5">
        <f>IFERROR(__xludf.DUMMYFUNCTION("""COMPUTED_VALUE"""),45748.0)</f>
        <v>45748</v>
      </c>
      <c r="B1336" s="6">
        <f>IFERROR(__xludf.DUMMYFUNCTION("""COMPUTED_VALUE"""),128.0)</f>
        <v>128</v>
      </c>
      <c r="C1336" s="6">
        <f>IFERROR(__xludf.DUMMYFUNCTION("""COMPUTED_VALUE"""),131.5)</f>
        <v>131.5</v>
      </c>
      <c r="D1336" s="6">
        <f>IFERROR(__xludf.DUMMYFUNCTION("""COMPUTED_VALUE"""),127.25)</f>
        <v>127.25</v>
      </c>
      <c r="E1336" s="6">
        <f>IFERROR(__xludf.DUMMYFUNCTION("""COMPUTED_VALUE"""),131.24)</f>
        <v>131.24</v>
      </c>
      <c r="F1336" s="7">
        <f>IFERROR(__xludf.DUMMYFUNCTION("""COMPUTED_VALUE"""),1.2740476E7)</f>
        <v>12740476</v>
      </c>
      <c r="G1336" s="7" t="str">
        <f>IFERROR(__xludf.DUMMYFUNCTION("""COMPUTED_VALUE"""),"IOC.NS")</f>
        <v>IOC.NS</v>
      </c>
      <c r="H1336" s="8">
        <f t="shared" si="1"/>
        <v>0.0253125</v>
      </c>
      <c r="I1336" s="8">
        <f t="shared" si="2"/>
        <v>0.0253125</v>
      </c>
      <c r="J1336" s="7" t="str">
        <f t="shared" si="3"/>
        <v>Apr-2025</v>
      </c>
      <c r="K1336" s="9">
        <f t="shared" si="4"/>
        <v>45748</v>
      </c>
      <c r="L1336" s="7" t="str">
        <f t="shared" si="5"/>
        <v/>
      </c>
      <c r="M1336" s="7" t="str">
        <f>IFERROR(__xludf.DUMMYFUNCTION("IFERROR(
  IF(
    F1336 &gt;
    3*AVERAGE(
       FILTER($F$2:$F10491,
         $G$2:$G10491=G1336,
         $A$2:$A10491&gt;=A1336-20,
         $A$2:$A10491&lt;=A1336
       )
    ),
    ""VOL_SPIKE_3X"",""""
  ),
"""")
"),"")</f>
        <v/>
      </c>
      <c r="N1336" s="7" t="str">
        <f t="shared" si="6"/>
        <v/>
      </c>
      <c r="O1336" s="7" t="str">
        <f t="shared" si="7"/>
        <v/>
      </c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>
      <c r="A1337" s="5">
        <f>IFERROR(__xludf.DUMMYFUNCTION("""COMPUTED_VALUE"""),45748.0)</f>
        <v>45748</v>
      </c>
      <c r="B1337" s="6">
        <f>IFERROR(__xludf.DUMMYFUNCTION("""COMPUTED_VALUE"""),352.35)</f>
        <v>352.35</v>
      </c>
      <c r="C1337" s="6">
        <f>IFERROR(__xludf.DUMMYFUNCTION("""COMPUTED_VALUE"""),362.9)</f>
        <v>362.9</v>
      </c>
      <c r="D1337" s="6">
        <f>IFERROR(__xludf.DUMMYFUNCTION("""COMPUTED_VALUE"""),350.85)</f>
        <v>350.85</v>
      </c>
      <c r="E1337" s="6">
        <f>IFERROR(__xludf.DUMMYFUNCTION("""COMPUTED_VALUE"""),352.15)</f>
        <v>352.15</v>
      </c>
      <c r="F1337" s="7">
        <f>IFERROR(__xludf.DUMMYFUNCTION("""COMPUTED_VALUE"""),1.873632E7)</f>
        <v>18736320</v>
      </c>
      <c r="G1337" s="7" t="str">
        <f>IFERROR(__xludf.DUMMYFUNCTION("""COMPUTED_VALUE"""),"NTPC.NS")</f>
        <v>NTPC.NS</v>
      </c>
      <c r="H1337" s="8">
        <f t="shared" si="1"/>
        <v>-0.0005676174259</v>
      </c>
      <c r="I1337" s="8">
        <f t="shared" si="2"/>
        <v>0.0005676174259</v>
      </c>
      <c r="J1337" s="7" t="str">
        <f t="shared" si="3"/>
        <v>Apr-2025</v>
      </c>
      <c r="K1337" s="9">
        <f t="shared" si="4"/>
        <v>45748</v>
      </c>
      <c r="L1337" s="7" t="str">
        <f t="shared" si="5"/>
        <v/>
      </c>
      <c r="M1337" s="7" t="str">
        <f>IFERROR(__xludf.DUMMYFUNCTION("IFERROR(
  IF(
    F1337 &gt;
    3*AVERAGE(
       FILTER($F$2:$F10491,
         $G$2:$G10491=G1337,
         $A$2:$A10491&gt;=A1337-20,
         $A$2:$A10491&lt;=A1337
       )
    ),
    ""VOL_SPIKE_3X"",""""
  ),
"""")
"),"")</f>
        <v/>
      </c>
      <c r="N1337" s="7" t="str">
        <f t="shared" si="6"/>
        <v/>
      </c>
      <c r="O1337" s="7" t="str">
        <f t="shared" si="7"/>
        <v/>
      </c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>
      <c r="A1338" s="5">
        <f>IFERROR(__xludf.DUMMYFUNCTION("""COMPUTED_VALUE"""),45748.0)</f>
        <v>45748</v>
      </c>
      <c r="B1338" s="6">
        <f>IFERROR(__xludf.DUMMYFUNCTION("""COMPUTED_VALUE"""),247.0)</f>
        <v>247</v>
      </c>
      <c r="C1338" s="6">
        <f>IFERROR(__xludf.DUMMYFUNCTION("""COMPUTED_VALUE"""),252.2)</f>
        <v>252.2</v>
      </c>
      <c r="D1338" s="6">
        <f>IFERROR(__xludf.DUMMYFUNCTION("""COMPUTED_VALUE"""),246.7)</f>
        <v>246.7</v>
      </c>
      <c r="E1338" s="6">
        <f>IFERROR(__xludf.DUMMYFUNCTION("""COMPUTED_VALUE"""),248.07)</f>
        <v>248.07</v>
      </c>
      <c r="F1338" s="7">
        <f>IFERROR(__xludf.DUMMYFUNCTION("""COMPUTED_VALUE"""),1.1258957E7)</f>
        <v>11258957</v>
      </c>
      <c r="G1338" s="7" t="str">
        <f>IFERROR(__xludf.DUMMYFUNCTION("""COMPUTED_VALUE"""),"ONGC.NS")</f>
        <v>ONGC.NS</v>
      </c>
      <c r="H1338" s="8">
        <f t="shared" si="1"/>
        <v>0.004331983806</v>
      </c>
      <c r="I1338" s="8">
        <f t="shared" si="2"/>
        <v>0.004331983806</v>
      </c>
      <c r="J1338" s="7" t="str">
        <f t="shared" si="3"/>
        <v>Apr-2025</v>
      </c>
      <c r="K1338" s="9">
        <f t="shared" si="4"/>
        <v>45748</v>
      </c>
      <c r="L1338" s="7" t="str">
        <f t="shared" si="5"/>
        <v/>
      </c>
      <c r="M1338" s="7" t="str">
        <f>IFERROR(__xludf.DUMMYFUNCTION("IFERROR(
  IF(
    F1338 &gt;
    3*AVERAGE(
       FILTER($F$2:$F10491,
         $G$2:$G10491=G1338,
         $A$2:$A10491&gt;=A1338-20,
         $A$2:$A10491&lt;=A1338
       )
    ),
    ""VOL_SPIKE_3X"",""""
  ),
"""")
"),"")</f>
        <v/>
      </c>
      <c r="N1338" s="7" t="str">
        <f t="shared" si="6"/>
        <v/>
      </c>
      <c r="O1338" s="7" t="str">
        <f t="shared" si="7"/>
        <v/>
      </c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>
      <c r="A1339" s="5">
        <f>IFERROR(__xludf.DUMMYFUNCTION("""COMPUTED_VALUE"""),45748.0)</f>
        <v>45748</v>
      </c>
      <c r="B1339" s="6">
        <f>IFERROR(__xludf.DUMMYFUNCTION("""COMPUTED_VALUE"""),289.6)</f>
        <v>289.6</v>
      </c>
      <c r="C1339" s="6">
        <f>IFERROR(__xludf.DUMMYFUNCTION("""COMPUTED_VALUE"""),296.95)</f>
        <v>296.95</v>
      </c>
      <c r="D1339" s="6">
        <f>IFERROR(__xludf.DUMMYFUNCTION("""COMPUTED_VALUE"""),287.0)</f>
        <v>287</v>
      </c>
      <c r="E1339" s="6">
        <f>IFERROR(__xludf.DUMMYFUNCTION("""COMPUTED_VALUE"""),289.3)</f>
        <v>289.3</v>
      </c>
      <c r="F1339" s="7">
        <f>IFERROR(__xludf.DUMMYFUNCTION("""COMPUTED_VALUE"""),1.1603556E7)</f>
        <v>11603556</v>
      </c>
      <c r="G1339" s="7" t="str">
        <f>IFERROR(__xludf.DUMMYFUNCTION("""COMPUTED_VALUE"""),"POWERGRID.NS")</f>
        <v>POWERGRID.NS</v>
      </c>
      <c r="H1339" s="8">
        <f t="shared" si="1"/>
        <v>-0.001035911602</v>
      </c>
      <c r="I1339" s="8">
        <f t="shared" si="2"/>
        <v>0.001035911602</v>
      </c>
      <c r="J1339" s="7" t="str">
        <f t="shared" si="3"/>
        <v>Apr-2025</v>
      </c>
      <c r="K1339" s="9">
        <f t="shared" si="4"/>
        <v>45748</v>
      </c>
      <c r="L1339" s="7" t="str">
        <f t="shared" si="5"/>
        <v/>
      </c>
      <c r="M1339" s="7" t="str">
        <f>IFERROR(__xludf.DUMMYFUNCTION("IFERROR(
  IF(
    F1339 &gt;
    3*AVERAGE(
       FILTER($F$2:$F10491,
         $G$2:$G10491=G1339,
         $A$2:$A10491&gt;=A1339-20,
         $A$2:$A10491&lt;=A1339
       )
    ),
    ""VOL_SPIKE_3X"",""""
  ),
"""")
"),"")</f>
        <v/>
      </c>
      <c r="N1339" s="7" t="str">
        <f t="shared" si="6"/>
        <v/>
      </c>
      <c r="O1339" s="7" t="str">
        <f t="shared" si="7"/>
        <v/>
      </c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>
      <c r="A1340" s="5">
        <f>IFERROR(__xludf.DUMMYFUNCTION("""COMPUTED_VALUE"""),45748.0)</f>
        <v>45748</v>
      </c>
      <c r="B1340" s="6">
        <f>IFERROR(__xludf.DUMMYFUNCTION("""COMPUTED_VALUE"""),1264.6)</f>
        <v>1264.6</v>
      </c>
      <c r="C1340" s="6">
        <f>IFERROR(__xludf.DUMMYFUNCTION("""COMPUTED_VALUE"""),1277.9)</f>
        <v>1277.9</v>
      </c>
      <c r="D1340" s="6">
        <f>IFERROR(__xludf.DUMMYFUNCTION("""COMPUTED_VALUE"""),1249.3)</f>
        <v>1249.3</v>
      </c>
      <c r="E1340" s="6">
        <f>IFERROR(__xludf.DUMMYFUNCTION("""COMPUTED_VALUE"""),1252.6)</f>
        <v>1252.6</v>
      </c>
      <c r="F1340" s="7">
        <f>IFERROR(__xludf.DUMMYFUNCTION("""COMPUTED_VALUE"""),1.2099648E7)</f>
        <v>12099648</v>
      </c>
      <c r="G1340" s="7" t="str">
        <f>IFERROR(__xludf.DUMMYFUNCTION("""COMPUTED_VALUE"""),"RELIANCE.NS")</f>
        <v>RELIANCE.NS</v>
      </c>
      <c r="H1340" s="8">
        <f t="shared" si="1"/>
        <v>-0.009489166535</v>
      </c>
      <c r="I1340" s="8">
        <f t="shared" si="2"/>
        <v>0.009489166535</v>
      </c>
      <c r="J1340" s="7" t="str">
        <f t="shared" si="3"/>
        <v>Apr-2025</v>
      </c>
      <c r="K1340" s="9">
        <f t="shared" si="4"/>
        <v>45748</v>
      </c>
      <c r="L1340" s="7" t="str">
        <f t="shared" si="5"/>
        <v/>
      </c>
      <c r="M1340" s="7" t="str">
        <f>IFERROR(__xludf.DUMMYFUNCTION("IFERROR(
  IF(
    F1340 &gt;
    3*AVERAGE(
       FILTER($F$2:$F10491,
         $G$2:$G10491=G1340,
         $A$2:$A10491&gt;=A1340-20,
         $A$2:$A10491&lt;=A1340
       )
    ),
    ""VOL_SPIKE_3X"",""""
  ),
"""")
"),"")</f>
        <v/>
      </c>
      <c r="N1340" s="7" t="str">
        <f t="shared" si="6"/>
        <v/>
      </c>
      <c r="O1340" s="7" t="str">
        <f t="shared" si="7"/>
        <v/>
      </c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>
      <c r="A1341" s="5">
        <f>IFERROR(__xludf.DUMMYFUNCTION("""COMPUTED_VALUE"""),45749.0)</f>
        <v>45749</v>
      </c>
      <c r="B1341" s="6">
        <f>IFERROR(__xludf.DUMMYFUNCTION("""COMPUTED_VALUE"""),864.7)</f>
        <v>864.7</v>
      </c>
      <c r="C1341" s="6">
        <f>IFERROR(__xludf.DUMMYFUNCTION("""COMPUTED_VALUE"""),871.0)</f>
        <v>871</v>
      </c>
      <c r="D1341" s="6">
        <f>IFERROR(__xludf.DUMMYFUNCTION("""COMPUTED_VALUE"""),839.3)</f>
        <v>839.3</v>
      </c>
      <c r="E1341" s="6">
        <f>IFERROR(__xludf.DUMMYFUNCTION("""COMPUTED_VALUE"""),867.9)</f>
        <v>867.9</v>
      </c>
      <c r="F1341" s="7">
        <f>IFERROR(__xludf.DUMMYFUNCTION("""COMPUTED_VALUE"""),1554834.0)</f>
        <v>1554834</v>
      </c>
      <c r="G1341" s="7" t="str">
        <f>IFERROR(__xludf.DUMMYFUNCTION("""COMPUTED_VALUE"""),"ADANIENSOL.NS")</f>
        <v>ADANIENSOL.NS</v>
      </c>
      <c r="H1341" s="8">
        <f t="shared" si="1"/>
        <v>0.003700705447</v>
      </c>
      <c r="I1341" s="8">
        <f t="shared" si="2"/>
        <v>0.003700705447</v>
      </c>
      <c r="J1341" s="7" t="str">
        <f t="shared" si="3"/>
        <v>Apr-2025</v>
      </c>
      <c r="K1341" s="9">
        <f t="shared" si="4"/>
        <v>45748</v>
      </c>
      <c r="L1341" s="7" t="str">
        <f t="shared" si="5"/>
        <v/>
      </c>
      <c r="M1341" s="7" t="str">
        <f>IFERROR(__xludf.DUMMYFUNCTION("IFERROR(
  IF(
    F1341 &gt;
    3*AVERAGE(
       FILTER($F$2:$F10491,
         $G$2:$G10491=G1341,
         $A$2:$A10491&gt;=A1341-20,
         $A$2:$A10491&lt;=A1341
       )
    ),
    ""VOL_SPIKE_3X"",""""
  ),
"""")
"),"")</f>
        <v/>
      </c>
      <c r="N1341" s="7" t="str">
        <f t="shared" si="6"/>
        <v/>
      </c>
      <c r="O1341" s="7" t="str">
        <f t="shared" si="7"/>
        <v/>
      </c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>
      <c r="A1342" s="5">
        <f>IFERROR(__xludf.DUMMYFUNCTION("""COMPUTED_VALUE"""),45749.0)</f>
        <v>45749</v>
      </c>
      <c r="B1342" s="6">
        <f>IFERROR(__xludf.DUMMYFUNCTION("""COMPUTED_VALUE"""),926.9)</f>
        <v>926.9</v>
      </c>
      <c r="C1342" s="6">
        <f>IFERROR(__xludf.DUMMYFUNCTION("""COMPUTED_VALUE"""),945.1)</f>
        <v>945.1</v>
      </c>
      <c r="D1342" s="6">
        <f>IFERROR(__xludf.DUMMYFUNCTION("""COMPUTED_VALUE"""),910.7)</f>
        <v>910.7</v>
      </c>
      <c r="E1342" s="6">
        <f>IFERROR(__xludf.DUMMYFUNCTION("""COMPUTED_VALUE"""),943.05)</f>
        <v>943.05</v>
      </c>
      <c r="F1342" s="7">
        <f>IFERROR(__xludf.DUMMYFUNCTION("""COMPUTED_VALUE"""),2965379.0)</f>
        <v>2965379</v>
      </c>
      <c r="G1342" s="7" t="str">
        <f>IFERROR(__xludf.DUMMYFUNCTION("""COMPUTED_VALUE"""),"ADANIGREEN.NS")</f>
        <v>ADANIGREEN.NS</v>
      </c>
      <c r="H1342" s="8">
        <f t="shared" si="1"/>
        <v>0.0174236703</v>
      </c>
      <c r="I1342" s="8">
        <f t="shared" si="2"/>
        <v>0.0174236703</v>
      </c>
      <c r="J1342" s="7" t="str">
        <f t="shared" si="3"/>
        <v>Apr-2025</v>
      </c>
      <c r="K1342" s="9">
        <f t="shared" si="4"/>
        <v>45748</v>
      </c>
      <c r="L1342" s="7" t="str">
        <f t="shared" si="5"/>
        <v/>
      </c>
      <c r="M1342" s="7" t="str">
        <f>IFERROR(__xludf.DUMMYFUNCTION("IFERROR(
  IF(
    F1342 &gt;
    3*AVERAGE(
       FILTER($F$2:$F10491,
         $G$2:$G10491=G1342,
         $A$2:$A10491&gt;=A1342-20,
         $A$2:$A10491&lt;=A1342
       )
    ),
    ""VOL_SPIKE_3X"",""""
  ),
"""")
"),"")</f>
        <v/>
      </c>
      <c r="N1342" s="7" t="str">
        <f t="shared" si="6"/>
        <v/>
      </c>
      <c r="O1342" s="7" t="str">
        <f t="shared" si="7"/>
        <v/>
      </c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>
      <c r="A1343" s="5">
        <f>IFERROR(__xludf.DUMMYFUNCTION("""COMPUTED_VALUE"""),45749.0)</f>
        <v>45749</v>
      </c>
      <c r="B1343" s="6">
        <f>IFERROR(__xludf.DUMMYFUNCTION("""COMPUTED_VALUE"""),283.05)</f>
        <v>283.05</v>
      </c>
      <c r="C1343" s="6">
        <f>IFERROR(__xludf.DUMMYFUNCTION("""COMPUTED_VALUE"""),288.05)</f>
        <v>288.05</v>
      </c>
      <c r="D1343" s="6">
        <f>IFERROR(__xludf.DUMMYFUNCTION("""COMPUTED_VALUE"""),277.7)</f>
        <v>277.7</v>
      </c>
      <c r="E1343" s="6">
        <f>IFERROR(__xludf.DUMMYFUNCTION("""COMPUTED_VALUE"""),286.8)</f>
        <v>286.8</v>
      </c>
      <c r="F1343" s="7">
        <f>IFERROR(__xludf.DUMMYFUNCTION("""COMPUTED_VALUE"""),1.2058406E7)</f>
        <v>12058406</v>
      </c>
      <c r="G1343" s="7" t="str">
        <f>IFERROR(__xludf.DUMMYFUNCTION("""COMPUTED_VALUE"""),"BPCL.NS")</f>
        <v>BPCL.NS</v>
      </c>
      <c r="H1343" s="8">
        <f t="shared" si="1"/>
        <v>0.01324854266</v>
      </c>
      <c r="I1343" s="8">
        <f t="shared" si="2"/>
        <v>0.01324854266</v>
      </c>
      <c r="J1343" s="7" t="str">
        <f t="shared" si="3"/>
        <v>Apr-2025</v>
      </c>
      <c r="K1343" s="9">
        <f t="shared" si="4"/>
        <v>45748</v>
      </c>
      <c r="L1343" s="7" t="str">
        <f t="shared" si="5"/>
        <v/>
      </c>
      <c r="M1343" s="7" t="str">
        <f>IFERROR(__xludf.DUMMYFUNCTION("IFERROR(
  IF(
    F1343 &gt;
    3*AVERAGE(
       FILTER($F$2:$F10491,
         $G$2:$G10491=G1343,
         $A$2:$A10491&gt;=A1343-20,
         $A$2:$A10491&lt;=A1343
       )
    ),
    ""VOL_SPIKE_3X"",""""
  ),
"""")
"),"")</f>
        <v/>
      </c>
      <c r="N1343" s="7" t="str">
        <f t="shared" si="6"/>
        <v/>
      </c>
      <c r="O1343" s="7" t="str">
        <f t="shared" si="7"/>
        <v/>
      </c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>
      <c r="A1344" s="5">
        <f>IFERROR(__xludf.DUMMYFUNCTION("""COMPUTED_VALUE"""),45749.0)</f>
        <v>45749</v>
      </c>
      <c r="B1344" s="6">
        <f>IFERROR(__xludf.DUMMYFUNCTION("""COMPUTED_VALUE"""),401.6)</f>
        <v>401.6</v>
      </c>
      <c r="C1344" s="6">
        <f>IFERROR(__xludf.DUMMYFUNCTION("""COMPUTED_VALUE"""),401.6)</f>
        <v>401.6</v>
      </c>
      <c r="D1344" s="6">
        <f>IFERROR(__xludf.DUMMYFUNCTION("""COMPUTED_VALUE"""),391.5)</f>
        <v>391.5</v>
      </c>
      <c r="E1344" s="6">
        <f>IFERROR(__xludf.DUMMYFUNCTION("""COMPUTED_VALUE"""),397.5)</f>
        <v>397.5</v>
      </c>
      <c r="F1344" s="7">
        <f>IFERROR(__xludf.DUMMYFUNCTION("""COMPUTED_VALUE"""),4197123.0)</f>
        <v>4197123</v>
      </c>
      <c r="G1344" s="7" t="str">
        <f>IFERROR(__xludf.DUMMYFUNCTION("""COMPUTED_VALUE"""),"COALINDIA.NS")</f>
        <v>COALINDIA.NS</v>
      </c>
      <c r="H1344" s="8">
        <f t="shared" si="1"/>
        <v>-0.01020916335</v>
      </c>
      <c r="I1344" s="8">
        <f t="shared" si="2"/>
        <v>0.01020916335</v>
      </c>
      <c r="J1344" s="7" t="str">
        <f t="shared" si="3"/>
        <v>Apr-2025</v>
      </c>
      <c r="K1344" s="9">
        <f t="shared" si="4"/>
        <v>45748</v>
      </c>
      <c r="L1344" s="7" t="str">
        <f t="shared" si="5"/>
        <v/>
      </c>
      <c r="M1344" s="7" t="str">
        <f>IFERROR(__xludf.DUMMYFUNCTION("IFERROR(
  IF(
    F1344 &gt;
    3*AVERAGE(
       FILTER($F$2:$F10491,
         $G$2:$G10491=G1344,
         $A$2:$A10491&gt;=A1344-20,
         $A$2:$A10491&lt;=A1344
       )
    ),
    ""VOL_SPIKE_3X"",""""
  ),
"""")
"),"")</f>
        <v/>
      </c>
      <c r="N1344" s="7" t="str">
        <f t="shared" si="6"/>
        <v/>
      </c>
      <c r="O1344" s="7" t="str">
        <f t="shared" si="7"/>
        <v/>
      </c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>
      <c r="A1345" s="5">
        <f>IFERROR(__xludf.DUMMYFUNCTION("""COMPUTED_VALUE"""),45749.0)</f>
        <v>45749</v>
      </c>
      <c r="B1345" s="6">
        <f>IFERROR(__xludf.DUMMYFUNCTION("""COMPUTED_VALUE"""),360.1)</f>
        <v>360.1</v>
      </c>
      <c r="C1345" s="6">
        <f>IFERROR(__xludf.DUMMYFUNCTION("""COMPUTED_VALUE"""),363.4)</f>
        <v>363.4</v>
      </c>
      <c r="D1345" s="6">
        <f>IFERROR(__xludf.DUMMYFUNCTION("""COMPUTED_VALUE"""),353.05)</f>
        <v>353.05</v>
      </c>
      <c r="E1345" s="6">
        <f>IFERROR(__xludf.DUMMYFUNCTION("""COMPUTED_VALUE"""),362.15)</f>
        <v>362.15</v>
      </c>
      <c r="F1345" s="7">
        <f>IFERROR(__xludf.DUMMYFUNCTION("""COMPUTED_VALUE"""),2536402.0)</f>
        <v>2536402</v>
      </c>
      <c r="G1345" s="7" t="str">
        <f>IFERROR(__xludf.DUMMYFUNCTION("""COMPUTED_VALUE"""),"HINDPETRO.NS")</f>
        <v>HINDPETRO.NS</v>
      </c>
      <c r="H1345" s="8">
        <f t="shared" si="1"/>
        <v>0.005692863094</v>
      </c>
      <c r="I1345" s="8">
        <f t="shared" si="2"/>
        <v>0.005692863094</v>
      </c>
      <c r="J1345" s="7" t="str">
        <f t="shared" si="3"/>
        <v>Apr-2025</v>
      </c>
      <c r="K1345" s="9">
        <f t="shared" si="4"/>
        <v>45748</v>
      </c>
      <c r="L1345" s="7" t="str">
        <f t="shared" si="5"/>
        <v/>
      </c>
      <c r="M1345" s="7" t="str">
        <f>IFERROR(__xludf.DUMMYFUNCTION("IFERROR(
  IF(
    F1345 &gt;
    3*AVERAGE(
       FILTER($F$2:$F10491,
         $G$2:$G10491=G1345,
         $A$2:$A10491&gt;=A1345-20,
         $A$2:$A10491&lt;=A1345
       )
    ),
    ""VOL_SPIKE_3X"",""""
  ),
"""")
"),"")</f>
        <v/>
      </c>
      <c r="N1345" s="7" t="str">
        <f t="shared" si="6"/>
        <v/>
      </c>
      <c r="O1345" s="7" t="str">
        <f t="shared" si="7"/>
        <v/>
      </c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>
      <c r="A1346" s="5">
        <f>IFERROR(__xludf.DUMMYFUNCTION("""COMPUTED_VALUE"""),45749.0)</f>
        <v>45749</v>
      </c>
      <c r="B1346" s="6">
        <f>IFERROR(__xludf.DUMMYFUNCTION("""COMPUTED_VALUE"""),130.82)</f>
        <v>130.82</v>
      </c>
      <c r="C1346" s="6">
        <f>IFERROR(__xludf.DUMMYFUNCTION("""COMPUTED_VALUE"""),131.5)</f>
        <v>131.5</v>
      </c>
      <c r="D1346" s="6">
        <f>IFERROR(__xludf.DUMMYFUNCTION("""COMPUTED_VALUE"""),128.0)</f>
        <v>128</v>
      </c>
      <c r="E1346" s="6">
        <f>IFERROR(__xludf.DUMMYFUNCTION("""COMPUTED_VALUE"""),131.31)</f>
        <v>131.31</v>
      </c>
      <c r="F1346" s="7">
        <f>IFERROR(__xludf.DUMMYFUNCTION("""COMPUTED_VALUE"""),8531198.0)</f>
        <v>8531198</v>
      </c>
      <c r="G1346" s="7" t="str">
        <f>IFERROR(__xludf.DUMMYFUNCTION("""COMPUTED_VALUE"""),"IOC.NS")</f>
        <v>IOC.NS</v>
      </c>
      <c r="H1346" s="8">
        <f t="shared" si="1"/>
        <v>0.003745604648</v>
      </c>
      <c r="I1346" s="8">
        <f t="shared" si="2"/>
        <v>0.003745604648</v>
      </c>
      <c r="J1346" s="7" t="str">
        <f t="shared" si="3"/>
        <v>Apr-2025</v>
      </c>
      <c r="K1346" s="9">
        <f t="shared" si="4"/>
        <v>45748</v>
      </c>
      <c r="L1346" s="7" t="str">
        <f t="shared" si="5"/>
        <v/>
      </c>
      <c r="M1346" s="7" t="str">
        <f>IFERROR(__xludf.DUMMYFUNCTION("IFERROR(
  IF(
    F1346 &gt;
    3*AVERAGE(
       FILTER($F$2:$F10491,
         $G$2:$G10491=G1346,
         $A$2:$A10491&gt;=A1346-20,
         $A$2:$A10491&lt;=A1346
       )
    ),
    ""VOL_SPIKE_3X"",""""
  ),
"""")
"),"")</f>
        <v/>
      </c>
      <c r="N1346" s="7" t="str">
        <f t="shared" si="6"/>
        <v/>
      </c>
      <c r="O1346" s="7" t="str">
        <f t="shared" si="7"/>
        <v/>
      </c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>
      <c r="A1347" s="5">
        <f>IFERROR(__xludf.DUMMYFUNCTION("""COMPUTED_VALUE"""),45749.0)</f>
        <v>45749</v>
      </c>
      <c r="B1347" s="6">
        <f>IFERROR(__xludf.DUMMYFUNCTION("""COMPUTED_VALUE"""),352.15)</f>
        <v>352.15</v>
      </c>
      <c r="C1347" s="6">
        <f>IFERROR(__xludf.DUMMYFUNCTION("""COMPUTED_VALUE"""),353.45)</f>
        <v>353.45</v>
      </c>
      <c r="D1347" s="6">
        <f>IFERROR(__xludf.DUMMYFUNCTION("""COMPUTED_VALUE"""),347.05)</f>
        <v>347.05</v>
      </c>
      <c r="E1347" s="6">
        <f>IFERROR(__xludf.DUMMYFUNCTION("""COMPUTED_VALUE"""),351.75)</f>
        <v>351.75</v>
      </c>
      <c r="F1347" s="7">
        <f>IFERROR(__xludf.DUMMYFUNCTION("""COMPUTED_VALUE"""),1.3593404E7)</f>
        <v>13593404</v>
      </c>
      <c r="G1347" s="7" t="str">
        <f>IFERROR(__xludf.DUMMYFUNCTION("""COMPUTED_VALUE"""),"NTPC.NS")</f>
        <v>NTPC.NS</v>
      </c>
      <c r="H1347" s="8">
        <f t="shared" si="1"/>
        <v>-0.001135879597</v>
      </c>
      <c r="I1347" s="8">
        <f t="shared" si="2"/>
        <v>0.001135879597</v>
      </c>
      <c r="J1347" s="7" t="str">
        <f t="shared" si="3"/>
        <v>Apr-2025</v>
      </c>
      <c r="K1347" s="9">
        <f t="shared" si="4"/>
        <v>45748</v>
      </c>
      <c r="L1347" s="7" t="str">
        <f t="shared" si="5"/>
        <v/>
      </c>
      <c r="M1347" s="7" t="str">
        <f>IFERROR(__xludf.DUMMYFUNCTION("IFERROR(
  IF(
    F1347 &gt;
    3*AVERAGE(
       FILTER($F$2:$F10491,
         $G$2:$G10491=G1347,
         $A$2:$A10491&gt;=A1347-20,
         $A$2:$A10491&lt;=A1347
       )
    ),
    ""VOL_SPIKE_3X"",""""
  ),
"""")
"),"")</f>
        <v/>
      </c>
      <c r="N1347" s="7" t="str">
        <f t="shared" si="6"/>
        <v/>
      </c>
      <c r="O1347" s="7" t="str">
        <f t="shared" si="7"/>
        <v/>
      </c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>
      <c r="A1348" s="5">
        <f>IFERROR(__xludf.DUMMYFUNCTION("""COMPUTED_VALUE"""),45749.0)</f>
        <v>45749</v>
      </c>
      <c r="B1348" s="6">
        <f>IFERROR(__xludf.DUMMYFUNCTION("""COMPUTED_VALUE"""),250.05)</f>
        <v>250.05</v>
      </c>
      <c r="C1348" s="6">
        <f>IFERROR(__xludf.DUMMYFUNCTION("""COMPUTED_VALUE"""),251.5)</f>
        <v>251.5</v>
      </c>
      <c r="D1348" s="6">
        <f>IFERROR(__xludf.DUMMYFUNCTION("""COMPUTED_VALUE"""),248.0)</f>
        <v>248</v>
      </c>
      <c r="E1348" s="6">
        <f>IFERROR(__xludf.DUMMYFUNCTION("""COMPUTED_VALUE"""),250.64)</f>
        <v>250.64</v>
      </c>
      <c r="F1348" s="7">
        <f>IFERROR(__xludf.DUMMYFUNCTION("""COMPUTED_VALUE"""),1.5337906E7)</f>
        <v>15337906</v>
      </c>
      <c r="G1348" s="7" t="str">
        <f>IFERROR(__xludf.DUMMYFUNCTION("""COMPUTED_VALUE"""),"ONGC.NS")</f>
        <v>ONGC.NS</v>
      </c>
      <c r="H1348" s="8">
        <f t="shared" si="1"/>
        <v>0.002359528094</v>
      </c>
      <c r="I1348" s="8">
        <f t="shared" si="2"/>
        <v>0.002359528094</v>
      </c>
      <c r="J1348" s="7" t="str">
        <f t="shared" si="3"/>
        <v>Apr-2025</v>
      </c>
      <c r="K1348" s="9">
        <f t="shared" si="4"/>
        <v>45748</v>
      </c>
      <c r="L1348" s="7" t="str">
        <f t="shared" si="5"/>
        <v/>
      </c>
      <c r="M1348" s="7" t="str">
        <f>IFERROR(__xludf.DUMMYFUNCTION("IFERROR(
  IF(
    F1348 &gt;
    3*AVERAGE(
       FILTER($F$2:$F10491,
         $G$2:$G10491=G1348,
         $A$2:$A10491&gt;=A1348-20,
         $A$2:$A10491&lt;=A1348
       )
    ),
    ""VOL_SPIKE_3X"",""""
  ),
"""")
"),"")</f>
        <v/>
      </c>
      <c r="N1348" s="7" t="str">
        <f t="shared" si="6"/>
        <v/>
      </c>
      <c r="O1348" s="7" t="str">
        <f t="shared" si="7"/>
        <v/>
      </c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>
      <c r="A1349" s="5">
        <f>IFERROR(__xludf.DUMMYFUNCTION("""COMPUTED_VALUE"""),45749.0)</f>
        <v>45749</v>
      </c>
      <c r="B1349" s="6">
        <f>IFERROR(__xludf.DUMMYFUNCTION("""COMPUTED_VALUE"""),286.85)</f>
        <v>286.85</v>
      </c>
      <c r="C1349" s="6">
        <f>IFERROR(__xludf.DUMMYFUNCTION("""COMPUTED_VALUE"""),289.75)</f>
        <v>289.75</v>
      </c>
      <c r="D1349" s="6">
        <f>IFERROR(__xludf.DUMMYFUNCTION("""COMPUTED_VALUE"""),284.5)</f>
        <v>284.5</v>
      </c>
      <c r="E1349" s="6">
        <f>IFERROR(__xludf.DUMMYFUNCTION("""COMPUTED_VALUE"""),286.75)</f>
        <v>286.75</v>
      </c>
      <c r="F1349" s="7">
        <f>IFERROR(__xludf.DUMMYFUNCTION("""COMPUTED_VALUE"""),1.1679536E7)</f>
        <v>11679536</v>
      </c>
      <c r="G1349" s="7" t="str">
        <f>IFERROR(__xludf.DUMMYFUNCTION("""COMPUTED_VALUE"""),"POWERGRID.NS")</f>
        <v>POWERGRID.NS</v>
      </c>
      <c r="H1349" s="8">
        <f t="shared" si="1"/>
        <v>-0.0003486142583</v>
      </c>
      <c r="I1349" s="8">
        <f t="shared" si="2"/>
        <v>0.0003486142583</v>
      </c>
      <c r="J1349" s="7" t="str">
        <f t="shared" si="3"/>
        <v>Apr-2025</v>
      </c>
      <c r="K1349" s="9">
        <f t="shared" si="4"/>
        <v>45748</v>
      </c>
      <c r="L1349" s="7" t="str">
        <f t="shared" si="5"/>
        <v/>
      </c>
      <c r="M1349" s="7" t="str">
        <f>IFERROR(__xludf.DUMMYFUNCTION("IFERROR(
  IF(
    F1349 &gt;
    3*AVERAGE(
       FILTER($F$2:$F10491,
         $G$2:$G10491=G1349,
         $A$2:$A10491&gt;=A1349-20,
         $A$2:$A10491&lt;=A1349
       )
    ),
    ""VOL_SPIKE_3X"",""""
  ),
"""")
"),"")</f>
        <v/>
      </c>
      <c r="N1349" s="7" t="str">
        <f t="shared" si="6"/>
        <v/>
      </c>
      <c r="O1349" s="7" t="str">
        <f t="shared" si="7"/>
        <v/>
      </c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>
      <c r="A1350" s="5">
        <f>IFERROR(__xludf.DUMMYFUNCTION("""COMPUTED_VALUE"""),45749.0)</f>
        <v>45749</v>
      </c>
      <c r="B1350" s="6">
        <f>IFERROR(__xludf.DUMMYFUNCTION("""COMPUTED_VALUE"""),1247.55)</f>
        <v>1247.55</v>
      </c>
      <c r="C1350" s="6">
        <f>IFERROR(__xludf.DUMMYFUNCTION("""COMPUTED_VALUE"""),1255.55)</f>
        <v>1255.55</v>
      </c>
      <c r="D1350" s="6">
        <f>IFERROR(__xludf.DUMMYFUNCTION("""COMPUTED_VALUE"""),1243.9)</f>
        <v>1243.9</v>
      </c>
      <c r="E1350" s="6">
        <f>IFERROR(__xludf.DUMMYFUNCTION("""COMPUTED_VALUE"""),1251.15)</f>
        <v>1251.15</v>
      </c>
      <c r="F1350" s="7">
        <f>IFERROR(__xludf.DUMMYFUNCTION("""COMPUTED_VALUE"""),1.014259E7)</f>
        <v>10142590</v>
      </c>
      <c r="G1350" s="7" t="str">
        <f>IFERROR(__xludf.DUMMYFUNCTION("""COMPUTED_VALUE"""),"RELIANCE.NS")</f>
        <v>RELIANCE.NS</v>
      </c>
      <c r="H1350" s="8">
        <f t="shared" si="1"/>
        <v>0.002885655886</v>
      </c>
      <c r="I1350" s="8">
        <f t="shared" si="2"/>
        <v>0.002885655886</v>
      </c>
      <c r="J1350" s="7" t="str">
        <f t="shared" si="3"/>
        <v>Apr-2025</v>
      </c>
      <c r="K1350" s="9">
        <f t="shared" si="4"/>
        <v>45748</v>
      </c>
      <c r="L1350" s="7" t="str">
        <f t="shared" si="5"/>
        <v/>
      </c>
      <c r="M1350" s="7" t="str">
        <f>IFERROR(__xludf.DUMMYFUNCTION("IFERROR(
  IF(
    F1350 &gt;
    3*AVERAGE(
       FILTER($F$2:$F10491,
         $G$2:$G10491=G1350,
         $A$2:$A10491&gt;=A1350-20,
         $A$2:$A10491&lt;=A1350
       )
    ),
    ""VOL_SPIKE_3X"",""""
  ),
"""")
"),"")</f>
        <v/>
      </c>
      <c r="N1350" s="7" t="str">
        <f t="shared" si="6"/>
        <v/>
      </c>
      <c r="O1350" s="7" t="str">
        <f t="shared" si="7"/>
        <v/>
      </c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>
      <c r="A1351" s="5">
        <f>IFERROR(__xludf.DUMMYFUNCTION("""COMPUTED_VALUE"""),45750.0)</f>
        <v>45750</v>
      </c>
      <c r="B1351" s="6">
        <f>IFERROR(__xludf.DUMMYFUNCTION("""COMPUTED_VALUE"""),855.0)</f>
        <v>855</v>
      </c>
      <c r="C1351" s="6">
        <f>IFERROR(__xludf.DUMMYFUNCTION("""COMPUTED_VALUE"""),901.0)</f>
        <v>901</v>
      </c>
      <c r="D1351" s="6">
        <f>IFERROR(__xludf.DUMMYFUNCTION("""COMPUTED_VALUE"""),855.0)</f>
        <v>855</v>
      </c>
      <c r="E1351" s="6">
        <f>IFERROR(__xludf.DUMMYFUNCTION("""COMPUTED_VALUE"""),884.35)</f>
        <v>884.35</v>
      </c>
      <c r="F1351" s="7">
        <f>IFERROR(__xludf.DUMMYFUNCTION("""COMPUTED_VALUE"""),2165750.0)</f>
        <v>2165750</v>
      </c>
      <c r="G1351" s="7" t="str">
        <f>IFERROR(__xludf.DUMMYFUNCTION("""COMPUTED_VALUE"""),"ADANIENSOL.NS")</f>
        <v>ADANIENSOL.NS</v>
      </c>
      <c r="H1351" s="8">
        <f t="shared" si="1"/>
        <v>0.03432748538</v>
      </c>
      <c r="I1351" s="8">
        <f t="shared" si="2"/>
        <v>0.03432748538</v>
      </c>
      <c r="J1351" s="7" t="str">
        <f t="shared" si="3"/>
        <v>Apr-2025</v>
      </c>
      <c r="K1351" s="9">
        <f t="shared" si="4"/>
        <v>45748</v>
      </c>
      <c r="L1351" s="7" t="str">
        <f t="shared" si="5"/>
        <v/>
      </c>
      <c r="M1351" s="7" t="str">
        <f>IFERROR(__xludf.DUMMYFUNCTION("IFERROR(
  IF(
    F1351 &gt;
    3*AVERAGE(
       FILTER($F$2:$F10491,
         $G$2:$G10491=G1351,
         $A$2:$A10491&gt;=A1351-20,
         $A$2:$A10491&lt;=A1351
       )
    ),
    ""VOL_SPIKE_3X"",""""
  ),
"""")
"),"")</f>
        <v/>
      </c>
      <c r="N1351" s="7" t="str">
        <f t="shared" si="6"/>
        <v/>
      </c>
      <c r="O1351" s="7" t="str">
        <f t="shared" si="7"/>
        <v/>
      </c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5">
        <f>IFERROR(__xludf.DUMMYFUNCTION("""COMPUTED_VALUE"""),45750.0)</f>
        <v>45750</v>
      </c>
      <c r="B1352" s="6">
        <f>IFERROR(__xludf.DUMMYFUNCTION("""COMPUTED_VALUE"""),927.0)</f>
        <v>927</v>
      </c>
      <c r="C1352" s="6">
        <f>IFERROR(__xludf.DUMMYFUNCTION("""COMPUTED_VALUE"""),966.5)</f>
        <v>966.5</v>
      </c>
      <c r="D1352" s="6">
        <f>IFERROR(__xludf.DUMMYFUNCTION("""COMPUTED_VALUE"""),927.0)</f>
        <v>927</v>
      </c>
      <c r="E1352" s="6">
        <f>IFERROR(__xludf.DUMMYFUNCTION("""COMPUTED_VALUE"""),955.3)</f>
        <v>955.3</v>
      </c>
      <c r="F1352" s="7">
        <f>IFERROR(__xludf.DUMMYFUNCTION("""COMPUTED_VALUE"""),3305378.0)</f>
        <v>3305378</v>
      </c>
      <c r="G1352" s="7" t="str">
        <f>IFERROR(__xludf.DUMMYFUNCTION("""COMPUTED_VALUE"""),"ADANIGREEN.NS")</f>
        <v>ADANIGREEN.NS</v>
      </c>
      <c r="H1352" s="8">
        <f t="shared" si="1"/>
        <v>0.03052858684</v>
      </c>
      <c r="I1352" s="8">
        <f t="shared" si="2"/>
        <v>0.03052858684</v>
      </c>
      <c r="J1352" s="7" t="str">
        <f t="shared" si="3"/>
        <v>Apr-2025</v>
      </c>
      <c r="K1352" s="9">
        <f t="shared" si="4"/>
        <v>45748</v>
      </c>
      <c r="L1352" s="7" t="str">
        <f t="shared" si="5"/>
        <v/>
      </c>
      <c r="M1352" s="7" t="str">
        <f>IFERROR(__xludf.DUMMYFUNCTION("IFERROR(
  IF(
    F1352 &gt;
    3*AVERAGE(
       FILTER($F$2:$F10491,
         $G$2:$G10491=G1352,
         $A$2:$A10491&gt;=A1352-20,
         $A$2:$A10491&lt;=A1352
       )
    ),
    ""VOL_SPIKE_3X"",""""
  ),
"""")
"),"")</f>
        <v/>
      </c>
      <c r="N1352" s="7" t="str">
        <f t="shared" si="6"/>
        <v/>
      </c>
      <c r="O1352" s="7" t="str">
        <f t="shared" si="7"/>
        <v/>
      </c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>
      <c r="A1353" s="5">
        <f>IFERROR(__xludf.DUMMYFUNCTION("""COMPUTED_VALUE"""),45750.0)</f>
        <v>45750</v>
      </c>
      <c r="B1353" s="6">
        <f>IFERROR(__xludf.DUMMYFUNCTION("""COMPUTED_VALUE"""),283.0)</f>
        <v>283</v>
      </c>
      <c r="C1353" s="6">
        <f>IFERROR(__xludf.DUMMYFUNCTION("""COMPUTED_VALUE"""),291.4)</f>
        <v>291.4</v>
      </c>
      <c r="D1353" s="6">
        <f>IFERROR(__xludf.DUMMYFUNCTION("""COMPUTED_VALUE"""),283.0)</f>
        <v>283</v>
      </c>
      <c r="E1353" s="6">
        <f>IFERROR(__xludf.DUMMYFUNCTION("""COMPUTED_VALUE"""),286.8)</f>
        <v>286.8</v>
      </c>
      <c r="F1353" s="7">
        <f>IFERROR(__xludf.DUMMYFUNCTION("""COMPUTED_VALUE"""),6663148.0)</f>
        <v>6663148</v>
      </c>
      <c r="G1353" s="7" t="str">
        <f>IFERROR(__xludf.DUMMYFUNCTION("""COMPUTED_VALUE"""),"BPCL.NS")</f>
        <v>BPCL.NS</v>
      </c>
      <c r="H1353" s="8">
        <f t="shared" si="1"/>
        <v>0.01342756184</v>
      </c>
      <c r="I1353" s="8">
        <f t="shared" si="2"/>
        <v>0.01342756184</v>
      </c>
      <c r="J1353" s="7" t="str">
        <f t="shared" si="3"/>
        <v>Apr-2025</v>
      </c>
      <c r="K1353" s="9">
        <f t="shared" si="4"/>
        <v>45748</v>
      </c>
      <c r="L1353" s="7" t="str">
        <f t="shared" si="5"/>
        <v/>
      </c>
      <c r="M1353" s="7" t="str">
        <f>IFERROR(__xludf.DUMMYFUNCTION("IFERROR(
  IF(
    F1353 &gt;
    3*AVERAGE(
       FILTER($F$2:$F10491,
         $G$2:$G10491=G1353,
         $A$2:$A10491&gt;=A1353-20,
         $A$2:$A10491&lt;=A1353
       )
    ),
    ""VOL_SPIKE_3X"",""""
  ),
"""")
"),"")</f>
        <v/>
      </c>
      <c r="N1353" s="7" t="str">
        <f t="shared" si="6"/>
        <v/>
      </c>
      <c r="O1353" s="7" t="str">
        <f t="shared" si="7"/>
        <v/>
      </c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>
      <c r="A1354" s="5">
        <f>IFERROR(__xludf.DUMMYFUNCTION("""COMPUTED_VALUE"""),45750.0)</f>
        <v>45750</v>
      </c>
      <c r="B1354" s="6">
        <f>IFERROR(__xludf.DUMMYFUNCTION("""COMPUTED_VALUE"""),395.0)</f>
        <v>395</v>
      </c>
      <c r="C1354" s="6">
        <f>IFERROR(__xludf.DUMMYFUNCTION("""COMPUTED_VALUE"""),400.0)</f>
        <v>400</v>
      </c>
      <c r="D1354" s="6">
        <f>IFERROR(__xludf.DUMMYFUNCTION("""COMPUTED_VALUE"""),393.2)</f>
        <v>393.2</v>
      </c>
      <c r="E1354" s="6">
        <f>IFERROR(__xludf.DUMMYFUNCTION("""COMPUTED_VALUE"""),397.05)</f>
        <v>397.05</v>
      </c>
      <c r="F1354" s="7">
        <f>IFERROR(__xludf.DUMMYFUNCTION("""COMPUTED_VALUE"""),4970602.0)</f>
        <v>4970602</v>
      </c>
      <c r="G1354" s="7" t="str">
        <f>IFERROR(__xludf.DUMMYFUNCTION("""COMPUTED_VALUE"""),"COALINDIA.NS")</f>
        <v>COALINDIA.NS</v>
      </c>
      <c r="H1354" s="8">
        <f t="shared" si="1"/>
        <v>0.005189873418</v>
      </c>
      <c r="I1354" s="8">
        <f t="shared" si="2"/>
        <v>0.005189873418</v>
      </c>
      <c r="J1354" s="7" t="str">
        <f t="shared" si="3"/>
        <v>Apr-2025</v>
      </c>
      <c r="K1354" s="9">
        <f t="shared" si="4"/>
        <v>45748</v>
      </c>
      <c r="L1354" s="7" t="str">
        <f t="shared" si="5"/>
        <v/>
      </c>
      <c r="M1354" s="7" t="str">
        <f>IFERROR(__xludf.DUMMYFUNCTION("IFERROR(
  IF(
    F1354 &gt;
    3*AVERAGE(
       FILTER($F$2:$F10491,
         $G$2:$G10491=G1354,
         $A$2:$A10491&gt;=A1354-20,
         $A$2:$A10491&lt;=A1354
       )
    ),
    ""VOL_SPIKE_3X"",""""
  ),
"""")
"),"")</f>
        <v/>
      </c>
      <c r="N1354" s="7" t="str">
        <f t="shared" si="6"/>
        <v/>
      </c>
      <c r="O1354" s="7" t="str">
        <f t="shared" si="7"/>
        <v/>
      </c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>
      <c r="A1355" s="5">
        <f>IFERROR(__xludf.DUMMYFUNCTION("""COMPUTED_VALUE"""),45750.0)</f>
        <v>45750</v>
      </c>
      <c r="B1355" s="6">
        <f>IFERROR(__xludf.DUMMYFUNCTION("""COMPUTED_VALUE"""),361.0)</f>
        <v>361</v>
      </c>
      <c r="C1355" s="6">
        <f>IFERROR(__xludf.DUMMYFUNCTION("""COMPUTED_VALUE"""),374.3)</f>
        <v>374.3</v>
      </c>
      <c r="D1355" s="6">
        <f>IFERROR(__xludf.DUMMYFUNCTION("""COMPUTED_VALUE"""),359.35)</f>
        <v>359.35</v>
      </c>
      <c r="E1355" s="6">
        <f>IFERROR(__xludf.DUMMYFUNCTION("""COMPUTED_VALUE"""),362.45)</f>
        <v>362.45</v>
      </c>
      <c r="F1355" s="7">
        <f>IFERROR(__xludf.DUMMYFUNCTION("""COMPUTED_VALUE"""),5566330.0)</f>
        <v>5566330</v>
      </c>
      <c r="G1355" s="7" t="str">
        <f>IFERROR(__xludf.DUMMYFUNCTION("""COMPUTED_VALUE"""),"HINDPETRO.NS")</f>
        <v>HINDPETRO.NS</v>
      </c>
      <c r="H1355" s="8">
        <f t="shared" si="1"/>
        <v>0.004016620499</v>
      </c>
      <c r="I1355" s="8">
        <f t="shared" si="2"/>
        <v>0.004016620499</v>
      </c>
      <c r="J1355" s="7" t="str">
        <f t="shared" si="3"/>
        <v>Apr-2025</v>
      </c>
      <c r="K1355" s="9">
        <f t="shared" si="4"/>
        <v>45748</v>
      </c>
      <c r="L1355" s="7" t="str">
        <f t="shared" si="5"/>
        <v/>
      </c>
      <c r="M1355" s="7" t="str">
        <f>IFERROR(__xludf.DUMMYFUNCTION("IFERROR(
  IF(
    F1355 &gt;
    3*AVERAGE(
       FILTER($F$2:$F10491,
         $G$2:$G10491=G1355,
         $A$2:$A10491&gt;=A1355-20,
         $A$2:$A10491&lt;=A1355
       )
    ),
    ""VOL_SPIKE_3X"",""""
  ),
"""")
"),"")</f>
        <v/>
      </c>
      <c r="N1355" s="7" t="str">
        <f t="shared" si="6"/>
        <v/>
      </c>
      <c r="O1355" s="7" t="str">
        <f t="shared" si="7"/>
        <v/>
      </c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>
      <c r="A1356" s="5">
        <f>IFERROR(__xludf.DUMMYFUNCTION("""COMPUTED_VALUE"""),45750.0)</f>
        <v>45750</v>
      </c>
      <c r="B1356" s="6">
        <f>IFERROR(__xludf.DUMMYFUNCTION("""COMPUTED_VALUE"""),130.1)</f>
        <v>130.1</v>
      </c>
      <c r="C1356" s="6">
        <f>IFERROR(__xludf.DUMMYFUNCTION("""COMPUTED_VALUE"""),133.2)</f>
        <v>133.2</v>
      </c>
      <c r="D1356" s="6">
        <f>IFERROR(__xludf.DUMMYFUNCTION("""COMPUTED_VALUE"""),129.88)</f>
        <v>129.88</v>
      </c>
      <c r="E1356" s="6">
        <f>IFERROR(__xludf.DUMMYFUNCTION("""COMPUTED_VALUE"""),131.06)</f>
        <v>131.06</v>
      </c>
      <c r="F1356" s="7">
        <f>IFERROR(__xludf.DUMMYFUNCTION("""COMPUTED_VALUE"""),9909642.0)</f>
        <v>9909642</v>
      </c>
      <c r="G1356" s="7" t="str">
        <f>IFERROR(__xludf.DUMMYFUNCTION("""COMPUTED_VALUE"""),"IOC.NS")</f>
        <v>IOC.NS</v>
      </c>
      <c r="H1356" s="8">
        <f t="shared" si="1"/>
        <v>0.007378939277</v>
      </c>
      <c r="I1356" s="8">
        <f t="shared" si="2"/>
        <v>0.007378939277</v>
      </c>
      <c r="J1356" s="7" t="str">
        <f t="shared" si="3"/>
        <v>Apr-2025</v>
      </c>
      <c r="K1356" s="9">
        <f t="shared" si="4"/>
        <v>45748</v>
      </c>
      <c r="L1356" s="7" t="str">
        <f t="shared" si="5"/>
        <v/>
      </c>
      <c r="M1356" s="7" t="str">
        <f>IFERROR(__xludf.DUMMYFUNCTION("IFERROR(
  IF(
    F1356 &gt;
    3*AVERAGE(
       FILTER($F$2:$F10491,
         $G$2:$G10491=G1356,
         $A$2:$A10491&gt;=A1356-20,
         $A$2:$A10491&lt;=A1356
       )
    ),
    ""VOL_SPIKE_3X"",""""
  ),
"""")
"),"")</f>
        <v/>
      </c>
      <c r="N1356" s="7" t="str">
        <f t="shared" si="6"/>
        <v/>
      </c>
      <c r="O1356" s="7" t="str">
        <f t="shared" si="7"/>
        <v/>
      </c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>
      <c r="A1357" s="5">
        <f>IFERROR(__xludf.DUMMYFUNCTION("""COMPUTED_VALUE"""),45750.0)</f>
        <v>45750</v>
      </c>
      <c r="B1357" s="6">
        <f>IFERROR(__xludf.DUMMYFUNCTION("""COMPUTED_VALUE"""),351.75)</f>
        <v>351.75</v>
      </c>
      <c r="C1357" s="6">
        <f>IFERROR(__xludf.DUMMYFUNCTION("""COMPUTED_VALUE"""),361.35)</f>
        <v>361.35</v>
      </c>
      <c r="D1357" s="6">
        <f>IFERROR(__xludf.DUMMYFUNCTION("""COMPUTED_VALUE"""),351.75)</f>
        <v>351.75</v>
      </c>
      <c r="E1357" s="6">
        <f>IFERROR(__xludf.DUMMYFUNCTION("""COMPUTED_VALUE"""),358.9)</f>
        <v>358.9</v>
      </c>
      <c r="F1357" s="7">
        <f>IFERROR(__xludf.DUMMYFUNCTION("""COMPUTED_VALUE"""),1.031741E7)</f>
        <v>10317410</v>
      </c>
      <c r="G1357" s="7" t="str">
        <f>IFERROR(__xludf.DUMMYFUNCTION("""COMPUTED_VALUE"""),"NTPC.NS")</f>
        <v>NTPC.NS</v>
      </c>
      <c r="H1357" s="8">
        <f t="shared" si="1"/>
        <v>0.02032693674</v>
      </c>
      <c r="I1357" s="8">
        <f t="shared" si="2"/>
        <v>0.02032693674</v>
      </c>
      <c r="J1357" s="7" t="str">
        <f t="shared" si="3"/>
        <v>Apr-2025</v>
      </c>
      <c r="K1357" s="9">
        <f t="shared" si="4"/>
        <v>45748</v>
      </c>
      <c r="L1357" s="7" t="str">
        <f t="shared" si="5"/>
        <v/>
      </c>
      <c r="M1357" s="7" t="str">
        <f>IFERROR(__xludf.DUMMYFUNCTION("IFERROR(
  IF(
    F1357 &gt;
    3*AVERAGE(
       FILTER($F$2:$F10491,
         $G$2:$G10491=G1357,
         $A$2:$A10491&gt;=A1357-20,
         $A$2:$A10491&lt;=A1357
       )
    ),
    ""VOL_SPIKE_3X"",""""
  ),
"""")
"),"")</f>
        <v/>
      </c>
      <c r="N1357" s="7" t="str">
        <f t="shared" si="6"/>
        <v/>
      </c>
      <c r="O1357" s="7" t="str">
        <f t="shared" si="7"/>
        <v/>
      </c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>
      <c r="A1358" s="5">
        <f>IFERROR(__xludf.DUMMYFUNCTION("""COMPUTED_VALUE"""),45750.0)</f>
        <v>45750</v>
      </c>
      <c r="B1358" s="6">
        <f>IFERROR(__xludf.DUMMYFUNCTION("""COMPUTED_VALUE"""),248.0)</f>
        <v>248</v>
      </c>
      <c r="C1358" s="6">
        <f>IFERROR(__xludf.DUMMYFUNCTION("""COMPUTED_VALUE"""),249.62)</f>
        <v>249.62</v>
      </c>
      <c r="D1358" s="6">
        <f>IFERROR(__xludf.DUMMYFUNCTION("""COMPUTED_VALUE"""),242.51)</f>
        <v>242.51</v>
      </c>
      <c r="E1358" s="6">
        <f>IFERROR(__xludf.DUMMYFUNCTION("""COMPUTED_VALUE"""),243.31)</f>
        <v>243.31</v>
      </c>
      <c r="F1358" s="7">
        <f>IFERROR(__xludf.DUMMYFUNCTION("""COMPUTED_VALUE"""),1.114137E7)</f>
        <v>11141370</v>
      </c>
      <c r="G1358" s="7" t="str">
        <f>IFERROR(__xludf.DUMMYFUNCTION("""COMPUTED_VALUE"""),"ONGC.NS")</f>
        <v>ONGC.NS</v>
      </c>
      <c r="H1358" s="8">
        <f t="shared" si="1"/>
        <v>-0.01891129032</v>
      </c>
      <c r="I1358" s="8">
        <f t="shared" si="2"/>
        <v>0.01891129032</v>
      </c>
      <c r="J1358" s="7" t="str">
        <f t="shared" si="3"/>
        <v>Apr-2025</v>
      </c>
      <c r="K1358" s="9">
        <f t="shared" si="4"/>
        <v>45748</v>
      </c>
      <c r="L1358" s="7" t="str">
        <f t="shared" si="5"/>
        <v/>
      </c>
      <c r="M1358" s="7" t="str">
        <f>IFERROR(__xludf.DUMMYFUNCTION("IFERROR(
  IF(
    F1358 &gt;
    3*AVERAGE(
       FILTER($F$2:$F10491,
         $G$2:$G10491=G1358,
         $A$2:$A10491&gt;=A1358-20,
         $A$2:$A10491&lt;=A1358
       )
    ),
    ""VOL_SPIKE_3X"",""""
  ),
"""")
"),"")</f>
        <v/>
      </c>
      <c r="N1358" s="7" t="str">
        <f t="shared" si="6"/>
        <v/>
      </c>
      <c r="O1358" s="7" t="str">
        <f t="shared" si="7"/>
        <v/>
      </c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>
      <c r="A1359" s="5">
        <f>IFERROR(__xludf.DUMMYFUNCTION("""COMPUTED_VALUE"""),45750.0)</f>
        <v>45750</v>
      </c>
      <c r="B1359" s="6">
        <f>IFERROR(__xludf.DUMMYFUNCTION("""COMPUTED_VALUE"""),289.35)</f>
        <v>289.35</v>
      </c>
      <c r="C1359" s="6">
        <f>IFERROR(__xludf.DUMMYFUNCTION("""COMPUTED_VALUE"""),299.95)</f>
        <v>299.95</v>
      </c>
      <c r="D1359" s="6">
        <f>IFERROR(__xludf.DUMMYFUNCTION("""COMPUTED_VALUE"""),285.1)</f>
        <v>285.1</v>
      </c>
      <c r="E1359" s="6">
        <f>IFERROR(__xludf.DUMMYFUNCTION("""COMPUTED_VALUE"""),299.1)</f>
        <v>299.1</v>
      </c>
      <c r="F1359" s="7">
        <f>IFERROR(__xludf.DUMMYFUNCTION("""COMPUTED_VALUE"""),2.3478876E7)</f>
        <v>23478876</v>
      </c>
      <c r="G1359" s="7" t="str">
        <f>IFERROR(__xludf.DUMMYFUNCTION("""COMPUTED_VALUE"""),"POWERGRID.NS")</f>
        <v>POWERGRID.NS</v>
      </c>
      <c r="H1359" s="8">
        <f t="shared" si="1"/>
        <v>0.03369621566</v>
      </c>
      <c r="I1359" s="8">
        <f t="shared" si="2"/>
        <v>0.03369621566</v>
      </c>
      <c r="J1359" s="7" t="str">
        <f t="shared" si="3"/>
        <v>Apr-2025</v>
      </c>
      <c r="K1359" s="9">
        <f t="shared" si="4"/>
        <v>45748</v>
      </c>
      <c r="L1359" s="7" t="str">
        <f t="shared" si="5"/>
        <v/>
      </c>
      <c r="M1359" s="7" t="str">
        <f>IFERROR(__xludf.DUMMYFUNCTION("IFERROR(
  IF(
    F1359 &gt;
    3*AVERAGE(
       FILTER($F$2:$F10491,
         $G$2:$G10491=G1359,
         $A$2:$A10491&gt;=A1359-20,
         $A$2:$A10491&lt;=A1359
       )
    ),
    ""VOL_SPIKE_3X"",""""
  ),
"""")
"),"")</f>
        <v/>
      </c>
      <c r="N1359" s="7" t="str">
        <f t="shared" si="6"/>
        <v/>
      </c>
      <c r="O1359" s="7" t="str">
        <f t="shared" si="7"/>
        <v/>
      </c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>
      <c r="A1360" s="5">
        <f>IFERROR(__xludf.DUMMYFUNCTION("""COMPUTED_VALUE"""),45750.0)</f>
        <v>45750</v>
      </c>
      <c r="B1360" s="6">
        <f>IFERROR(__xludf.DUMMYFUNCTION("""COMPUTED_VALUE"""),1233.05)</f>
        <v>1233.05</v>
      </c>
      <c r="C1360" s="6">
        <f>IFERROR(__xludf.DUMMYFUNCTION("""COMPUTED_VALUE"""),1251.8)</f>
        <v>1251.8</v>
      </c>
      <c r="D1360" s="6">
        <f>IFERROR(__xludf.DUMMYFUNCTION("""COMPUTED_VALUE"""),1233.05)</f>
        <v>1233.05</v>
      </c>
      <c r="E1360" s="6">
        <f>IFERROR(__xludf.DUMMYFUNCTION("""COMPUTED_VALUE"""),1248.7)</f>
        <v>1248.7</v>
      </c>
      <c r="F1360" s="7">
        <f>IFERROR(__xludf.DUMMYFUNCTION("""COMPUTED_VALUE"""),7434366.0)</f>
        <v>7434366</v>
      </c>
      <c r="G1360" s="7" t="str">
        <f>IFERROR(__xludf.DUMMYFUNCTION("""COMPUTED_VALUE"""),"RELIANCE.NS")</f>
        <v>RELIANCE.NS</v>
      </c>
      <c r="H1360" s="8">
        <f t="shared" si="1"/>
        <v>0.01269210494</v>
      </c>
      <c r="I1360" s="8">
        <f t="shared" si="2"/>
        <v>0.01269210494</v>
      </c>
      <c r="J1360" s="7" t="str">
        <f t="shared" si="3"/>
        <v>Apr-2025</v>
      </c>
      <c r="K1360" s="9">
        <f t="shared" si="4"/>
        <v>45748</v>
      </c>
      <c r="L1360" s="7" t="str">
        <f t="shared" si="5"/>
        <v/>
      </c>
      <c r="M1360" s="7" t="str">
        <f>IFERROR(__xludf.DUMMYFUNCTION("IFERROR(
  IF(
    F1360 &gt;
    3*AVERAGE(
       FILTER($F$2:$F10491,
         $G$2:$G10491=G1360,
         $A$2:$A10491&gt;=A1360-20,
         $A$2:$A10491&lt;=A1360
       )
    ),
    ""VOL_SPIKE_3X"",""""
  ),
"""")
"),"")</f>
        <v/>
      </c>
      <c r="N1360" s="7" t="str">
        <f t="shared" si="6"/>
        <v/>
      </c>
      <c r="O1360" s="7" t="str">
        <f t="shared" si="7"/>
        <v/>
      </c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>
      <c r="A1361" s="5">
        <f>IFERROR(__xludf.DUMMYFUNCTION("""COMPUTED_VALUE"""),45751.0)</f>
        <v>45751</v>
      </c>
      <c r="B1361" s="6">
        <f>IFERROR(__xludf.DUMMYFUNCTION("""COMPUTED_VALUE"""),881.1)</f>
        <v>881.1</v>
      </c>
      <c r="C1361" s="6">
        <f>IFERROR(__xludf.DUMMYFUNCTION("""COMPUTED_VALUE"""),884.7)</f>
        <v>884.7</v>
      </c>
      <c r="D1361" s="6">
        <f>IFERROR(__xludf.DUMMYFUNCTION("""COMPUTED_VALUE"""),852.1)</f>
        <v>852.1</v>
      </c>
      <c r="E1361" s="6">
        <f>IFERROR(__xludf.DUMMYFUNCTION("""COMPUTED_VALUE"""),859.4)</f>
        <v>859.4</v>
      </c>
      <c r="F1361" s="7">
        <f>IFERROR(__xludf.DUMMYFUNCTION("""COMPUTED_VALUE"""),1475762.0)</f>
        <v>1475762</v>
      </c>
      <c r="G1361" s="7" t="str">
        <f>IFERROR(__xludf.DUMMYFUNCTION("""COMPUTED_VALUE"""),"ADANIENSOL.NS")</f>
        <v>ADANIENSOL.NS</v>
      </c>
      <c r="H1361" s="8">
        <f t="shared" si="1"/>
        <v>-0.02462830553</v>
      </c>
      <c r="I1361" s="8">
        <f t="shared" si="2"/>
        <v>0.02462830553</v>
      </c>
      <c r="J1361" s="7" t="str">
        <f t="shared" si="3"/>
        <v>Apr-2025</v>
      </c>
      <c r="K1361" s="9">
        <f t="shared" si="4"/>
        <v>45748</v>
      </c>
      <c r="L1361" s="7" t="str">
        <f t="shared" si="5"/>
        <v/>
      </c>
      <c r="M1361" s="7" t="str">
        <f>IFERROR(__xludf.DUMMYFUNCTION("IFERROR(
  IF(
    F1361 &gt;
    3*AVERAGE(
       FILTER($F$2:$F10491,
         $G$2:$G10491=G1361,
         $A$2:$A10491&gt;=A1361-20,
         $A$2:$A10491&lt;=A1361
       )
    ),
    ""VOL_SPIKE_3X"",""""
  ),
"""")
"),"")</f>
        <v/>
      </c>
      <c r="N1361" s="7" t="str">
        <f t="shared" si="6"/>
        <v/>
      </c>
      <c r="O1361" s="7" t="str">
        <f t="shared" si="7"/>
        <v/>
      </c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>
      <c r="A1362" s="5">
        <f>IFERROR(__xludf.DUMMYFUNCTION("""COMPUTED_VALUE"""),45751.0)</f>
        <v>45751</v>
      </c>
      <c r="B1362" s="6">
        <f>IFERROR(__xludf.DUMMYFUNCTION("""COMPUTED_VALUE"""),949.95)</f>
        <v>949.95</v>
      </c>
      <c r="C1362" s="6">
        <f>IFERROR(__xludf.DUMMYFUNCTION("""COMPUTED_VALUE"""),956.0)</f>
        <v>956</v>
      </c>
      <c r="D1362" s="6">
        <f>IFERROR(__xludf.DUMMYFUNCTION("""COMPUTED_VALUE"""),917.65)</f>
        <v>917.65</v>
      </c>
      <c r="E1362" s="6">
        <f>IFERROR(__xludf.DUMMYFUNCTION("""COMPUTED_VALUE"""),923.8)</f>
        <v>923.8</v>
      </c>
      <c r="F1362" s="7">
        <f>IFERROR(__xludf.DUMMYFUNCTION("""COMPUTED_VALUE"""),3226540.0)</f>
        <v>3226540</v>
      </c>
      <c r="G1362" s="7" t="str">
        <f>IFERROR(__xludf.DUMMYFUNCTION("""COMPUTED_VALUE"""),"ADANIGREEN.NS")</f>
        <v>ADANIGREEN.NS</v>
      </c>
      <c r="H1362" s="8">
        <f t="shared" si="1"/>
        <v>-0.02752776462</v>
      </c>
      <c r="I1362" s="8">
        <f t="shared" si="2"/>
        <v>0.02752776462</v>
      </c>
      <c r="J1362" s="7" t="str">
        <f t="shared" si="3"/>
        <v>Apr-2025</v>
      </c>
      <c r="K1362" s="9">
        <f t="shared" si="4"/>
        <v>45748</v>
      </c>
      <c r="L1362" s="7" t="str">
        <f t="shared" si="5"/>
        <v/>
      </c>
      <c r="M1362" s="7" t="str">
        <f>IFERROR(__xludf.DUMMYFUNCTION("IFERROR(
  IF(
    F1362 &gt;
    3*AVERAGE(
       FILTER($F$2:$F10491,
         $G$2:$G10491=G1362,
         $A$2:$A10491&gt;=A1362-20,
         $A$2:$A10491&lt;=A1362
       )
    ),
    ""VOL_SPIKE_3X"",""""
  ),
"""")
"),"")</f>
        <v/>
      </c>
      <c r="N1362" s="7" t="str">
        <f t="shared" si="6"/>
        <v/>
      </c>
      <c r="O1362" s="7" t="str">
        <f t="shared" si="7"/>
        <v/>
      </c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>
      <c r="A1363" s="5">
        <f>IFERROR(__xludf.DUMMYFUNCTION("""COMPUTED_VALUE"""),45751.0)</f>
        <v>45751</v>
      </c>
      <c r="B1363" s="6">
        <f>IFERROR(__xludf.DUMMYFUNCTION("""COMPUTED_VALUE"""),292.15)</f>
        <v>292.15</v>
      </c>
      <c r="C1363" s="6">
        <f>IFERROR(__xludf.DUMMYFUNCTION("""COMPUTED_VALUE"""),295.7)</f>
        <v>295.7</v>
      </c>
      <c r="D1363" s="6">
        <f>IFERROR(__xludf.DUMMYFUNCTION("""COMPUTED_VALUE"""),277.05)</f>
        <v>277.05</v>
      </c>
      <c r="E1363" s="6">
        <f>IFERROR(__xludf.DUMMYFUNCTION("""COMPUTED_VALUE"""),279.45)</f>
        <v>279.45</v>
      </c>
      <c r="F1363" s="7">
        <f>IFERROR(__xludf.DUMMYFUNCTION("""COMPUTED_VALUE"""),1.8852567E7)</f>
        <v>18852567</v>
      </c>
      <c r="G1363" s="7" t="str">
        <f>IFERROR(__xludf.DUMMYFUNCTION("""COMPUTED_VALUE"""),"BPCL.NS")</f>
        <v>BPCL.NS</v>
      </c>
      <c r="H1363" s="8">
        <f t="shared" si="1"/>
        <v>-0.04347081978</v>
      </c>
      <c r="I1363" s="8">
        <f t="shared" si="2"/>
        <v>0.04347081978</v>
      </c>
      <c r="J1363" s="7" t="str">
        <f t="shared" si="3"/>
        <v>Apr-2025</v>
      </c>
      <c r="K1363" s="9">
        <f t="shared" si="4"/>
        <v>45748</v>
      </c>
      <c r="L1363" s="7" t="str">
        <f t="shared" si="5"/>
        <v/>
      </c>
      <c r="M1363" s="7" t="str">
        <f>IFERROR(__xludf.DUMMYFUNCTION("IFERROR(
  IF(
    F1363 &gt;
    3*AVERAGE(
       FILTER($F$2:$F10491,
         $G$2:$G10491=G1363,
         $A$2:$A10491&gt;=A1363-20,
         $A$2:$A10491&lt;=A1363
       )
    ),
    ""VOL_SPIKE_3X"",""""
  ),
"""")
"),"")</f>
        <v/>
      </c>
      <c r="N1363" s="7" t="str">
        <f t="shared" si="6"/>
        <v/>
      </c>
      <c r="O1363" s="7" t="str">
        <f t="shared" si="7"/>
        <v/>
      </c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>
      <c r="A1364" s="5">
        <f>IFERROR(__xludf.DUMMYFUNCTION("""COMPUTED_VALUE"""),45751.0)</f>
        <v>45751</v>
      </c>
      <c r="B1364" s="6">
        <f>IFERROR(__xludf.DUMMYFUNCTION("""COMPUTED_VALUE"""),396.0)</f>
        <v>396</v>
      </c>
      <c r="C1364" s="6">
        <f>IFERROR(__xludf.DUMMYFUNCTION("""COMPUTED_VALUE"""),396.0)</f>
        <v>396</v>
      </c>
      <c r="D1364" s="6">
        <f>IFERROR(__xludf.DUMMYFUNCTION("""COMPUTED_VALUE"""),382.6)</f>
        <v>382.6</v>
      </c>
      <c r="E1364" s="6">
        <f>IFERROR(__xludf.DUMMYFUNCTION("""COMPUTED_VALUE"""),385.05)</f>
        <v>385.05</v>
      </c>
      <c r="F1364" s="7">
        <f>IFERROR(__xludf.DUMMYFUNCTION("""COMPUTED_VALUE"""),6718760.0)</f>
        <v>6718760</v>
      </c>
      <c r="G1364" s="7" t="str">
        <f>IFERROR(__xludf.DUMMYFUNCTION("""COMPUTED_VALUE"""),"COALINDIA.NS")</f>
        <v>COALINDIA.NS</v>
      </c>
      <c r="H1364" s="8">
        <f t="shared" si="1"/>
        <v>-0.02765151515</v>
      </c>
      <c r="I1364" s="8">
        <f t="shared" si="2"/>
        <v>0.02765151515</v>
      </c>
      <c r="J1364" s="7" t="str">
        <f t="shared" si="3"/>
        <v>Apr-2025</v>
      </c>
      <c r="K1364" s="9">
        <f t="shared" si="4"/>
        <v>45748</v>
      </c>
      <c r="L1364" s="7" t="str">
        <f t="shared" si="5"/>
        <v/>
      </c>
      <c r="M1364" s="7" t="str">
        <f>IFERROR(__xludf.DUMMYFUNCTION("IFERROR(
  IF(
    F1364 &gt;
    3*AVERAGE(
       FILTER($F$2:$F10491,
         $G$2:$G10491=G1364,
         $A$2:$A10491&gt;=A1364-20,
         $A$2:$A10491&lt;=A1364
       )
    ),
    ""VOL_SPIKE_3X"",""""
  ),
"""")
"),"")</f>
        <v/>
      </c>
      <c r="N1364" s="7" t="str">
        <f t="shared" si="6"/>
        <v/>
      </c>
      <c r="O1364" s="7" t="str">
        <f t="shared" si="7"/>
        <v/>
      </c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>
      <c r="A1365" s="5">
        <f>IFERROR(__xludf.DUMMYFUNCTION("""COMPUTED_VALUE"""),45751.0)</f>
        <v>45751</v>
      </c>
      <c r="B1365" s="6">
        <f>IFERROR(__xludf.DUMMYFUNCTION("""COMPUTED_VALUE"""),373.0)</f>
        <v>373</v>
      </c>
      <c r="C1365" s="6">
        <f>IFERROR(__xludf.DUMMYFUNCTION("""COMPUTED_VALUE"""),377.85)</f>
        <v>377.85</v>
      </c>
      <c r="D1365" s="6">
        <f>IFERROR(__xludf.DUMMYFUNCTION("""COMPUTED_VALUE"""),350.6)</f>
        <v>350.6</v>
      </c>
      <c r="E1365" s="6">
        <f>IFERROR(__xludf.DUMMYFUNCTION("""COMPUTED_VALUE"""),358.35)</f>
        <v>358.35</v>
      </c>
      <c r="F1365" s="7">
        <f>IFERROR(__xludf.DUMMYFUNCTION("""COMPUTED_VALUE"""),1.2874209E7)</f>
        <v>12874209</v>
      </c>
      <c r="G1365" s="7" t="str">
        <f>IFERROR(__xludf.DUMMYFUNCTION("""COMPUTED_VALUE"""),"HINDPETRO.NS")</f>
        <v>HINDPETRO.NS</v>
      </c>
      <c r="H1365" s="8">
        <f t="shared" si="1"/>
        <v>-0.03927613941</v>
      </c>
      <c r="I1365" s="8">
        <f t="shared" si="2"/>
        <v>0.03927613941</v>
      </c>
      <c r="J1365" s="7" t="str">
        <f t="shared" si="3"/>
        <v>Apr-2025</v>
      </c>
      <c r="K1365" s="9">
        <f t="shared" si="4"/>
        <v>45748</v>
      </c>
      <c r="L1365" s="7" t="str">
        <f t="shared" si="5"/>
        <v/>
      </c>
      <c r="M1365" s="7" t="str">
        <f>IFERROR(__xludf.DUMMYFUNCTION("IFERROR(
  IF(
    F1365 &gt;
    3*AVERAGE(
       FILTER($F$2:$F10491,
         $G$2:$G10491=G1365,
         $A$2:$A10491&gt;=A1365-20,
         $A$2:$A10491&lt;=A1365
       )
    ),
    ""VOL_SPIKE_3X"",""""
  ),
"""")
"),"")</f>
        <v/>
      </c>
      <c r="N1365" s="7" t="str">
        <f t="shared" si="6"/>
        <v/>
      </c>
      <c r="O1365" s="7" t="str">
        <f t="shared" si="7"/>
        <v/>
      </c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>
      <c r="A1366" s="5">
        <f>IFERROR(__xludf.DUMMYFUNCTION("""COMPUTED_VALUE"""),45751.0)</f>
        <v>45751</v>
      </c>
      <c r="B1366" s="6">
        <f>IFERROR(__xludf.DUMMYFUNCTION("""COMPUTED_VALUE"""),132.91)</f>
        <v>132.91</v>
      </c>
      <c r="C1366" s="6">
        <f>IFERROR(__xludf.DUMMYFUNCTION("""COMPUTED_VALUE"""),134.25)</f>
        <v>134.25</v>
      </c>
      <c r="D1366" s="6">
        <f>IFERROR(__xludf.DUMMYFUNCTION("""COMPUTED_VALUE"""),128.88)</f>
        <v>128.88</v>
      </c>
      <c r="E1366" s="6">
        <f>IFERROR(__xludf.DUMMYFUNCTION("""COMPUTED_VALUE"""),130.14)</f>
        <v>130.14</v>
      </c>
      <c r="F1366" s="7">
        <f>IFERROR(__xludf.DUMMYFUNCTION("""COMPUTED_VALUE"""),2.1497796E7)</f>
        <v>21497796</v>
      </c>
      <c r="G1366" s="7" t="str">
        <f>IFERROR(__xludf.DUMMYFUNCTION("""COMPUTED_VALUE"""),"IOC.NS")</f>
        <v>IOC.NS</v>
      </c>
      <c r="H1366" s="8">
        <f t="shared" si="1"/>
        <v>-0.02084117072</v>
      </c>
      <c r="I1366" s="8">
        <f t="shared" si="2"/>
        <v>0.02084117072</v>
      </c>
      <c r="J1366" s="7" t="str">
        <f t="shared" si="3"/>
        <v>Apr-2025</v>
      </c>
      <c r="K1366" s="9">
        <f t="shared" si="4"/>
        <v>45748</v>
      </c>
      <c r="L1366" s="7" t="str">
        <f t="shared" si="5"/>
        <v/>
      </c>
      <c r="M1366" s="7" t="str">
        <f>IFERROR(__xludf.DUMMYFUNCTION("IFERROR(
  IF(
    F1366 &gt;
    3*AVERAGE(
       FILTER($F$2:$F10491,
         $G$2:$G10491=G1366,
         $A$2:$A10491&gt;=A1366-20,
         $A$2:$A10491&lt;=A1366
       )
    ),
    ""VOL_SPIKE_3X"",""""
  ),
"""")
"),"")</f>
        <v/>
      </c>
      <c r="N1366" s="7" t="str">
        <f t="shared" si="6"/>
        <v/>
      </c>
      <c r="O1366" s="7" t="str">
        <f t="shared" si="7"/>
        <v/>
      </c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>
      <c r="A1367" s="5">
        <f>IFERROR(__xludf.DUMMYFUNCTION("""COMPUTED_VALUE"""),45751.0)</f>
        <v>45751</v>
      </c>
      <c r="B1367" s="6">
        <f>IFERROR(__xludf.DUMMYFUNCTION("""COMPUTED_VALUE"""),358.85)</f>
        <v>358.85</v>
      </c>
      <c r="C1367" s="6">
        <f>IFERROR(__xludf.DUMMYFUNCTION("""COMPUTED_VALUE"""),358.85)</f>
        <v>358.85</v>
      </c>
      <c r="D1367" s="6">
        <f>IFERROR(__xludf.DUMMYFUNCTION("""COMPUTED_VALUE"""),348.55)</f>
        <v>348.55</v>
      </c>
      <c r="E1367" s="6">
        <f>IFERROR(__xludf.DUMMYFUNCTION("""COMPUTED_VALUE"""),350.4)</f>
        <v>350.4</v>
      </c>
      <c r="F1367" s="7">
        <f>IFERROR(__xludf.DUMMYFUNCTION("""COMPUTED_VALUE"""),1.0872963E7)</f>
        <v>10872963</v>
      </c>
      <c r="G1367" s="7" t="str">
        <f>IFERROR(__xludf.DUMMYFUNCTION("""COMPUTED_VALUE"""),"NTPC.NS")</f>
        <v>NTPC.NS</v>
      </c>
      <c r="H1367" s="8">
        <f t="shared" si="1"/>
        <v>-0.02354744322</v>
      </c>
      <c r="I1367" s="8">
        <f t="shared" si="2"/>
        <v>0.02354744322</v>
      </c>
      <c r="J1367" s="7" t="str">
        <f t="shared" si="3"/>
        <v>Apr-2025</v>
      </c>
      <c r="K1367" s="9">
        <f t="shared" si="4"/>
        <v>45748</v>
      </c>
      <c r="L1367" s="7" t="str">
        <f t="shared" si="5"/>
        <v/>
      </c>
      <c r="M1367" s="7" t="str">
        <f>IFERROR(__xludf.DUMMYFUNCTION("IFERROR(
  IF(
    F1367 &gt;
    3*AVERAGE(
       FILTER($F$2:$F10491,
         $G$2:$G10491=G1367,
         $A$2:$A10491&gt;=A1367-20,
         $A$2:$A10491&lt;=A1367
       )
    ),
    ""VOL_SPIKE_3X"",""""
  ),
"""")
"),"")</f>
        <v/>
      </c>
      <c r="N1367" s="7" t="str">
        <f t="shared" si="6"/>
        <v/>
      </c>
      <c r="O1367" s="7" t="str">
        <f t="shared" si="7"/>
        <v/>
      </c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>
      <c r="A1368" s="5">
        <f>IFERROR(__xludf.DUMMYFUNCTION("""COMPUTED_VALUE"""),45751.0)</f>
        <v>45751</v>
      </c>
      <c r="B1368" s="6">
        <f>IFERROR(__xludf.DUMMYFUNCTION("""COMPUTED_VALUE"""),240.56)</f>
        <v>240.56</v>
      </c>
      <c r="C1368" s="6">
        <f>IFERROR(__xludf.DUMMYFUNCTION("""COMPUTED_VALUE"""),241.21)</f>
        <v>241.21</v>
      </c>
      <c r="D1368" s="6">
        <f>IFERROR(__xludf.DUMMYFUNCTION("""COMPUTED_VALUE"""),224.2)</f>
        <v>224.2</v>
      </c>
      <c r="E1368" s="6">
        <f>IFERROR(__xludf.DUMMYFUNCTION("""COMPUTED_VALUE"""),226.01)</f>
        <v>226.01</v>
      </c>
      <c r="F1368" s="7">
        <f>IFERROR(__xludf.DUMMYFUNCTION("""COMPUTED_VALUE"""),3.8336194E7)</f>
        <v>38336194</v>
      </c>
      <c r="G1368" s="7" t="str">
        <f>IFERROR(__xludf.DUMMYFUNCTION("""COMPUTED_VALUE"""),"ONGC.NS")</f>
        <v>ONGC.NS</v>
      </c>
      <c r="H1368" s="8">
        <f t="shared" si="1"/>
        <v>-0.06048387097</v>
      </c>
      <c r="I1368" s="8">
        <f t="shared" si="2"/>
        <v>0.06048387097</v>
      </c>
      <c r="J1368" s="7" t="str">
        <f t="shared" si="3"/>
        <v>Apr-2025</v>
      </c>
      <c r="K1368" s="9">
        <f t="shared" si="4"/>
        <v>45748</v>
      </c>
      <c r="L1368" s="7" t="str">
        <f t="shared" si="5"/>
        <v>PRICE_MOVE_5PCT+</v>
      </c>
      <c r="M1368" s="7" t="str">
        <f>IFERROR(__xludf.DUMMYFUNCTION("IFERROR(
  IF(
    F1368 &gt;
    3*AVERAGE(
       FILTER($F$2:$F10491,
         $G$2:$G10491=G1368,
         $A$2:$A10491&gt;=A1368-20,
         $A$2:$A10491&lt;=A1368
       )
    ),
    ""VOL_SPIKE_3X"",""""
  ),
"""")
"),"")</f>
        <v/>
      </c>
      <c r="N1368" s="7" t="str">
        <f t="shared" si="6"/>
        <v>PRICE_MOVE_5PCT+</v>
      </c>
      <c r="O1368" s="7" t="str">
        <f t="shared" si="7"/>
        <v/>
      </c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>
      <c r="A1369" s="5">
        <f>IFERROR(__xludf.DUMMYFUNCTION("""COMPUTED_VALUE"""),45751.0)</f>
        <v>45751</v>
      </c>
      <c r="B1369" s="6">
        <f>IFERROR(__xludf.DUMMYFUNCTION("""COMPUTED_VALUE"""),300.0)</f>
        <v>300</v>
      </c>
      <c r="C1369" s="6">
        <f>IFERROR(__xludf.DUMMYFUNCTION("""COMPUTED_VALUE"""),300.9)</f>
        <v>300.9</v>
      </c>
      <c r="D1369" s="6">
        <f>IFERROR(__xludf.DUMMYFUNCTION("""COMPUTED_VALUE"""),292.1)</f>
        <v>292.1</v>
      </c>
      <c r="E1369" s="6">
        <f>IFERROR(__xludf.DUMMYFUNCTION("""COMPUTED_VALUE"""),293.9)</f>
        <v>293.9</v>
      </c>
      <c r="F1369" s="7">
        <f>IFERROR(__xludf.DUMMYFUNCTION("""COMPUTED_VALUE"""),2.1020875E7)</f>
        <v>21020875</v>
      </c>
      <c r="G1369" s="7" t="str">
        <f>IFERROR(__xludf.DUMMYFUNCTION("""COMPUTED_VALUE"""),"POWERGRID.NS")</f>
        <v>POWERGRID.NS</v>
      </c>
      <c r="H1369" s="8">
        <f t="shared" si="1"/>
        <v>-0.02033333333</v>
      </c>
      <c r="I1369" s="8">
        <f t="shared" si="2"/>
        <v>0.02033333333</v>
      </c>
      <c r="J1369" s="7" t="str">
        <f t="shared" si="3"/>
        <v>Apr-2025</v>
      </c>
      <c r="K1369" s="9">
        <f t="shared" si="4"/>
        <v>45748</v>
      </c>
      <c r="L1369" s="7" t="str">
        <f t="shared" si="5"/>
        <v/>
      </c>
      <c r="M1369" s="7" t="str">
        <f>IFERROR(__xludf.DUMMYFUNCTION("IFERROR(
  IF(
    F1369 &gt;
    3*AVERAGE(
       FILTER($F$2:$F10491,
         $G$2:$G10491=G1369,
         $A$2:$A10491&gt;=A1369-20,
         $A$2:$A10491&lt;=A1369
       )
    ),
    ""VOL_SPIKE_3X"",""""
  ),
"""")
"),"")</f>
        <v/>
      </c>
      <c r="N1369" s="7" t="str">
        <f t="shared" si="6"/>
        <v/>
      </c>
      <c r="O1369" s="7" t="str">
        <f t="shared" si="7"/>
        <v/>
      </c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>
      <c r="A1370" s="5">
        <f>IFERROR(__xludf.DUMMYFUNCTION("""COMPUTED_VALUE"""),45751.0)</f>
        <v>45751</v>
      </c>
      <c r="B1370" s="6">
        <f>IFERROR(__xludf.DUMMYFUNCTION("""COMPUTED_VALUE"""),1241.1)</f>
        <v>1241.1</v>
      </c>
      <c r="C1370" s="6">
        <f>IFERROR(__xludf.DUMMYFUNCTION("""COMPUTED_VALUE"""),1245.45)</f>
        <v>1245.45</v>
      </c>
      <c r="D1370" s="6">
        <f>IFERROR(__xludf.DUMMYFUNCTION("""COMPUTED_VALUE"""),1193.15)</f>
        <v>1193.15</v>
      </c>
      <c r="E1370" s="6">
        <f>IFERROR(__xludf.DUMMYFUNCTION("""COMPUTED_VALUE"""),1204.7)</f>
        <v>1204.7</v>
      </c>
      <c r="F1370" s="7">
        <f>IFERROR(__xludf.DUMMYFUNCTION("""COMPUTED_VALUE"""),1.7908652E7)</f>
        <v>17908652</v>
      </c>
      <c r="G1370" s="7" t="str">
        <f>IFERROR(__xludf.DUMMYFUNCTION("""COMPUTED_VALUE"""),"RELIANCE.NS")</f>
        <v>RELIANCE.NS</v>
      </c>
      <c r="H1370" s="8">
        <f t="shared" si="1"/>
        <v>-0.02932882121</v>
      </c>
      <c r="I1370" s="8">
        <f t="shared" si="2"/>
        <v>0.02932882121</v>
      </c>
      <c r="J1370" s="7" t="str">
        <f t="shared" si="3"/>
        <v>Apr-2025</v>
      </c>
      <c r="K1370" s="9">
        <f t="shared" si="4"/>
        <v>45748</v>
      </c>
      <c r="L1370" s="7" t="str">
        <f t="shared" si="5"/>
        <v/>
      </c>
      <c r="M1370" s="7" t="str">
        <f>IFERROR(__xludf.DUMMYFUNCTION("IFERROR(
  IF(
    F1370 &gt;
    3*AVERAGE(
       FILTER($F$2:$F10491,
         $G$2:$G10491=G1370,
         $A$2:$A10491&gt;=A1370-20,
         $A$2:$A10491&lt;=A1370
       )
    ),
    ""VOL_SPIKE_3X"",""""
  ),
"""")
"),"")</f>
        <v/>
      </c>
      <c r="N1370" s="7" t="str">
        <f t="shared" si="6"/>
        <v/>
      </c>
      <c r="O1370" s="7" t="str">
        <f t="shared" si="7"/>
        <v/>
      </c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>
      <c r="A1371" s="5">
        <f>IFERROR(__xludf.DUMMYFUNCTION("""COMPUTED_VALUE"""),45754.0)</f>
        <v>45754</v>
      </c>
      <c r="B1371" s="6">
        <f>IFERROR(__xludf.DUMMYFUNCTION("""COMPUTED_VALUE"""),780.5)</f>
        <v>780.5</v>
      </c>
      <c r="C1371" s="6">
        <f>IFERROR(__xludf.DUMMYFUNCTION("""COMPUTED_VALUE"""),822.2)</f>
        <v>822.2</v>
      </c>
      <c r="D1371" s="6">
        <f>IFERROR(__xludf.DUMMYFUNCTION("""COMPUTED_VALUE"""),780.5)</f>
        <v>780.5</v>
      </c>
      <c r="E1371" s="6">
        <f>IFERROR(__xludf.DUMMYFUNCTION("""COMPUTED_VALUE"""),815.05)</f>
        <v>815.05</v>
      </c>
      <c r="F1371" s="7">
        <f>IFERROR(__xludf.DUMMYFUNCTION("""COMPUTED_VALUE"""),2669587.0)</f>
        <v>2669587</v>
      </c>
      <c r="G1371" s="7" t="str">
        <f>IFERROR(__xludf.DUMMYFUNCTION("""COMPUTED_VALUE"""),"ADANIENSOL.NS")</f>
        <v>ADANIENSOL.NS</v>
      </c>
      <c r="H1371" s="8">
        <f t="shared" si="1"/>
        <v>0.04426649584</v>
      </c>
      <c r="I1371" s="8">
        <f t="shared" si="2"/>
        <v>0.04426649584</v>
      </c>
      <c r="J1371" s="7" t="str">
        <f t="shared" si="3"/>
        <v>Apr-2025</v>
      </c>
      <c r="K1371" s="9">
        <f t="shared" si="4"/>
        <v>45748</v>
      </c>
      <c r="L1371" s="7" t="str">
        <f t="shared" si="5"/>
        <v/>
      </c>
      <c r="M1371" s="7" t="str">
        <f>IFERROR(__xludf.DUMMYFUNCTION("IFERROR(
  IF(
    F1371 &gt;
    3*AVERAGE(
       FILTER($F$2:$F10491,
         $G$2:$G10491=G1371,
         $A$2:$A10491&gt;=A1371-20,
         $A$2:$A10491&lt;=A1371
       )
    ),
    ""VOL_SPIKE_3X"",""""
  ),
"""")
"),"")</f>
        <v/>
      </c>
      <c r="N1371" s="7" t="str">
        <f t="shared" si="6"/>
        <v/>
      </c>
      <c r="O1371" s="7" t="str">
        <f t="shared" si="7"/>
        <v/>
      </c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>
      <c r="A1372" s="5">
        <f>IFERROR(__xludf.DUMMYFUNCTION("""COMPUTED_VALUE"""),45754.0)</f>
        <v>45754</v>
      </c>
      <c r="B1372" s="6">
        <f>IFERROR(__xludf.DUMMYFUNCTION("""COMPUTED_VALUE"""),850.0)</f>
        <v>850</v>
      </c>
      <c r="C1372" s="6">
        <f>IFERROR(__xludf.DUMMYFUNCTION("""COMPUTED_VALUE"""),891.95)</f>
        <v>891.95</v>
      </c>
      <c r="D1372" s="6">
        <f>IFERROR(__xludf.DUMMYFUNCTION("""COMPUTED_VALUE"""),850.0)</f>
        <v>850</v>
      </c>
      <c r="E1372" s="6">
        <f>IFERROR(__xludf.DUMMYFUNCTION("""COMPUTED_VALUE"""),873.3)</f>
        <v>873.3</v>
      </c>
      <c r="F1372" s="7">
        <f>IFERROR(__xludf.DUMMYFUNCTION("""COMPUTED_VALUE"""),3317613.0)</f>
        <v>3317613</v>
      </c>
      <c r="G1372" s="7" t="str">
        <f>IFERROR(__xludf.DUMMYFUNCTION("""COMPUTED_VALUE"""),"ADANIGREEN.NS")</f>
        <v>ADANIGREEN.NS</v>
      </c>
      <c r="H1372" s="8">
        <f t="shared" si="1"/>
        <v>0.02741176471</v>
      </c>
      <c r="I1372" s="8">
        <f t="shared" si="2"/>
        <v>0.02741176471</v>
      </c>
      <c r="J1372" s="7" t="str">
        <f t="shared" si="3"/>
        <v>Apr-2025</v>
      </c>
      <c r="K1372" s="9">
        <f t="shared" si="4"/>
        <v>45748</v>
      </c>
      <c r="L1372" s="7" t="str">
        <f t="shared" si="5"/>
        <v/>
      </c>
      <c r="M1372" s="7" t="str">
        <f>IFERROR(__xludf.DUMMYFUNCTION("IFERROR(
  IF(
    F1372 &gt;
    3*AVERAGE(
       FILTER($F$2:$F10491,
         $G$2:$G10491=G1372,
         $A$2:$A10491&gt;=A1372-20,
         $A$2:$A10491&lt;=A1372
       )
    ),
    ""VOL_SPIKE_3X"",""""
  ),
"""")
"),"")</f>
        <v/>
      </c>
      <c r="N1372" s="7" t="str">
        <f t="shared" si="6"/>
        <v/>
      </c>
      <c r="O1372" s="7" t="str">
        <f t="shared" si="7"/>
        <v/>
      </c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>
      <c r="A1373" s="5">
        <f>IFERROR(__xludf.DUMMYFUNCTION("""COMPUTED_VALUE"""),45754.0)</f>
        <v>45754</v>
      </c>
      <c r="B1373" s="6">
        <f>IFERROR(__xludf.DUMMYFUNCTION("""COMPUTED_VALUE"""),262.0)</f>
        <v>262</v>
      </c>
      <c r="C1373" s="6">
        <f>IFERROR(__xludf.DUMMYFUNCTION("""COMPUTED_VALUE"""),279.1)</f>
        <v>279.1</v>
      </c>
      <c r="D1373" s="6">
        <f>IFERROR(__xludf.DUMMYFUNCTION("""COMPUTED_VALUE"""),262.0)</f>
        <v>262</v>
      </c>
      <c r="E1373" s="6">
        <f>IFERROR(__xludf.DUMMYFUNCTION("""COMPUTED_VALUE"""),273.7)</f>
        <v>273.7</v>
      </c>
      <c r="F1373" s="7">
        <f>IFERROR(__xludf.DUMMYFUNCTION("""COMPUTED_VALUE"""),1.5010047E7)</f>
        <v>15010047</v>
      </c>
      <c r="G1373" s="7" t="str">
        <f>IFERROR(__xludf.DUMMYFUNCTION("""COMPUTED_VALUE"""),"BPCL.NS")</f>
        <v>BPCL.NS</v>
      </c>
      <c r="H1373" s="8">
        <f t="shared" si="1"/>
        <v>0.04465648855</v>
      </c>
      <c r="I1373" s="8">
        <f t="shared" si="2"/>
        <v>0.04465648855</v>
      </c>
      <c r="J1373" s="7" t="str">
        <f t="shared" si="3"/>
        <v>Apr-2025</v>
      </c>
      <c r="K1373" s="9">
        <f t="shared" si="4"/>
        <v>45748</v>
      </c>
      <c r="L1373" s="7" t="str">
        <f t="shared" si="5"/>
        <v/>
      </c>
      <c r="M1373" s="7" t="str">
        <f>IFERROR(__xludf.DUMMYFUNCTION("IFERROR(
  IF(
    F1373 &gt;
    3*AVERAGE(
       FILTER($F$2:$F10491,
         $G$2:$G10491=G1373,
         $A$2:$A10491&gt;=A1373-20,
         $A$2:$A10491&lt;=A1373
       )
    ),
    ""VOL_SPIKE_3X"",""""
  ),
"""")
"),"")</f>
        <v/>
      </c>
      <c r="N1373" s="7" t="str">
        <f t="shared" si="6"/>
        <v/>
      </c>
      <c r="O1373" s="7" t="str">
        <f t="shared" si="7"/>
        <v/>
      </c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>
      <c r="A1374" s="5">
        <f>IFERROR(__xludf.DUMMYFUNCTION("""COMPUTED_VALUE"""),45754.0)</f>
        <v>45754</v>
      </c>
      <c r="B1374" s="6">
        <f>IFERROR(__xludf.DUMMYFUNCTION("""COMPUTED_VALUE"""),358.85)</f>
        <v>358.85</v>
      </c>
      <c r="C1374" s="6">
        <f>IFERROR(__xludf.DUMMYFUNCTION("""COMPUTED_VALUE"""),379.4)</f>
        <v>379.4</v>
      </c>
      <c r="D1374" s="6">
        <f>IFERROR(__xludf.DUMMYFUNCTION("""COMPUTED_VALUE"""),356.0)</f>
        <v>356</v>
      </c>
      <c r="E1374" s="6">
        <f>IFERROR(__xludf.DUMMYFUNCTION("""COMPUTED_VALUE"""),377.5)</f>
        <v>377.5</v>
      </c>
      <c r="F1374" s="7">
        <f>IFERROR(__xludf.DUMMYFUNCTION("""COMPUTED_VALUE"""),1.02024E7)</f>
        <v>10202400</v>
      </c>
      <c r="G1374" s="7" t="str">
        <f>IFERROR(__xludf.DUMMYFUNCTION("""COMPUTED_VALUE"""),"COALINDIA.NS")</f>
        <v>COALINDIA.NS</v>
      </c>
      <c r="H1374" s="8">
        <f t="shared" si="1"/>
        <v>0.05197157587</v>
      </c>
      <c r="I1374" s="8">
        <f t="shared" si="2"/>
        <v>0.05197157587</v>
      </c>
      <c r="J1374" s="7" t="str">
        <f t="shared" si="3"/>
        <v>Apr-2025</v>
      </c>
      <c r="K1374" s="9">
        <f t="shared" si="4"/>
        <v>45748</v>
      </c>
      <c r="L1374" s="7" t="str">
        <f t="shared" si="5"/>
        <v>PRICE_MOVE_5PCT+</v>
      </c>
      <c r="M1374" s="7" t="str">
        <f>IFERROR(__xludf.DUMMYFUNCTION("IFERROR(
  IF(
    F1374 &gt;
    3*AVERAGE(
       FILTER($F$2:$F10491,
         $G$2:$G10491=G1374,
         $A$2:$A10491&gt;=A1374-20,
         $A$2:$A10491&lt;=A1374
       )
    ),
    ""VOL_SPIKE_3X"",""""
  ),
"""")
"),"")</f>
        <v/>
      </c>
      <c r="N1374" s="7" t="str">
        <f t="shared" si="6"/>
        <v>PRICE_MOVE_5PCT+</v>
      </c>
      <c r="O1374" s="7" t="str">
        <f t="shared" si="7"/>
        <v/>
      </c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>
      <c r="A1375" s="5">
        <f>IFERROR(__xludf.DUMMYFUNCTION("""COMPUTED_VALUE"""),45754.0)</f>
        <v>45754</v>
      </c>
      <c r="B1375" s="6">
        <f>IFERROR(__xludf.DUMMYFUNCTION("""COMPUTED_VALUE"""),350.0)</f>
        <v>350</v>
      </c>
      <c r="C1375" s="6">
        <f>IFERROR(__xludf.DUMMYFUNCTION("""COMPUTED_VALUE"""),366.95)</f>
        <v>366.95</v>
      </c>
      <c r="D1375" s="6">
        <f>IFERROR(__xludf.DUMMYFUNCTION("""COMPUTED_VALUE"""),341.5)</f>
        <v>341.5</v>
      </c>
      <c r="E1375" s="6">
        <f>IFERROR(__xludf.DUMMYFUNCTION("""COMPUTED_VALUE"""),352.8)</f>
        <v>352.8</v>
      </c>
      <c r="F1375" s="7">
        <f>IFERROR(__xludf.DUMMYFUNCTION("""COMPUTED_VALUE"""),1.548962E7)</f>
        <v>15489620</v>
      </c>
      <c r="G1375" s="7" t="str">
        <f>IFERROR(__xludf.DUMMYFUNCTION("""COMPUTED_VALUE"""),"HINDPETRO.NS")</f>
        <v>HINDPETRO.NS</v>
      </c>
      <c r="H1375" s="8">
        <f t="shared" si="1"/>
        <v>0.008</v>
      </c>
      <c r="I1375" s="8">
        <f t="shared" si="2"/>
        <v>0.008</v>
      </c>
      <c r="J1375" s="7" t="str">
        <f t="shared" si="3"/>
        <v>Apr-2025</v>
      </c>
      <c r="K1375" s="9">
        <f t="shared" si="4"/>
        <v>45748</v>
      </c>
      <c r="L1375" s="7" t="str">
        <f t="shared" si="5"/>
        <v/>
      </c>
      <c r="M1375" s="7" t="str">
        <f>IFERROR(__xludf.DUMMYFUNCTION("IFERROR(
  IF(
    F1375 &gt;
    3*AVERAGE(
       FILTER($F$2:$F10491,
         $G$2:$G10491=G1375,
         $A$2:$A10491&gt;=A1375-20,
         $A$2:$A10491&lt;=A1375
       )
    ),
    ""VOL_SPIKE_3X"",""""
  ),
"""")
"),"")</f>
        <v/>
      </c>
      <c r="N1375" s="7" t="str">
        <f t="shared" si="6"/>
        <v/>
      </c>
      <c r="O1375" s="7" t="str">
        <f t="shared" si="7"/>
        <v/>
      </c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>
      <c r="A1376" s="5">
        <f>IFERROR(__xludf.DUMMYFUNCTION("""COMPUTED_VALUE"""),45754.0)</f>
        <v>45754</v>
      </c>
      <c r="B1376" s="6">
        <f>IFERROR(__xludf.DUMMYFUNCTION("""COMPUTED_VALUE"""),122.45)</f>
        <v>122.45</v>
      </c>
      <c r="C1376" s="6">
        <f>IFERROR(__xludf.DUMMYFUNCTION("""COMPUTED_VALUE"""),129.61)</f>
        <v>129.61</v>
      </c>
      <c r="D1376" s="6">
        <f>IFERROR(__xludf.DUMMYFUNCTION("""COMPUTED_VALUE"""),122.35)</f>
        <v>122.35</v>
      </c>
      <c r="E1376" s="6">
        <f>IFERROR(__xludf.DUMMYFUNCTION("""COMPUTED_VALUE"""),128.09)</f>
        <v>128.09</v>
      </c>
      <c r="F1376" s="7">
        <f>IFERROR(__xludf.DUMMYFUNCTION("""COMPUTED_VALUE"""),2.4739154E7)</f>
        <v>24739154</v>
      </c>
      <c r="G1376" s="7" t="str">
        <f>IFERROR(__xludf.DUMMYFUNCTION("""COMPUTED_VALUE"""),"IOC.NS")</f>
        <v>IOC.NS</v>
      </c>
      <c r="H1376" s="8">
        <f t="shared" si="1"/>
        <v>0.04605961617</v>
      </c>
      <c r="I1376" s="8">
        <f t="shared" si="2"/>
        <v>0.04605961617</v>
      </c>
      <c r="J1376" s="7" t="str">
        <f t="shared" si="3"/>
        <v>Apr-2025</v>
      </c>
      <c r="K1376" s="9">
        <f t="shared" si="4"/>
        <v>45748</v>
      </c>
      <c r="L1376" s="7" t="str">
        <f t="shared" si="5"/>
        <v/>
      </c>
      <c r="M1376" s="7" t="str">
        <f>IFERROR(__xludf.DUMMYFUNCTION("IFERROR(
  IF(
    F1376 &gt;
    3*AVERAGE(
       FILTER($F$2:$F10491,
         $G$2:$G10491=G1376,
         $A$2:$A10491&gt;=A1376-20,
         $A$2:$A10491&lt;=A1376
       )
    ),
    ""VOL_SPIKE_3X"",""""
  ),
"""")
"),"")</f>
        <v/>
      </c>
      <c r="N1376" s="7" t="str">
        <f t="shared" si="6"/>
        <v/>
      </c>
      <c r="O1376" s="7" t="str">
        <f t="shared" si="7"/>
        <v/>
      </c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>
      <c r="A1377" s="5">
        <f>IFERROR(__xludf.DUMMYFUNCTION("""COMPUTED_VALUE"""),45754.0)</f>
        <v>45754</v>
      </c>
      <c r="B1377" s="6">
        <f>IFERROR(__xludf.DUMMYFUNCTION("""COMPUTED_VALUE"""),328.0)</f>
        <v>328</v>
      </c>
      <c r="C1377" s="6">
        <f>IFERROR(__xludf.DUMMYFUNCTION("""COMPUTED_VALUE"""),351.4)</f>
        <v>351.4</v>
      </c>
      <c r="D1377" s="6">
        <f>IFERROR(__xludf.DUMMYFUNCTION("""COMPUTED_VALUE"""),324.0)</f>
        <v>324</v>
      </c>
      <c r="E1377" s="6">
        <f>IFERROR(__xludf.DUMMYFUNCTION("""COMPUTED_VALUE"""),349.8)</f>
        <v>349.8</v>
      </c>
      <c r="F1377" s="7">
        <f>IFERROR(__xludf.DUMMYFUNCTION("""COMPUTED_VALUE"""),1.8025165E7)</f>
        <v>18025165</v>
      </c>
      <c r="G1377" s="7" t="str">
        <f>IFERROR(__xludf.DUMMYFUNCTION("""COMPUTED_VALUE"""),"NTPC.NS")</f>
        <v>NTPC.NS</v>
      </c>
      <c r="H1377" s="8">
        <f t="shared" si="1"/>
        <v>0.06646341463</v>
      </c>
      <c r="I1377" s="8">
        <f t="shared" si="2"/>
        <v>0.06646341463</v>
      </c>
      <c r="J1377" s="7" t="str">
        <f t="shared" si="3"/>
        <v>Apr-2025</v>
      </c>
      <c r="K1377" s="9">
        <f t="shared" si="4"/>
        <v>45748</v>
      </c>
      <c r="L1377" s="7" t="str">
        <f t="shared" si="5"/>
        <v>PRICE_MOVE_5PCT+</v>
      </c>
      <c r="M1377" s="7" t="str">
        <f>IFERROR(__xludf.DUMMYFUNCTION("IFERROR(
  IF(
    F1377 &gt;
    3*AVERAGE(
       FILTER($F$2:$F10491,
         $G$2:$G10491=G1377,
         $A$2:$A10491&gt;=A1377-20,
         $A$2:$A10491&lt;=A1377
       )
    ),
    ""VOL_SPIKE_3X"",""""
  ),
"""")
"),"")</f>
        <v/>
      </c>
      <c r="N1377" s="7" t="str">
        <f t="shared" si="6"/>
        <v>PRICE_MOVE_5PCT+</v>
      </c>
      <c r="O1377" s="7" t="str">
        <f t="shared" si="7"/>
        <v/>
      </c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>
      <c r="A1378" s="5">
        <f>IFERROR(__xludf.DUMMYFUNCTION("""COMPUTED_VALUE"""),45754.0)</f>
        <v>45754</v>
      </c>
      <c r="B1378" s="6">
        <f>IFERROR(__xludf.DUMMYFUNCTION("""COMPUTED_VALUE"""),208.0)</f>
        <v>208</v>
      </c>
      <c r="C1378" s="6">
        <f>IFERROR(__xludf.DUMMYFUNCTION("""COMPUTED_VALUE"""),220.8)</f>
        <v>220.8</v>
      </c>
      <c r="D1378" s="6">
        <f>IFERROR(__xludf.DUMMYFUNCTION("""COMPUTED_VALUE"""),205.0)</f>
        <v>205</v>
      </c>
      <c r="E1378" s="6">
        <f>IFERROR(__xludf.DUMMYFUNCTION("""COMPUTED_VALUE"""),219.84)</f>
        <v>219.84</v>
      </c>
      <c r="F1378" s="7">
        <f>IFERROR(__xludf.DUMMYFUNCTION("""COMPUTED_VALUE"""),2.7024128E7)</f>
        <v>27024128</v>
      </c>
      <c r="G1378" s="7" t="str">
        <f>IFERROR(__xludf.DUMMYFUNCTION("""COMPUTED_VALUE"""),"ONGC.NS")</f>
        <v>ONGC.NS</v>
      </c>
      <c r="H1378" s="8">
        <f t="shared" si="1"/>
        <v>0.05692307692</v>
      </c>
      <c r="I1378" s="8">
        <f t="shared" si="2"/>
        <v>0.05692307692</v>
      </c>
      <c r="J1378" s="7" t="str">
        <f t="shared" si="3"/>
        <v>Apr-2025</v>
      </c>
      <c r="K1378" s="9">
        <f t="shared" si="4"/>
        <v>45748</v>
      </c>
      <c r="L1378" s="7" t="str">
        <f t="shared" si="5"/>
        <v>PRICE_MOVE_5PCT+</v>
      </c>
      <c r="M1378" s="7" t="str">
        <f>IFERROR(__xludf.DUMMYFUNCTION("IFERROR(
  IF(
    F1378 &gt;
    3*AVERAGE(
       FILTER($F$2:$F10491,
         $G$2:$G10491=G1378,
         $A$2:$A10491&gt;=A1378-20,
         $A$2:$A10491&lt;=A1378
       )
    ),
    ""VOL_SPIKE_3X"",""""
  ),
"""")
"),"")</f>
        <v/>
      </c>
      <c r="N1378" s="7" t="str">
        <f t="shared" si="6"/>
        <v>PRICE_MOVE_5PCT+</v>
      </c>
      <c r="O1378" s="7" t="str">
        <f t="shared" si="7"/>
        <v/>
      </c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>
      <c r="A1379" s="5">
        <f>IFERROR(__xludf.DUMMYFUNCTION("""COMPUTED_VALUE"""),45754.0)</f>
        <v>45754</v>
      </c>
      <c r="B1379" s="6">
        <f>IFERROR(__xludf.DUMMYFUNCTION("""COMPUTED_VALUE"""),283.6)</f>
        <v>283.6</v>
      </c>
      <c r="C1379" s="6">
        <f>IFERROR(__xludf.DUMMYFUNCTION("""COMPUTED_VALUE"""),293.9)</f>
        <v>293.9</v>
      </c>
      <c r="D1379" s="6">
        <f>IFERROR(__xludf.DUMMYFUNCTION("""COMPUTED_VALUE"""),282.3)</f>
        <v>282.3</v>
      </c>
      <c r="E1379" s="6">
        <f>IFERROR(__xludf.DUMMYFUNCTION("""COMPUTED_VALUE"""),289.4)</f>
        <v>289.4</v>
      </c>
      <c r="F1379" s="7">
        <f>IFERROR(__xludf.DUMMYFUNCTION("""COMPUTED_VALUE"""),2.2847548E7)</f>
        <v>22847548</v>
      </c>
      <c r="G1379" s="7" t="str">
        <f>IFERROR(__xludf.DUMMYFUNCTION("""COMPUTED_VALUE"""),"POWERGRID.NS")</f>
        <v>POWERGRID.NS</v>
      </c>
      <c r="H1379" s="8">
        <f t="shared" si="1"/>
        <v>0.02045133992</v>
      </c>
      <c r="I1379" s="8">
        <f t="shared" si="2"/>
        <v>0.02045133992</v>
      </c>
      <c r="J1379" s="7" t="str">
        <f t="shared" si="3"/>
        <v>Apr-2025</v>
      </c>
      <c r="K1379" s="9">
        <f t="shared" si="4"/>
        <v>45748</v>
      </c>
      <c r="L1379" s="7" t="str">
        <f t="shared" si="5"/>
        <v/>
      </c>
      <c r="M1379" s="7" t="str">
        <f>IFERROR(__xludf.DUMMYFUNCTION("IFERROR(
  IF(
    F1379 &gt;
    3*AVERAGE(
       FILTER($F$2:$F10491,
         $G$2:$G10491=G1379,
         $A$2:$A10491&gt;=A1379-20,
         $A$2:$A10491&lt;=A1379
       )
    ),
    ""VOL_SPIKE_3X"",""""
  ),
"""")
"),"")</f>
        <v/>
      </c>
      <c r="N1379" s="7" t="str">
        <f t="shared" si="6"/>
        <v/>
      </c>
      <c r="O1379" s="7" t="str">
        <f t="shared" si="7"/>
        <v/>
      </c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>
      <c r="A1380" s="5">
        <f>IFERROR(__xludf.DUMMYFUNCTION("""COMPUTED_VALUE"""),45754.0)</f>
        <v>45754</v>
      </c>
      <c r="B1380" s="6">
        <f>IFERROR(__xludf.DUMMYFUNCTION("""COMPUTED_VALUE"""),1132.2)</f>
        <v>1132.2</v>
      </c>
      <c r="C1380" s="6">
        <f>IFERROR(__xludf.DUMMYFUNCTION("""COMPUTED_VALUE"""),1171.25)</f>
        <v>1171.25</v>
      </c>
      <c r="D1380" s="6">
        <f>IFERROR(__xludf.DUMMYFUNCTION("""COMPUTED_VALUE"""),1114.85)</f>
        <v>1114.85</v>
      </c>
      <c r="E1380" s="6">
        <f>IFERROR(__xludf.DUMMYFUNCTION("""COMPUTED_VALUE"""),1165.7)</f>
        <v>1165.7</v>
      </c>
      <c r="F1380" s="7">
        <f>IFERROR(__xludf.DUMMYFUNCTION("""COMPUTED_VALUE"""),2.2156106E7)</f>
        <v>22156106</v>
      </c>
      <c r="G1380" s="7" t="str">
        <f>IFERROR(__xludf.DUMMYFUNCTION("""COMPUTED_VALUE"""),"RELIANCE.NS")</f>
        <v>RELIANCE.NS</v>
      </c>
      <c r="H1380" s="8">
        <f t="shared" si="1"/>
        <v>0.02958841194</v>
      </c>
      <c r="I1380" s="8">
        <f t="shared" si="2"/>
        <v>0.02958841194</v>
      </c>
      <c r="J1380" s="7" t="str">
        <f t="shared" si="3"/>
        <v>Apr-2025</v>
      </c>
      <c r="K1380" s="9">
        <f t="shared" si="4"/>
        <v>45748</v>
      </c>
      <c r="L1380" s="7" t="str">
        <f t="shared" si="5"/>
        <v/>
      </c>
      <c r="M1380" s="7" t="str">
        <f>IFERROR(__xludf.DUMMYFUNCTION("IFERROR(
  IF(
    F1380 &gt;
    3*AVERAGE(
       FILTER($F$2:$F10491,
         $G$2:$G10491=G1380,
         $A$2:$A10491&gt;=A1380-20,
         $A$2:$A10491&lt;=A1380
       )
    ),
    ""VOL_SPIKE_3X"",""""
  ),
"""")
"),"")</f>
        <v/>
      </c>
      <c r="N1380" s="7" t="str">
        <f t="shared" si="6"/>
        <v/>
      </c>
      <c r="O1380" s="7" t="str">
        <f t="shared" si="7"/>
        <v/>
      </c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>
      <c r="A1381" s="5">
        <f>IFERROR(__xludf.DUMMYFUNCTION("""COMPUTED_VALUE"""),45755.0)</f>
        <v>45755</v>
      </c>
      <c r="B1381" s="6">
        <f>IFERROR(__xludf.DUMMYFUNCTION("""COMPUTED_VALUE"""),835.0)</f>
        <v>835</v>
      </c>
      <c r="C1381" s="6">
        <f>IFERROR(__xludf.DUMMYFUNCTION("""COMPUTED_VALUE"""),847.85)</f>
        <v>847.85</v>
      </c>
      <c r="D1381" s="6">
        <f>IFERROR(__xludf.DUMMYFUNCTION("""COMPUTED_VALUE"""),826.85)</f>
        <v>826.85</v>
      </c>
      <c r="E1381" s="6">
        <f>IFERROR(__xludf.DUMMYFUNCTION("""COMPUTED_VALUE"""),841.15)</f>
        <v>841.15</v>
      </c>
      <c r="F1381" s="7">
        <f>IFERROR(__xludf.DUMMYFUNCTION("""COMPUTED_VALUE"""),1707784.0)</f>
        <v>1707784</v>
      </c>
      <c r="G1381" s="7" t="str">
        <f>IFERROR(__xludf.DUMMYFUNCTION("""COMPUTED_VALUE"""),"ADANIENSOL.NS")</f>
        <v>ADANIENSOL.NS</v>
      </c>
      <c r="H1381" s="8">
        <f t="shared" si="1"/>
        <v>0.007365269461</v>
      </c>
      <c r="I1381" s="8">
        <f t="shared" si="2"/>
        <v>0.007365269461</v>
      </c>
      <c r="J1381" s="7" t="str">
        <f t="shared" si="3"/>
        <v>Apr-2025</v>
      </c>
      <c r="K1381" s="9">
        <f t="shared" si="4"/>
        <v>45748</v>
      </c>
      <c r="L1381" s="7" t="str">
        <f t="shared" si="5"/>
        <v/>
      </c>
      <c r="M1381" s="7" t="str">
        <f>IFERROR(__xludf.DUMMYFUNCTION("IFERROR(
  IF(
    F1381 &gt;
    3*AVERAGE(
       FILTER($F$2:$F10491,
         $G$2:$G10491=G1381,
         $A$2:$A10491&gt;=A1381-20,
         $A$2:$A10491&lt;=A1381
       )
    ),
    ""VOL_SPIKE_3X"",""""
  ),
"""")
"),"")</f>
        <v/>
      </c>
      <c r="N1381" s="7" t="str">
        <f t="shared" si="6"/>
        <v/>
      </c>
      <c r="O1381" s="7" t="str">
        <f t="shared" si="7"/>
        <v/>
      </c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>
      <c r="A1382" s="5">
        <f>IFERROR(__xludf.DUMMYFUNCTION("""COMPUTED_VALUE"""),45755.0)</f>
        <v>45755</v>
      </c>
      <c r="B1382" s="6">
        <f>IFERROR(__xludf.DUMMYFUNCTION("""COMPUTED_VALUE"""),899.0)</f>
        <v>899</v>
      </c>
      <c r="C1382" s="6">
        <f>IFERROR(__xludf.DUMMYFUNCTION("""COMPUTED_VALUE"""),908.1)</f>
        <v>908.1</v>
      </c>
      <c r="D1382" s="6">
        <f>IFERROR(__xludf.DUMMYFUNCTION("""COMPUTED_VALUE"""),873.3)</f>
        <v>873.3</v>
      </c>
      <c r="E1382" s="6">
        <f>IFERROR(__xludf.DUMMYFUNCTION("""COMPUTED_VALUE"""),875.8)</f>
        <v>875.8</v>
      </c>
      <c r="F1382" s="7">
        <f>IFERROR(__xludf.DUMMYFUNCTION("""COMPUTED_VALUE"""),3363547.0)</f>
        <v>3363547</v>
      </c>
      <c r="G1382" s="7" t="str">
        <f>IFERROR(__xludf.DUMMYFUNCTION("""COMPUTED_VALUE"""),"ADANIGREEN.NS")</f>
        <v>ADANIGREEN.NS</v>
      </c>
      <c r="H1382" s="8">
        <f t="shared" si="1"/>
        <v>-0.02580645161</v>
      </c>
      <c r="I1382" s="8">
        <f t="shared" si="2"/>
        <v>0.02580645161</v>
      </c>
      <c r="J1382" s="7" t="str">
        <f t="shared" si="3"/>
        <v>Apr-2025</v>
      </c>
      <c r="K1382" s="9">
        <f t="shared" si="4"/>
        <v>45748</v>
      </c>
      <c r="L1382" s="7" t="str">
        <f t="shared" si="5"/>
        <v/>
      </c>
      <c r="M1382" s="7" t="str">
        <f>IFERROR(__xludf.DUMMYFUNCTION("IFERROR(
  IF(
    F1382 &gt;
    3*AVERAGE(
       FILTER($F$2:$F10491,
         $G$2:$G10491=G1382,
         $A$2:$A10491&gt;=A1382-20,
         $A$2:$A10491&lt;=A1382
       )
    ),
    ""VOL_SPIKE_3X"",""""
  ),
"""")
"),"")</f>
        <v/>
      </c>
      <c r="N1382" s="7" t="str">
        <f t="shared" si="6"/>
        <v/>
      </c>
      <c r="O1382" s="7" t="str">
        <f t="shared" si="7"/>
        <v/>
      </c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>
      <c r="A1383" s="5">
        <f>IFERROR(__xludf.DUMMYFUNCTION("""COMPUTED_VALUE"""),45755.0)</f>
        <v>45755</v>
      </c>
      <c r="B1383" s="6">
        <f>IFERROR(__xludf.DUMMYFUNCTION("""COMPUTED_VALUE"""),279.5)</f>
        <v>279.5</v>
      </c>
      <c r="C1383" s="6">
        <f>IFERROR(__xludf.DUMMYFUNCTION("""COMPUTED_VALUE"""),287.5)</f>
        <v>287.5</v>
      </c>
      <c r="D1383" s="6">
        <f>IFERROR(__xludf.DUMMYFUNCTION("""COMPUTED_VALUE"""),275.1)</f>
        <v>275.1</v>
      </c>
      <c r="E1383" s="6">
        <f>IFERROR(__xludf.DUMMYFUNCTION("""COMPUTED_VALUE"""),285.9)</f>
        <v>285.9</v>
      </c>
      <c r="F1383" s="7">
        <f>IFERROR(__xludf.DUMMYFUNCTION("""COMPUTED_VALUE"""),1.8994276E7)</f>
        <v>18994276</v>
      </c>
      <c r="G1383" s="7" t="str">
        <f>IFERROR(__xludf.DUMMYFUNCTION("""COMPUTED_VALUE"""),"BPCL.NS")</f>
        <v>BPCL.NS</v>
      </c>
      <c r="H1383" s="8">
        <f t="shared" si="1"/>
        <v>0.0228980322</v>
      </c>
      <c r="I1383" s="8">
        <f t="shared" si="2"/>
        <v>0.0228980322</v>
      </c>
      <c r="J1383" s="7" t="str">
        <f t="shared" si="3"/>
        <v>Apr-2025</v>
      </c>
      <c r="K1383" s="9">
        <f t="shared" si="4"/>
        <v>45748</v>
      </c>
      <c r="L1383" s="7" t="str">
        <f t="shared" si="5"/>
        <v/>
      </c>
      <c r="M1383" s="7" t="str">
        <f>IFERROR(__xludf.DUMMYFUNCTION("IFERROR(
  IF(
    F1383 &gt;
    3*AVERAGE(
       FILTER($F$2:$F10491,
         $G$2:$G10491=G1383,
         $A$2:$A10491&gt;=A1383-20,
         $A$2:$A10491&lt;=A1383
       )
    ),
    ""VOL_SPIKE_3X"",""""
  ),
"""")
"),"")</f>
        <v/>
      </c>
      <c r="N1383" s="7" t="str">
        <f t="shared" si="6"/>
        <v/>
      </c>
      <c r="O1383" s="7" t="str">
        <f t="shared" si="7"/>
        <v/>
      </c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>
      <c r="A1384" s="5">
        <f>IFERROR(__xludf.DUMMYFUNCTION("""COMPUTED_VALUE"""),45755.0)</f>
        <v>45755</v>
      </c>
      <c r="B1384" s="6">
        <f>IFERROR(__xludf.DUMMYFUNCTION("""COMPUTED_VALUE"""),385.0)</f>
        <v>385</v>
      </c>
      <c r="C1384" s="6">
        <f>IFERROR(__xludf.DUMMYFUNCTION("""COMPUTED_VALUE"""),385.5)</f>
        <v>385.5</v>
      </c>
      <c r="D1384" s="6">
        <f>IFERROR(__xludf.DUMMYFUNCTION("""COMPUTED_VALUE"""),376.65)</f>
        <v>376.65</v>
      </c>
      <c r="E1384" s="6">
        <f>IFERROR(__xludf.DUMMYFUNCTION("""COMPUTED_VALUE"""),382.85)</f>
        <v>382.85</v>
      </c>
      <c r="F1384" s="7">
        <f>IFERROR(__xludf.DUMMYFUNCTION("""COMPUTED_VALUE"""),3577328.0)</f>
        <v>3577328</v>
      </c>
      <c r="G1384" s="7" t="str">
        <f>IFERROR(__xludf.DUMMYFUNCTION("""COMPUTED_VALUE"""),"COALINDIA.NS")</f>
        <v>COALINDIA.NS</v>
      </c>
      <c r="H1384" s="8">
        <f t="shared" si="1"/>
        <v>-0.005584415584</v>
      </c>
      <c r="I1384" s="8">
        <f t="shared" si="2"/>
        <v>0.005584415584</v>
      </c>
      <c r="J1384" s="7" t="str">
        <f t="shared" si="3"/>
        <v>Apr-2025</v>
      </c>
      <c r="K1384" s="9">
        <f t="shared" si="4"/>
        <v>45748</v>
      </c>
      <c r="L1384" s="7" t="str">
        <f t="shared" si="5"/>
        <v/>
      </c>
      <c r="M1384" s="7" t="str">
        <f>IFERROR(__xludf.DUMMYFUNCTION("IFERROR(
  IF(
    F1384 &gt;
    3*AVERAGE(
       FILTER($F$2:$F10491,
         $G$2:$G10491=G1384,
         $A$2:$A10491&gt;=A1384-20,
         $A$2:$A10491&lt;=A1384
       )
    ),
    ""VOL_SPIKE_3X"",""""
  ),
"""")
"),"")</f>
        <v/>
      </c>
      <c r="N1384" s="7" t="str">
        <f t="shared" si="6"/>
        <v/>
      </c>
      <c r="O1384" s="7" t="str">
        <f t="shared" si="7"/>
        <v/>
      </c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>
      <c r="A1385" s="5">
        <f>IFERROR(__xludf.DUMMYFUNCTION("""COMPUTED_VALUE"""),45755.0)</f>
        <v>45755</v>
      </c>
      <c r="B1385" s="6">
        <f>IFERROR(__xludf.DUMMYFUNCTION("""COMPUTED_VALUE"""),360.1)</f>
        <v>360.1</v>
      </c>
      <c r="C1385" s="6">
        <f>IFERROR(__xludf.DUMMYFUNCTION("""COMPUTED_VALUE"""),371.7)</f>
        <v>371.7</v>
      </c>
      <c r="D1385" s="6">
        <f>IFERROR(__xludf.DUMMYFUNCTION("""COMPUTED_VALUE"""),353.0)</f>
        <v>353</v>
      </c>
      <c r="E1385" s="6">
        <f>IFERROR(__xludf.DUMMYFUNCTION("""COMPUTED_VALUE"""),369.15)</f>
        <v>369.15</v>
      </c>
      <c r="F1385" s="7">
        <f>IFERROR(__xludf.DUMMYFUNCTION("""COMPUTED_VALUE"""),1.0576907E7)</f>
        <v>10576907</v>
      </c>
      <c r="G1385" s="7" t="str">
        <f>IFERROR(__xludf.DUMMYFUNCTION("""COMPUTED_VALUE"""),"HINDPETRO.NS")</f>
        <v>HINDPETRO.NS</v>
      </c>
      <c r="H1385" s="8">
        <f t="shared" si="1"/>
        <v>0.0251319078</v>
      </c>
      <c r="I1385" s="8">
        <f t="shared" si="2"/>
        <v>0.0251319078</v>
      </c>
      <c r="J1385" s="7" t="str">
        <f t="shared" si="3"/>
        <v>Apr-2025</v>
      </c>
      <c r="K1385" s="9">
        <f t="shared" si="4"/>
        <v>45748</v>
      </c>
      <c r="L1385" s="7" t="str">
        <f t="shared" si="5"/>
        <v/>
      </c>
      <c r="M1385" s="7" t="str">
        <f>IFERROR(__xludf.DUMMYFUNCTION("IFERROR(
  IF(
    F1385 &gt;
    3*AVERAGE(
       FILTER($F$2:$F10491,
         $G$2:$G10491=G1385,
         $A$2:$A10491&gt;=A1385-20,
         $A$2:$A10491&lt;=A1385
       )
    ),
    ""VOL_SPIKE_3X"",""""
  ),
"""")
"),"")</f>
        <v/>
      </c>
      <c r="N1385" s="7" t="str">
        <f t="shared" si="6"/>
        <v/>
      </c>
      <c r="O1385" s="7" t="str">
        <f t="shared" si="7"/>
        <v/>
      </c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>
      <c r="A1386" s="5">
        <f>IFERROR(__xludf.DUMMYFUNCTION("""COMPUTED_VALUE"""),45755.0)</f>
        <v>45755</v>
      </c>
      <c r="B1386" s="6">
        <f>IFERROR(__xludf.DUMMYFUNCTION("""COMPUTED_VALUE"""),129.48)</f>
        <v>129.48</v>
      </c>
      <c r="C1386" s="6">
        <f>IFERROR(__xludf.DUMMYFUNCTION("""COMPUTED_VALUE"""),131.72)</f>
        <v>131.72</v>
      </c>
      <c r="D1386" s="6">
        <f>IFERROR(__xludf.DUMMYFUNCTION("""COMPUTED_VALUE"""),128.2)</f>
        <v>128.2</v>
      </c>
      <c r="E1386" s="6">
        <f>IFERROR(__xludf.DUMMYFUNCTION("""COMPUTED_VALUE"""),130.98)</f>
        <v>130.98</v>
      </c>
      <c r="F1386" s="7">
        <f>IFERROR(__xludf.DUMMYFUNCTION("""COMPUTED_VALUE"""),1.2634136E7)</f>
        <v>12634136</v>
      </c>
      <c r="G1386" s="7" t="str">
        <f>IFERROR(__xludf.DUMMYFUNCTION("""COMPUTED_VALUE"""),"IOC.NS")</f>
        <v>IOC.NS</v>
      </c>
      <c r="H1386" s="8">
        <f t="shared" si="1"/>
        <v>0.01158480074</v>
      </c>
      <c r="I1386" s="8">
        <f t="shared" si="2"/>
        <v>0.01158480074</v>
      </c>
      <c r="J1386" s="7" t="str">
        <f t="shared" si="3"/>
        <v>Apr-2025</v>
      </c>
      <c r="K1386" s="9">
        <f t="shared" si="4"/>
        <v>45748</v>
      </c>
      <c r="L1386" s="7" t="str">
        <f t="shared" si="5"/>
        <v/>
      </c>
      <c r="M1386" s="7" t="str">
        <f>IFERROR(__xludf.DUMMYFUNCTION("IFERROR(
  IF(
    F1386 &gt;
    3*AVERAGE(
       FILTER($F$2:$F10491,
         $G$2:$G10491=G1386,
         $A$2:$A10491&gt;=A1386-20,
         $A$2:$A10491&lt;=A1386
       )
    ),
    ""VOL_SPIKE_3X"",""""
  ),
"""")
"),"")</f>
        <v/>
      </c>
      <c r="N1386" s="7" t="str">
        <f t="shared" si="6"/>
        <v/>
      </c>
      <c r="O1386" s="7" t="str">
        <f t="shared" si="7"/>
        <v/>
      </c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>
      <c r="A1387" s="5">
        <f>IFERROR(__xludf.DUMMYFUNCTION("""COMPUTED_VALUE"""),45755.0)</f>
        <v>45755</v>
      </c>
      <c r="B1387" s="6">
        <f>IFERROR(__xludf.DUMMYFUNCTION("""COMPUTED_VALUE"""),356.85)</f>
        <v>356.85</v>
      </c>
      <c r="C1387" s="6">
        <f>IFERROR(__xludf.DUMMYFUNCTION("""COMPUTED_VALUE"""),358.25)</f>
        <v>358.25</v>
      </c>
      <c r="D1387" s="6">
        <f>IFERROR(__xludf.DUMMYFUNCTION("""COMPUTED_VALUE"""),350.0)</f>
        <v>350</v>
      </c>
      <c r="E1387" s="6">
        <f>IFERROR(__xludf.DUMMYFUNCTION("""COMPUTED_VALUE"""),352.95)</f>
        <v>352.95</v>
      </c>
      <c r="F1387" s="7">
        <f>IFERROR(__xludf.DUMMYFUNCTION("""COMPUTED_VALUE"""),1.7506712E7)</f>
        <v>17506712</v>
      </c>
      <c r="G1387" s="7" t="str">
        <f>IFERROR(__xludf.DUMMYFUNCTION("""COMPUTED_VALUE"""),"NTPC.NS")</f>
        <v>NTPC.NS</v>
      </c>
      <c r="H1387" s="8">
        <f t="shared" si="1"/>
        <v>-0.01092896175</v>
      </c>
      <c r="I1387" s="8">
        <f t="shared" si="2"/>
        <v>0.01092896175</v>
      </c>
      <c r="J1387" s="7" t="str">
        <f t="shared" si="3"/>
        <v>Apr-2025</v>
      </c>
      <c r="K1387" s="9">
        <f t="shared" si="4"/>
        <v>45748</v>
      </c>
      <c r="L1387" s="7" t="str">
        <f t="shared" si="5"/>
        <v/>
      </c>
      <c r="M1387" s="7" t="str">
        <f>IFERROR(__xludf.DUMMYFUNCTION("IFERROR(
  IF(
    F1387 &gt;
    3*AVERAGE(
       FILTER($F$2:$F10491,
         $G$2:$G10491=G1387,
         $A$2:$A10491&gt;=A1387-20,
         $A$2:$A10491&lt;=A1387
       )
    ),
    ""VOL_SPIKE_3X"",""""
  ),
"""")
"),"")</f>
        <v/>
      </c>
      <c r="N1387" s="7" t="str">
        <f t="shared" si="6"/>
        <v/>
      </c>
      <c r="O1387" s="7" t="str">
        <f t="shared" si="7"/>
        <v/>
      </c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>
      <c r="A1388" s="5">
        <f>IFERROR(__xludf.DUMMYFUNCTION("""COMPUTED_VALUE"""),45755.0)</f>
        <v>45755</v>
      </c>
      <c r="B1388" s="6">
        <f>IFERROR(__xludf.DUMMYFUNCTION("""COMPUTED_VALUE"""),223.0)</f>
        <v>223</v>
      </c>
      <c r="C1388" s="6">
        <f>IFERROR(__xludf.DUMMYFUNCTION("""COMPUTED_VALUE"""),227.24)</f>
        <v>227.24</v>
      </c>
      <c r="D1388" s="6">
        <f>IFERROR(__xludf.DUMMYFUNCTION("""COMPUTED_VALUE"""),219.18)</f>
        <v>219.18</v>
      </c>
      <c r="E1388" s="6">
        <f>IFERROR(__xludf.DUMMYFUNCTION("""COMPUTED_VALUE"""),226.66)</f>
        <v>226.66</v>
      </c>
      <c r="F1388" s="7">
        <f>IFERROR(__xludf.DUMMYFUNCTION("""COMPUTED_VALUE"""),1.1309092E7)</f>
        <v>11309092</v>
      </c>
      <c r="G1388" s="7" t="str">
        <f>IFERROR(__xludf.DUMMYFUNCTION("""COMPUTED_VALUE"""),"ONGC.NS")</f>
        <v>ONGC.NS</v>
      </c>
      <c r="H1388" s="8">
        <f t="shared" si="1"/>
        <v>0.01641255605</v>
      </c>
      <c r="I1388" s="8">
        <f t="shared" si="2"/>
        <v>0.01641255605</v>
      </c>
      <c r="J1388" s="7" t="str">
        <f t="shared" si="3"/>
        <v>Apr-2025</v>
      </c>
      <c r="K1388" s="9">
        <f t="shared" si="4"/>
        <v>45748</v>
      </c>
      <c r="L1388" s="7" t="str">
        <f t="shared" si="5"/>
        <v/>
      </c>
      <c r="M1388" s="7" t="str">
        <f>IFERROR(__xludf.DUMMYFUNCTION("IFERROR(
  IF(
    F1388 &gt;
    3*AVERAGE(
       FILTER($F$2:$F10491,
         $G$2:$G10491=G1388,
         $A$2:$A10491&gt;=A1388-20,
         $A$2:$A10491&lt;=A1388
       )
    ),
    ""VOL_SPIKE_3X"",""""
  ),
"""")
"),"")</f>
        <v/>
      </c>
      <c r="N1388" s="7" t="str">
        <f t="shared" si="6"/>
        <v/>
      </c>
      <c r="O1388" s="7" t="str">
        <f t="shared" si="7"/>
        <v/>
      </c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>
      <c r="A1389" s="5">
        <f>IFERROR(__xludf.DUMMYFUNCTION("""COMPUTED_VALUE"""),45755.0)</f>
        <v>45755</v>
      </c>
      <c r="B1389" s="6">
        <f>IFERROR(__xludf.DUMMYFUNCTION("""COMPUTED_VALUE"""),291.95)</f>
        <v>291.95</v>
      </c>
      <c r="C1389" s="6">
        <f>IFERROR(__xludf.DUMMYFUNCTION("""COMPUTED_VALUE"""),294.0)</f>
        <v>294</v>
      </c>
      <c r="D1389" s="6">
        <f>IFERROR(__xludf.DUMMYFUNCTION("""COMPUTED_VALUE"""),284.65)</f>
        <v>284.65</v>
      </c>
      <c r="E1389" s="6">
        <f>IFERROR(__xludf.DUMMYFUNCTION("""COMPUTED_VALUE"""),288.95)</f>
        <v>288.95</v>
      </c>
      <c r="F1389" s="7">
        <f>IFERROR(__xludf.DUMMYFUNCTION("""COMPUTED_VALUE"""),2.0831596E7)</f>
        <v>20831596</v>
      </c>
      <c r="G1389" s="7" t="str">
        <f>IFERROR(__xludf.DUMMYFUNCTION("""COMPUTED_VALUE"""),"POWERGRID.NS")</f>
        <v>POWERGRID.NS</v>
      </c>
      <c r="H1389" s="8">
        <f t="shared" si="1"/>
        <v>-0.01027573215</v>
      </c>
      <c r="I1389" s="8">
        <f t="shared" si="2"/>
        <v>0.01027573215</v>
      </c>
      <c r="J1389" s="7" t="str">
        <f t="shared" si="3"/>
        <v>Apr-2025</v>
      </c>
      <c r="K1389" s="9">
        <f t="shared" si="4"/>
        <v>45748</v>
      </c>
      <c r="L1389" s="7" t="str">
        <f t="shared" si="5"/>
        <v/>
      </c>
      <c r="M1389" s="7" t="str">
        <f>IFERROR(__xludf.DUMMYFUNCTION("IFERROR(
  IF(
    F1389 &gt;
    3*AVERAGE(
       FILTER($F$2:$F10491,
         $G$2:$G10491=G1389,
         $A$2:$A10491&gt;=A1389-20,
         $A$2:$A10491&lt;=A1389
       )
    ),
    ""VOL_SPIKE_3X"",""""
  ),
"""")
"),"")</f>
        <v/>
      </c>
      <c r="N1389" s="7" t="str">
        <f t="shared" si="6"/>
        <v/>
      </c>
      <c r="O1389" s="7" t="str">
        <f t="shared" si="7"/>
        <v/>
      </c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>
      <c r="A1390" s="5">
        <f>IFERROR(__xludf.DUMMYFUNCTION("""COMPUTED_VALUE"""),45755.0)</f>
        <v>45755</v>
      </c>
      <c r="B1390" s="6">
        <f>IFERROR(__xludf.DUMMYFUNCTION("""COMPUTED_VALUE"""),1172.0)</f>
        <v>1172</v>
      </c>
      <c r="C1390" s="6">
        <f>IFERROR(__xludf.DUMMYFUNCTION("""COMPUTED_VALUE"""),1196.6)</f>
        <v>1196.6</v>
      </c>
      <c r="D1390" s="6">
        <f>IFERROR(__xludf.DUMMYFUNCTION("""COMPUTED_VALUE"""),1163.3)</f>
        <v>1163.3</v>
      </c>
      <c r="E1390" s="6">
        <f>IFERROR(__xludf.DUMMYFUNCTION("""COMPUTED_VALUE"""),1182.2)</f>
        <v>1182.2</v>
      </c>
      <c r="F1390" s="7">
        <f>IFERROR(__xludf.DUMMYFUNCTION("""COMPUTED_VALUE"""),1.955504E7)</f>
        <v>19555040</v>
      </c>
      <c r="G1390" s="7" t="str">
        <f>IFERROR(__xludf.DUMMYFUNCTION("""COMPUTED_VALUE"""),"RELIANCE.NS")</f>
        <v>RELIANCE.NS</v>
      </c>
      <c r="H1390" s="8">
        <f t="shared" si="1"/>
        <v>0.008703071672</v>
      </c>
      <c r="I1390" s="8">
        <f t="shared" si="2"/>
        <v>0.008703071672</v>
      </c>
      <c r="J1390" s="7" t="str">
        <f t="shared" si="3"/>
        <v>Apr-2025</v>
      </c>
      <c r="K1390" s="9">
        <f t="shared" si="4"/>
        <v>45748</v>
      </c>
      <c r="L1390" s="7" t="str">
        <f t="shared" si="5"/>
        <v/>
      </c>
      <c r="M1390" s="7" t="str">
        <f>IFERROR(__xludf.DUMMYFUNCTION("IFERROR(
  IF(
    F1390 &gt;
    3*AVERAGE(
       FILTER($F$2:$F10491,
         $G$2:$G10491=G1390,
         $A$2:$A10491&gt;=A1390-20,
         $A$2:$A10491&lt;=A1390
       )
    ),
    ""VOL_SPIKE_3X"",""""
  ),
"""")
"),"")</f>
        <v/>
      </c>
      <c r="N1390" s="7" t="str">
        <f t="shared" si="6"/>
        <v/>
      </c>
      <c r="O1390" s="7" t="str">
        <f t="shared" si="7"/>
        <v/>
      </c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>
      <c r="A1391" s="5">
        <f>IFERROR(__xludf.DUMMYFUNCTION("""COMPUTED_VALUE"""),45756.0)</f>
        <v>45756</v>
      </c>
      <c r="B1391" s="6">
        <f>IFERROR(__xludf.DUMMYFUNCTION("""COMPUTED_VALUE"""),835.35)</f>
        <v>835.35</v>
      </c>
      <c r="C1391" s="6">
        <f>IFERROR(__xludf.DUMMYFUNCTION("""COMPUTED_VALUE"""),845.0)</f>
        <v>845</v>
      </c>
      <c r="D1391" s="6">
        <f>IFERROR(__xludf.DUMMYFUNCTION("""COMPUTED_VALUE"""),827.6)</f>
        <v>827.6</v>
      </c>
      <c r="E1391" s="6">
        <f>IFERROR(__xludf.DUMMYFUNCTION("""COMPUTED_VALUE"""),837.4)</f>
        <v>837.4</v>
      </c>
      <c r="F1391" s="7">
        <f>IFERROR(__xludf.DUMMYFUNCTION("""COMPUTED_VALUE"""),1026681.0)</f>
        <v>1026681</v>
      </c>
      <c r="G1391" s="7" t="str">
        <f>IFERROR(__xludf.DUMMYFUNCTION("""COMPUTED_VALUE"""),"ADANIENSOL.NS")</f>
        <v>ADANIENSOL.NS</v>
      </c>
      <c r="H1391" s="8">
        <f t="shared" si="1"/>
        <v>0.002454061172</v>
      </c>
      <c r="I1391" s="8">
        <f t="shared" si="2"/>
        <v>0.002454061172</v>
      </c>
      <c r="J1391" s="7" t="str">
        <f t="shared" si="3"/>
        <v>Apr-2025</v>
      </c>
      <c r="K1391" s="9">
        <f t="shared" si="4"/>
        <v>45748</v>
      </c>
      <c r="L1391" s="7" t="str">
        <f t="shared" si="5"/>
        <v/>
      </c>
      <c r="M1391" s="7" t="str">
        <f>IFERROR(__xludf.DUMMYFUNCTION("IFERROR(
  IF(
    F1391 &gt;
    3*AVERAGE(
       FILTER($F$2:$F10491,
         $G$2:$G10491=G1391,
         $A$2:$A10491&gt;=A1391-20,
         $A$2:$A10491&lt;=A1391
       )
    ),
    ""VOL_SPIKE_3X"",""""
  ),
"""")
"),"")</f>
        <v/>
      </c>
      <c r="N1391" s="7" t="str">
        <f t="shared" si="6"/>
        <v/>
      </c>
      <c r="O1391" s="7" t="str">
        <f t="shared" si="7"/>
        <v/>
      </c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>
      <c r="A1392" s="5">
        <f>IFERROR(__xludf.DUMMYFUNCTION("""COMPUTED_VALUE"""),45756.0)</f>
        <v>45756</v>
      </c>
      <c r="B1392" s="6">
        <f>IFERROR(__xludf.DUMMYFUNCTION("""COMPUTED_VALUE"""),874.0)</f>
        <v>874</v>
      </c>
      <c r="C1392" s="6">
        <f>IFERROR(__xludf.DUMMYFUNCTION("""COMPUTED_VALUE"""),878.95)</f>
        <v>878.95</v>
      </c>
      <c r="D1392" s="6">
        <f>IFERROR(__xludf.DUMMYFUNCTION("""COMPUTED_VALUE"""),850.5)</f>
        <v>850.5</v>
      </c>
      <c r="E1392" s="6">
        <f>IFERROR(__xludf.DUMMYFUNCTION("""COMPUTED_VALUE"""),860.75)</f>
        <v>860.75</v>
      </c>
      <c r="F1392" s="7">
        <f>IFERROR(__xludf.DUMMYFUNCTION("""COMPUTED_VALUE"""),2518172.0)</f>
        <v>2518172</v>
      </c>
      <c r="G1392" s="7" t="str">
        <f>IFERROR(__xludf.DUMMYFUNCTION("""COMPUTED_VALUE"""),"ADANIGREEN.NS")</f>
        <v>ADANIGREEN.NS</v>
      </c>
      <c r="H1392" s="8">
        <f t="shared" si="1"/>
        <v>-0.01516018307</v>
      </c>
      <c r="I1392" s="8">
        <f t="shared" si="2"/>
        <v>0.01516018307</v>
      </c>
      <c r="J1392" s="7" t="str">
        <f t="shared" si="3"/>
        <v>Apr-2025</v>
      </c>
      <c r="K1392" s="9">
        <f t="shared" si="4"/>
        <v>45748</v>
      </c>
      <c r="L1392" s="7" t="str">
        <f t="shared" si="5"/>
        <v/>
      </c>
      <c r="M1392" s="7" t="str">
        <f>IFERROR(__xludf.DUMMYFUNCTION("IFERROR(
  IF(
    F1392 &gt;
    3*AVERAGE(
       FILTER($F$2:$F10491,
         $G$2:$G10491=G1392,
         $A$2:$A10491&gt;=A1392-20,
         $A$2:$A10491&lt;=A1392
       )
    ),
    ""VOL_SPIKE_3X"",""""
  ),
"""")
"),"")</f>
        <v/>
      </c>
      <c r="N1392" s="7" t="str">
        <f t="shared" si="6"/>
        <v/>
      </c>
      <c r="O1392" s="7" t="str">
        <f t="shared" si="7"/>
        <v/>
      </c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>
      <c r="A1393" s="5">
        <f>IFERROR(__xludf.DUMMYFUNCTION("""COMPUTED_VALUE"""),45756.0)</f>
        <v>45756</v>
      </c>
      <c r="B1393" s="6">
        <f>IFERROR(__xludf.DUMMYFUNCTION("""COMPUTED_VALUE"""),288.7)</f>
        <v>288.7</v>
      </c>
      <c r="C1393" s="6">
        <f>IFERROR(__xludf.DUMMYFUNCTION("""COMPUTED_VALUE"""),290.65)</f>
        <v>290.65</v>
      </c>
      <c r="D1393" s="6">
        <f>IFERROR(__xludf.DUMMYFUNCTION("""COMPUTED_VALUE"""),279.6)</f>
        <v>279.6</v>
      </c>
      <c r="E1393" s="6">
        <f>IFERROR(__xludf.DUMMYFUNCTION("""COMPUTED_VALUE"""),287.95)</f>
        <v>287.95</v>
      </c>
      <c r="F1393" s="7">
        <f>IFERROR(__xludf.DUMMYFUNCTION("""COMPUTED_VALUE"""),1.4519066E7)</f>
        <v>14519066</v>
      </c>
      <c r="G1393" s="7" t="str">
        <f>IFERROR(__xludf.DUMMYFUNCTION("""COMPUTED_VALUE"""),"BPCL.NS")</f>
        <v>BPCL.NS</v>
      </c>
      <c r="H1393" s="8">
        <f t="shared" si="1"/>
        <v>-0.002597852442</v>
      </c>
      <c r="I1393" s="8">
        <f t="shared" si="2"/>
        <v>0.002597852442</v>
      </c>
      <c r="J1393" s="7" t="str">
        <f t="shared" si="3"/>
        <v>Apr-2025</v>
      </c>
      <c r="K1393" s="9">
        <f t="shared" si="4"/>
        <v>45748</v>
      </c>
      <c r="L1393" s="7" t="str">
        <f t="shared" si="5"/>
        <v/>
      </c>
      <c r="M1393" s="7" t="str">
        <f>IFERROR(__xludf.DUMMYFUNCTION("IFERROR(
  IF(
    F1393 &gt;
    3*AVERAGE(
       FILTER($F$2:$F10491,
         $G$2:$G10491=G1393,
         $A$2:$A10491&gt;=A1393-20,
         $A$2:$A10491&lt;=A1393
       )
    ),
    ""VOL_SPIKE_3X"",""""
  ),
"""")
"),"")</f>
        <v/>
      </c>
      <c r="N1393" s="7" t="str">
        <f t="shared" si="6"/>
        <v/>
      </c>
      <c r="O1393" s="7" t="str">
        <f t="shared" si="7"/>
        <v/>
      </c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>
      <c r="A1394" s="5">
        <f>IFERROR(__xludf.DUMMYFUNCTION("""COMPUTED_VALUE"""),45756.0)</f>
        <v>45756</v>
      </c>
      <c r="B1394" s="6">
        <f>IFERROR(__xludf.DUMMYFUNCTION("""COMPUTED_VALUE"""),382.3)</f>
        <v>382.3</v>
      </c>
      <c r="C1394" s="6">
        <f>IFERROR(__xludf.DUMMYFUNCTION("""COMPUTED_VALUE"""),382.7)</f>
        <v>382.7</v>
      </c>
      <c r="D1394" s="6">
        <f>IFERROR(__xludf.DUMMYFUNCTION("""COMPUTED_VALUE"""),373.1)</f>
        <v>373.1</v>
      </c>
      <c r="E1394" s="6">
        <f>IFERROR(__xludf.DUMMYFUNCTION("""COMPUTED_VALUE"""),374.6)</f>
        <v>374.6</v>
      </c>
      <c r="F1394" s="7">
        <f>IFERROR(__xludf.DUMMYFUNCTION("""COMPUTED_VALUE"""),5781453.0)</f>
        <v>5781453</v>
      </c>
      <c r="G1394" s="7" t="str">
        <f>IFERROR(__xludf.DUMMYFUNCTION("""COMPUTED_VALUE"""),"COALINDIA.NS")</f>
        <v>COALINDIA.NS</v>
      </c>
      <c r="H1394" s="8">
        <f t="shared" si="1"/>
        <v>-0.02014125033</v>
      </c>
      <c r="I1394" s="8">
        <f t="shared" si="2"/>
        <v>0.02014125033</v>
      </c>
      <c r="J1394" s="7" t="str">
        <f t="shared" si="3"/>
        <v>Apr-2025</v>
      </c>
      <c r="K1394" s="9">
        <f t="shared" si="4"/>
        <v>45748</v>
      </c>
      <c r="L1394" s="7" t="str">
        <f t="shared" si="5"/>
        <v/>
      </c>
      <c r="M1394" s="7" t="str">
        <f>IFERROR(__xludf.DUMMYFUNCTION("IFERROR(
  IF(
    F1394 &gt;
    3*AVERAGE(
       FILTER($F$2:$F10491,
         $G$2:$G10491=G1394,
         $A$2:$A10491&gt;=A1394-20,
         $A$2:$A10491&lt;=A1394
       )
    ),
    ""VOL_SPIKE_3X"",""""
  ),
"""")
"),"")</f>
        <v/>
      </c>
      <c r="N1394" s="7" t="str">
        <f t="shared" si="6"/>
        <v/>
      </c>
      <c r="O1394" s="7" t="str">
        <f t="shared" si="7"/>
        <v/>
      </c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>
      <c r="A1395" s="5">
        <f>IFERROR(__xludf.DUMMYFUNCTION("""COMPUTED_VALUE"""),45756.0)</f>
        <v>45756</v>
      </c>
      <c r="B1395" s="6">
        <f>IFERROR(__xludf.DUMMYFUNCTION("""COMPUTED_VALUE"""),372.0)</f>
        <v>372</v>
      </c>
      <c r="C1395" s="6">
        <f>IFERROR(__xludf.DUMMYFUNCTION("""COMPUTED_VALUE"""),383.05)</f>
        <v>383.05</v>
      </c>
      <c r="D1395" s="6">
        <f>IFERROR(__xludf.DUMMYFUNCTION("""COMPUTED_VALUE"""),365.15)</f>
        <v>365.15</v>
      </c>
      <c r="E1395" s="6">
        <f>IFERROR(__xludf.DUMMYFUNCTION("""COMPUTED_VALUE"""),379.3)</f>
        <v>379.3</v>
      </c>
      <c r="F1395" s="7">
        <f>IFERROR(__xludf.DUMMYFUNCTION("""COMPUTED_VALUE"""),1.11804E7)</f>
        <v>11180400</v>
      </c>
      <c r="G1395" s="7" t="str">
        <f>IFERROR(__xludf.DUMMYFUNCTION("""COMPUTED_VALUE"""),"HINDPETRO.NS")</f>
        <v>HINDPETRO.NS</v>
      </c>
      <c r="H1395" s="8">
        <f t="shared" si="1"/>
        <v>0.01962365591</v>
      </c>
      <c r="I1395" s="8">
        <f t="shared" si="2"/>
        <v>0.01962365591</v>
      </c>
      <c r="J1395" s="7" t="str">
        <f t="shared" si="3"/>
        <v>Apr-2025</v>
      </c>
      <c r="K1395" s="9">
        <f t="shared" si="4"/>
        <v>45748</v>
      </c>
      <c r="L1395" s="7" t="str">
        <f t="shared" si="5"/>
        <v/>
      </c>
      <c r="M1395" s="7" t="str">
        <f>IFERROR(__xludf.DUMMYFUNCTION("IFERROR(
  IF(
    F1395 &gt;
    3*AVERAGE(
       FILTER($F$2:$F10491,
         $G$2:$G10491=G1395,
         $A$2:$A10491&gt;=A1395-20,
         $A$2:$A10491&lt;=A1395
       )
    ),
    ""VOL_SPIKE_3X"",""""
  ),
"""")
"),"")</f>
        <v/>
      </c>
      <c r="N1395" s="7" t="str">
        <f t="shared" si="6"/>
        <v/>
      </c>
      <c r="O1395" s="7" t="str">
        <f t="shared" si="7"/>
        <v/>
      </c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>
      <c r="A1396" s="5">
        <f>IFERROR(__xludf.DUMMYFUNCTION("""COMPUTED_VALUE"""),45756.0)</f>
        <v>45756</v>
      </c>
      <c r="B1396" s="6">
        <f>IFERROR(__xludf.DUMMYFUNCTION("""COMPUTED_VALUE"""),132.0)</f>
        <v>132</v>
      </c>
      <c r="C1396" s="6">
        <f>IFERROR(__xludf.DUMMYFUNCTION("""COMPUTED_VALUE"""),132.5)</f>
        <v>132.5</v>
      </c>
      <c r="D1396" s="6">
        <f>IFERROR(__xludf.DUMMYFUNCTION("""COMPUTED_VALUE"""),128.78)</f>
        <v>128.78</v>
      </c>
      <c r="E1396" s="6">
        <f>IFERROR(__xludf.DUMMYFUNCTION("""COMPUTED_VALUE"""),131.62)</f>
        <v>131.62</v>
      </c>
      <c r="F1396" s="7">
        <f>IFERROR(__xludf.DUMMYFUNCTION("""COMPUTED_VALUE"""),1.4769184E7)</f>
        <v>14769184</v>
      </c>
      <c r="G1396" s="7" t="str">
        <f>IFERROR(__xludf.DUMMYFUNCTION("""COMPUTED_VALUE"""),"IOC.NS")</f>
        <v>IOC.NS</v>
      </c>
      <c r="H1396" s="8">
        <f t="shared" si="1"/>
        <v>-0.002878787879</v>
      </c>
      <c r="I1396" s="8">
        <f t="shared" si="2"/>
        <v>0.002878787879</v>
      </c>
      <c r="J1396" s="7" t="str">
        <f t="shared" si="3"/>
        <v>Apr-2025</v>
      </c>
      <c r="K1396" s="9">
        <f t="shared" si="4"/>
        <v>45748</v>
      </c>
      <c r="L1396" s="7" t="str">
        <f t="shared" si="5"/>
        <v/>
      </c>
      <c r="M1396" s="7" t="str">
        <f>IFERROR(__xludf.DUMMYFUNCTION("IFERROR(
  IF(
    F1396 &gt;
    3*AVERAGE(
       FILTER($F$2:$F10491,
         $G$2:$G10491=G1396,
         $A$2:$A10491&gt;=A1396-20,
         $A$2:$A10491&lt;=A1396
       )
    ),
    ""VOL_SPIKE_3X"",""""
  ),
"""")
"),"")</f>
        <v/>
      </c>
      <c r="N1396" s="7" t="str">
        <f t="shared" si="6"/>
        <v/>
      </c>
      <c r="O1396" s="7" t="str">
        <f t="shared" si="7"/>
        <v/>
      </c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>
      <c r="A1397" s="5">
        <f>IFERROR(__xludf.DUMMYFUNCTION("""COMPUTED_VALUE"""),45756.0)</f>
        <v>45756</v>
      </c>
      <c r="B1397" s="6">
        <f>IFERROR(__xludf.DUMMYFUNCTION("""COMPUTED_VALUE"""),354.0)</f>
        <v>354</v>
      </c>
      <c r="C1397" s="6">
        <f>IFERROR(__xludf.DUMMYFUNCTION("""COMPUTED_VALUE"""),354.8)</f>
        <v>354.8</v>
      </c>
      <c r="D1397" s="6">
        <f>IFERROR(__xludf.DUMMYFUNCTION("""COMPUTED_VALUE"""),348.2)</f>
        <v>348.2</v>
      </c>
      <c r="E1397" s="6">
        <f>IFERROR(__xludf.DUMMYFUNCTION("""COMPUTED_VALUE"""),349.35)</f>
        <v>349.35</v>
      </c>
      <c r="F1397" s="7">
        <f>IFERROR(__xludf.DUMMYFUNCTION("""COMPUTED_VALUE"""),7462119.0)</f>
        <v>7462119</v>
      </c>
      <c r="G1397" s="7" t="str">
        <f>IFERROR(__xludf.DUMMYFUNCTION("""COMPUTED_VALUE"""),"NTPC.NS")</f>
        <v>NTPC.NS</v>
      </c>
      <c r="H1397" s="8">
        <f t="shared" si="1"/>
        <v>-0.01313559322</v>
      </c>
      <c r="I1397" s="8">
        <f t="shared" si="2"/>
        <v>0.01313559322</v>
      </c>
      <c r="J1397" s="7" t="str">
        <f t="shared" si="3"/>
        <v>Apr-2025</v>
      </c>
      <c r="K1397" s="9">
        <f t="shared" si="4"/>
        <v>45748</v>
      </c>
      <c r="L1397" s="7" t="str">
        <f t="shared" si="5"/>
        <v/>
      </c>
      <c r="M1397" s="7" t="str">
        <f>IFERROR(__xludf.DUMMYFUNCTION("IFERROR(
  IF(
    F1397 &gt;
    3*AVERAGE(
       FILTER($F$2:$F10491,
         $G$2:$G10491=G1397,
         $A$2:$A10491&gt;=A1397-20,
         $A$2:$A10491&lt;=A1397
       )
    ),
    ""VOL_SPIKE_3X"",""""
  ),
"""")
"),"")</f>
        <v/>
      </c>
      <c r="N1397" s="7" t="str">
        <f t="shared" si="6"/>
        <v/>
      </c>
      <c r="O1397" s="7" t="str">
        <f t="shared" si="7"/>
        <v/>
      </c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>
      <c r="A1398" s="5">
        <f>IFERROR(__xludf.DUMMYFUNCTION("""COMPUTED_VALUE"""),45756.0)</f>
        <v>45756</v>
      </c>
      <c r="B1398" s="6">
        <f>IFERROR(__xludf.DUMMYFUNCTION("""COMPUTED_VALUE"""),222.0)</f>
        <v>222</v>
      </c>
      <c r="C1398" s="6">
        <f>IFERROR(__xludf.DUMMYFUNCTION("""COMPUTED_VALUE"""),224.06)</f>
        <v>224.06</v>
      </c>
      <c r="D1398" s="6">
        <f>IFERROR(__xludf.DUMMYFUNCTION("""COMPUTED_VALUE"""),220.26)</f>
        <v>220.26</v>
      </c>
      <c r="E1398" s="6">
        <f>IFERROR(__xludf.DUMMYFUNCTION("""COMPUTED_VALUE"""),221.94)</f>
        <v>221.94</v>
      </c>
      <c r="F1398" s="7">
        <f>IFERROR(__xludf.DUMMYFUNCTION("""COMPUTED_VALUE"""),1.6889575E7)</f>
        <v>16889575</v>
      </c>
      <c r="G1398" s="7" t="str">
        <f>IFERROR(__xludf.DUMMYFUNCTION("""COMPUTED_VALUE"""),"ONGC.NS")</f>
        <v>ONGC.NS</v>
      </c>
      <c r="H1398" s="8">
        <f t="shared" si="1"/>
        <v>-0.0002702702703</v>
      </c>
      <c r="I1398" s="8">
        <f t="shared" si="2"/>
        <v>0.0002702702703</v>
      </c>
      <c r="J1398" s="7" t="str">
        <f t="shared" si="3"/>
        <v>Apr-2025</v>
      </c>
      <c r="K1398" s="9">
        <f t="shared" si="4"/>
        <v>45748</v>
      </c>
      <c r="L1398" s="7" t="str">
        <f t="shared" si="5"/>
        <v/>
      </c>
      <c r="M1398" s="7" t="str">
        <f>IFERROR(__xludf.DUMMYFUNCTION("IFERROR(
  IF(
    F1398 &gt;
    3*AVERAGE(
       FILTER($F$2:$F10491,
         $G$2:$G10491=G1398,
         $A$2:$A10491&gt;=A1398-20,
         $A$2:$A10491&lt;=A1398
       )
    ),
    ""VOL_SPIKE_3X"",""""
  ),
"""")
"),"")</f>
        <v/>
      </c>
      <c r="N1398" s="7" t="str">
        <f t="shared" si="6"/>
        <v/>
      </c>
      <c r="O1398" s="7" t="str">
        <f t="shared" si="7"/>
        <v/>
      </c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>
      <c r="A1399" s="5">
        <f>IFERROR(__xludf.DUMMYFUNCTION("""COMPUTED_VALUE"""),45756.0)</f>
        <v>45756</v>
      </c>
      <c r="B1399" s="6">
        <f>IFERROR(__xludf.DUMMYFUNCTION("""COMPUTED_VALUE"""),289.95)</f>
        <v>289.95</v>
      </c>
      <c r="C1399" s="6">
        <f>IFERROR(__xludf.DUMMYFUNCTION("""COMPUTED_VALUE"""),299.5)</f>
        <v>299.5</v>
      </c>
      <c r="D1399" s="6">
        <f>IFERROR(__xludf.DUMMYFUNCTION("""COMPUTED_VALUE"""),289.3)</f>
        <v>289.3</v>
      </c>
      <c r="E1399" s="6">
        <f>IFERROR(__xludf.DUMMYFUNCTION("""COMPUTED_VALUE"""),293.4)</f>
        <v>293.4</v>
      </c>
      <c r="F1399" s="7">
        <f>IFERROR(__xludf.DUMMYFUNCTION("""COMPUTED_VALUE"""),2.1342531E7)</f>
        <v>21342531</v>
      </c>
      <c r="G1399" s="7" t="str">
        <f>IFERROR(__xludf.DUMMYFUNCTION("""COMPUTED_VALUE"""),"POWERGRID.NS")</f>
        <v>POWERGRID.NS</v>
      </c>
      <c r="H1399" s="8">
        <f t="shared" si="1"/>
        <v>0.01189860321</v>
      </c>
      <c r="I1399" s="8">
        <f t="shared" si="2"/>
        <v>0.01189860321</v>
      </c>
      <c r="J1399" s="7" t="str">
        <f t="shared" si="3"/>
        <v>Apr-2025</v>
      </c>
      <c r="K1399" s="9">
        <f t="shared" si="4"/>
        <v>45748</v>
      </c>
      <c r="L1399" s="7" t="str">
        <f t="shared" si="5"/>
        <v/>
      </c>
      <c r="M1399" s="7" t="str">
        <f>IFERROR(__xludf.DUMMYFUNCTION("IFERROR(
  IF(
    F1399 &gt;
    3*AVERAGE(
       FILTER($F$2:$F10491,
         $G$2:$G10491=G1399,
         $A$2:$A10491&gt;=A1399-20,
         $A$2:$A10491&lt;=A1399
       )
    ),
    ""VOL_SPIKE_3X"",""""
  ),
"""")
"),"")</f>
        <v/>
      </c>
      <c r="N1399" s="7" t="str">
        <f t="shared" si="6"/>
        <v/>
      </c>
      <c r="O1399" s="7" t="str">
        <f t="shared" si="7"/>
        <v/>
      </c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>
      <c r="A1400" s="5">
        <f>IFERROR(__xludf.DUMMYFUNCTION("""COMPUTED_VALUE"""),45756.0)</f>
        <v>45756</v>
      </c>
      <c r="B1400" s="6">
        <f>IFERROR(__xludf.DUMMYFUNCTION("""COMPUTED_VALUE"""),1169.5)</f>
        <v>1169.5</v>
      </c>
      <c r="C1400" s="6">
        <f>IFERROR(__xludf.DUMMYFUNCTION("""COMPUTED_VALUE"""),1189.8)</f>
        <v>1189.8</v>
      </c>
      <c r="D1400" s="6">
        <f>IFERROR(__xludf.DUMMYFUNCTION("""COMPUTED_VALUE"""),1168.0)</f>
        <v>1168</v>
      </c>
      <c r="E1400" s="6">
        <f>IFERROR(__xludf.DUMMYFUNCTION("""COMPUTED_VALUE"""),1185.35)</f>
        <v>1185.35</v>
      </c>
      <c r="F1400" s="7">
        <f>IFERROR(__xludf.DUMMYFUNCTION("""COMPUTED_VALUE"""),1.0223104E7)</f>
        <v>10223104</v>
      </c>
      <c r="G1400" s="7" t="str">
        <f>IFERROR(__xludf.DUMMYFUNCTION("""COMPUTED_VALUE"""),"RELIANCE.NS")</f>
        <v>RELIANCE.NS</v>
      </c>
      <c r="H1400" s="8">
        <f t="shared" si="1"/>
        <v>0.01355280034</v>
      </c>
      <c r="I1400" s="8">
        <f t="shared" si="2"/>
        <v>0.01355280034</v>
      </c>
      <c r="J1400" s="7" t="str">
        <f t="shared" si="3"/>
        <v>Apr-2025</v>
      </c>
      <c r="K1400" s="9">
        <f t="shared" si="4"/>
        <v>45748</v>
      </c>
      <c r="L1400" s="7" t="str">
        <f t="shared" si="5"/>
        <v/>
      </c>
      <c r="M1400" s="7" t="str">
        <f>IFERROR(__xludf.DUMMYFUNCTION("IFERROR(
  IF(
    F1400 &gt;
    3*AVERAGE(
       FILTER($F$2:$F10491,
         $G$2:$G10491=G1400,
         $A$2:$A10491&gt;=A1400-20,
         $A$2:$A10491&lt;=A1400
       )
    ),
    ""VOL_SPIKE_3X"",""""
  ),
"""")
"),"")</f>
        <v/>
      </c>
      <c r="N1400" s="7" t="str">
        <f t="shared" si="6"/>
        <v/>
      </c>
      <c r="O1400" s="7" t="str">
        <f t="shared" si="7"/>
        <v/>
      </c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>
      <c r="A1401" s="5">
        <f>IFERROR(__xludf.DUMMYFUNCTION("""COMPUTED_VALUE"""),45758.0)</f>
        <v>45758</v>
      </c>
      <c r="B1401" s="6">
        <f>IFERROR(__xludf.DUMMYFUNCTION("""COMPUTED_VALUE"""),860.7)</f>
        <v>860.7</v>
      </c>
      <c r="C1401" s="6">
        <f>IFERROR(__xludf.DUMMYFUNCTION("""COMPUTED_VALUE"""),863.35)</f>
        <v>863.35</v>
      </c>
      <c r="D1401" s="6">
        <f>IFERROR(__xludf.DUMMYFUNCTION("""COMPUTED_VALUE"""),833.75)</f>
        <v>833.75</v>
      </c>
      <c r="E1401" s="6">
        <f>IFERROR(__xludf.DUMMYFUNCTION("""COMPUTED_VALUE"""),844.8)</f>
        <v>844.8</v>
      </c>
      <c r="F1401" s="7">
        <f>IFERROR(__xludf.DUMMYFUNCTION("""COMPUTED_VALUE"""),1878535.0)</f>
        <v>1878535</v>
      </c>
      <c r="G1401" s="7" t="str">
        <f>IFERROR(__xludf.DUMMYFUNCTION("""COMPUTED_VALUE"""),"ADANIENSOL.NS")</f>
        <v>ADANIENSOL.NS</v>
      </c>
      <c r="H1401" s="8">
        <f t="shared" si="1"/>
        <v>-0.01847333566</v>
      </c>
      <c r="I1401" s="8">
        <f t="shared" si="2"/>
        <v>0.01847333566</v>
      </c>
      <c r="J1401" s="7" t="str">
        <f t="shared" si="3"/>
        <v>Apr-2025</v>
      </c>
      <c r="K1401" s="9">
        <f t="shared" si="4"/>
        <v>45748</v>
      </c>
      <c r="L1401" s="7" t="str">
        <f t="shared" si="5"/>
        <v/>
      </c>
      <c r="M1401" s="7" t="str">
        <f>IFERROR(__xludf.DUMMYFUNCTION("IFERROR(
  IF(
    F1401 &gt;
    3*AVERAGE(
       FILTER($F$2:$F10491,
         $G$2:$G10491=G1401,
         $A$2:$A10491&gt;=A1401-20,
         $A$2:$A10491&lt;=A1401
       )
    ),
    ""VOL_SPIKE_3X"",""""
  ),
"""")
"),"")</f>
        <v/>
      </c>
      <c r="N1401" s="7" t="str">
        <f t="shared" si="6"/>
        <v/>
      </c>
      <c r="O1401" s="7" t="str">
        <f t="shared" si="7"/>
        <v/>
      </c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>
      <c r="A1402" s="5">
        <f>IFERROR(__xludf.DUMMYFUNCTION("""COMPUTED_VALUE"""),45758.0)</f>
        <v>45758</v>
      </c>
      <c r="B1402" s="6">
        <f>IFERROR(__xludf.DUMMYFUNCTION("""COMPUTED_VALUE"""),890.0)</f>
        <v>890</v>
      </c>
      <c r="C1402" s="6">
        <f>IFERROR(__xludf.DUMMYFUNCTION("""COMPUTED_VALUE"""),903.4)</f>
        <v>903.4</v>
      </c>
      <c r="D1402" s="6">
        <f>IFERROR(__xludf.DUMMYFUNCTION("""COMPUTED_VALUE"""),878.7)</f>
        <v>878.7</v>
      </c>
      <c r="E1402" s="6">
        <f>IFERROR(__xludf.DUMMYFUNCTION("""COMPUTED_VALUE"""),893.65)</f>
        <v>893.65</v>
      </c>
      <c r="F1402" s="7">
        <f>IFERROR(__xludf.DUMMYFUNCTION("""COMPUTED_VALUE"""),2380909.0)</f>
        <v>2380909</v>
      </c>
      <c r="G1402" s="7" t="str">
        <f>IFERROR(__xludf.DUMMYFUNCTION("""COMPUTED_VALUE"""),"ADANIGREEN.NS")</f>
        <v>ADANIGREEN.NS</v>
      </c>
      <c r="H1402" s="8">
        <f t="shared" si="1"/>
        <v>0.004101123596</v>
      </c>
      <c r="I1402" s="8">
        <f t="shared" si="2"/>
        <v>0.004101123596</v>
      </c>
      <c r="J1402" s="7" t="str">
        <f t="shared" si="3"/>
        <v>Apr-2025</v>
      </c>
      <c r="K1402" s="9">
        <f t="shared" si="4"/>
        <v>45748</v>
      </c>
      <c r="L1402" s="7" t="str">
        <f t="shared" si="5"/>
        <v/>
      </c>
      <c r="M1402" s="7" t="str">
        <f>IFERROR(__xludf.DUMMYFUNCTION("IFERROR(
  IF(
    F1402 &gt;
    3*AVERAGE(
       FILTER($F$2:$F10491,
         $G$2:$G10491=G1402,
         $A$2:$A10491&gt;=A1402-20,
         $A$2:$A10491&lt;=A1402
       )
    ),
    ""VOL_SPIKE_3X"",""""
  ),
"""")
"),"")</f>
        <v/>
      </c>
      <c r="N1402" s="7" t="str">
        <f t="shared" si="6"/>
        <v/>
      </c>
      <c r="O1402" s="7" t="str">
        <f t="shared" si="7"/>
        <v/>
      </c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>
      <c r="A1403" s="5">
        <f>IFERROR(__xludf.DUMMYFUNCTION("""COMPUTED_VALUE"""),45758.0)</f>
        <v>45758</v>
      </c>
      <c r="B1403" s="6">
        <f>IFERROR(__xludf.DUMMYFUNCTION("""COMPUTED_VALUE"""),296.45)</f>
        <v>296.45</v>
      </c>
      <c r="C1403" s="6">
        <f>IFERROR(__xludf.DUMMYFUNCTION("""COMPUTED_VALUE"""),296.45)</f>
        <v>296.45</v>
      </c>
      <c r="D1403" s="6">
        <f>IFERROR(__xludf.DUMMYFUNCTION("""COMPUTED_VALUE"""),286.5)</f>
        <v>286.5</v>
      </c>
      <c r="E1403" s="6">
        <f>IFERROR(__xludf.DUMMYFUNCTION("""COMPUTED_VALUE"""),293.2)</f>
        <v>293.2</v>
      </c>
      <c r="F1403" s="7">
        <f>IFERROR(__xludf.DUMMYFUNCTION("""COMPUTED_VALUE"""),1.4955235E7)</f>
        <v>14955235</v>
      </c>
      <c r="G1403" s="7" t="str">
        <f>IFERROR(__xludf.DUMMYFUNCTION("""COMPUTED_VALUE"""),"BPCL.NS")</f>
        <v>BPCL.NS</v>
      </c>
      <c r="H1403" s="8">
        <f t="shared" si="1"/>
        <v>-0.01096306291</v>
      </c>
      <c r="I1403" s="8">
        <f t="shared" si="2"/>
        <v>0.01096306291</v>
      </c>
      <c r="J1403" s="7" t="str">
        <f t="shared" si="3"/>
        <v>Apr-2025</v>
      </c>
      <c r="K1403" s="9">
        <f t="shared" si="4"/>
        <v>45748</v>
      </c>
      <c r="L1403" s="7" t="str">
        <f t="shared" si="5"/>
        <v/>
      </c>
      <c r="M1403" s="7" t="str">
        <f>IFERROR(__xludf.DUMMYFUNCTION("IFERROR(
  IF(
    F1403 &gt;
    3*AVERAGE(
       FILTER($F$2:$F10491,
         $G$2:$G10491=G1403,
         $A$2:$A10491&gt;=A1403-20,
         $A$2:$A10491&lt;=A1403
       )
    ),
    ""VOL_SPIKE_3X"",""""
  ),
"""")
"),"")</f>
        <v/>
      </c>
      <c r="N1403" s="7" t="str">
        <f t="shared" si="6"/>
        <v/>
      </c>
      <c r="O1403" s="7" t="str">
        <f t="shared" si="7"/>
        <v/>
      </c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>
      <c r="A1404" s="5">
        <f>IFERROR(__xludf.DUMMYFUNCTION("""COMPUTED_VALUE"""),45758.0)</f>
        <v>45758</v>
      </c>
      <c r="B1404" s="6">
        <f>IFERROR(__xludf.DUMMYFUNCTION("""COMPUTED_VALUE"""),389.95)</f>
        <v>389.95</v>
      </c>
      <c r="C1404" s="6">
        <f>IFERROR(__xludf.DUMMYFUNCTION("""COMPUTED_VALUE"""),392.8)</f>
        <v>392.8</v>
      </c>
      <c r="D1404" s="6">
        <f>IFERROR(__xludf.DUMMYFUNCTION("""COMPUTED_VALUE"""),382.15)</f>
        <v>382.15</v>
      </c>
      <c r="E1404" s="6">
        <f>IFERROR(__xludf.DUMMYFUNCTION("""COMPUTED_VALUE"""),392.1)</f>
        <v>392.1</v>
      </c>
      <c r="F1404" s="7">
        <f>IFERROR(__xludf.DUMMYFUNCTION("""COMPUTED_VALUE"""),6185984.0)</f>
        <v>6185984</v>
      </c>
      <c r="G1404" s="7" t="str">
        <f>IFERROR(__xludf.DUMMYFUNCTION("""COMPUTED_VALUE"""),"COALINDIA.NS")</f>
        <v>COALINDIA.NS</v>
      </c>
      <c r="H1404" s="8">
        <f t="shared" si="1"/>
        <v>0.005513527375</v>
      </c>
      <c r="I1404" s="8">
        <f t="shared" si="2"/>
        <v>0.005513527375</v>
      </c>
      <c r="J1404" s="7" t="str">
        <f t="shared" si="3"/>
        <v>Apr-2025</v>
      </c>
      <c r="K1404" s="9">
        <f t="shared" si="4"/>
        <v>45748</v>
      </c>
      <c r="L1404" s="7" t="str">
        <f t="shared" si="5"/>
        <v/>
      </c>
      <c r="M1404" s="7" t="str">
        <f>IFERROR(__xludf.DUMMYFUNCTION("IFERROR(
  IF(
    F1404 &gt;
    3*AVERAGE(
       FILTER($F$2:$F10491,
         $G$2:$G10491=G1404,
         $A$2:$A10491&gt;=A1404-20,
         $A$2:$A10491&lt;=A1404
       )
    ),
    ""VOL_SPIKE_3X"",""""
  ),
"""")
"),"")</f>
        <v/>
      </c>
      <c r="N1404" s="7" t="str">
        <f t="shared" si="6"/>
        <v/>
      </c>
      <c r="O1404" s="7" t="str">
        <f t="shared" si="7"/>
        <v/>
      </c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>
      <c r="A1405" s="5">
        <f>IFERROR(__xludf.DUMMYFUNCTION("""COMPUTED_VALUE"""),45758.0)</f>
        <v>45758</v>
      </c>
      <c r="B1405" s="6">
        <f>IFERROR(__xludf.DUMMYFUNCTION("""COMPUTED_VALUE"""),384.5)</f>
        <v>384.5</v>
      </c>
      <c r="C1405" s="6">
        <f>IFERROR(__xludf.DUMMYFUNCTION("""COMPUTED_VALUE"""),386.75)</f>
        <v>386.75</v>
      </c>
      <c r="D1405" s="6">
        <f>IFERROR(__xludf.DUMMYFUNCTION("""COMPUTED_VALUE"""),377.05)</f>
        <v>377.05</v>
      </c>
      <c r="E1405" s="6">
        <f>IFERROR(__xludf.DUMMYFUNCTION("""COMPUTED_VALUE"""),382.2)</f>
        <v>382.2</v>
      </c>
      <c r="F1405" s="7">
        <f>IFERROR(__xludf.DUMMYFUNCTION("""COMPUTED_VALUE"""),7217670.0)</f>
        <v>7217670</v>
      </c>
      <c r="G1405" s="7" t="str">
        <f>IFERROR(__xludf.DUMMYFUNCTION("""COMPUTED_VALUE"""),"HINDPETRO.NS")</f>
        <v>HINDPETRO.NS</v>
      </c>
      <c r="H1405" s="8">
        <f t="shared" si="1"/>
        <v>-0.005981794538</v>
      </c>
      <c r="I1405" s="8">
        <f t="shared" si="2"/>
        <v>0.005981794538</v>
      </c>
      <c r="J1405" s="7" t="str">
        <f t="shared" si="3"/>
        <v>Apr-2025</v>
      </c>
      <c r="K1405" s="9">
        <f t="shared" si="4"/>
        <v>45748</v>
      </c>
      <c r="L1405" s="7" t="str">
        <f t="shared" si="5"/>
        <v/>
      </c>
      <c r="M1405" s="7" t="str">
        <f>IFERROR(__xludf.DUMMYFUNCTION("IFERROR(
  IF(
    F1405 &gt;
    3*AVERAGE(
       FILTER($F$2:$F10491,
         $G$2:$G10491=G1405,
         $A$2:$A10491&gt;=A1405-20,
         $A$2:$A10491&lt;=A1405
       )
    ),
    ""VOL_SPIKE_3X"",""""
  ),
"""")
"),"")</f>
        <v/>
      </c>
      <c r="N1405" s="7" t="str">
        <f t="shared" si="6"/>
        <v/>
      </c>
      <c r="O1405" s="7" t="str">
        <f t="shared" si="7"/>
        <v/>
      </c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>
      <c r="A1406" s="5">
        <f>IFERROR(__xludf.DUMMYFUNCTION("""COMPUTED_VALUE"""),45758.0)</f>
        <v>45758</v>
      </c>
      <c r="B1406" s="6">
        <f>IFERROR(__xludf.DUMMYFUNCTION("""COMPUTED_VALUE"""),132.5)</f>
        <v>132.5</v>
      </c>
      <c r="C1406" s="6">
        <f>IFERROR(__xludf.DUMMYFUNCTION("""COMPUTED_VALUE"""),132.6)</f>
        <v>132.6</v>
      </c>
      <c r="D1406" s="6">
        <f>IFERROR(__xludf.DUMMYFUNCTION("""COMPUTED_VALUE"""),131.06)</f>
        <v>131.06</v>
      </c>
      <c r="E1406" s="6">
        <f>IFERROR(__xludf.DUMMYFUNCTION("""COMPUTED_VALUE"""),131.83)</f>
        <v>131.83</v>
      </c>
      <c r="F1406" s="7">
        <f>IFERROR(__xludf.DUMMYFUNCTION("""COMPUTED_VALUE"""),1.0020795E7)</f>
        <v>10020795</v>
      </c>
      <c r="G1406" s="7" t="str">
        <f>IFERROR(__xludf.DUMMYFUNCTION("""COMPUTED_VALUE"""),"IOC.NS")</f>
        <v>IOC.NS</v>
      </c>
      <c r="H1406" s="8">
        <f t="shared" si="1"/>
        <v>-0.005056603774</v>
      </c>
      <c r="I1406" s="8">
        <f t="shared" si="2"/>
        <v>0.005056603774</v>
      </c>
      <c r="J1406" s="7" t="str">
        <f t="shared" si="3"/>
        <v>Apr-2025</v>
      </c>
      <c r="K1406" s="9">
        <f t="shared" si="4"/>
        <v>45748</v>
      </c>
      <c r="L1406" s="7" t="str">
        <f t="shared" si="5"/>
        <v/>
      </c>
      <c r="M1406" s="7" t="str">
        <f>IFERROR(__xludf.DUMMYFUNCTION("IFERROR(
  IF(
    F1406 &gt;
    3*AVERAGE(
       FILTER($F$2:$F10491,
         $G$2:$G10491=G1406,
         $A$2:$A10491&gt;=A1406-20,
         $A$2:$A10491&lt;=A1406
       )
    ),
    ""VOL_SPIKE_3X"",""""
  ),
"""")
"),"")</f>
        <v/>
      </c>
      <c r="N1406" s="7" t="str">
        <f t="shared" si="6"/>
        <v/>
      </c>
      <c r="O1406" s="7" t="str">
        <f t="shared" si="7"/>
        <v/>
      </c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>
      <c r="A1407" s="5">
        <f>IFERROR(__xludf.DUMMYFUNCTION("""COMPUTED_VALUE"""),45758.0)</f>
        <v>45758</v>
      </c>
      <c r="B1407" s="6">
        <f>IFERROR(__xludf.DUMMYFUNCTION("""COMPUTED_VALUE"""),351.0)</f>
        <v>351</v>
      </c>
      <c r="C1407" s="6">
        <f>IFERROR(__xludf.DUMMYFUNCTION("""COMPUTED_VALUE"""),361.5)</f>
        <v>361.5</v>
      </c>
      <c r="D1407" s="6">
        <f>IFERROR(__xludf.DUMMYFUNCTION("""COMPUTED_VALUE"""),351.0)</f>
        <v>351</v>
      </c>
      <c r="E1407" s="6">
        <f>IFERROR(__xludf.DUMMYFUNCTION("""COMPUTED_VALUE"""),360.1)</f>
        <v>360.1</v>
      </c>
      <c r="F1407" s="7">
        <f>IFERROR(__xludf.DUMMYFUNCTION("""COMPUTED_VALUE"""),1.1246077E7)</f>
        <v>11246077</v>
      </c>
      <c r="G1407" s="7" t="str">
        <f>IFERROR(__xludf.DUMMYFUNCTION("""COMPUTED_VALUE"""),"NTPC.NS")</f>
        <v>NTPC.NS</v>
      </c>
      <c r="H1407" s="8">
        <f t="shared" si="1"/>
        <v>0.02592592593</v>
      </c>
      <c r="I1407" s="8">
        <f t="shared" si="2"/>
        <v>0.02592592593</v>
      </c>
      <c r="J1407" s="7" t="str">
        <f t="shared" si="3"/>
        <v>Apr-2025</v>
      </c>
      <c r="K1407" s="9">
        <f t="shared" si="4"/>
        <v>45748</v>
      </c>
      <c r="L1407" s="7" t="str">
        <f t="shared" si="5"/>
        <v/>
      </c>
      <c r="M1407" s="7" t="str">
        <f>IFERROR(__xludf.DUMMYFUNCTION("IFERROR(
  IF(
    F1407 &gt;
    3*AVERAGE(
       FILTER($F$2:$F10491,
         $G$2:$G10491=G1407,
         $A$2:$A10491&gt;=A1407-20,
         $A$2:$A10491&lt;=A1407
       )
    ),
    ""VOL_SPIKE_3X"",""""
  ),
"""")
"),"")</f>
        <v/>
      </c>
      <c r="N1407" s="7" t="str">
        <f t="shared" si="6"/>
        <v/>
      </c>
      <c r="O1407" s="7" t="str">
        <f t="shared" si="7"/>
        <v/>
      </c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>
      <c r="A1408" s="5">
        <f>IFERROR(__xludf.DUMMYFUNCTION("""COMPUTED_VALUE"""),45758.0)</f>
        <v>45758</v>
      </c>
      <c r="B1408" s="6">
        <f>IFERROR(__xludf.DUMMYFUNCTION("""COMPUTED_VALUE"""),228.3)</f>
        <v>228.3</v>
      </c>
      <c r="C1408" s="6">
        <f>IFERROR(__xludf.DUMMYFUNCTION("""COMPUTED_VALUE"""),231.4)</f>
        <v>231.4</v>
      </c>
      <c r="D1408" s="6">
        <f>IFERROR(__xludf.DUMMYFUNCTION("""COMPUTED_VALUE"""),225.25)</f>
        <v>225.25</v>
      </c>
      <c r="E1408" s="6">
        <f>IFERROR(__xludf.DUMMYFUNCTION("""COMPUTED_VALUE"""),230.37)</f>
        <v>230.37</v>
      </c>
      <c r="F1408" s="7">
        <f>IFERROR(__xludf.DUMMYFUNCTION("""COMPUTED_VALUE"""),1.3886447E7)</f>
        <v>13886447</v>
      </c>
      <c r="G1408" s="7" t="str">
        <f>IFERROR(__xludf.DUMMYFUNCTION("""COMPUTED_VALUE"""),"ONGC.NS")</f>
        <v>ONGC.NS</v>
      </c>
      <c r="H1408" s="8">
        <f t="shared" si="1"/>
        <v>0.009067017083</v>
      </c>
      <c r="I1408" s="8">
        <f t="shared" si="2"/>
        <v>0.009067017083</v>
      </c>
      <c r="J1408" s="7" t="str">
        <f t="shared" si="3"/>
        <v>Apr-2025</v>
      </c>
      <c r="K1408" s="9">
        <f t="shared" si="4"/>
        <v>45748</v>
      </c>
      <c r="L1408" s="7" t="str">
        <f t="shared" si="5"/>
        <v/>
      </c>
      <c r="M1408" s="7" t="str">
        <f>IFERROR(__xludf.DUMMYFUNCTION("IFERROR(
  IF(
    F1408 &gt;
    3*AVERAGE(
       FILTER($F$2:$F10491,
         $G$2:$G10491=G1408,
         $A$2:$A10491&gt;=A1408-20,
         $A$2:$A10491&lt;=A1408
       )
    ),
    ""VOL_SPIKE_3X"",""""
  ),
"""")
"),"")</f>
        <v/>
      </c>
      <c r="N1408" s="7" t="str">
        <f t="shared" si="6"/>
        <v/>
      </c>
      <c r="O1408" s="7" t="str">
        <f t="shared" si="7"/>
        <v/>
      </c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>
      <c r="A1409" s="5">
        <f>IFERROR(__xludf.DUMMYFUNCTION("""COMPUTED_VALUE"""),45758.0)</f>
        <v>45758</v>
      </c>
      <c r="B1409" s="6">
        <f>IFERROR(__xludf.DUMMYFUNCTION("""COMPUTED_VALUE"""),293.25)</f>
        <v>293.25</v>
      </c>
      <c r="C1409" s="6">
        <f>IFERROR(__xludf.DUMMYFUNCTION("""COMPUTED_VALUE"""),305.0)</f>
        <v>305</v>
      </c>
      <c r="D1409" s="6">
        <f>IFERROR(__xludf.DUMMYFUNCTION("""COMPUTED_VALUE"""),293.25)</f>
        <v>293.25</v>
      </c>
      <c r="E1409" s="6">
        <f>IFERROR(__xludf.DUMMYFUNCTION("""COMPUTED_VALUE"""),304.1)</f>
        <v>304.1</v>
      </c>
      <c r="F1409" s="7">
        <f>IFERROR(__xludf.DUMMYFUNCTION("""COMPUTED_VALUE"""),1.9831004E7)</f>
        <v>19831004</v>
      </c>
      <c r="G1409" s="7" t="str">
        <f>IFERROR(__xludf.DUMMYFUNCTION("""COMPUTED_VALUE"""),"POWERGRID.NS")</f>
        <v>POWERGRID.NS</v>
      </c>
      <c r="H1409" s="8">
        <f t="shared" si="1"/>
        <v>0.03699914749</v>
      </c>
      <c r="I1409" s="8">
        <f t="shared" si="2"/>
        <v>0.03699914749</v>
      </c>
      <c r="J1409" s="7" t="str">
        <f t="shared" si="3"/>
        <v>Apr-2025</v>
      </c>
      <c r="K1409" s="9">
        <f t="shared" si="4"/>
        <v>45748</v>
      </c>
      <c r="L1409" s="7" t="str">
        <f t="shared" si="5"/>
        <v/>
      </c>
      <c r="M1409" s="7" t="str">
        <f>IFERROR(__xludf.DUMMYFUNCTION("IFERROR(
  IF(
    F1409 &gt;
    3*AVERAGE(
       FILTER($F$2:$F10491,
         $G$2:$G10491=G1409,
         $A$2:$A10491&gt;=A1409-20,
         $A$2:$A10491&lt;=A1409
       )
    ),
    ""VOL_SPIKE_3X"",""""
  ),
"""")
"),"")</f>
        <v/>
      </c>
      <c r="N1409" s="7" t="str">
        <f t="shared" si="6"/>
        <v/>
      </c>
      <c r="O1409" s="7" t="str">
        <f t="shared" si="7"/>
        <v/>
      </c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>
      <c r="A1410" s="5">
        <f>IFERROR(__xludf.DUMMYFUNCTION("""COMPUTED_VALUE"""),45758.0)</f>
        <v>45758</v>
      </c>
      <c r="B1410" s="6">
        <f>IFERROR(__xludf.DUMMYFUNCTION("""COMPUTED_VALUE"""),1195.15)</f>
        <v>1195.15</v>
      </c>
      <c r="C1410" s="6">
        <f>IFERROR(__xludf.DUMMYFUNCTION("""COMPUTED_VALUE"""),1222.65)</f>
        <v>1222.65</v>
      </c>
      <c r="D1410" s="6">
        <f>IFERROR(__xludf.DUMMYFUNCTION("""COMPUTED_VALUE"""),1195.15)</f>
        <v>1195.15</v>
      </c>
      <c r="E1410" s="6">
        <f>IFERROR(__xludf.DUMMYFUNCTION("""COMPUTED_VALUE"""),1218.95)</f>
        <v>1218.95</v>
      </c>
      <c r="F1410" s="7">
        <f>IFERROR(__xludf.DUMMYFUNCTION("""COMPUTED_VALUE"""),1.1224242E7)</f>
        <v>11224242</v>
      </c>
      <c r="G1410" s="7" t="str">
        <f>IFERROR(__xludf.DUMMYFUNCTION("""COMPUTED_VALUE"""),"RELIANCE.NS")</f>
        <v>RELIANCE.NS</v>
      </c>
      <c r="H1410" s="8">
        <f t="shared" si="1"/>
        <v>0.01991381835</v>
      </c>
      <c r="I1410" s="8">
        <f t="shared" si="2"/>
        <v>0.01991381835</v>
      </c>
      <c r="J1410" s="7" t="str">
        <f t="shared" si="3"/>
        <v>Apr-2025</v>
      </c>
      <c r="K1410" s="9">
        <f t="shared" si="4"/>
        <v>45748</v>
      </c>
      <c r="L1410" s="7" t="str">
        <f t="shared" si="5"/>
        <v/>
      </c>
      <c r="M1410" s="7" t="str">
        <f>IFERROR(__xludf.DUMMYFUNCTION("IFERROR(
  IF(
    F1410 &gt;
    3*AVERAGE(
       FILTER($F$2:$F10491,
         $G$2:$G10491=G1410,
         $A$2:$A10491&gt;=A1410-20,
         $A$2:$A10491&lt;=A1410
       )
    ),
    ""VOL_SPIKE_3X"",""""
  ),
"""")
"),"")</f>
        <v/>
      </c>
      <c r="N1410" s="7" t="str">
        <f t="shared" si="6"/>
        <v/>
      </c>
      <c r="O1410" s="7" t="str">
        <f t="shared" si="7"/>
        <v/>
      </c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>
      <c r="A1411" s="5">
        <f>IFERROR(__xludf.DUMMYFUNCTION("""COMPUTED_VALUE"""),45762.0)</f>
        <v>45762</v>
      </c>
      <c r="B1411" s="6">
        <f>IFERROR(__xludf.DUMMYFUNCTION("""COMPUTED_VALUE"""),855.65)</f>
        <v>855.65</v>
      </c>
      <c r="C1411" s="6">
        <f>IFERROR(__xludf.DUMMYFUNCTION("""COMPUTED_VALUE"""),889.6)</f>
        <v>889.6</v>
      </c>
      <c r="D1411" s="6">
        <f>IFERROR(__xludf.DUMMYFUNCTION("""COMPUTED_VALUE"""),851.45)</f>
        <v>851.45</v>
      </c>
      <c r="E1411" s="6">
        <f>IFERROR(__xludf.DUMMYFUNCTION("""COMPUTED_VALUE"""),887.4)</f>
        <v>887.4</v>
      </c>
      <c r="F1411" s="7">
        <f>IFERROR(__xludf.DUMMYFUNCTION("""COMPUTED_VALUE"""),2537147.0)</f>
        <v>2537147</v>
      </c>
      <c r="G1411" s="7" t="str">
        <f>IFERROR(__xludf.DUMMYFUNCTION("""COMPUTED_VALUE"""),"ADANIENSOL.NS")</f>
        <v>ADANIENSOL.NS</v>
      </c>
      <c r="H1411" s="8">
        <f t="shared" si="1"/>
        <v>0.03710629346</v>
      </c>
      <c r="I1411" s="8">
        <f t="shared" si="2"/>
        <v>0.03710629346</v>
      </c>
      <c r="J1411" s="7" t="str">
        <f t="shared" si="3"/>
        <v>Apr-2025</v>
      </c>
      <c r="K1411" s="9">
        <f t="shared" si="4"/>
        <v>45748</v>
      </c>
      <c r="L1411" s="7" t="str">
        <f t="shared" si="5"/>
        <v/>
      </c>
      <c r="M1411" s="7" t="str">
        <f>IFERROR(__xludf.DUMMYFUNCTION("IFERROR(
  IF(
    F1411 &gt;
    3*AVERAGE(
       FILTER($F$2:$F10491,
         $G$2:$G10491=G1411,
         $A$2:$A10491&gt;=A1411-20,
         $A$2:$A10491&lt;=A1411
       )
    ),
    ""VOL_SPIKE_3X"",""""
  ),
"""")
"),"")</f>
        <v/>
      </c>
      <c r="N1411" s="7" t="str">
        <f t="shared" si="6"/>
        <v/>
      </c>
      <c r="O1411" s="7" t="str">
        <f t="shared" si="7"/>
        <v/>
      </c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>
      <c r="A1412" s="5">
        <f>IFERROR(__xludf.DUMMYFUNCTION("""COMPUTED_VALUE"""),45762.0)</f>
        <v>45762</v>
      </c>
      <c r="B1412" s="6">
        <f>IFERROR(__xludf.DUMMYFUNCTION("""COMPUTED_VALUE"""),910.0)</f>
        <v>910</v>
      </c>
      <c r="C1412" s="6">
        <f>IFERROR(__xludf.DUMMYFUNCTION("""COMPUTED_VALUE"""),942.0)</f>
        <v>942</v>
      </c>
      <c r="D1412" s="6">
        <f>IFERROR(__xludf.DUMMYFUNCTION("""COMPUTED_VALUE"""),901.3)</f>
        <v>901.3</v>
      </c>
      <c r="E1412" s="6">
        <f>IFERROR(__xludf.DUMMYFUNCTION("""COMPUTED_VALUE"""),936.65)</f>
        <v>936.65</v>
      </c>
      <c r="F1412" s="7">
        <f>IFERROR(__xludf.DUMMYFUNCTION("""COMPUTED_VALUE"""),2944940.0)</f>
        <v>2944940</v>
      </c>
      <c r="G1412" s="7" t="str">
        <f>IFERROR(__xludf.DUMMYFUNCTION("""COMPUTED_VALUE"""),"ADANIGREEN.NS")</f>
        <v>ADANIGREEN.NS</v>
      </c>
      <c r="H1412" s="8">
        <f t="shared" si="1"/>
        <v>0.02928571429</v>
      </c>
      <c r="I1412" s="8">
        <f t="shared" si="2"/>
        <v>0.02928571429</v>
      </c>
      <c r="J1412" s="7" t="str">
        <f t="shared" si="3"/>
        <v>Apr-2025</v>
      </c>
      <c r="K1412" s="9">
        <f t="shared" si="4"/>
        <v>45748</v>
      </c>
      <c r="L1412" s="7" t="str">
        <f t="shared" si="5"/>
        <v/>
      </c>
      <c r="M1412" s="7" t="str">
        <f>IFERROR(__xludf.DUMMYFUNCTION("IFERROR(
  IF(
    F1412 &gt;
    3*AVERAGE(
       FILTER($F$2:$F10491,
         $G$2:$G10491=G1412,
         $A$2:$A10491&gt;=A1412-20,
         $A$2:$A10491&lt;=A1412
       )
    ),
    ""VOL_SPIKE_3X"",""""
  ),
"""")
"),"")</f>
        <v/>
      </c>
      <c r="N1412" s="7" t="str">
        <f t="shared" si="6"/>
        <v/>
      </c>
      <c r="O1412" s="7" t="str">
        <f t="shared" si="7"/>
        <v/>
      </c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>
      <c r="A1413" s="5">
        <f>IFERROR(__xludf.DUMMYFUNCTION("""COMPUTED_VALUE"""),45762.0)</f>
        <v>45762</v>
      </c>
      <c r="B1413" s="6">
        <f>IFERROR(__xludf.DUMMYFUNCTION("""COMPUTED_VALUE"""),296.8)</f>
        <v>296.8</v>
      </c>
      <c r="C1413" s="6">
        <f>IFERROR(__xludf.DUMMYFUNCTION("""COMPUTED_VALUE"""),296.8)</f>
        <v>296.8</v>
      </c>
      <c r="D1413" s="6">
        <f>IFERROR(__xludf.DUMMYFUNCTION("""COMPUTED_VALUE"""),291.1)</f>
        <v>291.1</v>
      </c>
      <c r="E1413" s="6">
        <f>IFERROR(__xludf.DUMMYFUNCTION("""COMPUTED_VALUE"""),294.4)</f>
        <v>294.4</v>
      </c>
      <c r="F1413" s="7">
        <f>IFERROR(__xludf.DUMMYFUNCTION("""COMPUTED_VALUE"""),8516322.0)</f>
        <v>8516322</v>
      </c>
      <c r="G1413" s="7" t="str">
        <f>IFERROR(__xludf.DUMMYFUNCTION("""COMPUTED_VALUE"""),"BPCL.NS")</f>
        <v>BPCL.NS</v>
      </c>
      <c r="H1413" s="8">
        <f t="shared" si="1"/>
        <v>-0.008086253369</v>
      </c>
      <c r="I1413" s="8">
        <f t="shared" si="2"/>
        <v>0.008086253369</v>
      </c>
      <c r="J1413" s="7" t="str">
        <f t="shared" si="3"/>
        <v>Apr-2025</v>
      </c>
      <c r="K1413" s="9">
        <f t="shared" si="4"/>
        <v>45748</v>
      </c>
      <c r="L1413" s="7" t="str">
        <f t="shared" si="5"/>
        <v/>
      </c>
      <c r="M1413" s="7" t="str">
        <f>IFERROR(__xludf.DUMMYFUNCTION("IFERROR(
  IF(
    F1413 &gt;
    3*AVERAGE(
       FILTER($F$2:$F10491,
         $G$2:$G10491=G1413,
         $A$2:$A10491&gt;=A1413-20,
         $A$2:$A10491&lt;=A1413
       )
    ),
    ""VOL_SPIKE_3X"",""""
  ),
"""")
"),"")</f>
        <v/>
      </c>
      <c r="N1413" s="7" t="str">
        <f t="shared" si="6"/>
        <v/>
      </c>
      <c r="O1413" s="7" t="str">
        <f t="shared" si="7"/>
        <v/>
      </c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>
      <c r="A1414" s="5">
        <f>IFERROR(__xludf.DUMMYFUNCTION("""COMPUTED_VALUE"""),45762.0)</f>
        <v>45762</v>
      </c>
      <c r="B1414" s="6">
        <f>IFERROR(__xludf.DUMMYFUNCTION("""COMPUTED_VALUE"""),399.0)</f>
        <v>399</v>
      </c>
      <c r="C1414" s="6">
        <f>IFERROR(__xludf.DUMMYFUNCTION("""COMPUTED_VALUE"""),399.0)</f>
        <v>399</v>
      </c>
      <c r="D1414" s="6">
        <f>IFERROR(__xludf.DUMMYFUNCTION("""COMPUTED_VALUE"""),393.5)</f>
        <v>393.5</v>
      </c>
      <c r="E1414" s="6">
        <f>IFERROR(__xludf.DUMMYFUNCTION("""COMPUTED_VALUE"""),395.25)</f>
        <v>395.25</v>
      </c>
      <c r="F1414" s="7">
        <f>IFERROR(__xludf.DUMMYFUNCTION("""COMPUTED_VALUE"""),4371156.0)</f>
        <v>4371156</v>
      </c>
      <c r="G1414" s="7" t="str">
        <f>IFERROR(__xludf.DUMMYFUNCTION("""COMPUTED_VALUE"""),"COALINDIA.NS")</f>
        <v>COALINDIA.NS</v>
      </c>
      <c r="H1414" s="8">
        <f t="shared" si="1"/>
        <v>-0.009398496241</v>
      </c>
      <c r="I1414" s="8">
        <f t="shared" si="2"/>
        <v>0.009398496241</v>
      </c>
      <c r="J1414" s="7" t="str">
        <f t="shared" si="3"/>
        <v>Apr-2025</v>
      </c>
      <c r="K1414" s="9">
        <f t="shared" si="4"/>
        <v>45748</v>
      </c>
      <c r="L1414" s="7" t="str">
        <f t="shared" si="5"/>
        <v/>
      </c>
      <c r="M1414" s="7" t="str">
        <f>IFERROR(__xludf.DUMMYFUNCTION("IFERROR(
  IF(
    F1414 &gt;
    3*AVERAGE(
       FILTER($F$2:$F10491,
         $G$2:$G10491=G1414,
         $A$2:$A10491&gt;=A1414-20,
         $A$2:$A10491&lt;=A1414
       )
    ),
    ""VOL_SPIKE_3X"",""""
  ),
"""")
"),"")</f>
        <v/>
      </c>
      <c r="N1414" s="7" t="str">
        <f t="shared" si="6"/>
        <v/>
      </c>
      <c r="O1414" s="7" t="str">
        <f t="shared" si="7"/>
        <v/>
      </c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>
      <c r="A1415" s="5">
        <f>IFERROR(__xludf.DUMMYFUNCTION("""COMPUTED_VALUE"""),45762.0)</f>
        <v>45762</v>
      </c>
      <c r="B1415" s="6">
        <f>IFERROR(__xludf.DUMMYFUNCTION("""COMPUTED_VALUE"""),386.55)</f>
        <v>386.55</v>
      </c>
      <c r="C1415" s="6">
        <f>IFERROR(__xludf.DUMMYFUNCTION("""COMPUTED_VALUE"""),386.95)</f>
        <v>386.95</v>
      </c>
      <c r="D1415" s="6">
        <f>IFERROR(__xludf.DUMMYFUNCTION("""COMPUTED_VALUE"""),376.1)</f>
        <v>376.1</v>
      </c>
      <c r="E1415" s="6">
        <f>IFERROR(__xludf.DUMMYFUNCTION("""COMPUTED_VALUE"""),379.1)</f>
        <v>379.1</v>
      </c>
      <c r="F1415" s="7">
        <f>IFERROR(__xludf.DUMMYFUNCTION("""COMPUTED_VALUE"""),4572204.0)</f>
        <v>4572204</v>
      </c>
      <c r="G1415" s="7" t="str">
        <f>IFERROR(__xludf.DUMMYFUNCTION("""COMPUTED_VALUE"""),"HINDPETRO.NS")</f>
        <v>HINDPETRO.NS</v>
      </c>
      <c r="H1415" s="8">
        <f t="shared" si="1"/>
        <v>-0.01927305653</v>
      </c>
      <c r="I1415" s="8">
        <f t="shared" si="2"/>
        <v>0.01927305653</v>
      </c>
      <c r="J1415" s="7" t="str">
        <f t="shared" si="3"/>
        <v>Apr-2025</v>
      </c>
      <c r="K1415" s="9">
        <f t="shared" si="4"/>
        <v>45748</v>
      </c>
      <c r="L1415" s="7" t="str">
        <f t="shared" si="5"/>
        <v/>
      </c>
      <c r="M1415" s="7" t="str">
        <f>IFERROR(__xludf.DUMMYFUNCTION("IFERROR(
  IF(
    F1415 &gt;
    3*AVERAGE(
       FILTER($F$2:$F10491,
         $G$2:$G10491=G1415,
         $A$2:$A10491&gt;=A1415-20,
         $A$2:$A10491&lt;=A1415
       )
    ),
    ""VOL_SPIKE_3X"",""""
  ),
"""")
"),"")</f>
        <v/>
      </c>
      <c r="N1415" s="7" t="str">
        <f t="shared" si="6"/>
        <v/>
      </c>
      <c r="O1415" s="7" t="str">
        <f t="shared" si="7"/>
        <v/>
      </c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>
      <c r="A1416" s="5">
        <f>IFERROR(__xludf.DUMMYFUNCTION("""COMPUTED_VALUE"""),45762.0)</f>
        <v>45762</v>
      </c>
      <c r="B1416" s="6">
        <f>IFERROR(__xludf.DUMMYFUNCTION("""COMPUTED_VALUE"""),133.4)</f>
        <v>133.4</v>
      </c>
      <c r="C1416" s="6">
        <f>IFERROR(__xludf.DUMMYFUNCTION("""COMPUTED_VALUE"""),133.4)</f>
        <v>133.4</v>
      </c>
      <c r="D1416" s="6">
        <f>IFERROR(__xludf.DUMMYFUNCTION("""COMPUTED_VALUE"""),132.0)</f>
        <v>132</v>
      </c>
      <c r="E1416" s="6">
        <f>IFERROR(__xludf.DUMMYFUNCTION("""COMPUTED_VALUE"""),132.87)</f>
        <v>132.87</v>
      </c>
      <c r="F1416" s="7">
        <f>IFERROR(__xludf.DUMMYFUNCTION("""COMPUTED_VALUE"""),1.0142685E7)</f>
        <v>10142685</v>
      </c>
      <c r="G1416" s="7" t="str">
        <f>IFERROR(__xludf.DUMMYFUNCTION("""COMPUTED_VALUE"""),"IOC.NS")</f>
        <v>IOC.NS</v>
      </c>
      <c r="H1416" s="8">
        <f t="shared" si="1"/>
        <v>-0.003973013493</v>
      </c>
      <c r="I1416" s="8">
        <f t="shared" si="2"/>
        <v>0.003973013493</v>
      </c>
      <c r="J1416" s="7" t="str">
        <f t="shared" si="3"/>
        <v>Apr-2025</v>
      </c>
      <c r="K1416" s="9">
        <f t="shared" si="4"/>
        <v>45748</v>
      </c>
      <c r="L1416" s="7" t="str">
        <f t="shared" si="5"/>
        <v/>
      </c>
      <c r="M1416" s="7" t="str">
        <f>IFERROR(__xludf.DUMMYFUNCTION("IFERROR(
  IF(
    F1416 &gt;
    3*AVERAGE(
       FILTER($F$2:$F10491,
         $G$2:$G10491=G1416,
         $A$2:$A10491&gt;=A1416-20,
         $A$2:$A10491&lt;=A1416
       )
    ),
    ""VOL_SPIKE_3X"",""""
  ),
"""")
"),"")</f>
        <v/>
      </c>
      <c r="N1416" s="7" t="str">
        <f t="shared" si="6"/>
        <v/>
      </c>
      <c r="O1416" s="7" t="str">
        <f t="shared" si="7"/>
        <v/>
      </c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>
      <c r="A1417" s="5">
        <f>IFERROR(__xludf.DUMMYFUNCTION("""COMPUTED_VALUE"""),45762.0)</f>
        <v>45762</v>
      </c>
      <c r="B1417" s="6">
        <f>IFERROR(__xludf.DUMMYFUNCTION("""COMPUTED_VALUE"""),367.0)</f>
        <v>367</v>
      </c>
      <c r="C1417" s="6">
        <f>IFERROR(__xludf.DUMMYFUNCTION("""COMPUTED_VALUE"""),368.45)</f>
        <v>368.45</v>
      </c>
      <c r="D1417" s="6">
        <f>IFERROR(__xludf.DUMMYFUNCTION("""COMPUTED_VALUE"""),361.55)</f>
        <v>361.55</v>
      </c>
      <c r="E1417" s="6">
        <f>IFERROR(__xludf.DUMMYFUNCTION("""COMPUTED_VALUE"""),362.5)</f>
        <v>362.5</v>
      </c>
      <c r="F1417" s="7">
        <f>IFERROR(__xludf.DUMMYFUNCTION("""COMPUTED_VALUE"""),1.7497327E7)</f>
        <v>17497327</v>
      </c>
      <c r="G1417" s="7" t="str">
        <f>IFERROR(__xludf.DUMMYFUNCTION("""COMPUTED_VALUE"""),"NTPC.NS")</f>
        <v>NTPC.NS</v>
      </c>
      <c r="H1417" s="8">
        <f t="shared" si="1"/>
        <v>-0.01226158038</v>
      </c>
      <c r="I1417" s="8">
        <f t="shared" si="2"/>
        <v>0.01226158038</v>
      </c>
      <c r="J1417" s="7" t="str">
        <f t="shared" si="3"/>
        <v>Apr-2025</v>
      </c>
      <c r="K1417" s="9">
        <f t="shared" si="4"/>
        <v>45748</v>
      </c>
      <c r="L1417" s="7" t="str">
        <f t="shared" si="5"/>
        <v/>
      </c>
      <c r="M1417" s="7" t="str">
        <f>IFERROR(__xludf.DUMMYFUNCTION("IFERROR(
  IF(
    F1417 &gt;
    3*AVERAGE(
       FILTER($F$2:$F10491,
         $G$2:$G10491=G1417,
         $A$2:$A10491&gt;=A1417-20,
         $A$2:$A10491&lt;=A1417
       )
    ),
    ""VOL_SPIKE_3X"",""""
  ),
"""")
"),"")</f>
        <v/>
      </c>
      <c r="N1417" s="7" t="str">
        <f t="shared" si="6"/>
        <v/>
      </c>
      <c r="O1417" s="7" t="str">
        <f t="shared" si="7"/>
        <v/>
      </c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>
      <c r="A1418" s="5">
        <f>IFERROR(__xludf.DUMMYFUNCTION("""COMPUTED_VALUE"""),45762.0)</f>
        <v>45762</v>
      </c>
      <c r="B1418" s="6">
        <f>IFERROR(__xludf.DUMMYFUNCTION("""COMPUTED_VALUE"""),234.0)</f>
        <v>234</v>
      </c>
      <c r="C1418" s="6">
        <f>IFERROR(__xludf.DUMMYFUNCTION("""COMPUTED_VALUE"""),234.0)</f>
        <v>234</v>
      </c>
      <c r="D1418" s="6">
        <f>IFERROR(__xludf.DUMMYFUNCTION("""COMPUTED_VALUE"""),230.1)</f>
        <v>230.1</v>
      </c>
      <c r="E1418" s="6">
        <f>IFERROR(__xludf.DUMMYFUNCTION("""COMPUTED_VALUE"""),232.69)</f>
        <v>232.69</v>
      </c>
      <c r="F1418" s="7">
        <f>IFERROR(__xludf.DUMMYFUNCTION("""COMPUTED_VALUE"""),1.2102239E7)</f>
        <v>12102239</v>
      </c>
      <c r="G1418" s="7" t="str">
        <f>IFERROR(__xludf.DUMMYFUNCTION("""COMPUTED_VALUE"""),"ONGC.NS")</f>
        <v>ONGC.NS</v>
      </c>
      <c r="H1418" s="8">
        <f t="shared" si="1"/>
        <v>-0.005598290598</v>
      </c>
      <c r="I1418" s="8">
        <f t="shared" si="2"/>
        <v>0.005598290598</v>
      </c>
      <c r="J1418" s="7" t="str">
        <f t="shared" si="3"/>
        <v>Apr-2025</v>
      </c>
      <c r="K1418" s="9">
        <f t="shared" si="4"/>
        <v>45748</v>
      </c>
      <c r="L1418" s="7" t="str">
        <f t="shared" si="5"/>
        <v/>
      </c>
      <c r="M1418" s="7" t="str">
        <f>IFERROR(__xludf.DUMMYFUNCTION("IFERROR(
  IF(
    F1418 &gt;
    3*AVERAGE(
       FILTER($F$2:$F10491,
         $G$2:$G10491=G1418,
         $A$2:$A10491&gt;=A1418-20,
         $A$2:$A10491&lt;=A1418
       )
    ),
    ""VOL_SPIKE_3X"",""""
  ),
"""")
"),"")</f>
        <v/>
      </c>
      <c r="N1418" s="7" t="str">
        <f t="shared" si="6"/>
        <v/>
      </c>
      <c r="O1418" s="7" t="str">
        <f t="shared" si="7"/>
        <v/>
      </c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>
      <c r="A1419" s="5">
        <f>IFERROR(__xludf.DUMMYFUNCTION("""COMPUTED_VALUE"""),45762.0)</f>
        <v>45762</v>
      </c>
      <c r="B1419" s="6">
        <f>IFERROR(__xludf.DUMMYFUNCTION("""COMPUTED_VALUE"""),307.2)</f>
        <v>307.2</v>
      </c>
      <c r="C1419" s="6">
        <f>IFERROR(__xludf.DUMMYFUNCTION("""COMPUTED_VALUE"""),310.45)</f>
        <v>310.45</v>
      </c>
      <c r="D1419" s="6">
        <f>IFERROR(__xludf.DUMMYFUNCTION("""COMPUTED_VALUE"""),303.7)</f>
        <v>303.7</v>
      </c>
      <c r="E1419" s="6">
        <f>IFERROR(__xludf.DUMMYFUNCTION("""COMPUTED_VALUE"""),304.55)</f>
        <v>304.55</v>
      </c>
      <c r="F1419" s="7">
        <f>IFERROR(__xludf.DUMMYFUNCTION("""COMPUTED_VALUE"""),1.6563441E7)</f>
        <v>16563441</v>
      </c>
      <c r="G1419" s="7" t="str">
        <f>IFERROR(__xludf.DUMMYFUNCTION("""COMPUTED_VALUE"""),"POWERGRID.NS")</f>
        <v>POWERGRID.NS</v>
      </c>
      <c r="H1419" s="8">
        <f t="shared" si="1"/>
        <v>-0.008626302083</v>
      </c>
      <c r="I1419" s="8">
        <f t="shared" si="2"/>
        <v>0.008626302083</v>
      </c>
      <c r="J1419" s="7" t="str">
        <f t="shared" si="3"/>
        <v>Apr-2025</v>
      </c>
      <c r="K1419" s="9">
        <f t="shared" si="4"/>
        <v>45748</v>
      </c>
      <c r="L1419" s="7" t="str">
        <f t="shared" si="5"/>
        <v/>
      </c>
      <c r="M1419" s="7" t="str">
        <f>IFERROR(__xludf.DUMMYFUNCTION("IFERROR(
  IF(
    F1419 &gt;
    3*AVERAGE(
       FILTER($F$2:$F10491,
         $G$2:$G10491=G1419,
         $A$2:$A10491&gt;=A1419-20,
         $A$2:$A10491&lt;=A1419
       )
    ),
    ""VOL_SPIKE_3X"",""""
  ),
"""")
"),"")</f>
        <v/>
      </c>
      <c r="N1419" s="7" t="str">
        <f t="shared" si="6"/>
        <v/>
      </c>
      <c r="O1419" s="7" t="str">
        <f t="shared" si="7"/>
        <v/>
      </c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>
      <c r="A1420" s="5">
        <f>IFERROR(__xludf.DUMMYFUNCTION("""COMPUTED_VALUE"""),45762.0)</f>
        <v>45762</v>
      </c>
      <c r="B1420" s="6">
        <f>IFERROR(__xludf.DUMMYFUNCTION("""COMPUTED_VALUE"""),1251.0)</f>
        <v>1251</v>
      </c>
      <c r="C1420" s="6">
        <f>IFERROR(__xludf.DUMMYFUNCTION("""COMPUTED_VALUE"""),1251.0)</f>
        <v>1251</v>
      </c>
      <c r="D1420" s="6">
        <f>IFERROR(__xludf.DUMMYFUNCTION("""COMPUTED_VALUE"""),1237.1)</f>
        <v>1237.1</v>
      </c>
      <c r="E1420" s="6">
        <f>IFERROR(__xludf.DUMMYFUNCTION("""COMPUTED_VALUE"""),1240.1)</f>
        <v>1240.1</v>
      </c>
      <c r="F1420" s="7">
        <f>IFERROR(__xludf.DUMMYFUNCTION("""COMPUTED_VALUE"""),1.3378535E7)</f>
        <v>13378535</v>
      </c>
      <c r="G1420" s="7" t="str">
        <f>IFERROR(__xludf.DUMMYFUNCTION("""COMPUTED_VALUE"""),"RELIANCE.NS")</f>
        <v>RELIANCE.NS</v>
      </c>
      <c r="H1420" s="8">
        <f t="shared" si="1"/>
        <v>-0.008713029576</v>
      </c>
      <c r="I1420" s="8">
        <f t="shared" si="2"/>
        <v>0.008713029576</v>
      </c>
      <c r="J1420" s="7" t="str">
        <f t="shared" si="3"/>
        <v>Apr-2025</v>
      </c>
      <c r="K1420" s="9">
        <f t="shared" si="4"/>
        <v>45748</v>
      </c>
      <c r="L1420" s="7" t="str">
        <f t="shared" si="5"/>
        <v/>
      </c>
      <c r="M1420" s="7" t="str">
        <f>IFERROR(__xludf.DUMMYFUNCTION("IFERROR(
  IF(
    F1420 &gt;
    3*AVERAGE(
       FILTER($F$2:$F10491,
         $G$2:$G10491=G1420,
         $A$2:$A10491&gt;=A1420-20,
         $A$2:$A10491&lt;=A1420
       )
    ),
    ""VOL_SPIKE_3X"",""""
  ),
"""")
"),"")</f>
        <v/>
      </c>
      <c r="N1420" s="7" t="str">
        <f t="shared" si="6"/>
        <v/>
      </c>
      <c r="O1420" s="7" t="str">
        <f t="shared" si="7"/>
        <v/>
      </c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>
      <c r="A1421" s="5">
        <f>IFERROR(__xludf.DUMMYFUNCTION("""COMPUTED_VALUE"""),45763.0)</f>
        <v>45763</v>
      </c>
      <c r="B1421" s="6">
        <f>IFERROR(__xludf.DUMMYFUNCTION("""COMPUTED_VALUE"""),884.9)</f>
        <v>884.9</v>
      </c>
      <c r="C1421" s="6">
        <f>IFERROR(__xludf.DUMMYFUNCTION("""COMPUTED_VALUE"""),903.0)</f>
        <v>903</v>
      </c>
      <c r="D1421" s="6">
        <f>IFERROR(__xludf.DUMMYFUNCTION("""COMPUTED_VALUE"""),881.05)</f>
        <v>881.05</v>
      </c>
      <c r="E1421" s="6">
        <f>IFERROR(__xludf.DUMMYFUNCTION("""COMPUTED_VALUE"""),895.15)</f>
        <v>895.15</v>
      </c>
      <c r="F1421" s="7">
        <f>IFERROR(__xludf.DUMMYFUNCTION("""COMPUTED_VALUE"""),2669664.0)</f>
        <v>2669664</v>
      </c>
      <c r="G1421" s="7" t="str">
        <f>IFERROR(__xludf.DUMMYFUNCTION("""COMPUTED_VALUE"""),"ADANIENSOL.NS")</f>
        <v>ADANIENSOL.NS</v>
      </c>
      <c r="H1421" s="8">
        <f t="shared" si="1"/>
        <v>0.01158322974</v>
      </c>
      <c r="I1421" s="8">
        <f t="shared" si="2"/>
        <v>0.01158322974</v>
      </c>
      <c r="J1421" s="7" t="str">
        <f t="shared" si="3"/>
        <v>Apr-2025</v>
      </c>
      <c r="K1421" s="9">
        <f t="shared" si="4"/>
        <v>45748</v>
      </c>
      <c r="L1421" s="7" t="str">
        <f t="shared" si="5"/>
        <v/>
      </c>
      <c r="M1421" s="7" t="str">
        <f>IFERROR(__xludf.DUMMYFUNCTION("IFERROR(
  IF(
    F1421 &gt;
    3*AVERAGE(
       FILTER($F$2:$F10491,
         $G$2:$G10491=G1421,
         $A$2:$A10491&gt;=A1421-20,
         $A$2:$A10491&lt;=A1421
       )
    ),
    ""VOL_SPIKE_3X"",""""
  ),
"""")
"),"")</f>
        <v/>
      </c>
      <c r="N1421" s="7" t="str">
        <f t="shared" si="6"/>
        <v/>
      </c>
      <c r="O1421" s="7" t="str">
        <f t="shared" si="7"/>
        <v/>
      </c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>
      <c r="A1422" s="5">
        <f>IFERROR(__xludf.DUMMYFUNCTION("""COMPUTED_VALUE"""),45763.0)</f>
        <v>45763</v>
      </c>
      <c r="B1422" s="6">
        <f>IFERROR(__xludf.DUMMYFUNCTION("""COMPUTED_VALUE"""),936.95)</f>
        <v>936.95</v>
      </c>
      <c r="C1422" s="6">
        <f>IFERROR(__xludf.DUMMYFUNCTION("""COMPUTED_VALUE"""),955.95)</f>
        <v>955.95</v>
      </c>
      <c r="D1422" s="6">
        <f>IFERROR(__xludf.DUMMYFUNCTION("""COMPUTED_VALUE"""),931.5)</f>
        <v>931.5</v>
      </c>
      <c r="E1422" s="6">
        <f>IFERROR(__xludf.DUMMYFUNCTION("""COMPUTED_VALUE"""),945.6)</f>
        <v>945.6</v>
      </c>
      <c r="F1422" s="7">
        <f>IFERROR(__xludf.DUMMYFUNCTION("""COMPUTED_VALUE"""),2203548.0)</f>
        <v>2203548</v>
      </c>
      <c r="G1422" s="7" t="str">
        <f>IFERROR(__xludf.DUMMYFUNCTION("""COMPUTED_VALUE"""),"ADANIGREEN.NS")</f>
        <v>ADANIGREEN.NS</v>
      </c>
      <c r="H1422" s="8">
        <f t="shared" si="1"/>
        <v>0.009232082822</v>
      </c>
      <c r="I1422" s="8">
        <f t="shared" si="2"/>
        <v>0.009232082822</v>
      </c>
      <c r="J1422" s="7" t="str">
        <f t="shared" si="3"/>
        <v>Apr-2025</v>
      </c>
      <c r="K1422" s="9">
        <f t="shared" si="4"/>
        <v>45748</v>
      </c>
      <c r="L1422" s="7" t="str">
        <f t="shared" si="5"/>
        <v/>
      </c>
      <c r="M1422" s="7" t="str">
        <f>IFERROR(__xludf.DUMMYFUNCTION("IFERROR(
  IF(
    F1422 &gt;
    3*AVERAGE(
       FILTER($F$2:$F10491,
         $G$2:$G10491=G1422,
         $A$2:$A10491&gt;=A1422-20,
         $A$2:$A10491&lt;=A1422
       )
    ),
    ""VOL_SPIKE_3X"",""""
  ),
"""")
"),"")</f>
        <v/>
      </c>
      <c r="N1422" s="7" t="str">
        <f t="shared" si="6"/>
        <v/>
      </c>
      <c r="O1422" s="7" t="str">
        <f t="shared" si="7"/>
        <v/>
      </c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>
      <c r="A1423" s="5">
        <f>IFERROR(__xludf.DUMMYFUNCTION("""COMPUTED_VALUE"""),45763.0)</f>
        <v>45763</v>
      </c>
      <c r="B1423" s="6">
        <f>IFERROR(__xludf.DUMMYFUNCTION("""COMPUTED_VALUE"""),294.0)</f>
        <v>294</v>
      </c>
      <c r="C1423" s="6">
        <f>IFERROR(__xludf.DUMMYFUNCTION("""COMPUTED_VALUE"""),300.55)</f>
        <v>300.55</v>
      </c>
      <c r="D1423" s="6">
        <f>IFERROR(__xludf.DUMMYFUNCTION("""COMPUTED_VALUE"""),292.55)</f>
        <v>292.55</v>
      </c>
      <c r="E1423" s="6">
        <f>IFERROR(__xludf.DUMMYFUNCTION("""COMPUTED_VALUE"""),298.75)</f>
        <v>298.75</v>
      </c>
      <c r="F1423" s="7">
        <f>IFERROR(__xludf.DUMMYFUNCTION("""COMPUTED_VALUE"""),9064723.0)</f>
        <v>9064723</v>
      </c>
      <c r="G1423" s="7" t="str">
        <f>IFERROR(__xludf.DUMMYFUNCTION("""COMPUTED_VALUE"""),"BPCL.NS")</f>
        <v>BPCL.NS</v>
      </c>
      <c r="H1423" s="8">
        <f t="shared" si="1"/>
        <v>0.01615646259</v>
      </c>
      <c r="I1423" s="8">
        <f t="shared" si="2"/>
        <v>0.01615646259</v>
      </c>
      <c r="J1423" s="7" t="str">
        <f t="shared" si="3"/>
        <v>Apr-2025</v>
      </c>
      <c r="K1423" s="9">
        <f t="shared" si="4"/>
        <v>45748</v>
      </c>
      <c r="L1423" s="7" t="str">
        <f t="shared" si="5"/>
        <v/>
      </c>
      <c r="M1423" s="7" t="str">
        <f>IFERROR(__xludf.DUMMYFUNCTION("IFERROR(
  IF(
    F1423 &gt;
    3*AVERAGE(
       FILTER($F$2:$F10491,
         $G$2:$G10491=G1423,
         $A$2:$A10491&gt;=A1423-20,
         $A$2:$A10491&lt;=A1423
       )
    ),
    ""VOL_SPIKE_3X"",""""
  ),
"""")
"),"")</f>
        <v/>
      </c>
      <c r="N1423" s="7" t="str">
        <f t="shared" si="6"/>
        <v/>
      </c>
      <c r="O1423" s="7" t="str">
        <f t="shared" si="7"/>
        <v/>
      </c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>
      <c r="A1424" s="5">
        <f>IFERROR(__xludf.DUMMYFUNCTION("""COMPUTED_VALUE"""),45763.0)</f>
        <v>45763</v>
      </c>
      <c r="B1424" s="6">
        <f>IFERROR(__xludf.DUMMYFUNCTION("""COMPUTED_VALUE"""),395.25)</f>
        <v>395.25</v>
      </c>
      <c r="C1424" s="6">
        <f>IFERROR(__xludf.DUMMYFUNCTION("""COMPUTED_VALUE"""),400.1)</f>
        <v>400.1</v>
      </c>
      <c r="D1424" s="6">
        <f>IFERROR(__xludf.DUMMYFUNCTION("""COMPUTED_VALUE"""),392.5)</f>
        <v>392.5</v>
      </c>
      <c r="E1424" s="6">
        <f>IFERROR(__xludf.DUMMYFUNCTION("""COMPUTED_VALUE"""),399.25)</f>
        <v>399.25</v>
      </c>
      <c r="F1424" s="7">
        <f>IFERROR(__xludf.DUMMYFUNCTION("""COMPUTED_VALUE"""),4992290.0)</f>
        <v>4992290</v>
      </c>
      <c r="G1424" s="7" t="str">
        <f>IFERROR(__xludf.DUMMYFUNCTION("""COMPUTED_VALUE"""),"COALINDIA.NS")</f>
        <v>COALINDIA.NS</v>
      </c>
      <c r="H1424" s="8">
        <f t="shared" si="1"/>
        <v>0.0101201771</v>
      </c>
      <c r="I1424" s="8">
        <f t="shared" si="2"/>
        <v>0.0101201771</v>
      </c>
      <c r="J1424" s="7" t="str">
        <f t="shared" si="3"/>
        <v>Apr-2025</v>
      </c>
      <c r="K1424" s="9">
        <f t="shared" si="4"/>
        <v>45748</v>
      </c>
      <c r="L1424" s="7" t="str">
        <f t="shared" si="5"/>
        <v/>
      </c>
      <c r="M1424" s="7" t="str">
        <f>IFERROR(__xludf.DUMMYFUNCTION("IFERROR(
  IF(
    F1424 &gt;
    3*AVERAGE(
       FILTER($F$2:$F10491,
         $G$2:$G10491=G1424,
         $A$2:$A10491&gt;=A1424-20,
         $A$2:$A10491&lt;=A1424
       )
    ),
    ""VOL_SPIKE_3X"",""""
  ),
"""")
"),"")</f>
        <v/>
      </c>
      <c r="N1424" s="7" t="str">
        <f t="shared" si="6"/>
        <v/>
      </c>
      <c r="O1424" s="7" t="str">
        <f t="shared" si="7"/>
        <v/>
      </c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>
      <c r="A1425" s="5">
        <f>IFERROR(__xludf.DUMMYFUNCTION("""COMPUTED_VALUE"""),45763.0)</f>
        <v>45763</v>
      </c>
      <c r="B1425" s="6">
        <f>IFERROR(__xludf.DUMMYFUNCTION("""COMPUTED_VALUE"""),378.5)</f>
        <v>378.5</v>
      </c>
      <c r="C1425" s="6">
        <f>IFERROR(__xludf.DUMMYFUNCTION("""COMPUTED_VALUE"""),391.15)</f>
        <v>391.15</v>
      </c>
      <c r="D1425" s="6">
        <f>IFERROR(__xludf.DUMMYFUNCTION("""COMPUTED_VALUE"""),377.3)</f>
        <v>377.3</v>
      </c>
      <c r="E1425" s="6">
        <f>IFERROR(__xludf.DUMMYFUNCTION("""COMPUTED_VALUE"""),390.05)</f>
        <v>390.05</v>
      </c>
      <c r="F1425" s="7">
        <f>IFERROR(__xludf.DUMMYFUNCTION("""COMPUTED_VALUE"""),3731014.0)</f>
        <v>3731014</v>
      </c>
      <c r="G1425" s="7" t="str">
        <f>IFERROR(__xludf.DUMMYFUNCTION("""COMPUTED_VALUE"""),"HINDPETRO.NS")</f>
        <v>HINDPETRO.NS</v>
      </c>
      <c r="H1425" s="8">
        <f t="shared" si="1"/>
        <v>0.03051519155</v>
      </c>
      <c r="I1425" s="8">
        <f t="shared" si="2"/>
        <v>0.03051519155</v>
      </c>
      <c r="J1425" s="7" t="str">
        <f t="shared" si="3"/>
        <v>Apr-2025</v>
      </c>
      <c r="K1425" s="9">
        <f t="shared" si="4"/>
        <v>45748</v>
      </c>
      <c r="L1425" s="7" t="str">
        <f t="shared" si="5"/>
        <v/>
      </c>
      <c r="M1425" s="7" t="str">
        <f>IFERROR(__xludf.DUMMYFUNCTION("IFERROR(
  IF(
    F1425 &gt;
    3*AVERAGE(
       FILTER($F$2:$F10491,
         $G$2:$G10491=G1425,
         $A$2:$A10491&gt;=A1425-20,
         $A$2:$A10491&lt;=A1425
       )
    ),
    ""VOL_SPIKE_3X"",""""
  ),
"""")
"),"")</f>
        <v/>
      </c>
      <c r="N1425" s="7" t="str">
        <f t="shared" si="6"/>
        <v/>
      </c>
      <c r="O1425" s="7" t="str">
        <f t="shared" si="7"/>
        <v/>
      </c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>
      <c r="A1426" s="5">
        <f>IFERROR(__xludf.DUMMYFUNCTION("""COMPUTED_VALUE"""),45763.0)</f>
        <v>45763</v>
      </c>
      <c r="B1426" s="6">
        <f>IFERROR(__xludf.DUMMYFUNCTION("""COMPUTED_VALUE"""),132.99)</f>
        <v>132.99</v>
      </c>
      <c r="C1426" s="6">
        <f>IFERROR(__xludf.DUMMYFUNCTION("""COMPUTED_VALUE"""),134.15)</f>
        <v>134.15</v>
      </c>
      <c r="D1426" s="6">
        <f>IFERROR(__xludf.DUMMYFUNCTION("""COMPUTED_VALUE"""),132.31)</f>
        <v>132.31</v>
      </c>
      <c r="E1426" s="6">
        <f>IFERROR(__xludf.DUMMYFUNCTION("""COMPUTED_VALUE"""),133.83)</f>
        <v>133.83</v>
      </c>
      <c r="F1426" s="7">
        <f>IFERROR(__xludf.DUMMYFUNCTION("""COMPUTED_VALUE"""),9200167.0)</f>
        <v>9200167</v>
      </c>
      <c r="G1426" s="7" t="str">
        <f>IFERROR(__xludf.DUMMYFUNCTION("""COMPUTED_VALUE"""),"IOC.NS")</f>
        <v>IOC.NS</v>
      </c>
      <c r="H1426" s="8">
        <f t="shared" si="1"/>
        <v>0.006316264381</v>
      </c>
      <c r="I1426" s="8">
        <f t="shared" si="2"/>
        <v>0.006316264381</v>
      </c>
      <c r="J1426" s="7" t="str">
        <f t="shared" si="3"/>
        <v>Apr-2025</v>
      </c>
      <c r="K1426" s="9">
        <f t="shared" si="4"/>
        <v>45748</v>
      </c>
      <c r="L1426" s="7" t="str">
        <f t="shared" si="5"/>
        <v/>
      </c>
      <c r="M1426" s="7" t="str">
        <f>IFERROR(__xludf.DUMMYFUNCTION("IFERROR(
  IF(
    F1426 &gt;
    3*AVERAGE(
       FILTER($F$2:$F10491,
         $G$2:$G10491=G1426,
         $A$2:$A10491&gt;=A1426-20,
         $A$2:$A10491&lt;=A1426
       )
    ),
    ""VOL_SPIKE_3X"",""""
  ),
"""")
"),"")</f>
        <v/>
      </c>
      <c r="N1426" s="7" t="str">
        <f t="shared" si="6"/>
        <v/>
      </c>
      <c r="O1426" s="7" t="str">
        <f t="shared" si="7"/>
        <v/>
      </c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>
      <c r="A1427" s="5">
        <f>IFERROR(__xludf.DUMMYFUNCTION("""COMPUTED_VALUE"""),45763.0)</f>
        <v>45763</v>
      </c>
      <c r="B1427" s="6">
        <f>IFERROR(__xludf.DUMMYFUNCTION("""COMPUTED_VALUE"""),362.5)</f>
        <v>362.5</v>
      </c>
      <c r="C1427" s="6">
        <f>IFERROR(__xludf.DUMMYFUNCTION("""COMPUTED_VALUE"""),363.0)</f>
        <v>363</v>
      </c>
      <c r="D1427" s="6">
        <f>IFERROR(__xludf.DUMMYFUNCTION("""COMPUTED_VALUE"""),357.9)</f>
        <v>357.9</v>
      </c>
      <c r="E1427" s="6">
        <f>IFERROR(__xludf.DUMMYFUNCTION("""COMPUTED_VALUE"""),359.3)</f>
        <v>359.3</v>
      </c>
      <c r="F1427" s="7">
        <f>IFERROR(__xludf.DUMMYFUNCTION("""COMPUTED_VALUE"""),1.1541484E7)</f>
        <v>11541484</v>
      </c>
      <c r="G1427" s="7" t="str">
        <f>IFERROR(__xludf.DUMMYFUNCTION("""COMPUTED_VALUE"""),"NTPC.NS")</f>
        <v>NTPC.NS</v>
      </c>
      <c r="H1427" s="8">
        <f t="shared" si="1"/>
        <v>-0.008827586207</v>
      </c>
      <c r="I1427" s="8">
        <f t="shared" si="2"/>
        <v>0.008827586207</v>
      </c>
      <c r="J1427" s="7" t="str">
        <f t="shared" si="3"/>
        <v>Apr-2025</v>
      </c>
      <c r="K1427" s="9">
        <f t="shared" si="4"/>
        <v>45748</v>
      </c>
      <c r="L1427" s="7" t="str">
        <f t="shared" si="5"/>
        <v/>
      </c>
      <c r="M1427" s="7" t="str">
        <f>IFERROR(__xludf.DUMMYFUNCTION("IFERROR(
  IF(
    F1427 &gt;
    3*AVERAGE(
       FILTER($F$2:$F10491,
         $G$2:$G10491=G1427,
         $A$2:$A10491&gt;=A1427-20,
         $A$2:$A10491&lt;=A1427
       )
    ),
    ""VOL_SPIKE_3X"",""""
  ),
"""")
"),"")</f>
        <v/>
      </c>
      <c r="N1427" s="7" t="str">
        <f t="shared" si="6"/>
        <v/>
      </c>
      <c r="O1427" s="7" t="str">
        <f t="shared" si="7"/>
        <v/>
      </c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>
      <c r="A1428" s="5">
        <f>IFERROR(__xludf.DUMMYFUNCTION("""COMPUTED_VALUE"""),45763.0)</f>
        <v>45763</v>
      </c>
      <c r="B1428" s="6">
        <f>IFERROR(__xludf.DUMMYFUNCTION("""COMPUTED_VALUE"""),232.69)</f>
        <v>232.69</v>
      </c>
      <c r="C1428" s="6">
        <f>IFERROR(__xludf.DUMMYFUNCTION("""COMPUTED_VALUE"""),242.0)</f>
        <v>242</v>
      </c>
      <c r="D1428" s="6">
        <f>IFERROR(__xludf.DUMMYFUNCTION("""COMPUTED_VALUE"""),231.72)</f>
        <v>231.72</v>
      </c>
      <c r="E1428" s="6">
        <f>IFERROR(__xludf.DUMMYFUNCTION("""COMPUTED_VALUE"""),241.22)</f>
        <v>241.22</v>
      </c>
      <c r="F1428" s="7">
        <f>IFERROR(__xludf.DUMMYFUNCTION("""COMPUTED_VALUE"""),1.8748952E7)</f>
        <v>18748952</v>
      </c>
      <c r="G1428" s="7" t="str">
        <f>IFERROR(__xludf.DUMMYFUNCTION("""COMPUTED_VALUE"""),"ONGC.NS")</f>
        <v>ONGC.NS</v>
      </c>
      <c r="H1428" s="8">
        <f t="shared" si="1"/>
        <v>0.03665821479</v>
      </c>
      <c r="I1428" s="8">
        <f t="shared" si="2"/>
        <v>0.03665821479</v>
      </c>
      <c r="J1428" s="7" t="str">
        <f t="shared" si="3"/>
        <v>Apr-2025</v>
      </c>
      <c r="K1428" s="9">
        <f t="shared" si="4"/>
        <v>45748</v>
      </c>
      <c r="L1428" s="7" t="str">
        <f t="shared" si="5"/>
        <v/>
      </c>
      <c r="M1428" s="7" t="str">
        <f>IFERROR(__xludf.DUMMYFUNCTION("IFERROR(
  IF(
    F1428 &gt;
    3*AVERAGE(
       FILTER($F$2:$F10491,
         $G$2:$G10491=G1428,
         $A$2:$A10491&gt;=A1428-20,
         $A$2:$A10491&lt;=A1428
       )
    ),
    ""VOL_SPIKE_3X"",""""
  ),
"""")
"),"")</f>
        <v/>
      </c>
      <c r="N1428" s="7" t="str">
        <f t="shared" si="6"/>
        <v/>
      </c>
      <c r="O1428" s="7" t="str">
        <f t="shared" si="7"/>
        <v/>
      </c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>
      <c r="A1429" s="5">
        <f>IFERROR(__xludf.DUMMYFUNCTION("""COMPUTED_VALUE"""),45763.0)</f>
        <v>45763</v>
      </c>
      <c r="B1429" s="6">
        <f>IFERROR(__xludf.DUMMYFUNCTION("""COMPUTED_VALUE"""),304.45)</f>
        <v>304.45</v>
      </c>
      <c r="C1429" s="6">
        <f>IFERROR(__xludf.DUMMYFUNCTION("""COMPUTED_VALUE"""),307.0)</f>
        <v>307</v>
      </c>
      <c r="D1429" s="6">
        <f>IFERROR(__xludf.DUMMYFUNCTION("""COMPUTED_VALUE"""),302.8)</f>
        <v>302.8</v>
      </c>
      <c r="E1429" s="6">
        <f>IFERROR(__xludf.DUMMYFUNCTION("""COMPUTED_VALUE"""),305.75)</f>
        <v>305.75</v>
      </c>
      <c r="F1429" s="7">
        <f>IFERROR(__xludf.DUMMYFUNCTION("""COMPUTED_VALUE"""),7032401.0)</f>
        <v>7032401</v>
      </c>
      <c r="G1429" s="7" t="str">
        <f>IFERROR(__xludf.DUMMYFUNCTION("""COMPUTED_VALUE"""),"POWERGRID.NS")</f>
        <v>POWERGRID.NS</v>
      </c>
      <c r="H1429" s="8">
        <f t="shared" si="1"/>
        <v>0.004269995073</v>
      </c>
      <c r="I1429" s="8">
        <f t="shared" si="2"/>
        <v>0.004269995073</v>
      </c>
      <c r="J1429" s="7" t="str">
        <f t="shared" si="3"/>
        <v>Apr-2025</v>
      </c>
      <c r="K1429" s="9">
        <f t="shared" si="4"/>
        <v>45748</v>
      </c>
      <c r="L1429" s="7" t="str">
        <f t="shared" si="5"/>
        <v/>
      </c>
      <c r="M1429" s="7" t="str">
        <f>IFERROR(__xludf.DUMMYFUNCTION("IFERROR(
  IF(
    F1429 &gt;
    3*AVERAGE(
       FILTER($F$2:$F10491,
         $G$2:$G10491=G1429,
         $A$2:$A10491&gt;=A1429-20,
         $A$2:$A10491&lt;=A1429
       )
    ),
    ""VOL_SPIKE_3X"",""""
  ),
"""")
"),"")</f>
        <v/>
      </c>
      <c r="N1429" s="7" t="str">
        <f t="shared" si="6"/>
        <v/>
      </c>
      <c r="O1429" s="7" t="str">
        <f t="shared" si="7"/>
        <v/>
      </c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>
      <c r="A1430" s="5">
        <f>IFERROR(__xludf.DUMMYFUNCTION("""COMPUTED_VALUE"""),45763.0)</f>
        <v>45763</v>
      </c>
      <c r="B1430" s="6">
        <f>IFERROR(__xludf.DUMMYFUNCTION("""COMPUTED_VALUE"""),1234.1)</f>
        <v>1234.1</v>
      </c>
      <c r="C1430" s="6">
        <f>IFERROR(__xludf.DUMMYFUNCTION("""COMPUTED_VALUE"""),1240.9)</f>
        <v>1240.9</v>
      </c>
      <c r="D1430" s="6">
        <f>IFERROR(__xludf.DUMMYFUNCTION("""COMPUTED_VALUE"""),1229.0)</f>
        <v>1229</v>
      </c>
      <c r="E1430" s="6">
        <f>IFERROR(__xludf.DUMMYFUNCTION("""COMPUTED_VALUE"""),1239.3)</f>
        <v>1239.3</v>
      </c>
      <c r="F1430" s="7">
        <f>IFERROR(__xludf.DUMMYFUNCTION("""COMPUTED_VALUE"""),8248464.0)</f>
        <v>8248464</v>
      </c>
      <c r="G1430" s="7" t="str">
        <f>IFERROR(__xludf.DUMMYFUNCTION("""COMPUTED_VALUE"""),"RELIANCE.NS")</f>
        <v>RELIANCE.NS</v>
      </c>
      <c r="H1430" s="8">
        <f t="shared" si="1"/>
        <v>0.004213596953</v>
      </c>
      <c r="I1430" s="8">
        <f t="shared" si="2"/>
        <v>0.004213596953</v>
      </c>
      <c r="J1430" s="7" t="str">
        <f t="shared" si="3"/>
        <v>Apr-2025</v>
      </c>
      <c r="K1430" s="9">
        <f t="shared" si="4"/>
        <v>45748</v>
      </c>
      <c r="L1430" s="7" t="str">
        <f t="shared" si="5"/>
        <v/>
      </c>
      <c r="M1430" s="7" t="str">
        <f>IFERROR(__xludf.DUMMYFUNCTION("IFERROR(
  IF(
    F1430 &gt;
    3*AVERAGE(
       FILTER($F$2:$F10491,
         $G$2:$G10491=G1430,
         $A$2:$A10491&gt;=A1430-20,
         $A$2:$A10491&lt;=A1430
       )
    ),
    ""VOL_SPIKE_3X"",""""
  ),
"""")
"),"")</f>
        <v/>
      </c>
      <c r="N1430" s="7" t="str">
        <f t="shared" si="6"/>
        <v/>
      </c>
      <c r="O1430" s="7" t="str">
        <f t="shared" si="7"/>
        <v/>
      </c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>
      <c r="A1431" s="5">
        <f>IFERROR(__xludf.DUMMYFUNCTION("""COMPUTED_VALUE"""),45764.0)</f>
        <v>45764</v>
      </c>
      <c r="B1431" s="6">
        <f>IFERROR(__xludf.DUMMYFUNCTION("""COMPUTED_VALUE"""),896.05)</f>
        <v>896.05</v>
      </c>
      <c r="C1431" s="6">
        <f>IFERROR(__xludf.DUMMYFUNCTION("""COMPUTED_VALUE"""),937.0)</f>
        <v>937</v>
      </c>
      <c r="D1431" s="6">
        <f>IFERROR(__xludf.DUMMYFUNCTION("""COMPUTED_VALUE"""),891.65)</f>
        <v>891.65</v>
      </c>
      <c r="E1431" s="6">
        <f>IFERROR(__xludf.DUMMYFUNCTION("""COMPUTED_VALUE"""),914.15)</f>
        <v>914.15</v>
      </c>
      <c r="F1431" s="7">
        <f>IFERROR(__xludf.DUMMYFUNCTION("""COMPUTED_VALUE"""),3849304.0)</f>
        <v>3849304</v>
      </c>
      <c r="G1431" s="7" t="str">
        <f>IFERROR(__xludf.DUMMYFUNCTION("""COMPUTED_VALUE"""),"ADANIENSOL.NS")</f>
        <v>ADANIENSOL.NS</v>
      </c>
      <c r="H1431" s="8">
        <f t="shared" si="1"/>
        <v>0.02019976564</v>
      </c>
      <c r="I1431" s="8">
        <f t="shared" si="2"/>
        <v>0.02019976564</v>
      </c>
      <c r="J1431" s="7" t="str">
        <f t="shared" si="3"/>
        <v>Apr-2025</v>
      </c>
      <c r="K1431" s="9">
        <f t="shared" si="4"/>
        <v>45748</v>
      </c>
      <c r="L1431" s="7" t="str">
        <f t="shared" si="5"/>
        <v/>
      </c>
      <c r="M1431" s="7" t="str">
        <f>IFERROR(__xludf.DUMMYFUNCTION("IFERROR(
  IF(
    F1431 &gt;
    3*AVERAGE(
       FILTER($F$2:$F10491,
         $G$2:$G10491=G1431,
         $A$2:$A10491&gt;=A1431-20,
         $A$2:$A10491&lt;=A1431
       )
    ),
    ""VOL_SPIKE_3X"",""""
  ),
"""")
"),"")</f>
        <v/>
      </c>
      <c r="N1431" s="7" t="str">
        <f t="shared" si="6"/>
        <v/>
      </c>
      <c r="O1431" s="7" t="str">
        <f t="shared" si="7"/>
        <v/>
      </c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>
      <c r="A1432" s="5">
        <f>IFERROR(__xludf.DUMMYFUNCTION("""COMPUTED_VALUE"""),45764.0)</f>
        <v>45764</v>
      </c>
      <c r="B1432" s="6">
        <f>IFERROR(__xludf.DUMMYFUNCTION("""COMPUTED_VALUE"""),945.6)</f>
        <v>945.6</v>
      </c>
      <c r="C1432" s="6">
        <f>IFERROR(__xludf.DUMMYFUNCTION("""COMPUTED_VALUE"""),972.0)</f>
        <v>972</v>
      </c>
      <c r="D1432" s="6">
        <f>IFERROR(__xludf.DUMMYFUNCTION("""COMPUTED_VALUE"""),940.0)</f>
        <v>940</v>
      </c>
      <c r="E1432" s="6">
        <f>IFERROR(__xludf.DUMMYFUNCTION("""COMPUTED_VALUE"""),947.15)</f>
        <v>947.15</v>
      </c>
      <c r="F1432" s="7">
        <f>IFERROR(__xludf.DUMMYFUNCTION("""COMPUTED_VALUE"""),2905274.0)</f>
        <v>2905274</v>
      </c>
      <c r="G1432" s="7" t="str">
        <f>IFERROR(__xludf.DUMMYFUNCTION("""COMPUTED_VALUE"""),"ADANIGREEN.NS")</f>
        <v>ADANIGREEN.NS</v>
      </c>
      <c r="H1432" s="8">
        <f t="shared" si="1"/>
        <v>0.001639170897</v>
      </c>
      <c r="I1432" s="8">
        <f t="shared" si="2"/>
        <v>0.001639170897</v>
      </c>
      <c r="J1432" s="7" t="str">
        <f t="shared" si="3"/>
        <v>Apr-2025</v>
      </c>
      <c r="K1432" s="9">
        <f t="shared" si="4"/>
        <v>45748</v>
      </c>
      <c r="L1432" s="7" t="str">
        <f t="shared" si="5"/>
        <v/>
      </c>
      <c r="M1432" s="7" t="str">
        <f>IFERROR(__xludf.DUMMYFUNCTION("IFERROR(
  IF(
    F1432 &gt;
    3*AVERAGE(
       FILTER($F$2:$F10491,
         $G$2:$G10491=G1432,
         $A$2:$A10491&gt;=A1432-20,
         $A$2:$A10491&lt;=A1432
       )
    ),
    ""VOL_SPIKE_3X"",""""
  ),
"""")
"),"")</f>
        <v/>
      </c>
      <c r="N1432" s="7" t="str">
        <f t="shared" si="6"/>
        <v/>
      </c>
      <c r="O1432" s="7" t="str">
        <f t="shared" si="7"/>
        <v/>
      </c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>
      <c r="A1433" s="5">
        <f>IFERROR(__xludf.DUMMYFUNCTION("""COMPUTED_VALUE"""),45764.0)</f>
        <v>45764</v>
      </c>
      <c r="B1433" s="6">
        <f>IFERROR(__xludf.DUMMYFUNCTION("""COMPUTED_VALUE"""),298.0)</f>
        <v>298</v>
      </c>
      <c r="C1433" s="6">
        <f>IFERROR(__xludf.DUMMYFUNCTION("""COMPUTED_VALUE"""),301.75)</f>
        <v>301.75</v>
      </c>
      <c r="D1433" s="6">
        <f>IFERROR(__xludf.DUMMYFUNCTION("""COMPUTED_VALUE"""),295.45)</f>
        <v>295.45</v>
      </c>
      <c r="E1433" s="6">
        <f>IFERROR(__xludf.DUMMYFUNCTION("""COMPUTED_VALUE"""),298.35)</f>
        <v>298.35</v>
      </c>
      <c r="F1433" s="7">
        <f>IFERROR(__xludf.DUMMYFUNCTION("""COMPUTED_VALUE"""),7510897.0)</f>
        <v>7510897</v>
      </c>
      <c r="G1433" s="7" t="str">
        <f>IFERROR(__xludf.DUMMYFUNCTION("""COMPUTED_VALUE"""),"BPCL.NS")</f>
        <v>BPCL.NS</v>
      </c>
      <c r="H1433" s="8">
        <f t="shared" si="1"/>
        <v>0.001174496644</v>
      </c>
      <c r="I1433" s="8">
        <f t="shared" si="2"/>
        <v>0.001174496644</v>
      </c>
      <c r="J1433" s="7" t="str">
        <f t="shared" si="3"/>
        <v>Apr-2025</v>
      </c>
      <c r="K1433" s="9">
        <f t="shared" si="4"/>
        <v>45748</v>
      </c>
      <c r="L1433" s="7" t="str">
        <f t="shared" si="5"/>
        <v/>
      </c>
      <c r="M1433" s="7" t="str">
        <f>IFERROR(__xludf.DUMMYFUNCTION("IFERROR(
  IF(
    F1433 &gt;
    3*AVERAGE(
       FILTER($F$2:$F10491,
         $G$2:$G10491=G1433,
         $A$2:$A10491&gt;=A1433-20,
         $A$2:$A10491&lt;=A1433
       )
    ),
    ""VOL_SPIKE_3X"",""""
  ),
"""")
"),"")</f>
        <v/>
      </c>
      <c r="N1433" s="7" t="str">
        <f t="shared" si="6"/>
        <v/>
      </c>
      <c r="O1433" s="7" t="str">
        <f t="shared" si="7"/>
        <v/>
      </c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>
      <c r="A1434" s="5">
        <f>IFERROR(__xludf.DUMMYFUNCTION("""COMPUTED_VALUE"""),45764.0)</f>
        <v>45764</v>
      </c>
      <c r="B1434" s="6">
        <f>IFERROR(__xludf.DUMMYFUNCTION("""COMPUTED_VALUE"""),396.9)</f>
        <v>396.9</v>
      </c>
      <c r="C1434" s="6">
        <f>IFERROR(__xludf.DUMMYFUNCTION("""COMPUTED_VALUE"""),399.55)</f>
        <v>399.55</v>
      </c>
      <c r="D1434" s="6">
        <f>IFERROR(__xludf.DUMMYFUNCTION("""COMPUTED_VALUE"""),388.3)</f>
        <v>388.3</v>
      </c>
      <c r="E1434" s="6">
        <f>IFERROR(__xludf.DUMMYFUNCTION("""COMPUTED_VALUE"""),398.85)</f>
        <v>398.85</v>
      </c>
      <c r="F1434" s="7">
        <f>IFERROR(__xludf.DUMMYFUNCTION("""COMPUTED_VALUE"""),8364450.0)</f>
        <v>8364450</v>
      </c>
      <c r="G1434" s="7" t="str">
        <f>IFERROR(__xludf.DUMMYFUNCTION("""COMPUTED_VALUE"""),"COALINDIA.NS")</f>
        <v>COALINDIA.NS</v>
      </c>
      <c r="H1434" s="8">
        <f t="shared" si="1"/>
        <v>0.004913076342</v>
      </c>
      <c r="I1434" s="8">
        <f t="shared" si="2"/>
        <v>0.004913076342</v>
      </c>
      <c r="J1434" s="7" t="str">
        <f t="shared" si="3"/>
        <v>Apr-2025</v>
      </c>
      <c r="K1434" s="9">
        <f t="shared" si="4"/>
        <v>45748</v>
      </c>
      <c r="L1434" s="7" t="str">
        <f t="shared" si="5"/>
        <v/>
      </c>
      <c r="M1434" s="7" t="str">
        <f>IFERROR(__xludf.DUMMYFUNCTION("IFERROR(
  IF(
    F1434 &gt;
    3*AVERAGE(
       FILTER($F$2:$F10491,
         $G$2:$G10491=G1434,
         $A$2:$A10491&gt;=A1434-20,
         $A$2:$A10491&lt;=A1434
       )
    ),
    ""VOL_SPIKE_3X"",""""
  ),
"""")
"),"")</f>
        <v/>
      </c>
      <c r="N1434" s="7" t="str">
        <f t="shared" si="6"/>
        <v/>
      </c>
      <c r="O1434" s="7" t="str">
        <f t="shared" si="7"/>
        <v/>
      </c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>
      <c r="A1435" s="5">
        <f>IFERROR(__xludf.DUMMYFUNCTION("""COMPUTED_VALUE"""),45764.0)</f>
        <v>45764</v>
      </c>
      <c r="B1435" s="6">
        <f>IFERROR(__xludf.DUMMYFUNCTION("""COMPUTED_VALUE"""),389.9)</f>
        <v>389.9</v>
      </c>
      <c r="C1435" s="6">
        <f>IFERROR(__xludf.DUMMYFUNCTION("""COMPUTED_VALUE"""),391.3)</f>
        <v>391.3</v>
      </c>
      <c r="D1435" s="6">
        <f>IFERROR(__xludf.DUMMYFUNCTION("""COMPUTED_VALUE"""),385.05)</f>
        <v>385.05</v>
      </c>
      <c r="E1435" s="6">
        <f>IFERROR(__xludf.DUMMYFUNCTION("""COMPUTED_VALUE"""),387.7)</f>
        <v>387.7</v>
      </c>
      <c r="F1435" s="7">
        <f>IFERROR(__xludf.DUMMYFUNCTION("""COMPUTED_VALUE"""),2358710.0)</f>
        <v>2358710</v>
      </c>
      <c r="G1435" s="7" t="str">
        <f>IFERROR(__xludf.DUMMYFUNCTION("""COMPUTED_VALUE"""),"HINDPETRO.NS")</f>
        <v>HINDPETRO.NS</v>
      </c>
      <c r="H1435" s="8">
        <f t="shared" si="1"/>
        <v>-0.005642472429</v>
      </c>
      <c r="I1435" s="8">
        <f t="shared" si="2"/>
        <v>0.005642472429</v>
      </c>
      <c r="J1435" s="7" t="str">
        <f t="shared" si="3"/>
        <v>Apr-2025</v>
      </c>
      <c r="K1435" s="9">
        <f t="shared" si="4"/>
        <v>45748</v>
      </c>
      <c r="L1435" s="7" t="str">
        <f t="shared" si="5"/>
        <v/>
      </c>
      <c r="M1435" s="7" t="str">
        <f>IFERROR(__xludf.DUMMYFUNCTION("IFERROR(
  IF(
    F1435 &gt;
    3*AVERAGE(
       FILTER($F$2:$F10491,
         $G$2:$G10491=G1435,
         $A$2:$A10491&gt;=A1435-20,
         $A$2:$A10491&lt;=A1435
       )
    ),
    ""VOL_SPIKE_3X"",""""
  ),
"""")
"),"")</f>
        <v/>
      </c>
      <c r="N1435" s="7" t="str">
        <f t="shared" si="6"/>
        <v/>
      </c>
      <c r="O1435" s="7" t="str">
        <f t="shared" si="7"/>
        <v/>
      </c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>
      <c r="A1436" s="5">
        <f>IFERROR(__xludf.DUMMYFUNCTION("""COMPUTED_VALUE"""),45764.0)</f>
        <v>45764</v>
      </c>
      <c r="B1436" s="6">
        <f>IFERROR(__xludf.DUMMYFUNCTION("""COMPUTED_VALUE"""),133.5)</f>
        <v>133.5</v>
      </c>
      <c r="C1436" s="6">
        <f>IFERROR(__xludf.DUMMYFUNCTION("""COMPUTED_VALUE"""),134.8)</f>
        <v>134.8</v>
      </c>
      <c r="D1436" s="6">
        <f>IFERROR(__xludf.DUMMYFUNCTION("""COMPUTED_VALUE"""),132.9)</f>
        <v>132.9</v>
      </c>
      <c r="E1436" s="6">
        <f>IFERROR(__xludf.DUMMYFUNCTION("""COMPUTED_VALUE"""),134.3)</f>
        <v>134.3</v>
      </c>
      <c r="F1436" s="7">
        <f>IFERROR(__xludf.DUMMYFUNCTION("""COMPUTED_VALUE"""),1.0404917E7)</f>
        <v>10404917</v>
      </c>
      <c r="G1436" s="7" t="str">
        <f>IFERROR(__xludf.DUMMYFUNCTION("""COMPUTED_VALUE"""),"IOC.NS")</f>
        <v>IOC.NS</v>
      </c>
      <c r="H1436" s="8">
        <f t="shared" si="1"/>
        <v>0.005992509363</v>
      </c>
      <c r="I1436" s="8">
        <f t="shared" si="2"/>
        <v>0.005992509363</v>
      </c>
      <c r="J1436" s="7" t="str">
        <f t="shared" si="3"/>
        <v>Apr-2025</v>
      </c>
      <c r="K1436" s="9">
        <f t="shared" si="4"/>
        <v>45748</v>
      </c>
      <c r="L1436" s="7" t="str">
        <f t="shared" si="5"/>
        <v/>
      </c>
      <c r="M1436" s="7" t="str">
        <f>IFERROR(__xludf.DUMMYFUNCTION("IFERROR(
  IF(
    F1436 &gt;
    3*AVERAGE(
       FILTER($F$2:$F10491,
         $G$2:$G10491=G1436,
         $A$2:$A10491&gt;=A1436-20,
         $A$2:$A10491&lt;=A1436
       )
    ),
    ""VOL_SPIKE_3X"",""""
  ),
"""")
"),"")</f>
        <v/>
      </c>
      <c r="N1436" s="7" t="str">
        <f t="shared" si="6"/>
        <v/>
      </c>
      <c r="O1436" s="7" t="str">
        <f t="shared" si="7"/>
        <v/>
      </c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>
      <c r="A1437" s="5">
        <f>IFERROR(__xludf.DUMMYFUNCTION("""COMPUTED_VALUE"""),45764.0)</f>
        <v>45764</v>
      </c>
      <c r="B1437" s="6">
        <f>IFERROR(__xludf.DUMMYFUNCTION("""COMPUTED_VALUE"""),359.25)</f>
        <v>359.25</v>
      </c>
      <c r="C1437" s="6">
        <f>IFERROR(__xludf.DUMMYFUNCTION("""COMPUTED_VALUE"""),365.45)</f>
        <v>365.45</v>
      </c>
      <c r="D1437" s="6">
        <f>IFERROR(__xludf.DUMMYFUNCTION("""COMPUTED_VALUE"""),357.25)</f>
        <v>357.25</v>
      </c>
      <c r="E1437" s="6">
        <f>IFERROR(__xludf.DUMMYFUNCTION("""COMPUTED_VALUE"""),364.0)</f>
        <v>364</v>
      </c>
      <c r="F1437" s="7">
        <f>IFERROR(__xludf.DUMMYFUNCTION("""COMPUTED_VALUE"""),1.2288196E7)</f>
        <v>12288196</v>
      </c>
      <c r="G1437" s="7" t="str">
        <f>IFERROR(__xludf.DUMMYFUNCTION("""COMPUTED_VALUE"""),"NTPC.NS")</f>
        <v>NTPC.NS</v>
      </c>
      <c r="H1437" s="8">
        <f t="shared" si="1"/>
        <v>0.01322199026</v>
      </c>
      <c r="I1437" s="8">
        <f t="shared" si="2"/>
        <v>0.01322199026</v>
      </c>
      <c r="J1437" s="7" t="str">
        <f t="shared" si="3"/>
        <v>Apr-2025</v>
      </c>
      <c r="K1437" s="9">
        <f t="shared" si="4"/>
        <v>45748</v>
      </c>
      <c r="L1437" s="7" t="str">
        <f t="shared" si="5"/>
        <v/>
      </c>
      <c r="M1437" s="7" t="str">
        <f>IFERROR(__xludf.DUMMYFUNCTION("IFERROR(
  IF(
    F1437 &gt;
    3*AVERAGE(
       FILTER($F$2:$F10491,
         $G$2:$G10491=G1437,
         $A$2:$A10491&gt;=A1437-20,
         $A$2:$A10491&lt;=A1437
       )
    ),
    ""VOL_SPIKE_3X"",""""
  ),
"""")
"),"")</f>
        <v/>
      </c>
      <c r="N1437" s="7" t="str">
        <f t="shared" si="6"/>
        <v/>
      </c>
      <c r="O1437" s="7" t="str">
        <f t="shared" si="7"/>
        <v/>
      </c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>
      <c r="A1438" s="5">
        <f>IFERROR(__xludf.DUMMYFUNCTION("""COMPUTED_VALUE"""),45764.0)</f>
        <v>45764</v>
      </c>
      <c r="B1438" s="6">
        <f>IFERROR(__xludf.DUMMYFUNCTION("""COMPUTED_VALUE"""),241.0)</f>
        <v>241</v>
      </c>
      <c r="C1438" s="6">
        <f>IFERROR(__xludf.DUMMYFUNCTION("""COMPUTED_VALUE"""),244.61)</f>
        <v>244.61</v>
      </c>
      <c r="D1438" s="6">
        <f>IFERROR(__xludf.DUMMYFUNCTION("""COMPUTED_VALUE"""),239.26)</f>
        <v>239.26</v>
      </c>
      <c r="E1438" s="6">
        <f>IFERROR(__xludf.DUMMYFUNCTION("""COMPUTED_VALUE"""),243.49)</f>
        <v>243.49</v>
      </c>
      <c r="F1438" s="7">
        <f>IFERROR(__xludf.DUMMYFUNCTION("""COMPUTED_VALUE"""),1.2891813E7)</f>
        <v>12891813</v>
      </c>
      <c r="G1438" s="7" t="str">
        <f>IFERROR(__xludf.DUMMYFUNCTION("""COMPUTED_VALUE"""),"ONGC.NS")</f>
        <v>ONGC.NS</v>
      </c>
      <c r="H1438" s="8">
        <f t="shared" si="1"/>
        <v>0.01033195021</v>
      </c>
      <c r="I1438" s="8">
        <f t="shared" si="2"/>
        <v>0.01033195021</v>
      </c>
      <c r="J1438" s="7" t="str">
        <f t="shared" si="3"/>
        <v>Apr-2025</v>
      </c>
      <c r="K1438" s="9">
        <f t="shared" si="4"/>
        <v>45748</v>
      </c>
      <c r="L1438" s="7" t="str">
        <f t="shared" si="5"/>
        <v/>
      </c>
      <c r="M1438" s="7" t="str">
        <f>IFERROR(__xludf.DUMMYFUNCTION("IFERROR(
  IF(
    F1438 &gt;
    3*AVERAGE(
       FILTER($F$2:$F10491,
         $G$2:$G10491=G1438,
         $A$2:$A10491&gt;=A1438-20,
         $A$2:$A10491&lt;=A1438
       )
    ),
    ""VOL_SPIKE_3X"",""""
  ),
"""")
"),"")</f>
        <v/>
      </c>
      <c r="N1438" s="7" t="str">
        <f t="shared" si="6"/>
        <v/>
      </c>
      <c r="O1438" s="7" t="str">
        <f t="shared" si="7"/>
        <v/>
      </c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>
      <c r="A1439" s="5">
        <f>IFERROR(__xludf.DUMMYFUNCTION("""COMPUTED_VALUE"""),45764.0)</f>
        <v>45764</v>
      </c>
      <c r="B1439" s="6">
        <f>IFERROR(__xludf.DUMMYFUNCTION("""COMPUTED_VALUE"""),305.45)</f>
        <v>305.45</v>
      </c>
      <c r="C1439" s="6">
        <f>IFERROR(__xludf.DUMMYFUNCTION("""COMPUTED_VALUE"""),309.8)</f>
        <v>309.8</v>
      </c>
      <c r="D1439" s="6">
        <f>IFERROR(__xludf.DUMMYFUNCTION("""COMPUTED_VALUE"""),302.0)</f>
        <v>302</v>
      </c>
      <c r="E1439" s="6">
        <f>IFERROR(__xludf.DUMMYFUNCTION("""COMPUTED_VALUE"""),309.0)</f>
        <v>309</v>
      </c>
      <c r="F1439" s="7">
        <f>IFERROR(__xludf.DUMMYFUNCTION("""COMPUTED_VALUE"""),8528993.0)</f>
        <v>8528993</v>
      </c>
      <c r="G1439" s="7" t="str">
        <f>IFERROR(__xludf.DUMMYFUNCTION("""COMPUTED_VALUE"""),"POWERGRID.NS")</f>
        <v>POWERGRID.NS</v>
      </c>
      <c r="H1439" s="8">
        <f t="shared" si="1"/>
        <v>0.01162219676</v>
      </c>
      <c r="I1439" s="8">
        <f t="shared" si="2"/>
        <v>0.01162219676</v>
      </c>
      <c r="J1439" s="7" t="str">
        <f t="shared" si="3"/>
        <v>Apr-2025</v>
      </c>
      <c r="K1439" s="9">
        <f t="shared" si="4"/>
        <v>45748</v>
      </c>
      <c r="L1439" s="7" t="str">
        <f t="shared" si="5"/>
        <v/>
      </c>
      <c r="M1439" s="7" t="str">
        <f>IFERROR(__xludf.DUMMYFUNCTION("IFERROR(
  IF(
    F1439 &gt;
    3*AVERAGE(
       FILTER($F$2:$F10491,
         $G$2:$G10491=G1439,
         $A$2:$A10491&gt;=A1439-20,
         $A$2:$A10491&lt;=A1439
       )
    ),
    ""VOL_SPIKE_3X"",""""
  ),
"""")
"),"")</f>
        <v/>
      </c>
      <c r="N1439" s="7" t="str">
        <f t="shared" si="6"/>
        <v/>
      </c>
      <c r="O1439" s="7" t="str">
        <f t="shared" si="7"/>
        <v/>
      </c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>
      <c r="A1440" s="5">
        <f>IFERROR(__xludf.DUMMYFUNCTION("""COMPUTED_VALUE"""),45764.0)</f>
        <v>45764</v>
      </c>
      <c r="B1440" s="6">
        <f>IFERROR(__xludf.DUMMYFUNCTION("""COMPUTED_VALUE"""),1240.2)</f>
        <v>1240.2</v>
      </c>
      <c r="C1440" s="6">
        <f>IFERROR(__xludf.DUMMYFUNCTION("""COMPUTED_VALUE"""),1280.2)</f>
        <v>1280.2</v>
      </c>
      <c r="D1440" s="6">
        <f>IFERROR(__xludf.DUMMYFUNCTION("""COMPUTED_VALUE"""),1227.6)</f>
        <v>1227.6</v>
      </c>
      <c r="E1440" s="6">
        <f>IFERROR(__xludf.DUMMYFUNCTION("""COMPUTED_VALUE"""),1274.5)</f>
        <v>1274.5</v>
      </c>
      <c r="F1440" s="7">
        <f>IFERROR(__xludf.DUMMYFUNCTION("""COMPUTED_VALUE"""),1.5398401E7)</f>
        <v>15398401</v>
      </c>
      <c r="G1440" s="7" t="str">
        <f>IFERROR(__xludf.DUMMYFUNCTION("""COMPUTED_VALUE"""),"RELIANCE.NS")</f>
        <v>RELIANCE.NS</v>
      </c>
      <c r="H1440" s="8">
        <f t="shared" si="1"/>
        <v>0.02765682954</v>
      </c>
      <c r="I1440" s="8">
        <f t="shared" si="2"/>
        <v>0.02765682954</v>
      </c>
      <c r="J1440" s="7" t="str">
        <f t="shared" si="3"/>
        <v>Apr-2025</v>
      </c>
      <c r="K1440" s="9">
        <f t="shared" si="4"/>
        <v>45748</v>
      </c>
      <c r="L1440" s="7" t="str">
        <f t="shared" si="5"/>
        <v/>
      </c>
      <c r="M1440" s="7" t="str">
        <f>IFERROR(__xludf.DUMMYFUNCTION("IFERROR(
  IF(
    F1440 &gt;
    3*AVERAGE(
       FILTER($F$2:$F10491,
         $G$2:$G10491=G1440,
         $A$2:$A10491&gt;=A1440-20,
         $A$2:$A10491&lt;=A1440
       )
    ),
    ""VOL_SPIKE_3X"",""""
  ),
"""")
"),"")</f>
        <v/>
      </c>
      <c r="N1440" s="7" t="str">
        <f t="shared" si="6"/>
        <v/>
      </c>
      <c r="O1440" s="7" t="str">
        <f t="shared" si="7"/>
        <v/>
      </c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>
      <c r="A1441" s="5">
        <f>IFERROR(__xludf.DUMMYFUNCTION("""COMPUTED_VALUE"""),45768.0)</f>
        <v>45768</v>
      </c>
      <c r="B1441" s="6">
        <f>IFERROR(__xludf.DUMMYFUNCTION("""COMPUTED_VALUE"""),924.0)</f>
        <v>924</v>
      </c>
      <c r="C1441" s="6">
        <f>IFERROR(__xludf.DUMMYFUNCTION("""COMPUTED_VALUE"""),949.0)</f>
        <v>949</v>
      </c>
      <c r="D1441" s="6">
        <f>IFERROR(__xludf.DUMMYFUNCTION("""COMPUTED_VALUE"""),915.45)</f>
        <v>915.45</v>
      </c>
      <c r="E1441" s="6">
        <f>IFERROR(__xludf.DUMMYFUNCTION("""COMPUTED_VALUE"""),937.5)</f>
        <v>937.5</v>
      </c>
      <c r="F1441" s="7">
        <f>IFERROR(__xludf.DUMMYFUNCTION("""COMPUTED_VALUE"""),2153406.0)</f>
        <v>2153406</v>
      </c>
      <c r="G1441" s="7" t="str">
        <f>IFERROR(__xludf.DUMMYFUNCTION("""COMPUTED_VALUE"""),"ADANIENSOL.NS")</f>
        <v>ADANIENSOL.NS</v>
      </c>
      <c r="H1441" s="8">
        <f t="shared" si="1"/>
        <v>0.01461038961</v>
      </c>
      <c r="I1441" s="8">
        <f t="shared" si="2"/>
        <v>0.01461038961</v>
      </c>
      <c r="J1441" s="7" t="str">
        <f t="shared" si="3"/>
        <v>Apr-2025</v>
      </c>
      <c r="K1441" s="9">
        <f t="shared" si="4"/>
        <v>45748</v>
      </c>
      <c r="L1441" s="7" t="str">
        <f t="shared" si="5"/>
        <v/>
      </c>
      <c r="M1441" s="7" t="str">
        <f>IFERROR(__xludf.DUMMYFUNCTION("IFERROR(
  IF(
    F1441 &gt;
    3*AVERAGE(
       FILTER($F$2:$F10491,
         $G$2:$G10491=G1441,
         $A$2:$A10491&gt;=A1441-20,
         $A$2:$A10491&lt;=A1441
       )
    ),
    ""VOL_SPIKE_3X"",""""
  ),
"""")
"),"")</f>
        <v/>
      </c>
      <c r="N1441" s="7" t="str">
        <f t="shared" si="6"/>
        <v/>
      </c>
      <c r="O1441" s="7" t="str">
        <f t="shared" si="7"/>
        <v/>
      </c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>
      <c r="A1442" s="5">
        <f>IFERROR(__xludf.DUMMYFUNCTION("""COMPUTED_VALUE"""),45768.0)</f>
        <v>45768</v>
      </c>
      <c r="B1442" s="6">
        <f>IFERROR(__xludf.DUMMYFUNCTION("""COMPUTED_VALUE"""),954.7)</f>
        <v>954.7</v>
      </c>
      <c r="C1442" s="6">
        <f>IFERROR(__xludf.DUMMYFUNCTION("""COMPUTED_VALUE"""),966.6)</f>
        <v>966.6</v>
      </c>
      <c r="D1442" s="6">
        <f>IFERROR(__xludf.DUMMYFUNCTION("""COMPUTED_VALUE"""),944.0)</f>
        <v>944</v>
      </c>
      <c r="E1442" s="6">
        <f>IFERROR(__xludf.DUMMYFUNCTION("""COMPUTED_VALUE"""),956.25)</f>
        <v>956.25</v>
      </c>
      <c r="F1442" s="7">
        <f>IFERROR(__xludf.DUMMYFUNCTION("""COMPUTED_VALUE"""),2149379.0)</f>
        <v>2149379</v>
      </c>
      <c r="G1442" s="7" t="str">
        <f>IFERROR(__xludf.DUMMYFUNCTION("""COMPUTED_VALUE"""),"ADANIGREEN.NS")</f>
        <v>ADANIGREEN.NS</v>
      </c>
      <c r="H1442" s="8">
        <f t="shared" si="1"/>
        <v>0.001623546664</v>
      </c>
      <c r="I1442" s="8">
        <f t="shared" si="2"/>
        <v>0.001623546664</v>
      </c>
      <c r="J1442" s="7" t="str">
        <f t="shared" si="3"/>
        <v>Apr-2025</v>
      </c>
      <c r="K1442" s="9">
        <f t="shared" si="4"/>
        <v>45748</v>
      </c>
      <c r="L1442" s="7" t="str">
        <f t="shared" si="5"/>
        <v/>
      </c>
      <c r="M1442" s="7" t="str">
        <f>IFERROR(__xludf.DUMMYFUNCTION("IFERROR(
  IF(
    F1442 &gt;
    3*AVERAGE(
       FILTER($F$2:$F10491,
         $G$2:$G10491=G1442,
         $A$2:$A10491&gt;=A1442-20,
         $A$2:$A10491&lt;=A1442
       )
    ),
    ""VOL_SPIKE_3X"",""""
  ),
"""")
"),"")</f>
        <v/>
      </c>
      <c r="N1442" s="7" t="str">
        <f t="shared" si="6"/>
        <v/>
      </c>
      <c r="O1442" s="7" t="str">
        <f t="shared" si="7"/>
        <v/>
      </c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>
      <c r="A1443" s="5">
        <f>IFERROR(__xludf.DUMMYFUNCTION("""COMPUTED_VALUE"""),45768.0)</f>
        <v>45768</v>
      </c>
      <c r="B1443" s="6">
        <f>IFERROR(__xludf.DUMMYFUNCTION("""COMPUTED_VALUE"""),299.85)</f>
        <v>299.85</v>
      </c>
      <c r="C1443" s="6">
        <f>IFERROR(__xludf.DUMMYFUNCTION("""COMPUTED_VALUE"""),305.55)</f>
        <v>305.55</v>
      </c>
      <c r="D1443" s="6">
        <f>IFERROR(__xludf.DUMMYFUNCTION("""COMPUTED_VALUE"""),298.0)</f>
        <v>298</v>
      </c>
      <c r="E1443" s="6">
        <f>IFERROR(__xludf.DUMMYFUNCTION("""COMPUTED_VALUE"""),304.05)</f>
        <v>304.05</v>
      </c>
      <c r="F1443" s="7">
        <f>IFERROR(__xludf.DUMMYFUNCTION("""COMPUTED_VALUE"""),6455955.0)</f>
        <v>6455955</v>
      </c>
      <c r="G1443" s="7" t="str">
        <f>IFERROR(__xludf.DUMMYFUNCTION("""COMPUTED_VALUE"""),"BPCL.NS")</f>
        <v>BPCL.NS</v>
      </c>
      <c r="H1443" s="8">
        <f t="shared" si="1"/>
        <v>0.0140070035</v>
      </c>
      <c r="I1443" s="8">
        <f t="shared" si="2"/>
        <v>0.0140070035</v>
      </c>
      <c r="J1443" s="7" t="str">
        <f t="shared" si="3"/>
        <v>Apr-2025</v>
      </c>
      <c r="K1443" s="9">
        <f t="shared" si="4"/>
        <v>45748</v>
      </c>
      <c r="L1443" s="7" t="str">
        <f t="shared" si="5"/>
        <v/>
      </c>
      <c r="M1443" s="7" t="str">
        <f>IFERROR(__xludf.DUMMYFUNCTION("IFERROR(
  IF(
    F1443 &gt;
    3*AVERAGE(
       FILTER($F$2:$F10491,
         $G$2:$G10491=G1443,
         $A$2:$A10491&gt;=A1443-20,
         $A$2:$A10491&lt;=A1443
       )
    ),
    ""VOL_SPIKE_3X"",""""
  ),
"""")
"),"")</f>
        <v/>
      </c>
      <c r="N1443" s="7" t="str">
        <f t="shared" si="6"/>
        <v/>
      </c>
      <c r="O1443" s="7" t="str">
        <f t="shared" si="7"/>
        <v/>
      </c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>
      <c r="A1444" s="5">
        <f>IFERROR(__xludf.DUMMYFUNCTION("""COMPUTED_VALUE"""),45768.0)</f>
        <v>45768</v>
      </c>
      <c r="B1444" s="6">
        <f>IFERROR(__xludf.DUMMYFUNCTION("""COMPUTED_VALUE"""),399.25)</f>
        <v>399.25</v>
      </c>
      <c r="C1444" s="6">
        <f>IFERROR(__xludf.DUMMYFUNCTION("""COMPUTED_VALUE"""),406.0)</f>
        <v>406</v>
      </c>
      <c r="D1444" s="6">
        <f>IFERROR(__xludf.DUMMYFUNCTION("""COMPUTED_VALUE"""),395.65)</f>
        <v>395.65</v>
      </c>
      <c r="E1444" s="6">
        <f>IFERROR(__xludf.DUMMYFUNCTION("""COMPUTED_VALUE"""),400.5)</f>
        <v>400.5</v>
      </c>
      <c r="F1444" s="7">
        <f>IFERROR(__xludf.DUMMYFUNCTION("""COMPUTED_VALUE"""),8987570.0)</f>
        <v>8987570</v>
      </c>
      <c r="G1444" s="7" t="str">
        <f>IFERROR(__xludf.DUMMYFUNCTION("""COMPUTED_VALUE"""),"COALINDIA.NS")</f>
        <v>COALINDIA.NS</v>
      </c>
      <c r="H1444" s="8">
        <f t="shared" si="1"/>
        <v>0.003130870382</v>
      </c>
      <c r="I1444" s="8">
        <f t="shared" si="2"/>
        <v>0.003130870382</v>
      </c>
      <c r="J1444" s="7" t="str">
        <f t="shared" si="3"/>
        <v>Apr-2025</v>
      </c>
      <c r="K1444" s="9">
        <f t="shared" si="4"/>
        <v>45748</v>
      </c>
      <c r="L1444" s="7" t="str">
        <f t="shared" si="5"/>
        <v/>
      </c>
      <c r="M1444" s="7" t="str">
        <f>IFERROR(__xludf.DUMMYFUNCTION("IFERROR(
  IF(
    F1444 &gt;
    3*AVERAGE(
       FILTER($F$2:$F10491,
         $G$2:$G10491=G1444,
         $A$2:$A10491&gt;=A1444-20,
         $A$2:$A10491&lt;=A1444
       )
    ),
    ""VOL_SPIKE_3X"",""""
  ),
"""")
"),"")</f>
        <v/>
      </c>
      <c r="N1444" s="7" t="str">
        <f t="shared" si="6"/>
        <v/>
      </c>
      <c r="O1444" s="7" t="str">
        <f t="shared" si="7"/>
        <v/>
      </c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>
      <c r="A1445" s="5">
        <f>IFERROR(__xludf.DUMMYFUNCTION("""COMPUTED_VALUE"""),45768.0)</f>
        <v>45768</v>
      </c>
      <c r="B1445" s="6">
        <f>IFERROR(__xludf.DUMMYFUNCTION("""COMPUTED_VALUE"""),387.7)</f>
        <v>387.7</v>
      </c>
      <c r="C1445" s="6">
        <f>IFERROR(__xludf.DUMMYFUNCTION("""COMPUTED_VALUE"""),399.0)</f>
        <v>399</v>
      </c>
      <c r="D1445" s="6">
        <f>IFERROR(__xludf.DUMMYFUNCTION("""COMPUTED_VALUE"""),384.5)</f>
        <v>384.5</v>
      </c>
      <c r="E1445" s="6">
        <f>IFERROR(__xludf.DUMMYFUNCTION("""COMPUTED_VALUE"""),394.85)</f>
        <v>394.85</v>
      </c>
      <c r="F1445" s="7">
        <f>IFERROR(__xludf.DUMMYFUNCTION("""COMPUTED_VALUE"""),2836553.0)</f>
        <v>2836553</v>
      </c>
      <c r="G1445" s="7" t="str">
        <f>IFERROR(__xludf.DUMMYFUNCTION("""COMPUTED_VALUE"""),"HINDPETRO.NS")</f>
        <v>HINDPETRO.NS</v>
      </c>
      <c r="H1445" s="8">
        <f t="shared" si="1"/>
        <v>0.0184420944</v>
      </c>
      <c r="I1445" s="8">
        <f t="shared" si="2"/>
        <v>0.0184420944</v>
      </c>
      <c r="J1445" s="7" t="str">
        <f t="shared" si="3"/>
        <v>Apr-2025</v>
      </c>
      <c r="K1445" s="9">
        <f t="shared" si="4"/>
        <v>45748</v>
      </c>
      <c r="L1445" s="7" t="str">
        <f t="shared" si="5"/>
        <v/>
      </c>
      <c r="M1445" s="7" t="str">
        <f>IFERROR(__xludf.DUMMYFUNCTION("IFERROR(
  IF(
    F1445 &gt;
    3*AVERAGE(
       FILTER($F$2:$F10491,
         $G$2:$G10491=G1445,
         $A$2:$A10491&gt;=A1445-20,
         $A$2:$A10491&lt;=A1445
       )
    ),
    ""VOL_SPIKE_3X"",""""
  ),
"""")
"),"")</f>
        <v/>
      </c>
      <c r="N1445" s="7" t="str">
        <f t="shared" si="6"/>
        <v/>
      </c>
      <c r="O1445" s="7" t="str">
        <f t="shared" si="7"/>
        <v/>
      </c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>
      <c r="A1446" s="5">
        <f>IFERROR(__xludf.DUMMYFUNCTION("""COMPUTED_VALUE"""),45768.0)</f>
        <v>45768</v>
      </c>
      <c r="B1446" s="6">
        <f>IFERROR(__xludf.DUMMYFUNCTION("""COMPUTED_VALUE"""),135.17)</f>
        <v>135.17</v>
      </c>
      <c r="C1446" s="6">
        <f>IFERROR(__xludf.DUMMYFUNCTION("""COMPUTED_VALUE"""),139.7)</f>
        <v>139.7</v>
      </c>
      <c r="D1446" s="6">
        <f>IFERROR(__xludf.DUMMYFUNCTION("""COMPUTED_VALUE"""),134.31)</f>
        <v>134.31</v>
      </c>
      <c r="E1446" s="6">
        <f>IFERROR(__xludf.DUMMYFUNCTION("""COMPUTED_VALUE"""),138.68)</f>
        <v>138.68</v>
      </c>
      <c r="F1446" s="7">
        <f>IFERROR(__xludf.DUMMYFUNCTION("""COMPUTED_VALUE"""),2.0249817E7)</f>
        <v>20249817</v>
      </c>
      <c r="G1446" s="7" t="str">
        <f>IFERROR(__xludf.DUMMYFUNCTION("""COMPUTED_VALUE"""),"IOC.NS")</f>
        <v>IOC.NS</v>
      </c>
      <c r="H1446" s="8">
        <f t="shared" si="1"/>
        <v>0.02596730044</v>
      </c>
      <c r="I1446" s="8">
        <f t="shared" si="2"/>
        <v>0.02596730044</v>
      </c>
      <c r="J1446" s="7" t="str">
        <f t="shared" si="3"/>
        <v>Apr-2025</v>
      </c>
      <c r="K1446" s="9">
        <f t="shared" si="4"/>
        <v>45748</v>
      </c>
      <c r="L1446" s="7" t="str">
        <f t="shared" si="5"/>
        <v/>
      </c>
      <c r="M1446" s="7" t="str">
        <f>IFERROR(__xludf.DUMMYFUNCTION("IFERROR(
  IF(
    F1446 &gt;
    3*AVERAGE(
       FILTER($F$2:$F10491,
         $G$2:$G10491=G1446,
         $A$2:$A10491&gt;=A1446-20,
         $A$2:$A10491&lt;=A1446
       )
    ),
    ""VOL_SPIKE_3X"",""""
  ),
"""")
"),"")</f>
        <v/>
      </c>
      <c r="N1446" s="7" t="str">
        <f t="shared" si="6"/>
        <v/>
      </c>
      <c r="O1446" s="7" t="str">
        <f t="shared" si="7"/>
        <v/>
      </c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>
      <c r="A1447" s="5">
        <f>IFERROR(__xludf.DUMMYFUNCTION("""COMPUTED_VALUE"""),45768.0)</f>
        <v>45768</v>
      </c>
      <c r="B1447" s="6">
        <f>IFERROR(__xludf.DUMMYFUNCTION("""COMPUTED_VALUE"""),365.8)</f>
        <v>365.8</v>
      </c>
      <c r="C1447" s="6">
        <f>IFERROR(__xludf.DUMMYFUNCTION("""COMPUTED_VALUE"""),368.2)</f>
        <v>368.2</v>
      </c>
      <c r="D1447" s="6">
        <f>IFERROR(__xludf.DUMMYFUNCTION("""COMPUTED_VALUE"""),361.8)</f>
        <v>361.8</v>
      </c>
      <c r="E1447" s="6">
        <f>IFERROR(__xludf.DUMMYFUNCTION("""COMPUTED_VALUE"""),364.55)</f>
        <v>364.55</v>
      </c>
      <c r="F1447" s="7">
        <f>IFERROR(__xludf.DUMMYFUNCTION("""COMPUTED_VALUE"""),7375594.0)</f>
        <v>7375594</v>
      </c>
      <c r="G1447" s="7" t="str">
        <f>IFERROR(__xludf.DUMMYFUNCTION("""COMPUTED_VALUE"""),"NTPC.NS")</f>
        <v>NTPC.NS</v>
      </c>
      <c r="H1447" s="8">
        <f t="shared" si="1"/>
        <v>-0.003417167851</v>
      </c>
      <c r="I1447" s="8">
        <f t="shared" si="2"/>
        <v>0.003417167851</v>
      </c>
      <c r="J1447" s="7" t="str">
        <f t="shared" si="3"/>
        <v>Apr-2025</v>
      </c>
      <c r="K1447" s="9">
        <f t="shared" si="4"/>
        <v>45748</v>
      </c>
      <c r="L1447" s="7" t="str">
        <f t="shared" si="5"/>
        <v/>
      </c>
      <c r="M1447" s="7" t="str">
        <f>IFERROR(__xludf.DUMMYFUNCTION("IFERROR(
  IF(
    F1447 &gt;
    3*AVERAGE(
       FILTER($F$2:$F10491,
         $G$2:$G10491=G1447,
         $A$2:$A10491&gt;=A1447-20,
         $A$2:$A10491&lt;=A1447
       )
    ),
    ""VOL_SPIKE_3X"",""""
  ),
"""")
"),"")</f>
        <v/>
      </c>
      <c r="N1447" s="7" t="str">
        <f t="shared" si="6"/>
        <v/>
      </c>
      <c r="O1447" s="7" t="str">
        <f t="shared" si="7"/>
        <v/>
      </c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>
      <c r="A1448" s="5">
        <f>IFERROR(__xludf.DUMMYFUNCTION("""COMPUTED_VALUE"""),45768.0)</f>
        <v>45768</v>
      </c>
      <c r="B1448" s="6">
        <f>IFERROR(__xludf.DUMMYFUNCTION("""COMPUTED_VALUE"""),244.01)</f>
        <v>244.01</v>
      </c>
      <c r="C1448" s="6">
        <f>IFERROR(__xludf.DUMMYFUNCTION("""COMPUTED_VALUE"""),250.55)</f>
        <v>250.55</v>
      </c>
      <c r="D1448" s="6">
        <f>IFERROR(__xludf.DUMMYFUNCTION("""COMPUTED_VALUE"""),241.75)</f>
        <v>241.75</v>
      </c>
      <c r="E1448" s="6">
        <f>IFERROR(__xludf.DUMMYFUNCTION("""COMPUTED_VALUE"""),249.78)</f>
        <v>249.78</v>
      </c>
      <c r="F1448" s="7">
        <f>IFERROR(__xludf.DUMMYFUNCTION("""COMPUTED_VALUE"""),1.1698653E7)</f>
        <v>11698653</v>
      </c>
      <c r="G1448" s="7" t="str">
        <f>IFERROR(__xludf.DUMMYFUNCTION("""COMPUTED_VALUE"""),"ONGC.NS")</f>
        <v>ONGC.NS</v>
      </c>
      <c r="H1448" s="8">
        <f t="shared" si="1"/>
        <v>0.02364657186</v>
      </c>
      <c r="I1448" s="8">
        <f t="shared" si="2"/>
        <v>0.02364657186</v>
      </c>
      <c r="J1448" s="7" t="str">
        <f t="shared" si="3"/>
        <v>Apr-2025</v>
      </c>
      <c r="K1448" s="9">
        <f t="shared" si="4"/>
        <v>45748</v>
      </c>
      <c r="L1448" s="7" t="str">
        <f t="shared" si="5"/>
        <v/>
      </c>
      <c r="M1448" s="7" t="str">
        <f>IFERROR(__xludf.DUMMYFUNCTION("IFERROR(
  IF(
    F1448 &gt;
    3*AVERAGE(
       FILTER($F$2:$F10491,
         $G$2:$G10491=G1448,
         $A$2:$A10491&gt;=A1448-20,
         $A$2:$A10491&lt;=A1448
       )
    ),
    ""VOL_SPIKE_3X"",""""
  ),
"""")
"),"")</f>
        <v/>
      </c>
      <c r="N1448" s="7" t="str">
        <f t="shared" si="6"/>
        <v/>
      </c>
      <c r="O1448" s="7" t="str">
        <f t="shared" si="7"/>
        <v/>
      </c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>
      <c r="A1449" s="5">
        <f>IFERROR(__xludf.DUMMYFUNCTION("""COMPUTED_VALUE"""),45768.0)</f>
        <v>45768</v>
      </c>
      <c r="B1449" s="6">
        <f>IFERROR(__xludf.DUMMYFUNCTION("""COMPUTED_VALUE"""),310.0)</f>
        <v>310</v>
      </c>
      <c r="C1449" s="6">
        <f>IFERROR(__xludf.DUMMYFUNCTION("""COMPUTED_VALUE"""),322.0)</f>
        <v>322</v>
      </c>
      <c r="D1449" s="6">
        <f>IFERROR(__xludf.DUMMYFUNCTION("""COMPUTED_VALUE"""),308.45)</f>
        <v>308.45</v>
      </c>
      <c r="E1449" s="6">
        <f>IFERROR(__xludf.DUMMYFUNCTION("""COMPUTED_VALUE"""),320.0)</f>
        <v>320</v>
      </c>
      <c r="F1449" s="7">
        <f>IFERROR(__xludf.DUMMYFUNCTION("""COMPUTED_VALUE"""),1.3369014E7)</f>
        <v>13369014</v>
      </c>
      <c r="G1449" s="7" t="str">
        <f>IFERROR(__xludf.DUMMYFUNCTION("""COMPUTED_VALUE"""),"POWERGRID.NS")</f>
        <v>POWERGRID.NS</v>
      </c>
      <c r="H1449" s="8">
        <f t="shared" si="1"/>
        <v>0.03225806452</v>
      </c>
      <c r="I1449" s="8">
        <f t="shared" si="2"/>
        <v>0.03225806452</v>
      </c>
      <c r="J1449" s="7" t="str">
        <f t="shared" si="3"/>
        <v>Apr-2025</v>
      </c>
      <c r="K1449" s="9">
        <f t="shared" si="4"/>
        <v>45748</v>
      </c>
      <c r="L1449" s="7" t="str">
        <f t="shared" si="5"/>
        <v/>
      </c>
      <c r="M1449" s="7" t="str">
        <f>IFERROR(__xludf.DUMMYFUNCTION("IFERROR(
  IF(
    F1449 &gt;
    3*AVERAGE(
       FILTER($F$2:$F10491,
         $G$2:$G10491=G1449,
         $A$2:$A10491&gt;=A1449-20,
         $A$2:$A10491&lt;=A1449
       )
    ),
    ""VOL_SPIKE_3X"",""""
  ),
"""")
"),"")</f>
        <v/>
      </c>
      <c r="N1449" s="7" t="str">
        <f t="shared" si="6"/>
        <v/>
      </c>
      <c r="O1449" s="7" t="str">
        <f t="shared" si="7"/>
        <v/>
      </c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>
      <c r="A1450" s="5">
        <f>IFERROR(__xludf.DUMMYFUNCTION("""COMPUTED_VALUE"""),45768.0)</f>
        <v>45768</v>
      </c>
      <c r="B1450" s="6">
        <f>IFERROR(__xludf.DUMMYFUNCTION("""COMPUTED_VALUE"""),1270.0)</f>
        <v>1270</v>
      </c>
      <c r="C1450" s="6">
        <f>IFERROR(__xludf.DUMMYFUNCTION("""COMPUTED_VALUE"""),1300.9)</f>
        <v>1300.9</v>
      </c>
      <c r="D1450" s="6">
        <f>IFERROR(__xludf.DUMMYFUNCTION("""COMPUTED_VALUE"""),1267.0)</f>
        <v>1267</v>
      </c>
      <c r="E1450" s="6">
        <f>IFERROR(__xludf.DUMMYFUNCTION("""COMPUTED_VALUE"""),1295.5)</f>
        <v>1295.5</v>
      </c>
      <c r="F1450" s="7">
        <f>IFERROR(__xludf.DUMMYFUNCTION("""COMPUTED_VALUE"""),1.0429964E7)</f>
        <v>10429964</v>
      </c>
      <c r="G1450" s="7" t="str">
        <f>IFERROR(__xludf.DUMMYFUNCTION("""COMPUTED_VALUE"""),"RELIANCE.NS")</f>
        <v>RELIANCE.NS</v>
      </c>
      <c r="H1450" s="8">
        <f t="shared" si="1"/>
        <v>0.02007874016</v>
      </c>
      <c r="I1450" s="8">
        <f t="shared" si="2"/>
        <v>0.02007874016</v>
      </c>
      <c r="J1450" s="7" t="str">
        <f t="shared" si="3"/>
        <v>Apr-2025</v>
      </c>
      <c r="K1450" s="9">
        <f t="shared" si="4"/>
        <v>45748</v>
      </c>
      <c r="L1450" s="7" t="str">
        <f t="shared" si="5"/>
        <v/>
      </c>
      <c r="M1450" s="7" t="str">
        <f>IFERROR(__xludf.DUMMYFUNCTION("IFERROR(
  IF(
    F1450 &gt;
    3*AVERAGE(
       FILTER($F$2:$F10491,
         $G$2:$G10491=G1450,
         $A$2:$A10491&gt;=A1450-20,
         $A$2:$A10491&lt;=A1450
       )
    ),
    ""VOL_SPIKE_3X"",""""
  ),
"""")
"),"")</f>
        <v/>
      </c>
      <c r="N1450" s="7" t="str">
        <f t="shared" si="6"/>
        <v/>
      </c>
      <c r="O1450" s="7" t="str">
        <f t="shared" si="7"/>
        <v/>
      </c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>
      <c r="A1451" s="5">
        <f>IFERROR(__xludf.DUMMYFUNCTION("""COMPUTED_VALUE"""),45769.0)</f>
        <v>45769</v>
      </c>
      <c r="B1451" s="6">
        <f>IFERROR(__xludf.DUMMYFUNCTION("""COMPUTED_VALUE"""),941.9)</f>
        <v>941.9</v>
      </c>
      <c r="C1451" s="6">
        <f>IFERROR(__xludf.DUMMYFUNCTION("""COMPUTED_VALUE"""),942.75)</f>
        <v>942.75</v>
      </c>
      <c r="D1451" s="6">
        <f>IFERROR(__xludf.DUMMYFUNCTION("""COMPUTED_VALUE"""),926.0)</f>
        <v>926</v>
      </c>
      <c r="E1451" s="6">
        <f>IFERROR(__xludf.DUMMYFUNCTION("""COMPUTED_VALUE"""),929.6)</f>
        <v>929.6</v>
      </c>
      <c r="F1451" s="7">
        <f>IFERROR(__xludf.DUMMYFUNCTION("""COMPUTED_VALUE"""),1654173.0)</f>
        <v>1654173</v>
      </c>
      <c r="G1451" s="7" t="str">
        <f>IFERROR(__xludf.DUMMYFUNCTION("""COMPUTED_VALUE"""),"ADANIENSOL.NS")</f>
        <v>ADANIENSOL.NS</v>
      </c>
      <c r="H1451" s="8">
        <f t="shared" si="1"/>
        <v>-0.01305871112</v>
      </c>
      <c r="I1451" s="8">
        <f t="shared" si="2"/>
        <v>0.01305871112</v>
      </c>
      <c r="J1451" s="7" t="str">
        <f t="shared" si="3"/>
        <v>Apr-2025</v>
      </c>
      <c r="K1451" s="9">
        <f t="shared" si="4"/>
        <v>45748</v>
      </c>
      <c r="L1451" s="7" t="str">
        <f t="shared" si="5"/>
        <v/>
      </c>
      <c r="M1451" s="7" t="str">
        <f>IFERROR(__xludf.DUMMYFUNCTION("IFERROR(
  IF(
    F1451 &gt;
    3*AVERAGE(
       FILTER($F$2:$F10491,
         $G$2:$G10491=G1451,
         $A$2:$A10491&gt;=A1451-20,
         $A$2:$A10491&lt;=A1451
       )
    ),
    ""VOL_SPIKE_3X"",""""
  ),
"""")
"),"")</f>
        <v/>
      </c>
      <c r="N1451" s="7" t="str">
        <f t="shared" si="6"/>
        <v/>
      </c>
      <c r="O1451" s="7" t="str">
        <f t="shared" si="7"/>
        <v/>
      </c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>
      <c r="A1452" s="5">
        <f>IFERROR(__xludf.DUMMYFUNCTION("""COMPUTED_VALUE"""),45769.0)</f>
        <v>45769</v>
      </c>
      <c r="B1452" s="6">
        <f>IFERROR(__xludf.DUMMYFUNCTION("""COMPUTED_VALUE"""),962.0)</f>
        <v>962</v>
      </c>
      <c r="C1452" s="6">
        <f>IFERROR(__xludf.DUMMYFUNCTION("""COMPUTED_VALUE"""),965.5)</f>
        <v>965.5</v>
      </c>
      <c r="D1452" s="6">
        <f>IFERROR(__xludf.DUMMYFUNCTION("""COMPUTED_VALUE"""),941.55)</f>
        <v>941.55</v>
      </c>
      <c r="E1452" s="6">
        <f>IFERROR(__xludf.DUMMYFUNCTION("""COMPUTED_VALUE"""),943.3)</f>
        <v>943.3</v>
      </c>
      <c r="F1452" s="7">
        <f>IFERROR(__xludf.DUMMYFUNCTION("""COMPUTED_VALUE"""),2283380.0)</f>
        <v>2283380</v>
      </c>
      <c r="G1452" s="7" t="str">
        <f>IFERROR(__xludf.DUMMYFUNCTION("""COMPUTED_VALUE"""),"ADANIGREEN.NS")</f>
        <v>ADANIGREEN.NS</v>
      </c>
      <c r="H1452" s="8">
        <f t="shared" si="1"/>
        <v>-0.01943866944</v>
      </c>
      <c r="I1452" s="8">
        <f t="shared" si="2"/>
        <v>0.01943866944</v>
      </c>
      <c r="J1452" s="7" t="str">
        <f t="shared" si="3"/>
        <v>Apr-2025</v>
      </c>
      <c r="K1452" s="9">
        <f t="shared" si="4"/>
        <v>45748</v>
      </c>
      <c r="L1452" s="7" t="str">
        <f t="shared" si="5"/>
        <v/>
      </c>
      <c r="M1452" s="7" t="str">
        <f>IFERROR(__xludf.DUMMYFUNCTION("IFERROR(
  IF(
    F1452 &gt;
    3*AVERAGE(
       FILTER($F$2:$F10491,
         $G$2:$G10491=G1452,
         $A$2:$A10491&gt;=A1452-20,
         $A$2:$A10491&lt;=A1452
       )
    ),
    ""VOL_SPIKE_3X"",""""
  ),
"""")
"),"")</f>
        <v/>
      </c>
      <c r="N1452" s="7" t="str">
        <f t="shared" si="6"/>
        <v/>
      </c>
      <c r="O1452" s="7" t="str">
        <f t="shared" si="7"/>
        <v/>
      </c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>
      <c r="A1453" s="5">
        <f>IFERROR(__xludf.DUMMYFUNCTION("""COMPUTED_VALUE"""),45769.0)</f>
        <v>45769</v>
      </c>
      <c r="B1453" s="6">
        <f>IFERROR(__xludf.DUMMYFUNCTION("""COMPUTED_VALUE"""),305.0)</f>
        <v>305</v>
      </c>
      <c r="C1453" s="6">
        <f>IFERROR(__xludf.DUMMYFUNCTION("""COMPUTED_VALUE"""),308.5)</f>
        <v>308.5</v>
      </c>
      <c r="D1453" s="6">
        <f>IFERROR(__xludf.DUMMYFUNCTION("""COMPUTED_VALUE"""),302.65)</f>
        <v>302.65</v>
      </c>
      <c r="E1453" s="6">
        <f>IFERROR(__xludf.DUMMYFUNCTION("""COMPUTED_VALUE"""),306.1)</f>
        <v>306.1</v>
      </c>
      <c r="F1453" s="7">
        <f>IFERROR(__xludf.DUMMYFUNCTION("""COMPUTED_VALUE"""),7096150.0)</f>
        <v>7096150</v>
      </c>
      <c r="G1453" s="7" t="str">
        <f>IFERROR(__xludf.DUMMYFUNCTION("""COMPUTED_VALUE"""),"BPCL.NS")</f>
        <v>BPCL.NS</v>
      </c>
      <c r="H1453" s="8">
        <f t="shared" si="1"/>
        <v>0.003606557377</v>
      </c>
      <c r="I1453" s="8">
        <f t="shared" si="2"/>
        <v>0.003606557377</v>
      </c>
      <c r="J1453" s="7" t="str">
        <f t="shared" si="3"/>
        <v>Apr-2025</v>
      </c>
      <c r="K1453" s="9">
        <f t="shared" si="4"/>
        <v>45748</v>
      </c>
      <c r="L1453" s="7" t="str">
        <f t="shared" si="5"/>
        <v/>
      </c>
      <c r="M1453" s="7" t="str">
        <f>IFERROR(__xludf.DUMMYFUNCTION("IFERROR(
  IF(
    F1453 &gt;
    3*AVERAGE(
       FILTER($F$2:$F10491,
         $G$2:$G10491=G1453,
         $A$2:$A10491&gt;=A1453-20,
         $A$2:$A10491&lt;=A1453
       )
    ),
    ""VOL_SPIKE_3X"",""""
  ),
"""")
"),"")</f>
        <v/>
      </c>
      <c r="N1453" s="7" t="str">
        <f t="shared" si="6"/>
        <v/>
      </c>
      <c r="O1453" s="7" t="str">
        <f t="shared" si="7"/>
        <v/>
      </c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>
      <c r="A1454" s="5">
        <f>IFERROR(__xludf.DUMMYFUNCTION("""COMPUTED_VALUE"""),45769.0)</f>
        <v>45769</v>
      </c>
      <c r="B1454" s="6">
        <f>IFERROR(__xludf.DUMMYFUNCTION("""COMPUTED_VALUE"""),403.5)</f>
        <v>403.5</v>
      </c>
      <c r="C1454" s="6">
        <f>IFERROR(__xludf.DUMMYFUNCTION("""COMPUTED_VALUE"""),405.8)</f>
        <v>405.8</v>
      </c>
      <c r="D1454" s="6">
        <f>IFERROR(__xludf.DUMMYFUNCTION("""COMPUTED_VALUE"""),394.3)</f>
        <v>394.3</v>
      </c>
      <c r="E1454" s="6">
        <f>IFERROR(__xludf.DUMMYFUNCTION("""COMPUTED_VALUE"""),398.6)</f>
        <v>398.6</v>
      </c>
      <c r="F1454" s="7">
        <f>IFERROR(__xludf.DUMMYFUNCTION("""COMPUTED_VALUE"""),7558174.0)</f>
        <v>7558174</v>
      </c>
      <c r="G1454" s="7" t="str">
        <f>IFERROR(__xludf.DUMMYFUNCTION("""COMPUTED_VALUE"""),"COALINDIA.NS")</f>
        <v>COALINDIA.NS</v>
      </c>
      <c r="H1454" s="8">
        <f t="shared" si="1"/>
        <v>-0.01214374226</v>
      </c>
      <c r="I1454" s="8">
        <f t="shared" si="2"/>
        <v>0.01214374226</v>
      </c>
      <c r="J1454" s="7" t="str">
        <f t="shared" si="3"/>
        <v>Apr-2025</v>
      </c>
      <c r="K1454" s="9">
        <f t="shared" si="4"/>
        <v>45748</v>
      </c>
      <c r="L1454" s="7" t="str">
        <f t="shared" si="5"/>
        <v/>
      </c>
      <c r="M1454" s="7" t="str">
        <f>IFERROR(__xludf.DUMMYFUNCTION("IFERROR(
  IF(
    F1454 &gt;
    3*AVERAGE(
       FILTER($F$2:$F10491,
         $G$2:$G10491=G1454,
         $A$2:$A10491&gt;=A1454-20,
         $A$2:$A10491&lt;=A1454
       )
    ),
    ""VOL_SPIKE_3X"",""""
  ),
"""")
"),"")</f>
        <v/>
      </c>
      <c r="N1454" s="7" t="str">
        <f t="shared" si="6"/>
        <v/>
      </c>
      <c r="O1454" s="7" t="str">
        <f t="shared" si="7"/>
        <v/>
      </c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>
      <c r="A1455" s="5">
        <f>IFERROR(__xludf.DUMMYFUNCTION("""COMPUTED_VALUE"""),45769.0)</f>
        <v>45769</v>
      </c>
      <c r="B1455" s="6">
        <f>IFERROR(__xludf.DUMMYFUNCTION("""COMPUTED_VALUE"""),395.9)</f>
        <v>395.9</v>
      </c>
      <c r="C1455" s="6">
        <f>IFERROR(__xludf.DUMMYFUNCTION("""COMPUTED_VALUE"""),402.25)</f>
        <v>402.25</v>
      </c>
      <c r="D1455" s="6">
        <f>IFERROR(__xludf.DUMMYFUNCTION("""COMPUTED_VALUE"""),393.0)</f>
        <v>393</v>
      </c>
      <c r="E1455" s="6">
        <f>IFERROR(__xludf.DUMMYFUNCTION("""COMPUTED_VALUE"""),398.45)</f>
        <v>398.45</v>
      </c>
      <c r="F1455" s="7">
        <f>IFERROR(__xludf.DUMMYFUNCTION("""COMPUTED_VALUE"""),5630844.0)</f>
        <v>5630844</v>
      </c>
      <c r="G1455" s="7" t="str">
        <f>IFERROR(__xludf.DUMMYFUNCTION("""COMPUTED_VALUE"""),"HINDPETRO.NS")</f>
        <v>HINDPETRO.NS</v>
      </c>
      <c r="H1455" s="8">
        <f t="shared" si="1"/>
        <v>0.00644102046</v>
      </c>
      <c r="I1455" s="8">
        <f t="shared" si="2"/>
        <v>0.00644102046</v>
      </c>
      <c r="J1455" s="7" t="str">
        <f t="shared" si="3"/>
        <v>Apr-2025</v>
      </c>
      <c r="K1455" s="9">
        <f t="shared" si="4"/>
        <v>45748</v>
      </c>
      <c r="L1455" s="7" t="str">
        <f t="shared" si="5"/>
        <v/>
      </c>
      <c r="M1455" s="7" t="str">
        <f>IFERROR(__xludf.DUMMYFUNCTION("IFERROR(
  IF(
    F1455 &gt;
    3*AVERAGE(
       FILTER($F$2:$F10491,
         $G$2:$G10491=G1455,
         $A$2:$A10491&gt;=A1455-20,
         $A$2:$A10491&lt;=A1455
       )
    ),
    ""VOL_SPIKE_3X"",""""
  ),
"""")
"),"")</f>
        <v/>
      </c>
      <c r="N1455" s="7" t="str">
        <f t="shared" si="6"/>
        <v/>
      </c>
      <c r="O1455" s="7" t="str">
        <f t="shared" si="7"/>
        <v/>
      </c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>
      <c r="A1456" s="5">
        <f>IFERROR(__xludf.DUMMYFUNCTION("""COMPUTED_VALUE"""),45769.0)</f>
        <v>45769</v>
      </c>
      <c r="B1456" s="6">
        <f>IFERROR(__xludf.DUMMYFUNCTION("""COMPUTED_VALUE"""),139.15)</f>
        <v>139.15</v>
      </c>
      <c r="C1456" s="6">
        <f>IFERROR(__xludf.DUMMYFUNCTION("""COMPUTED_VALUE"""),139.43)</f>
        <v>139.43</v>
      </c>
      <c r="D1456" s="6">
        <f>IFERROR(__xludf.DUMMYFUNCTION("""COMPUTED_VALUE"""),137.2)</f>
        <v>137.2</v>
      </c>
      <c r="E1456" s="6">
        <f>IFERROR(__xludf.DUMMYFUNCTION("""COMPUTED_VALUE"""),138.31)</f>
        <v>138.31</v>
      </c>
      <c r="F1456" s="7">
        <f>IFERROR(__xludf.DUMMYFUNCTION("""COMPUTED_VALUE"""),1.2648948E7)</f>
        <v>12648948</v>
      </c>
      <c r="G1456" s="7" t="str">
        <f>IFERROR(__xludf.DUMMYFUNCTION("""COMPUTED_VALUE"""),"IOC.NS")</f>
        <v>IOC.NS</v>
      </c>
      <c r="H1456" s="8">
        <f t="shared" si="1"/>
        <v>-0.006036651096</v>
      </c>
      <c r="I1456" s="8">
        <f t="shared" si="2"/>
        <v>0.006036651096</v>
      </c>
      <c r="J1456" s="7" t="str">
        <f t="shared" si="3"/>
        <v>Apr-2025</v>
      </c>
      <c r="K1456" s="9">
        <f t="shared" si="4"/>
        <v>45748</v>
      </c>
      <c r="L1456" s="7" t="str">
        <f t="shared" si="5"/>
        <v/>
      </c>
      <c r="M1456" s="7" t="str">
        <f>IFERROR(__xludf.DUMMYFUNCTION("IFERROR(
  IF(
    F1456 &gt;
    3*AVERAGE(
       FILTER($F$2:$F10491,
         $G$2:$G10491=G1456,
         $A$2:$A10491&gt;=A1456-20,
         $A$2:$A10491&lt;=A1456
       )
    ),
    ""VOL_SPIKE_3X"",""""
  ),
"""")
"),"")</f>
        <v/>
      </c>
      <c r="N1456" s="7" t="str">
        <f t="shared" si="6"/>
        <v/>
      </c>
      <c r="O1456" s="7" t="str">
        <f t="shared" si="7"/>
        <v/>
      </c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>
      <c r="A1457" s="5">
        <f>IFERROR(__xludf.DUMMYFUNCTION("""COMPUTED_VALUE"""),45769.0)</f>
        <v>45769</v>
      </c>
      <c r="B1457" s="6">
        <f>IFERROR(__xludf.DUMMYFUNCTION("""COMPUTED_VALUE"""),367.05)</f>
        <v>367.05</v>
      </c>
      <c r="C1457" s="6">
        <f>IFERROR(__xludf.DUMMYFUNCTION("""COMPUTED_VALUE"""),367.05)</f>
        <v>367.05</v>
      </c>
      <c r="D1457" s="6">
        <f>IFERROR(__xludf.DUMMYFUNCTION("""COMPUTED_VALUE"""),359.7)</f>
        <v>359.7</v>
      </c>
      <c r="E1457" s="6">
        <f>IFERROR(__xludf.DUMMYFUNCTION("""COMPUTED_VALUE"""),360.25)</f>
        <v>360.25</v>
      </c>
      <c r="F1457" s="7">
        <f>IFERROR(__xludf.DUMMYFUNCTION("""COMPUTED_VALUE"""),1.2077119E7)</f>
        <v>12077119</v>
      </c>
      <c r="G1457" s="7" t="str">
        <f>IFERROR(__xludf.DUMMYFUNCTION("""COMPUTED_VALUE"""),"NTPC.NS")</f>
        <v>NTPC.NS</v>
      </c>
      <c r="H1457" s="8">
        <f t="shared" si="1"/>
        <v>-0.01852608636</v>
      </c>
      <c r="I1457" s="8">
        <f t="shared" si="2"/>
        <v>0.01852608636</v>
      </c>
      <c r="J1457" s="7" t="str">
        <f t="shared" si="3"/>
        <v>Apr-2025</v>
      </c>
      <c r="K1457" s="9">
        <f t="shared" si="4"/>
        <v>45748</v>
      </c>
      <c r="L1457" s="7" t="str">
        <f t="shared" si="5"/>
        <v/>
      </c>
      <c r="M1457" s="7" t="str">
        <f>IFERROR(__xludf.DUMMYFUNCTION("IFERROR(
  IF(
    F1457 &gt;
    3*AVERAGE(
       FILTER($F$2:$F10491,
         $G$2:$G10491=G1457,
         $A$2:$A10491&gt;=A1457-20,
         $A$2:$A10491&lt;=A1457
       )
    ),
    ""VOL_SPIKE_3X"",""""
  ),
"""")
"),"")</f>
        <v/>
      </c>
      <c r="N1457" s="7" t="str">
        <f t="shared" si="6"/>
        <v/>
      </c>
      <c r="O1457" s="7" t="str">
        <f t="shared" si="7"/>
        <v/>
      </c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>
      <c r="A1458" s="5">
        <f>IFERROR(__xludf.DUMMYFUNCTION("""COMPUTED_VALUE"""),45769.0)</f>
        <v>45769</v>
      </c>
      <c r="B1458" s="6">
        <f>IFERROR(__xludf.DUMMYFUNCTION("""COMPUTED_VALUE"""),248.97)</f>
        <v>248.97</v>
      </c>
      <c r="C1458" s="6">
        <f>IFERROR(__xludf.DUMMYFUNCTION("""COMPUTED_VALUE"""),250.6)</f>
        <v>250.6</v>
      </c>
      <c r="D1458" s="6">
        <f>IFERROR(__xludf.DUMMYFUNCTION("""COMPUTED_VALUE"""),247.26)</f>
        <v>247.26</v>
      </c>
      <c r="E1458" s="6">
        <f>IFERROR(__xludf.DUMMYFUNCTION("""COMPUTED_VALUE"""),247.78)</f>
        <v>247.78</v>
      </c>
      <c r="F1458" s="7">
        <f>IFERROR(__xludf.DUMMYFUNCTION("""COMPUTED_VALUE"""),9896443.0)</f>
        <v>9896443</v>
      </c>
      <c r="G1458" s="7" t="str">
        <f>IFERROR(__xludf.DUMMYFUNCTION("""COMPUTED_VALUE"""),"ONGC.NS")</f>
        <v>ONGC.NS</v>
      </c>
      <c r="H1458" s="8">
        <f t="shared" si="1"/>
        <v>-0.004779692332</v>
      </c>
      <c r="I1458" s="8">
        <f t="shared" si="2"/>
        <v>0.004779692332</v>
      </c>
      <c r="J1458" s="7" t="str">
        <f t="shared" si="3"/>
        <v>Apr-2025</v>
      </c>
      <c r="K1458" s="9">
        <f t="shared" si="4"/>
        <v>45748</v>
      </c>
      <c r="L1458" s="7" t="str">
        <f t="shared" si="5"/>
        <v/>
      </c>
      <c r="M1458" s="7" t="str">
        <f>IFERROR(__xludf.DUMMYFUNCTION("IFERROR(
  IF(
    F1458 &gt;
    3*AVERAGE(
       FILTER($F$2:$F10491,
         $G$2:$G10491=G1458,
         $A$2:$A10491&gt;=A1458-20,
         $A$2:$A10491&lt;=A1458
       )
    ),
    ""VOL_SPIKE_3X"",""""
  ),
"""")
"),"")</f>
        <v/>
      </c>
      <c r="N1458" s="7" t="str">
        <f t="shared" si="6"/>
        <v/>
      </c>
      <c r="O1458" s="7" t="str">
        <f t="shared" si="7"/>
        <v/>
      </c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>
      <c r="A1459" s="5">
        <f>IFERROR(__xludf.DUMMYFUNCTION("""COMPUTED_VALUE"""),45769.0)</f>
        <v>45769</v>
      </c>
      <c r="B1459" s="6">
        <f>IFERROR(__xludf.DUMMYFUNCTION("""COMPUTED_VALUE"""),319.75)</f>
        <v>319.75</v>
      </c>
      <c r="C1459" s="6">
        <f>IFERROR(__xludf.DUMMYFUNCTION("""COMPUTED_VALUE"""),319.75)</f>
        <v>319.75</v>
      </c>
      <c r="D1459" s="6">
        <f>IFERROR(__xludf.DUMMYFUNCTION("""COMPUTED_VALUE"""),312.1)</f>
        <v>312.1</v>
      </c>
      <c r="E1459" s="6">
        <f>IFERROR(__xludf.DUMMYFUNCTION("""COMPUTED_VALUE"""),312.55)</f>
        <v>312.55</v>
      </c>
      <c r="F1459" s="7">
        <f>IFERROR(__xludf.DUMMYFUNCTION("""COMPUTED_VALUE"""),1.0027332E7)</f>
        <v>10027332</v>
      </c>
      <c r="G1459" s="7" t="str">
        <f>IFERROR(__xludf.DUMMYFUNCTION("""COMPUTED_VALUE"""),"POWERGRID.NS")</f>
        <v>POWERGRID.NS</v>
      </c>
      <c r="H1459" s="8">
        <f t="shared" si="1"/>
        <v>-0.02251759187</v>
      </c>
      <c r="I1459" s="8">
        <f t="shared" si="2"/>
        <v>0.02251759187</v>
      </c>
      <c r="J1459" s="7" t="str">
        <f t="shared" si="3"/>
        <v>Apr-2025</v>
      </c>
      <c r="K1459" s="9">
        <f t="shared" si="4"/>
        <v>45748</v>
      </c>
      <c r="L1459" s="7" t="str">
        <f t="shared" si="5"/>
        <v/>
      </c>
      <c r="M1459" s="7" t="str">
        <f>IFERROR(__xludf.DUMMYFUNCTION("IFERROR(
  IF(
    F1459 &gt;
    3*AVERAGE(
       FILTER($F$2:$F10491,
         $G$2:$G10491=G1459,
         $A$2:$A10491&gt;=A1459-20,
         $A$2:$A10491&lt;=A1459
       )
    ),
    ""VOL_SPIKE_3X"",""""
  ),
"""")
"),"")</f>
        <v/>
      </c>
      <c r="N1459" s="7" t="str">
        <f t="shared" si="6"/>
        <v/>
      </c>
      <c r="O1459" s="7" t="str">
        <f t="shared" si="7"/>
        <v/>
      </c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>
      <c r="A1460" s="5">
        <f>IFERROR(__xludf.DUMMYFUNCTION("""COMPUTED_VALUE"""),45769.0)</f>
        <v>45769</v>
      </c>
      <c r="B1460" s="6">
        <f>IFERROR(__xludf.DUMMYFUNCTION("""COMPUTED_VALUE"""),1300.0)</f>
        <v>1300</v>
      </c>
      <c r="C1460" s="6">
        <f>IFERROR(__xludf.DUMMYFUNCTION("""COMPUTED_VALUE"""),1303.9)</f>
        <v>1303.9</v>
      </c>
      <c r="D1460" s="6">
        <f>IFERROR(__xludf.DUMMYFUNCTION("""COMPUTED_VALUE"""),1286.3)</f>
        <v>1286.3</v>
      </c>
      <c r="E1460" s="6">
        <f>IFERROR(__xludf.DUMMYFUNCTION("""COMPUTED_VALUE"""),1291.2)</f>
        <v>1291.2</v>
      </c>
      <c r="F1460" s="7">
        <f>IFERROR(__xludf.DUMMYFUNCTION("""COMPUTED_VALUE"""),1.3051707E7)</f>
        <v>13051707</v>
      </c>
      <c r="G1460" s="7" t="str">
        <f>IFERROR(__xludf.DUMMYFUNCTION("""COMPUTED_VALUE"""),"RELIANCE.NS")</f>
        <v>RELIANCE.NS</v>
      </c>
      <c r="H1460" s="8">
        <f t="shared" si="1"/>
        <v>-0.006769230769</v>
      </c>
      <c r="I1460" s="8">
        <f t="shared" si="2"/>
        <v>0.006769230769</v>
      </c>
      <c r="J1460" s="7" t="str">
        <f t="shared" si="3"/>
        <v>Apr-2025</v>
      </c>
      <c r="K1460" s="9">
        <f t="shared" si="4"/>
        <v>45748</v>
      </c>
      <c r="L1460" s="7" t="str">
        <f t="shared" si="5"/>
        <v/>
      </c>
      <c r="M1460" s="7" t="str">
        <f>IFERROR(__xludf.DUMMYFUNCTION("IFERROR(
  IF(
    F1460 &gt;
    3*AVERAGE(
       FILTER($F$2:$F10491,
         $G$2:$G10491=G1460,
         $A$2:$A10491&gt;=A1460-20,
         $A$2:$A10491&lt;=A1460
       )
    ),
    ""VOL_SPIKE_3X"",""""
  ),
"""")
"),"")</f>
        <v/>
      </c>
      <c r="N1460" s="7" t="str">
        <f t="shared" si="6"/>
        <v/>
      </c>
      <c r="O1460" s="7" t="str">
        <f t="shared" si="7"/>
        <v/>
      </c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>
      <c r="A1461" s="5">
        <f>IFERROR(__xludf.DUMMYFUNCTION("""COMPUTED_VALUE"""),45770.0)</f>
        <v>45770</v>
      </c>
      <c r="B1461" s="6">
        <f>IFERROR(__xludf.DUMMYFUNCTION("""COMPUTED_VALUE"""),935.7)</f>
        <v>935.7</v>
      </c>
      <c r="C1461" s="6">
        <f>IFERROR(__xludf.DUMMYFUNCTION("""COMPUTED_VALUE"""),942.15)</f>
        <v>942.15</v>
      </c>
      <c r="D1461" s="6">
        <f>IFERROR(__xludf.DUMMYFUNCTION("""COMPUTED_VALUE"""),901.6)</f>
        <v>901.6</v>
      </c>
      <c r="E1461" s="6">
        <f>IFERROR(__xludf.DUMMYFUNCTION("""COMPUTED_VALUE"""),938.8)</f>
        <v>938.8</v>
      </c>
      <c r="F1461" s="7">
        <f>IFERROR(__xludf.DUMMYFUNCTION("""COMPUTED_VALUE"""),2500136.0)</f>
        <v>2500136</v>
      </c>
      <c r="G1461" s="7" t="str">
        <f>IFERROR(__xludf.DUMMYFUNCTION("""COMPUTED_VALUE"""),"ADANIENSOL.NS")</f>
        <v>ADANIENSOL.NS</v>
      </c>
      <c r="H1461" s="8">
        <f t="shared" si="1"/>
        <v>0.00331302768</v>
      </c>
      <c r="I1461" s="8">
        <f t="shared" si="2"/>
        <v>0.00331302768</v>
      </c>
      <c r="J1461" s="7" t="str">
        <f t="shared" si="3"/>
        <v>Apr-2025</v>
      </c>
      <c r="K1461" s="9">
        <f t="shared" si="4"/>
        <v>45748</v>
      </c>
      <c r="L1461" s="7" t="str">
        <f t="shared" si="5"/>
        <v/>
      </c>
      <c r="M1461" s="7" t="str">
        <f>IFERROR(__xludf.DUMMYFUNCTION("IFERROR(
  IF(
    F1461 &gt;
    3*AVERAGE(
       FILTER($F$2:$F10491,
         $G$2:$G10491=G1461,
         $A$2:$A10491&gt;=A1461-20,
         $A$2:$A10491&lt;=A1461
       )
    ),
    ""VOL_SPIKE_3X"",""""
  ),
"""")
"),"")</f>
        <v/>
      </c>
      <c r="N1461" s="7" t="str">
        <f t="shared" si="6"/>
        <v/>
      </c>
      <c r="O1461" s="7" t="str">
        <f t="shared" si="7"/>
        <v/>
      </c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>
      <c r="A1462" s="5">
        <f>IFERROR(__xludf.DUMMYFUNCTION("""COMPUTED_VALUE"""),45770.0)</f>
        <v>45770</v>
      </c>
      <c r="B1462" s="6">
        <f>IFERROR(__xludf.DUMMYFUNCTION("""COMPUTED_VALUE"""),950.0)</f>
        <v>950</v>
      </c>
      <c r="C1462" s="6">
        <f>IFERROR(__xludf.DUMMYFUNCTION("""COMPUTED_VALUE"""),956.9)</f>
        <v>956.9</v>
      </c>
      <c r="D1462" s="6">
        <f>IFERROR(__xludf.DUMMYFUNCTION("""COMPUTED_VALUE"""),926.0)</f>
        <v>926</v>
      </c>
      <c r="E1462" s="6">
        <f>IFERROR(__xludf.DUMMYFUNCTION("""COMPUTED_VALUE"""),952.5)</f>
        <v>952.5</v>
      </c>
      <c r="F1462" s="7">
        <f>IFERROR(__xludf.DUMMYFUNCTION("""COMPUTED_VALUE"""),2614789.0)</f>
        <v>2614789</v>
      </c>
      <c r="G1462" s="7" t="str">
        <f>IFERROR(__xludf.DUMMYFUNCTION("""COMPUTED_VALUE"""),"ADANIGREEN.NS")</f>
        <v>ADANIGREEN.NS</v>
      </c>
      <c r="H1462" s="8">
        <f t="shared" si="1"/>
        <v>0.002631578947</v>
      </c>
      <c r="I1462" s="8">
        <f t="shared" si="2"/>
        <v>0.002631578947</v>
      </c>
      <c r="J1462" s="7" t="str">
        <f t="shared" si="3"/>
        <v>Apr-2025</v>
      </c>
      <c r="K1462" s="9">
        <f t="shared" si="4"/>
        <v>45748</v>
      </c>
      <c r="L1462" s="7" t="str">
        <f t="shared" si="5"/>
        <v/>
      </c>
      <c r="M1462" s="7" t="str">
        <f>IFERROR(__xludf.DUMMYFUNCTION("IFERROR(
  IF(
    F1462 &gt;
    3*AVERAGE(
       FILTER($F$2:$F10491,
         $G$2:$G10491=G1462,
         $A$2:$A10491&gt;=A1462-20,
         $A$2:$A10491&lt;=A1462
       )
    ),
    ""VOL_SPIKE_3X"",""""
  ),
"""")
"),"")</f>
        <v/>
      </c>
      <c r="N1462" s="7" t="str">
        <f t="shared" si="6"/>
        <v/>
      </c>
      <c r="O1462" s="7" t="str">
        <f t="shared" si="7"/>
        <v/>
      </c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>
      <c r="A1463" s="5">
        <f>IFERROR(__xludf.DUMMYFUNCTION("""COMPUTED_VALUE"""),45770.0)</f>
        <v>45770</v>
      </c>
      <c r="B1463" s="6">
        <f>IFERROR(__xludf.DUMMYFUNCTION("""COMPUTED_VALUE"""),306.1)</f>
        <v>306.1</v>
      </c>
      <c r="C1463" s="6">
        <f>IFERROR(__xludf.DUMMYFUNCTION("""COMPUTED_VALUE"""),306.65)</f>
        <v>306.65</v>
      </c>
      <c r="D1463" s="6">
        <f>IFERROR(__xludf.DUMMYFUNCTION("""COMPUTED_VALUE"""),298.3)</f>
        <v>298.3</v>
      </c>
      <c r="E1463" s="6">
        <f>IFERROR(__xludf.DUMMYFUNCTION("""COMPUTED_VALUE"""),300.45)</f>
        <v>300.45</v>
      </c>
      <c r="F1463" s="7">
        <f>IFERROR(__xludf.DUMMYFUNCTION("""COMPUTED_VALUE"""),7400827.0)</f>
        <v>7400827</v>
      </c>
      <c r="G1463" s="7" t="str">
        <f>IFERROR(__xludf.DUMMYFUNCTION("""COMPUTED_VALUE"""),"BPCL.NS")</f>
        <v>BPCL.NS</v>
      </c>
      <c r="H1463" s="8">
        <f t="shared" si="1"/>
        <v>-0.01845802025</v>
      </c>
      <c r="I1463" s="8">
        <f t="shared" si="2"/>
        <v>0.01845802025</v>
      </c>
      <c r="J1463" s="7" t="str">
        <f t="shared" si="3"/>
        <v>Apr-2025</v>
      </c>
      <c r="K1463" s="9">
        <f t="shared" si="4"/>
        <v>45748</v>
      </c>
      <c r="L1463" s="7" t="str">
        <f t="shared" si="5"/>
        <v/>
      </c>
      <c r="M1463" s="7" t="str">
        <f>IFERROR(__xludf.DUMMYFUNCTION("IFERROR(
  IF(
    F1463 &gt;
    3*AVERAGE(
       FILTER($F$2:$F10491,
         $G$2:$G10491=G1463,
         $A$2:$A10491&gt;=A1463-20,
         $A$2:$A10491&lt;=A1463
       )
    ),
    ""VOL_SPIKE_3X"",""""
  ),
"""")
"),"")</f>
        <v/>
      </c>
      <c r="N1463" s="7" t="str">
        <f t="shared" si="6"/>
        <v/>
      </c>
      <c r="O1463" s="7" t="str">
        <f t="shared" si="7"/>
        <v/>
      </c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>
      <c r="A1464" s="5">
        <f>IFERROR(__xludf.DUMMYFUNCTION("""COMPUTED_VALUE"""),45770.0)</f>
        <v>45770</v>
      </c>
      <c r="B1464" s="6">
        <f>IFERROR(__xludf.DUMMYFUNCTION("""COMPUTED_VALUE"""),400.0)</f>
        <v>400</v>
      </c>
      <c r="C1464" s="6">
        <f>IFERROR(__xludf.DUMMYFUNCTION("""COMPUTED_VALUE"""),401.6)</f>
        <v>401.6</v>
      </c>
      <c r="D1464" s="6">
        <f>IFERROR(__xludf.DUMMYFUNCTION("""COMPUTED_VALUE"""),394.0)</f>
        <v>394</v>
      </c>
      <c r="E1464" s="6">
        <f>IFERROR(__xludf.DUMMYFUNCTION("""COMPUTED_VALUE"""),398.95)</f>
        <v>398.95</v>
      </c>
      <c r="F1464" s="7">
        <f>IFERROR(__xludf.DUMMYFUNCTION("""COMPUTED_VALUE"""),7429142.0)</f>
        <v>7429142</v>
      </c>
      <c r="G1464" s="7" t="str">
        <f>IFERROR(__xludf.DUMMYFUNCTION("""COMPUTED_VALUE"""),"COALINDIA.NS")</f>
        <v>COALINDIA.NS</v>
      </c>
      <c r="H1464" s="8">
        <f t="shared" si="1"/>
        <v>-0.002625</v>
      </c>
      <c r="I1464" s="8">
        <f t="shared" si="2"/>
        <v>0.002625</v>
      </c>
      <c r="J1464" s="7" t="str">
        <f t="shared" si="3"/>
        <v>Apr-2025</v>
      </c>
      <c r="K1464" s="9">
        <f t="shared" si="4"/>
        <v>45748</v>
      </c>
      <c r="L1464" s="7" t="str">
        <f t="shared" si="5"/>
        <v/>
      </c>
      <c r="M1464" s="7" t="str">
        <f>IFERROR(__xludf.DUMMYFUNCTION("IFERROR(
  IF(
    F1464 &gt;
    3*AVERAGE(
       FILTER($F$2:$F10491,
         $G$2:$G10491=G1464,
         $A$2:$A10491&gt;=A1464-20,
         $A$2:$A10491&lt;=A1464
       )
    ),
    ""VOL_SPIKE_3X"",""""
  ),
"""")
"),"")</f>
        <v/>
      </c>
      <c r="N1464" s="7" t="str">
        <f t="shared" si="6"/>
        <v/>
      </c>
      <c r="O1464" s="7" t="str">
        <f t="shared" si="7"/>
        <v/>
      </c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>
      <c r="A1465" s="5">
        <f>IFERROR(__xludf.DUMMYFUNCTION("""COMPUTED_VALUE"""),45770.0)</f>
        <v>45770</v>
      </c>
      <c r="B1465" s="6">
        <f>IFERROR(__xludf.DUMMYFUNCTION("""COMPUTED_VALUE"""),398.5)</f>
        <v>398.5</v>
      </c>
      <c r="C1465" s="6">
        <f>IFERROR(__xludf.DUMMYFUNCTION("""COMPUTED_VALUE"""),399.2)</f>
        <v>399.2</v>
      </c>
      <c r="D1465" s="6">
        <f>IFERROR(__xludf.DUMMYFUNCTION("""COMPUTED_VALUE"""),383.85)</f>
        <v>383.85</v>
      </c>
      <c r="E1465" s="6">
        <f>IFERROR(__xludf.DUMMYFUNCTION("""COMPUTED_VALUE"""),388.8)</f>
        <v>388.8</v>
      </c>
      <c r="F1465" s="7">
        <f>IFERROR(__xludf.DUMMYFUNCTION("""COMPUTED_VALUE"""),4742867.0)</f>
        <v>4742867</v>
      </c>
      <c r="G1465" s="7" t="str">
        <f>IFERROR(__xludf.DUMMYFUNCTION("""COMPUTED_VALUE"""),"HINDPETRO.NS")</f>
        <v>HINDPETRO.NS</v>
      </c>
      <c r="H1465" s="8">
        <f t="shared" si="1"/>
        <v>-0.0243412798</v>
      </c>
      <c r="I1465" s="8">
        <f t="shared" si="2"/>
        <v>0.0243412798</v>
      </c>
      <c r="J1465" s="7" t="str">
        <f t="shared" si="3"/>
        <v>Apr-2025</v>
      </c>
      <c r="K1465" s="9">
        <f t="shared" si="4"/>
        <v>45748</v>
      </c>
      <c r="L1465" s="7" t="str">
        <f t="shared" si="5"/>
        <v/>
      </c>
      <c r="M1465" s="7" t="str">
        <f>IFERROR(__xludf.DUMMYFUNCTION("IFERROR(
  IF(
    F1465 &gt;
    3*AVERAGE(
       FILTER($F$2:$F10491,
         $G$2:$G10491=G1465,
         $A$2:$A10491&gt;=A1465-20,
         $A$2:$A10491&lt;=A1465
       )
    ),
    ""VOL_SPIKE_3X"",""""
  ),
"""")
"),"")</f>
        <v/>
      </c>
      <c r="N1465" s="7" t="str">
        <f t="shared" si="6"/>
        <v/>
      </c>
      <c r="O1465" s="7" t="str">
        <f t="shared" si="7"/>
        <v/>
      </c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>
      <c r="A1466" s="5">
        <f>IFERROR(__xludf.DUMMYFUNCTION("""COMPUTED_VALUE"""),45770.0)</f>
        <v>45770</v>
      </c>
      <c r="B1466" s="6">
        <f>IFERROR(__xludf.DUMMYFUNCTION("""COMPUTED_VALUE"""),138.95)</f>
        <v>138.95</v>
      </c>
      <c r="C1466" s="6">
        <f>IFERROR(__xludf.DUMMYFUNCTION("""COMPUTED_VALUE"""),139.18)</f>
        <v>139.18</v>
      </c>
      <c r="D1466" s="6">
        <f>IFERROR(__xludf.DUMMYFUNCTION("""COMPUTED_VALUE"""),135.77)</f>
        <v>135.77</v>
      </c>
      <c r="E1466" s="6">
        <f>IFERROR(__xludf.DUMMYFUNCTION("""COMPUTED_VALUE"""),137.65)</f>
        <v>137.65</v>
      </c>
      <c r="F1466" s="7">
        <f>IFERROR(__xludf.DUMMYFUNCTION("""COMPUTED_VALUE"""),1.2689457E7)</f>
        <v>12689457</v>
      </c>
      <c r="G1466" s="7" t="str">
        <f>IFERROR(__xludf.DUMMYFUNCTION("""COMPUTED_VALUE"""),"IOC.NS")</f>
        <v>IOC.NS</v>
      </c>
      <c r="H1466" s="8">
        <f t="shared" si="1"/>
        <v>-0.009355883411</v>
      </c>
      <c r="I1466" s="8">
        <f t="shared" si="2"/>
        <v>0.009355883411</v>
      </c>
      <c r="J1466" s="7" t="str">
        <f t="shared" si="3"/>
        <v>Apr-2025</v>
      </c>
      <c r="K1466" s="9">
        <f t="shared" si="4"/>
        <v>45748</v>
      </c>
      <c r="L1466" s="7" t="str">
        <f t="shared" si="5"/>
        <v/>
      </c>
      <c r="M1466" s="7" t="str">
        <f>IFERROR(__xludf.DUMMYFUNCTION("IFERROR(
  IF(
    F1466 &gt;
    3*AVERAGE(
       FILTER($F$2:$F10491,
         $G$2:$G10491=G1466,
         $A$2:$A10491&gt;=A1466-20,
         $A$2:$A10491&lt;=A1466
       )
    ),
    ""VOL_SPIKE_3X"",""""
  ),
"""")
"),"")</f>
        <v/>
      </c>
      <c r="N1466" s="7" t="str">
        <f t="shared" si="6"/>
        <v/>
      </c>
      <c r="O1466" s="7" t="str">
        <f t="shared" si="7"/>
        <v/>
      </c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>
      <c r="A1467" s="5">
        <f>IFERROR(__xludf.DUMMYFUNCTION("""COMPUTED_VALUE"""),45770.0)</f>
        <v>45770</v>
      </c>
      <c r="B1467" s="6">
        <f>IFERROR(__xludf.DUMMYFUNCTION("""COMPUTED_VALUE"""),362.95)</f>
        <v>362.95</v>
      </c>
      <c r="C1467" s="6">
        <f>IFERROR(__xludf.DUMMYFUNCTION("""COMPUTED_VALUE"""),364.25)</f>
        <v>364.25</v>
      </c>
      <c r="D1467" s="6">
        <f>IFERROR(__xludf.DUMMYFUNCTION("""COMPUTED_VALUE"""),357.9)</f>
        <v>357.9</v>
      </c>
      <c r="E1467" s="6">
        <f>IFERROR(__xludf.DUMMYFUNCTION("""COMPUTED_VALUE"""),363.8)</f>
        <v>363.8</v>
      </c>
      <c r="F1467" s="7">
        <f>IFERROR(__xludf.DUMMYFUNCTION("""COMPUTED_VALUE"""),9719205.0)</f>
        <v>9719205</v>
      </c>
      <c r="G1467" s="7" t="str">
        <f>IFERROR(__xludf.DUMMYFUNCTION("""COMPUTED_VALUE"""),"NTPC.NS")</f>
        <v>NTPC.NS</v>
      </c>
      <c r="H1467" s="8">
        <f t="shared" si="1"/>
        <v>0.002341920375</v>
      </c>
      <c r="I1467" s="8">
        <f t="shared" si="2"/>
        <v>0.002341920375</v>
      </c>
      <c r="J1467" s="7" t="str">
        <f t="shared" si="3"/>
        <v>Apr-2025</v>
      </c>
      <c r="K1467" s="9">
        <f t="shared" si="4"/>
        <v>45748</v>
      </c>
      <c r="L1467" s="7" t="str">
        <f t="shared" si="5"/>
        <v/>
      </c>
      <c r="M1467" s="7" t="str">
        <f>IFERROR(__xludf.DUMMYFUNCTION("IFERROR(
  IF(
    F1467 &gt;
    3*AVERAGE(
       FILTER($F$2:$F10491,
         $G$2:$G10491=G1467,
         $A$2:$A10491&gt;=A1467-20,
         $A$2:$A10491&lt;=A1467
       )
    ),
    ""VOL_SPIKE_3X"",""""
  ),
"""")
"),"")</f>
        <v/>
      </c>
      <c r="N1467" s="7" t="str">
        <f t="shared" si="6"/>
        <v/>
      </c>
      <c r="O1467" s="7" t="str">
        <f t="shared" si="7"/>
        <v/>
      </c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>
      <c r="A1468" s="5">
        <f>IFERROR(__xludf.DUMMYFUNCTION("""COMPUTED_VALUE"""),45770.0)</f>
        <v>45770</v>
      </c>
      <c r="B1468" s="6">
        <f>IFERROR(__xludf.DUMMYFUNCTION("""COMPUTED_VALUE"""),248.74)</f>
        <v>248.74</v>
      </c>
      <c r="C1468" s="6">
        <f>IFERROR(__xludf.DUMMYFUNCTION("""COMPUTED_VALUE"""),252.75)</f>
        <v>252.75</v>
      </c>
      <c r="D1468" s="6">
        <f>IFERROR(__xludf.DUMMYFUNCTION("""COMPUTED_VALUE"""),244.92)</f>
        <v>244.92</v>
      </c>
      <c r="E1468" s="6">
        <f>IFERROR(__xludf.DUMMYFUNCTION("""COMPUTED_VALUE"""),252.17)</f>
        <v>252.17</v>
      </c>
      <c r="F1468" s="7">
        <f>IFERROR(__xludf.DUMMYFUNCTION("""COMPUTED_VALUE"""),1.6555874E7)</f>
        <v>16555874</v>
      </c>
      <c r="G1468" s="7" t="str">
        <f>IFERROR(__xludf.DUMMYFUNCTION("""COMPUTED_VALUE"""),"ONGC.NS")</f>
        <v>ONGC.NS</v>
      </c>
      <c r="H1468" s="8">
        <f t="shared" si="1"/>
        <v>0.01378949908</v>
      </c>
      <c r="I1468" s="8">
        <f t="shared" si="2"/>
        <v>0.01378949908</v>
      </c>
      <c r="J1468" s="7" t="str">
        <f t="shared" si="3"/>
        <v>Apr-2025</v>
      </c>
      <c r="K1468" s="9">
        <f t="shared" si="4"/>
        <v>45748</v>
      </c>
      <c r="L1468" s="7" t="str">
        <f t="shared" si="5"/>
        <v/>
      </c>
      <c r="M1468" s="7" t="str">
        <f>IFERROR(__xludf.DUMMYFUNCTION("IFERROR(
  IF(
    F1468 &gt;
    3*AVERAGE(
       FILTER($F$2:$F10491,
         $G$2:$G10491=G1468,
         $A$2:$A10491&gt;=A1468-20,
         $A$2:$A10491&lt;=A1468
       )
    ),
    ""VOL_SPIKE_3X"",""""
  ),
"""")
"),"")</f>
        <v/>
      </c>
      <c r="N1468" s="7" t="str">
        <f t="shared" si="6"/>
        <v/>
      </c>
      <c r="O1468" s="7" t="str">
        <f t="shared" si="7"/>
        <v/>
      </c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>
      <c r="A1469" s="5">
        <f>IFERROR(__xludf.DUMMYFUNCTION("""COMPUTED_VALUE"""),45770.0)</f>
        <v>45770</v>
      </c>
      <c r="B1469" s="6">
        <f>IFERROR(__xludf.DUMMYFUNCTION("""COMPUTED_VALUE"""),314.15)</f>
        <v>314.15</v>
      </c>
      <c r="C1469" s="6">
        <f>IFERROR(__xludf.DUMMYFUNCTION("""COMPUTED_VALUE"""),316.1)</f>
        <v>316.1</v>
      </c>
      <c r="D1469" s="6">
        <f>IFERROR(__xludf.DUMMYFUNCTION("""COMPUTED_VALUE"""),309.45)</f>
        <v>309.45</v>
      </c>
      <c r="E1469" s="6">
        <f>IFERROR(__xludf.DUMMYFUNCTION("""COMPUTED_VALUE"""),314.95)</f>
        <v>314.95</v>
      </c>
      <c r="F1469" s="7">
        <f>IFERROR(__xludf.DUMMYFUNCTION("""COMPUTED_VALUE"""),8225575.0)</f>
        <v>8225575</v>
      </c>
      <c r="G1469" s="7" t="str">
        <f>IFERROR(__xludf.DUMMYFUNCTION("""COMPUTED_VALUE"""),"POWERGRID.NS")</f>
        <v>POWERGRID.NS</v>
      </c>
      <c r="H1469" s="8">
        <f t="shared" si="1"/>
        <v>0.002546554194</v>
      </c>
      <c r="I1469" s="8">
        <f t="shared" si="2"/>
        <v>0.002546554194</v>
      </c>
      <c r="J1469" s="7" t="str">
        <f t="shared" si="3"/>
        <v>Apr-2025</v>
      </c>
      <c r="K1469" s="9">
        <f t="shared" si="4"/>
        <v>45748</v>
      </c>
      <c r="L1469" s="7" t="str">
        <f t="shared" si="5"/>
        <v/>
      </c>
      <c r="M1469" s="7" t="str">
        <f>IFERROR(__xludf.DUMMYFUNCTION("IFERROR(
  IF(
    F1469 &gt;
    3*AVERAGE(
       FILTER($F$2:$F10491,
         $G$2:$G10491=G1469,
         $A$2:$A10491&gt;=A1469-20,
         $A$2:$A10491&lt;=A1469
       )
    ),
    ""VOL_SPIKE_3X"",""""
  ),
"""")
"),"")</f>
        <v/>
      </c>
      <c r="N1469" s="7" t="str">
        <f t="shared" si="6"/>
        <v/>
      </c>
      <c r="O1469" s="7" t="str">
        <f t="shared" si="7"/>
        <v/>
      </c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>
      <c r="A1470" s="5">
        <f>IFERROR(__xludf.DUMMYFUNCTION("""COMPUTED_VALUE"""),45770.0)</f>
        <v>45770</v>
      </c>
      <c r="B1470" s="6">
        <f>IFERROR(__xludf.DUMMYFUNCTION("""COMPUTED_VALUE"""),1297.0)</f>
        <v>1297</v>
      </c>
      <c r="C1470" s="6">
        <f>IFERROR(__xludf.DUMMYFUNCTION("""COMPUTED_VALUE"""),1306.0)</f>
        <v>1306</v>
      </c>
      <c r="D1470" s="6">
        <f>IFERROR(__xludf.DUMMYFUNCTION("""COMPUTED_VALUE"""),1285.4)</f>
        <v>1285.4</v>
      </c>
      <c r="E1470" s="6">
        <f>IFERROR(__xludf.DUMMYFUNCTION("""COMPUTED_VALUE"""),1300.0)</f>
        <v>1300</v>
      </c>
      <c r="F1470" s="7">
        <f>IFERROR(__xludf.DUMMYFUNCTION("""COMPUTED_VALUE"""),1.0480888E7)</f>
        <v>10480888</v>
      </c>
      <c r="G1470" s="7" t="str">
        <f>IFERROR(__xludf.DUMMYFUNCTION("""COMPUTED_VALUE"""),"RELIANCE.NS")</f>
        <v>RELIANCE.NS</v>
      </c>
      <c r="H1470" s="8">
        <f t="shared" si="1"/>
        <v>0.002313030069</v>
      </c>
      <c r="I1470" s="8">
        <f t="shared" si="2"/>
        <v>0.002313030069</v>
      </c>
      <c r="J1470" s="7" t="str">
        <f t="shared" si="3"/>
        <v>Apr-2025</v>
      </c>
      <c r="K1470" s="9">
        <f t="shared" si="4"/>
        <v>45748</v>
      </c>
      <c r="L1470" s="7" t="str">
        <f t="shared" si="5"/>
        <v/>
      </c>
      <c r="M1470" s="7" t="str">
        <f>IFERROR(__xludf.DUMMYFUNCTION("IFERROR(
  IF(
    F1470 &gt;
    3*AVERAGE(
       FILTER($F$2:$F10491,
         $G$2:$G10491=G1470,
         $A$2:$A10491&gt;=A1470-20,
         $A$2:$A10491&lt;=A1470
       )
    ),
    ""VOL_SPIKE_3X"",""""
  ),
"""")
"),"")</f>
        <v/>
      </c>
      <c r="N1470" s="7" t="str">
        <f t="shared" si="6"/>
        <v/>
      </c>
      <c r="O1470" s="7" t="str">
        <f t="shared" si="7"/>
        <v/>
      </c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>
      <c r="A1471" s="5">
        <f>IFERROR(__xludf.DUMMYFUNCTION("""COMPUTED_VALUE"""),45771.0)</f>
        <v>45771</v>
      </c>
      <c r="B1471" s="6">
        <f>IFERROR(__xludf.DUMMYFUNCTION("""COMPUTED_VALUE"""),940.0)</f>
        <v>940</v>
      </c>
      <c r="C1471" s="6">
        <f>IFERROR(__xludf.DUMMYFUNCTION("""COMPUTED_VALUE"""),971.7)</f>
        <v>971.7</v>
      </c>
      <c r="D1471" s="6">
        <f>IFERROR(__xludf.DUMMYFUNCTION("""COMPUTED_VALUE"""),935.0)</f>
        <v>935</v>
      </c>
      <c r="E1471" s="6">
        <f>IFERROR(__xludf.DUMMYFUNCTION("""COMPUTED_VALUE"""),961.7)</f>
        <v>961.7</v>
      </c>
      <c r="F1471" s="7">
        <f>IFERROR(__xludf.DUMMYFUNCTION("""COMPUTED_VALUE"""),3695638.0)</f>
        <v>3695638</v>
      </c>
      <c r="G1471" s="7" t="str">
        <f>IFERROR(__xludf.DUMMYFUNCTION("""COMPUTED_VALUE"""),"ADANIENSOL.NS")</f>
        <v>ADANIENSOL.NS</v>
      </c>
      <c r="H1471" s="8">
        <f t="shared" si="1"/>
        <v>0.02308510638</v>
      </c>
      <c r="I1471" s="8">
        <f t="shared" si="2"/>
        <v>0.02308510638</v>
      </c>
      <c r="J1471" s="7" t="str">
        <f t="shared" si="3"/>
        <v>Apr-2025</v>
      </c>
      <c r="K1471" s="9">
        <f t="shared" si="4"/>
        <v>45748</v>
      </c>
      <c r="L1471" s="7" t="str">
        <f t="shared" si="5"/>
        <v/>
      </c>
      <c r="M1471" s="7" t="str">
        <f>IFERROR(__xludf.DUMMYFUNCTION("IFERROR(
  IF(
    F1471 &gt;
    3*AVERAGE(
       FILTER($F$2:$F10491,
         $G$2:$G10491=G1471,
         $A$2:$A10491&gt;=A1471-20,
         $A$2:$A10491&lt;=A1471
       )
    ),
    ""VOL_SPIKE_3X"",""""
  ),
"""")
"),"")</f>
        <v/>
      </c>
      <c r="N1471" s="7" t="str">
        <f t="shared" si="6"/>
        <v/>
      </c>
      <c r="O1471" s="7" t="str">
        <f t="shared" si="7"/>
        <v/>
      </c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>
      <c r="A1472" s="5">
        <f>IFERROR(__xludf.DUMMYFUNCTION("""COMPUTED_VALUE"""),45771.0)</f>
        <v>45771</v>
      </c>
      <c r="B1472" s="6">
        <f>IFERROR(__xludf.DUMMYFUNCTION("""COMPUTED_VALUE"""),956.9)</f>
        <v>956.9</v>
      </c>
      <c r="C1472" s="6">
        <f>IFERROR(__xludf.DUMMYFUNCTION("""COMPUTED_VALUE"""),974.0)</f>
        <v>974</v>
      </c>
      <c r="D1472" s="6">
        <f>IFERROR(__xludf.DUMMYFUNCTION("""COMPUTED_VALUE"""),948.75)</f>
        <v>948.75</v>
      </c>
      <c r="E1472" s="6">
        <f>IFERROR(__xludf.DUMMYFUNCTION("""COMPUTED_VALUE"""),968.95)</f>
        <v>968.95</v>
      </c>
      <c r="F1472" s="7">
        <f>IFERROR(__xludf.DUMMYFUNCTION("""COMPUTED_VALUE"""),3604578.0)</f>
        <v>3604578</v>
      </c>
      <c r="G1472" s="7" t="str">
        <f>IFERROR(__xludf.DUMMYFUNCTION("""COMPUTED_VALUE"""),"ADANIGREEN.NS")</f>
        <v>ADANIGREEN.NS</v>
      </c>
      <c r="H1472" s="8">
        <f t="shared" si="1"/>
        <v>0.01259274741</v>
      </c>
      <c r="I1472" s="8">
        <f t="shared" si="2"/>
        <v>0.01259274741</v>
      </c>
      <c r="J1472" s="7" t="str">
        <f t="shared" si="3"/>
        <v>Apr-2025</v>
      </c>
      <c r="K1472" s="9">
        <f t="shared" si="4"/>
        <v>45748</v>
      </c>
      <c r="L1472" s="7" t="str">
        <f t="shared" si="5"/>
        <v/>
      </c>
      <c r="M1472" s="7" t="str">
        <f>IFERROR(__xludf.DUMMYFUNCTION("IFERROR(
  IF(
    F1472 &gt;
    3*AVERAGE(
       FILTER($F$2:$F10491,
         $G$2:$G10491=G1472,
         $A$2:$A10491&gt;=A1472-20,
         $A$2:$A10491&lt;=A1472
       )
    ),
    ""VOL_SPIKE_3X"",""""
  ),
"""")
"),"")</f>
        <v/>
      </c>
      <c r="N1472" s="7" t="str">
        <f t="shared" si="6"/>
        <v/>
      </c>
      <c r="O1472" s="7" t="str">
        <f t="shared" si="7"/>
        <v/>
      </c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>
      <c r="A1473" s="5">
        <f>IFERROR(__xludf.DUMMYFUNCTION("""COMPUTED_VALUE"""),45771.0)</f>
        <v>45771</v>
      </c>
      <c r="B1473" s="6">
        <f>IFERROR(__xludf.DUMMYFUNCTION("""COMPUTED_VALUE"""),302.95)</f>
        <v>302.95</v>
      </c>
      <c r="C1473" s="6">
        <f>IFERROR(__xludf.DUMMYFUNCTION("""COMPUTED_VALUE"""),305.5)</f>
        <v>305.5</v>
      </c>
      <c r="D1473" s="6">
        <f>IFERROR(__xludf.DUMMYFUNCTION("""COMPUTED_VALUE"""),300.3)</f>
        <v>300.3</v>
      </c>
      <c r="E1473" s="6">
        <f>IFERROR(__xludf.DUMMYFUNCTION("""COMPUTED_VALUE"""),302.0)</f>
        <v>302</v>
      </c>
      <c r="F1473" s="7">
        <f>IFERROR(__xludf.DUMMYFUNCTION("""COMPUTED_VALUE"""),5773985.0)</f>
        <v>5773985</v>
      </c>
      <c r="G1473" s="7" t="str">
        <f>IFERROR(__xludf.DUMMYFUNCTION("""COMPUTED_VALUE"""),"BPCL.NS")</f>
        <v>BPCL.NS</v>
      </c>
      <c r="H1473" s="8">
        <f t="shared" si="1"/>
        <v>-0.003135830995</v>
      </c>
      <c r="I1473" s="8">
        <f t="shared" si="2"/>
        <v>0.003135830995</v>
      </c>
      <c r="J1473" s="7" t="str">
        <f t="shared" si="3"/>
        <v>Apr-2025</v>
      </c>
      <c r="K1473" s="9">
        <f t="shared" si="4"/>
        <v>45748</v>
      </c>
      <c r="L1473" s="7" t="str">
        <f t="shared" si="5"/>
        <v/>
      </c>
      <c r="M1473" s="7" t="str">
        <f>IFERROR(__xludf.DUMMYFUNCTION("IFERROR(
  IF(
    F1473 &gt;
    3*AVERAGE(
       FILTER($F$2:$F10491,
         $G$2:$G10491=G1473,
         $A$2:$A10491&gt;=A1473-20,
         $A$2:$A10491&lt;=A1473
       )
    ),
    ""VOL_SPIKE_3X"",""""
  ),
"""")
"),"")</f>
        <v/>
      </c>
      <c r="N1473" s="7" t="str">
        <f t="shared" si="6"/>
        <v/>
      </c>
      <c r="O1473" s="7" t="str">
        <f t="shared" si="7"/>
        <v/>
      </c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>
      <c r="A1474" s="5">
        <f>IFERROR(__xludf.DUMMYFUNCTION("""COMPUTED_VALUE"""),45771.0)</f>
        <v>45771</v>
      </c>
      <c r="B1474" s="6">
        <f>IFERROR(__xludf.DUMMYFUNCTION("""COMPUTED_VALUE"""),398.9)</f>
        <v>398.9</v>
      </c>
      <c r="C1474" s="6">
        <f>IFERROR(__xludf.DUMMYFUNCTION("""COMPUTED_VALUE"""),401.3)</f>
        <v>401.3</v>
      </c>
      <c r="D1474" s="6">
        <f>IFERROR(__xludf.DUMMYFUNCTION("""COMPUTED_VALUE"""),396.85)</f>
        <v>396.85</v>
      </c>
      <c r="E1474" s="6">
        <f>IFERROR(__xludf.DUMMYFUNCTION("""COMPUTED_VALUE"""),399.85)</f>
        <v>399.85</v>
      </c>
      <c r="F1474" s="7">
        <f>IFERROR(__xludf.DUMMYFUNCTION("""COMPUTED_VALUE"""),5762303.0)</f>
        <v>5762303</v>
      </c>
      <c r="G1474" s="7" t="str">
        <f>IFERROR(__xludf.DUMMYFUNCTION("""COMPUTED_VALUE"""),"COALINDIA.NS")</f>
        <v>COALINDIA.NS</v>
      </c>
      <c r="H1474" s="8">
        <f t="shared" si="1"/>
        <v>0.00238154926</v>
      </c>
      <c r="I1474" s="8">
        <f t="shared" si="2"/>
        <v>0.00238154926</v>
      </c>
      <c r="J1474" s="7" t="str">
        <f t="shared" si="3"/>
        <v>Apr-2025</v>
      </c>
      <c r="K1474" s="9">
        <f t="shared" si="4"/>
        <v>45748</v>
      </c>
      <c r="L1474" s="7" t="str">
        <f t="shared" si="5"/>
        <v/>
      </c>
      <c r="M1474" s="7" t="str">
        <f>IFERROR(__xludf.DUMMYFUNCTION("IFERROR(
  IF(
    F1474 &gt;
    3*AVERAGE(
       FILTER($F$2:$F10491,
         $G$2:$G10491=G1474,
         $A$2:$A10491&gt;=A1474-20,
         $A$2:$A10491&lt;=A1474
       )
    ),
    ""VOL_SPIKE_3X"",""""
  ),
"""")
"),"")</f>
        <v/>
      </c>
      <c r="N1474" s="7" t="str">
        <f t="shared" si="6"/>
        <v/>
      </c>
      <c r="O1474" s="7" t="str">
        <f t="shared" si="7"/>
        <v/>
      </c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>
      <c r="A1475" s="5">
        <f>IFERROR(__xludf.DUMMYFUNCTION("""COMPUTED_VALUE"""),45771.0)</f>
        <v>45771</v>
      </c>
      <c r="B1475" s="6">
        <f>IFERROR(__xludf.DUMMYFUNCTION("""COMPUTED_VALUE"""),390.0)</f>
        <v>390</v>
      </c>
      <c r="C1475" s="6">
        <f>IFERROR(__xludf.DUMMYFUNCTION("""COMPUTED_VALUE"""),394.0)</f>
        <v>394</v>
      </c>
      <c r="D1475" s="6">
        <f>IFERROR(__xludf.DUMMYFUNCTION("""COMPUTED_VALUE"""),387.3)</f>
        <v>387.3</v>
      </c>
      <c r="E1475" s="6">
        <f>IFERROR(__xludf.DUMMYFUNCTION("""COMPUTED_VALUE"""),390.45)</f>
        <v>390.45</v>
      </c>
      <c r="F1475" s="7">
        <f>IFERROR(__xludf.DUMMYFUNCTION("""COMPUTED_VALUE"""),4385172.0)</f>
        <v>4385172</v>
      </c>
      <c r="G1475" s="7" t="str">
        <f>IFERROR(__xludf.DUMMYFUNCTION("""COMPUTED_VALUE"""),"HINDPETRO.NS")</f>
        <v>HINDPETRO.NS</v>
      </c>
      <c r="H1475" s="8">
        <f t="shared" si="1"/>
        <v>0.001153846154</v>
      </c>
      <c r="I1475" s="8">
        <f t="shared" si="2"/>
        <v>0.001153846154</v>
      </c>
      <c r="J1475" s="7" t="str">
        <f t="shared" si="3"/>
        <v>Apr-2025</v>
      </c>
      <c r="K1475" s="9">
        <f t="shared" si="4"/>
        <v>45748</v>
      </c>
      <c r="L1475" s="7" t="str">
        <f t="shared" si="5"/>
        <v/>
      </c>
      <c r="M1475" s="7" t="str">
        <f>IFERROR(__xludf.DUMMYFUNCTION("IFERROR(
  IF(
    F1475 &gt;
    3*AVERAGE(
       FILTER($F$2:$F10491,
         $G$2:$G10491=G1475,
         $A$2:$A10491&gt;=A1475-20,
         $A$2:$A10491&lt;=A1475
       )
    ),
    ""VOL_SPIKE_3X"",""""
  ),
"""")
"),"")</f>
        <v/>
      </c>
      <c r="N1475" s="7" t="str">
        <f t="shared" si="6"/>
        <v/>
      </c>
      <c r="O1475" s="7" t="str">
        <f t="shared" si="7"/>
        <v/>
      </c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>
      <c r="A1476" s="5">
        <f>IFERROR(__xludf.DUMMYFUNCTION("""COMPUTED_VALUE"""),45771.0)</f>
        <v>45771</v>
      </c>
      <c r="B1476" s="6">
        <f>IFERROR(__xludf.DUMMYFUNCTION("""COMPUTED_VALUE"""),137.65)</f>
        <v>137.65</v>
      </c>
      <c r="C1476" s="6">
        <f>IFERROR(__xludf.DUMMYFUNCTION("""COMPUTED_VALUE"""),139.33)</f>
        <v>139.33</v>
      </c>
      <c r="D1476" s="6">
        <f>IFERROR(__xludf.DUMMYFUNCTION("""COMPUTED_VALUE"""),137.31)</f>
        <v>137.31</v>
      </c>
      <c r="E1476" s="6">
        <f>IFERROR(__xludf.DUMMYFUNCTION("""COMPUTED_VALUE"""),138.39)</f>
        <v>138.39</v>
      </c>
      <c r="F1476" s="7">
        <f>IFERROR(__xludf.DUMMYFUNCTION("""COMPUTED_VALUE"""),8177419.0)</f>
        <v>8177419</v>
      </c>
      <c r="G1476" s="7" t="str">
        <f>IFERROR(__xludf.DUMMYFUNCTION("""COMPUTED_VALUE"""),"IOC.NS")</f>
        <v>IOC.NS</v>
      </c>
      <c r="H1476" s="8">
        <f t="shared" si="1"/>
        <v>0.005375953505</v>
      </c>
      <c r="I1476" s="8">
        <f t="shared" si="2"/>
        <v>0.005375953505</v>
      </c>
      <c r="J1476" s="7" t="str">
        <f t="shared" si="3"/>
        <v>Apr-2025</v>
      </c>
      <c r="K1476" s="9">
        <f t="shared" si="4"/>
        <v>45748</v>
      </c>
      <c r="L1476" s="7" t="str">
        <f t="shared" si="5"/>
        <v/>
      </c>
      <c r="M1476" s="7" t="str">
        <f>IFERROR(__xludf.DUMMYFUNCTION("IFERROR(
  IF(
    F1476 &gt;
    3*AVERAGE(
       FILTER($F$2:$F10491,
         $G$2:$G10491=G1476,
         $A$2:$A10491&gt;=A1476-20,
         $A$2:$A10491&lt;=A1476
       )
    ),
    ""VOL_SPIKE_3X"",""""
  ),
"""")
"),"")</f>
        <v/>
      </c>
      <c r="N1476" s="7" t="str">
        <f t="shared" si="6"/>
        <v/>
      </c>
      <c r="O1476" s="7" t="str">
        <f t="shared" si="7"/>
        <v/>
      </c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>
      <c r="A1477" s="5">
        <f>IFERROR(__xludf.DUMMYFUNCTION("""COMPUTED_VALUE"""),45771.0)</f>
        <v>45771</v>
      </c>
      <c r="B1477" s="6">
        <f>IFERROR(__xludf.DUMMYFUNCTION("""COMPUTED_VALUE"""),363.75)</f>
        <v>363.75</v>
      </c>
      <c r="C1477" s="6">
        <f>IFERROR(__xludf.DUMMYFUNCTION("""COMPUTED_VALUE"""),366.45)</f>
        <v>366.45</v>
      </c>
      <c r="D1477" s="6">
        <f>IFERROR(__xludf.DUMMYFUNCTION("""COMPUTED_VALUE"""),361.6)</f>
        <v>361.6</v>
      </c>
      <c r="E1477" s="6">
        <f>IFERROR(__xludf.DUMMYFUNCTION("""COMPUTED_VALUE"""),363.2)</f>
        <v>363.2</v>
      </c>
      <c r="F1477" s="7">
        <f>IFERROR(__xludf.DUMMYFUNCTION("""COMPUTED_VALUE"""),7491123.0)</f>
        <v>7491123</v>
      </c>
      <c r="G1477" s="7" t="str">
        <f>IFERROR(__xludf.DUMMYFUNCTION("""COMPUTED_VALUE"""),"NTPC.NS")</f>
        <v>NTPC.NS</v>
      </c>
      <c r="H1477" s="8">
        <f t="shared" si="1"/>
        <v>-0.001512027491</v>
      </c>
      <c r="I1477" s="8">
        <f t="shared" si="2"/>
        <v>0.001512027491</v>
      </c>
      <c r="J1477" s="7" t="str">
        <f t="shared" si="3"/>
        <v>Apr-2025</v>
      </c>
      <c r="K1477" s="9">
        <f t="shared" si="4"/>
        <v>45748</v>
      </c>
      <c r="L1477" s="7" t="str">
        <f t="shared" si="5"/>
        <v/>
      </c>
      <c r="M1477" s="7" t="str">
        <f>IFERROR(__xludf.DUMMYFUNCTION("IFERROR(
  IF(
    F1477 &gt;
    3*AVERAGE(
       FILTER($F$2:$F10491,
         $G$2:$G10491=G1477,
         $A$2:$A10491&gt;=A1477-20,
         $A$2:$A10491&lt;=A1477
       )
    ),
    ""VOL_SPIKE_3X"",""""
  ),
"""")
"),"")</f>
        <v/>
      </c>
      <c r="N1477" s="7" t="str">
        <f t="shared" si="6"/>
        <v/>
      </c>
      <c r="O1477" s="7" t="str">
        <f t="shared" si="7"/>
        <v/>
      </c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>
      <c r="A1478" s="5">
        <f>IFERROR(__xludf.DUMMYFUNCTION("""COMPUTED_VALUE"""),45771.0)</f>
        <v>45771</v>
      </c>
      <c r="B1478" s="6">
        <f>IFERROR(__xludf.DUMMYFUNCTION("""COMPUTED_VALUE"""),250.0)</f>
        <v>250</v>
      </c>
      <c r="C1478" s="6">
        <f>IFERROR(__xludf.DUMMYFUNCTION("""COMPUTED_VALUE"""),251.37)</f>
        <v>251.37</v>
      </c>
      <c r="D1478" s="6">
        <f>IFERROR(__xludf.DUMMYFUNCTION("""COMPUTED_VALUE"""),248.0)</f>
        <v>248</v>
      </c>
      <c r="E1478" s="6">
        <f>IFERROR(__xludf.DUMMYFUNCTION("""COMPUTED_VALUE"""),249.37)</f>
        <v>249.37</v>
      </c>
      <c r="F1478" s="7">
        <f>IFERROR(__xludf.DUMMYFUNCTION("""COMPUTED_VALUE"""),6538518.0)</f>
        <v>6538518</v>
      </c>
      <c r="G1478" s="7" t="str">
        <f>IFERROR(__xludf.DUMMYFUNCTION("""COMPUTED_VALUE"""),"ONGC.NS")</f>
        <v>ONGC.NS</v>
      </c>
      <c r="H1478" s="8">
        <f t="shared" si="1"/>
        <v>-0.00252</v>
      </c>
      <c r="I1478" s="8">
        <f t="shared" si="2"/>
        <v>0.00252</v>
      </c>
      <c r="J1478" s="7" t="str">
        <f t="shared" si="3"/>
        <v>Apr-2025</v>
      </c>
      <c r="K1478" s="9">
        <f t="shared" si="4"/>
        <v>45748</v>
      </c>
      <c r="L1478" s="7" t="str">
        <f t="shared" si="5"/>
        <v/>
      </c>
      <c r="M1478" s="7" t="str">
        <f>IFERROR(__xludf.DUMMYFUNCTION("IFERROR(
  IF(
    F1478 &gt;
    3*AVERAGE(
       FILTER($F$2:$F10491,
         $G$2:$G10491=G1478,
         $A$2:$A10491&gt;=A1478-20,
         $A$2:$A10491&lt;=A1478
       )
    ),
    ""VOL_SPIKE_3X"",""""
  ),
"""")
"),"")</f>
        <v/>
      </c>
      <c r="N1478" s="7" t="str">
        <f t="shared" si="6"/>
        <v/>
      </c>
      <c r="O1478" s="7" t="str">
        <f t="shared" si="7"/>
        <v/>
      </c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>
      <c r="A1479" s="5">
        <f>IFERROR(__xludf.DUMMYFUNCTION("""COMPUTED_VALUE"""),45771.0)</f>
        <v>45771</v>
      </c>
      <c r="B1479" s="6">
        <f>IFERROR(__xludf.DUMMYFUNCTION("""COMPUTED_VALUE"""),314.9)</f>
        <v>314.9</v>
      </c>
      <c r="C1479" s="6">
        <f>IFERROR(__xludf.DUMMYFUNCTION("""COMPUTED_VALUE"""),315.85)</f>
        <v>315.85</v>
      </c>
      <c r="D1479" s="6">
        <f>IFERROR(__xludf.DUMMYFUNCTION("""COMPUTED_VALUE"""),312.85)</f>
        <v>312.85</v>
      </c>
      <c r="E1479" s="6">
        <f>IFERROR(__xludf.DUMMYFUNCTION("""COMPUTED_VALUE"""),314.4)</f>
        <v>314.4</v>
      </c>
      <c r="F1479" s="7">
        <f>IFERROR(__xludf.DUMMYFUNCTION("""COMPUTED_VALUE"""),8021180.0)</f>
        <v>8021180</v>
      </c>
      <c r="G1479" s="7" t="str">
        <f>IFERROR(__xludf.DUMMYFUNCTION("""COMPUTED_VALUE"""),"POWERGRID.NS")</f>
        <v>POWERGRID.NS</v>
      </c>
      <c r="H1479" s="8">
        <f t="shared" si="1"/>
        <v>-0.001587805653</v>
      </c>
      <c r="I1479" s="8">
        <f t="shared" si="2"/>
        <v>0.001587805653</v>
      </c>
      <c r="J1479" s="7" t="str">
        <f t="shared" si="3"/>
        <v>Apr-2025</v>
      </c>
      <c r="K1479" s="9">
        <f t="shared" si="4"/>
        <v>45748</v>
      </c>
      <c r="L1479" s="7" t="str">
        <f t="shared" si="5"/>
        <v/>
      </c>
      <c r="M1479" s="7" t="str">
        <f>IFERROR(__xludf.DUMMYFUNCTION("IFERROR(
  IF(
    F1479 &gt;
    3*AVERAGE(
       FILTER($F$2:$F10491,
         $G$2:$G10491=G1479,
         $A$2:$A10491&gt;=A1479-20,
         $A$2:$A10491&lt;=A1479
       )
    ),
    ""VOL_SPIKE_3X"",""""
  ),
"""")
"),"")</f>
        <v/>
      </c>
      <c r="N1479" s="7" t="str">
        <f t="shared" si="6"/>
        <v/>
      </c>
      <c r="O1479" s="7" t="str">
        <f t="shared" si="7"/>
        <v/>
      </c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>
      <c r="A1480" s="5">
        <f>IFERROR(__xludf.DUMMYFUNCTION("""COMPUTED_VALUE"""),45771.0)</f>
        <v>45771</v>
      </c>
      <c r="B1480" s="6">
        <f>IFERROR(__xludf.DUMMYFUNCTION("""COMPUTED_VALUE"""),1292.4)</f>
        <v>1292.4</v>
      </c>
      <c r="C1480" s="6">
        <f>IFERROR(__xludf.DUMMYFUNCTION("""COMPUTED_VALUE"""),1304.5)</f>
        <v>1304.5</v>
      </c>
      <c r="D1480" s="6">
        <f>IFERROR(__xludf.DUMMYFUNCTION("""COMPUTED_VALUE"""),1290.3)</f>
        <v>1290.3</v>
      </c>
      <c r="E1480" s="6">
        <f>IFERROR(__xludf.DUMMYFUNCTION("""COMPUTED_VALUE"""),1301.6)</f>
        <v>1301.6</v>
      </c>
      <c r="F1480" s="7">
        <f>IFERROR(__xludf.DUMMYFUNCTION("""COMPUTED_VALUE"""),1.046894E7)</f>
        <v>10468940</v>
      </c>
      <c r="G1480" s="7" t="str">
        <f>IFERROR(__xludf.DUMMYFUNCTION("""COMPUTED_VALUE"""),"RELIANCE.NS")</f>
        <v>RELIANCE.NS</v>
      </c>
      <c r="H1480" s="8">
        <f t="shared" si="1"/>
        <v>0.007118539152</v>
      </c>
      <c r="I1480" s="8">
        <f t="shared" si="2"/>
        <v>0.007118539152</v>
      </c>
      <c r="J1480" s="7" t="str">
        <f t="shared" si="3"/>
        <v>Apr-2025</v>
      </c>
      <c r="K1480" s="9">
        <f t="shared" si="4"/>
        <v>45748</v>
      </c>
      <c r="L1480" s="7" t="str">
        <f t="shared" si="5"/>
        <v/>
      </c>
      <c r="M1480" s="7" t="str">
        <f>IFERROR(__xludf.DUMMYFUNCTION("IFERROR(
  IF(
    F1480 &gt;
    3*AVERAGE(
       FILTER($F$2:$F10491,
         $G$2:$G10491=G1480,
         $A$2:$A10491&gt;=A1480-20,
         $A$2:$A10491&lt;=A1480
       )
    ),
    ""VOL_SPIKE_3X"",""""
  ),
"""")
"),"")</f>
        <v/>
      </c>
      <c r="N1480" s="7" t="str">
        <f t="shared" si="6"/>
        <v/>
      </c>
      <c r="O1480" s="7" t="str">
        <f t="shared" si="7"/>
        <v/>
      </c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>
      <c r="A1481" s="5">
        <f>IFERROR(__xludf.DUMMYFUNCTION("""COMPUTED_VALUE"""),45772.0)</f>
        <v>45772</v>
      </c>
      <c r="B1481" s="6">
        <f>IFERROR(__xludf.DUMMYFUNCTION("""COMPUTED_VALUE"""),978.0)</f>
        <v>978</v>
      </c>
      <c r="C1481" s="6">
        <f>IFERROR(__xludf.DUMMYFUNCTION("""COMPUTED_VALUE"""),981.0)</f>
        <v>981</v>
      </c>
      <c r="D1481" s="6">
        <f>IFERROR(__xludf.DUMMYFUNCTION("""COMPUTED_VALUE"""),905.9)</f>
        <v>905.9</v>
      </c>
      <c r="E1481" s="6">
        <f>IFERROR(__xludf.DUMMYFUNCTION("""COMPUTED_VALUE"""),914.35)</f>
        <v>914.35</v>
      </c>
      <c r="F1481" s="7">
        <f>IFERROR(__xludf.DUMMYFUNCTION("""COMPUTED_VALUE"""),5736784.0)</f>
        <v>5736784</v>
      </c>
      <c r="G1481" s="7" t="str">
        <f>IFERROR(__xludf.DUMMYFUNCTION("""COMPUTED_VALUE"""),"ADANIENSOL.NS")</f>
        <v>ADANIENSOL.NS</v>
      </c>
      <c r="H1481" s="8">
        <f t="shared" si="1"/>
        <v>-0.06508179959</v>
      </c>
      <c r="I1481" s="8">
        <f t="shared" si="2"/>
        <v>0.06508179959</v>
      </c>
      <c r="J1481" s="7" t="str">
        <f t="shared" si="3"/>
        <v>Apr-2025</v>
      </c>
      <c r="K1481" s="9">
        <f t="shared" si="4"/>
        <v>45748</v>
      </c>
      <c r="L1481" s="7" t="str">
        <f t="shared" si="5"/>
        <v>PRICE_MOVE_5PCT+</v>
      </c>
      <c r="M1481" s="7" t="str">
        <f>IFERROR(__xludf.DUMMYFUNCTION("IFERROR(
  IF(
    F1481 &gt;
    3*AVERAGE(
       FILTER($F$2:$F10491,
         $G$2:$G10491=G1481,
         $A$2:$A10491&gt;=A1481-20,
         $A$2:$A10491&lt;=A1481
       )
    ),
    ""VOL_SPIKE_3X"",""""
  ),
"""")
"),"")</f>
        <v/>
      </c>
      <c r="N1481" s="7" t="str">
        <f t="shared" si="6"/>
        <v>PRICE_MOVE_5PCT+</v>
      </c>
      <c r="O1481" s="7" t="str">
        <f t="shared" si="7"/>
        <v/>
      </c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>
      <c r="A1482" s="5">
        <f>IFERROR(__xludf.DUMMYFUNCTION("""COMPUTED_VALUE"""),45772.0)</f>
        <v>45772</v>
      </c>
      <c r="B1482" s="6">
        <f>IFERROR(__xludf.DUMMYFUNCTION("""COMPUTED_VALUE"""),974.0)</f>
        <v>974</v>
      </c>
      <c r="C1482" s="6">
        <f>IFERROR(__xludf.DUMMYFUNCTION("""COMPUTED_VALUE"""),975.85)</f>
        <v>975.85</v>
      </c>
      <c r="D1482" s="6">
        <f>IFERROR(__xludf.DUMMYFUNCTION("""COMPUTED_VALUE"""),903.7)</f>
        <v>903.7</v>
      </c>
      <c r="E1482" s="6">
        <f>IFERROR(__xludf.DUMMYFUNCTION("""COMPUTED_VALUE"""),912.55)</f>
        <v>912.55</v>
      </c>
      <c r="F1482" s="7">
        <f>IFERROR(__xludf.DUMMYFUNCTION("""COMPUTED_VALUE"""),6824718.0)</f>
        <v>6824718</v>
      </c>
      <c r="G1482" s="7" t="str">
        <f>IFERROR(__xludf.DUMMYFUNCTION("""COMPUTED_VALUE"""),"ADANIGREEN.NS")</f>
        <v>ADANIGREEN.NS</v>
      </c>
      <c r="H1482" s="8">
        <f t="shared" si="1"/>
        <v>-0.06309034908</v>
      </c>
      <c r="I1482" s="8">
        <f t="shared" si="2"/>
        <v>0.06309034908</v>
      </c>
      <c r="J1482" s="7" t="str">
        <f t="shared" si="3"/>
        <v>Apr-2025</v>
      </c>
      <c r="K1482" s="9">
        <f t="shared" si="4"/>
        <v>45748</v>
      </c>
      <c r="L1482" s="7" t="str">
        <f t="shared" si="5"/>
        <v>PRICE_MOVE_5PCT+</v>
      </c>
      <c r="M1482" s="7" t="str">
        <f>IFERROR(__xludf.DUMMYFUNCTION("IFERROR(
  IF(
    F1482 &gt;
    3*AVERAGE(
       FILTER($F$2:$F10491,
         $G$2:$G10491=G1482,
         $A$2:$A10491&gt;=A1482-20,
         $A$2:$A10491&lt;=A1482
       )
    ),
    ""VOL_SPIKE_3X"",""""
  ),
"""")
"),"")</f>
        <v/>
      </c>
      <c r="N1482" s="7" t="str">
        <f t="shared" si="6"/>
        <v>PRICE_MOVE_5PCT+</v>
      </c>
      <c r="O1482" s="7" t="str">
        <f t="shared" si="7"/>
        <v/>
      </c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>
      <c r="A1483" s="5">
        <f>IFERROR(__xludf.DUMMYFUNCTION("""COMPUTED_VALUE"""),45772.0)</f>
        <v>45772</v>
      </c>
      <c r="B1483" s="6">
        <f>IFERROR(__xludf.DUMMYFUNCTION("""COMPUTED_VALUE"""),302.35)</f>
        <v>302.35</v>
      </c>
      <c r="C1483" s="6">
        <f>IFERROR(__xludf.DUMMYFUNCTION("""COMPUTED_VALUE"""),304.95)</f>
        <v>304.95</v>
      </c>
      <c r="D1483" s="6">
        <f>IFERROR(__xludf.DUMMYFUNCTION("""COMPUTED_VALUE"""),293.3)</f>
        <v>293.3</v>
      </c>
      <c r="E1483" s="6">
        <f>IFERROR(__xludf.DUMMYFUNCTION("""COMPUTED_VALUE"""),295.7)</f>
        <v>295.7</v>
      </c>
      <c r="F1483" s="7">
        <f>IFERROR(__xludf.DUMMYFUNCTION("""COMPUTED_VALUE"""),7773037.0)</f>
        <v>7773037</v>
      </c>
      <c r="G1483" s="7" t="str">
        <f>IFERROR(__xludf.DUMMYFUNCTION("""COMPUTED_VALUE"""),"BPCL.NS")</f>
        <v>BPCL.NS</v>
      </c>
      <c r="H1483" s="8">
        <f t="shared" si="1"/>
        <v>-0.02199437738</v>
      </c>
      <c r="I1483" s="8">
        <f t="shared" si="2"/>
        <v>0.02199437738</v>
      </c>
      <c r="J1483" s="7" t="str">
        <f t="shared" si="3"/>
        <v>Apr-2025</v>
      </c>
      <c r="K1483" s="9">
        <f t="shared" si="4"/>
        <v>45748</v>
      </c>
      <c r="L1483" s="7" t="str">
        <f t="shared" si="5"/>
        <v/>
      </c>
      <c r="M1483" s="7" t="str">
        <f>IFERROR(__xludf.DUMMYFUNCTION("IFERROR(
  IF(
    F1483 &gt;
    3*AVERAGE(
       FILTER($F$2:$F10491,
         $G$2:$G10491=G1483,
         $A$2:$A10491&gt;=A1483-20,
         $A$2:$A10491&lt;=A1483
       )
    ),
    ""VOL_SPIKE_3X"",""""
  ),
"""")
"),"")</f>
        <v/>
      </c>
      <c r="N1483" s="7" t="str">
        <f t="shared" si="6"/>
        <v/>
      </c>
      <c r="O1483" s="7" t="str">
        <f t="shared" si="7"/>
        <v/>
      </c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>
      <c r="A1484" s="5">
        <f>IFERROR(__xludf.DUMMYFUNCTION("""COMPUTED_VALUE"""),45772.0)</f>
        <v>45772</v>
      </c>
      <c r="B1484" s="6">
        <f>IFERROR(__xludf.DUMMYFUNCTION("""COMPUTED_VALUE"""),400.3)</f>
        <v>400.3</v>
      </c>
      <c r="C1484" s="6">
        <f>IFERROR(__xludf.DUMMYFUNCTION("""COMPUTED_VALUE"""),404.0)</f>
        <v>404</v>
      </c>
      <c r="D1484" s="6">
        <f>IFERROR(__xludf.DUMMYFUNCTION("""COMPUTED_VALUE"""),389.65)</f>
        <v>389.65</v>
      </c>
      <c r="E1484" s="6">
        <f>IFERROR(__xludf.DUMMYFUNCTION("""COMPUTED_VALUE"""),393.15)</f>
        <v>393.15</v>
      </c>
      <c r="F1484" s="7">
        <f>IFERROR(__xludf.DUMMYFUNCTION("""COMPUTED_VALUE"""),7337588.0)</f>
        <v>7337588</v>
      </c>
      <c r="G1484" s="7" t="str">
        <f>IFERROR(__xludf.DUMMYFUNCTION("""COMPUTED_VALUE"""),"COALINDIA.NS")</f>
        <v>COALINDIA.NS</v>
      </c>
      <c r="H1484" s="8">
        <f t="shared" si="1"/>
        <v>-0.0178616038</v>
      </c>
      <c r="I1484" s="8">
        <f t="shared" si="2"/>
        <v>0.0178616038</v>
      </c>
      <c r="J1484" s="7" t="str">
        <f t="shared" si="3"/>
        <v>Apr-2025</v>
      </c>
      <c r="K1484" s="9">
        <f t="shared" si="4"/>
        <v>45748</v>
      </c>
      <c r="L1484" s="7" t="str">
        <f t="shared" si="5"/>
        <v/>
      </c>
      <c r="M1484" s="7" t="str">
        <f>IFERROR(__xludf.DUMMYFUNCTION("IFERROR(
  IF(
    F1484 &gt;
    3*AVERAGE(
       FILTER($F$2:$F10491,
         $G$2:$G10491=G1484,
         $A$2:$A10491&gt;=A1484-20,
         $A$2:$A10491&lt;=A1484
       )
    ),
    ""VOL_SPIKE_3X"",""""
  ),
"""")
"),"")</f>
        <v/>
      </c>
      <c r="N1484" s="7" t="str">
        <f t="shared" si="6"/>
        <v/>
      </c>
      <c r="O1484" s="7" t="str">
        <f t="shared" si="7"/>
        <v/>
      </c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>
      <c r="A1485" s="5">
        <f>IFERROR(__xludf.DUMMYFUNCTION("""COMPUTED_VALUE"""),45772.0)</f>
        <v>45772</v>
      </c>
      <c r="B1485" s="6">
        <f>IFERROR(__xludf.DUMMYFUNCTION("""COMPUTED_VALUE"""),390.4)</f>
        <v>390.4</v>
      </c>
      <c r="C1485" s="6">
        <f>IFERROR(__xludf.DUMMYFUNCTION("""COMPUTED_VALUE"""),393.1)</f>
        <v>393.1</v>
      </c>
      <c r="D1485" s="6">
        <f>IFERROR(__xludf.DUMMYFUNCTION("""COMPUTED_VALUE"""),378.25)</f>
        <v>378.25</v>
      </c>
      <c r="E1485" s="6">
        <f>IFERROR(__xludf.DUMMYFUNCTION("""COMPUTED_VALUE"""),380.7)</f>
        <v>380.7</v>
      </c>
      <c r="F1485" s="7">
        <f>IFERROR(__xludf.DUMMYFUNCTION("""COMPUTED_VALUE"""),2552932.0)</f>
        <v>2552932</v>
      </c>
      <c r="G1485" s="7" t="str">
        <f>IFERROR(__xludf.DUMMYFUNCTION("""COMPUTED_VALUE"""),"HINDPETRO.NS")</f>
        <v>HINDPETRO.NS</v>
      </c>
      <c r="H1485" s="8">
        <f t="shared" si="1"/>
        <v>-0.02484631148</v>
      </c>
      <c r="I1485" s="8">
        <f t="shared" si="2"/>
        <v>0.02484631148</v>
      </c>
      <c r="J1485" s="7" t="str">
        <f t="shared" si="3"/>
        <v>Apr-2025</v>
      </c>
      <c r="K1485" s="9">
        <f t="shared" si="4"/>
        <v>45748</v>
      </c>
      <c r="L1485" s="7" t="str">
        <f t="shared" si="5"/>
        <v/>
      </c>
      <c r="M1485" s="7" t="str">
        <f>IFERROR(__xludf.DUMMYFUNCTION("IFERROR(
  IF(
    F1485 &gt;
    3*AVERAGE(
       FILTER($F$2:$F10491,
         $G$2:$G10491=G1485,
         $A$2:$A10491&gt;=A1485-20,
         $A$2:$A10491&lt;=A1485
       )
    ),
    ""VOL_SPIKE_3X"",""""
  ),
"""")
"),"")</f>
        <v/>
      </c>
      <c r="N1485" s="7" t="str">
        <f t="shared" si="6"/>
        <v/>
      </c>
      <c r="O1485" s="7" t="str">
        <f t="shared" si="7"/>
        <v/>
      </c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>
      <c r="A1486" s="5">
        <f>IFERROR(__xludf.DUMMYFUNCTION("""COMPUTED_VALUE"""),45772.0)</f>
        <v>45772</v>
      </c>
      <c r="B1486" s="6">
        <f>IFERROR(__xludf.DUMMYFUNCTION("""COMPUTED_VALUE"""),138.4)</f>
        <v>138.4</v>
      </c>
      <c r="C1486" s="6">
        <f>IFERROR(__xludf.DUMMYFUNCTION("""COMPUTED_VALUE"""),139.5)</f>
        <v>139.5</v>
      </c>
      <c r="D1486" s="6">
        <f>IFERROR(__xludf.DUMMYFUNCTION("""COMPUTED_VALUE"""),132.82)</f>
        <v>132.82</v>
      </c>
      <c r="E1486" s="6">
        <f>IFERROR(__xludf.DUMMYFUNCTION("""COMPUTED_VALUE"""),134.65)</f>
        <v>134.65</v>
      </c>
      <c r="F1486" s="7">
        <f>IFERROR(__xludf.DUMMYFUNCTION("""COMPUTED_VALUE"""),1.4663542E7)</f>
        <v>14663542</v>
      </c>
      <c r="G1486" s="7" t="str">
        <f>IFERROR(__xludf.DUMMYFUNCTION("""COMPUTED_VALUE"""),"IOC.NS")</f>
        <v>IOC.NS</v>
      </c>
      <c r="H1486" s="8">
        <f t="shared" si="1"/>
        <v>-0.02709537572</v>
      </c>
      <c r="I1486" s="8">
        <f t="shared" si="2"/>
        <v>0.02709537572</v>
      </c>
      <c r="J1486" s="7" t="str">
        <f t="shared" si="3"/>
        <v>Apr-2025</v>
      </c>
      <c r="K1486" s="9">
        <f t="shared" si="4"/>
        <v>45748</v>
      </c>
      <c r="L1486" s="7" t="str">
        <f t="shared" si="5"/>
        <v/>
      </c>
      <c r="M1486" s="7" t="str">
        <f>IFERROR(__xludf.DUMMYFUNCTION("IFERROR(
  IF(
    F1486 &gt;
    3*AVERAGE(
       FILTER($F$2:$F10491,
         $G$2:$G10491=G1486,
         $A$2:$A10491&gt;=A1486-20,
         $A$2:$A10491&lt;=A1486
       )
    ),
    ""VOL_SPIKE_3X"",""""
  ),
"""")
"),"")</f>
        <v/>
      </c>
      <c r="N1486" s="7" t="str">
        <f t="shared" si="6"/>
        <v/>
      </c>
      <c r="O1486" s="7" t="str">
        <f t="shared" si="7"/>
        <v/>
      </c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>
      <c r="A1487" s="5">
        <f>IFERROR(__xludf.DUMMYFUNCTION("""COMPUTED_VALUE"""),45772.0)</f>
        <v>45772</v>
      </c>
      <c r="B1487" s="6">
        <f>IFERROR(__xludf.DUMMYFUNCTION("""COMPUTED_VALUE"""),363.2)</f>
        <v>363.2</v>
      </c>
      <c r="C1487" s="6">
        <f>IFERROR(__xludf.DUMMYFUNCTION("""COMPUTED_VALUE"""),365.8)</f>
        <v>365.8</v>
      </c>
      <c r="D1487" s="6">
        <f>IFERROR(__xludf.DUMMYFUNCTION("""COMPUTED_VALUE"""),351.1)</f>
        <v>351.1</v>
      </c>
      <c r="E1487" s="6">
        <f>IFERROR(__xludf.DUMMYFUNCTION("""COMPUTED_VALUE"""),356.45)</f>
        <v>356.45</v>
      </c>
      <c r="F1487" s="7">
        <f>IFERROR(__xludf.DUMMYFUNCTION("""COMPUTED_VALUE"""),9785640.0)</f>
        <v>9785640</v>
      </c>
      <c r="G1487" s="7" t="str">
        <f>IFERROR(__xludf.DUMMYFUNCTION("""COMPUTED_VALUE"""),"NTPC.NS")</f>
        <v>NTPC.NS</v>
      </c>
      <c r="H1487" s="8">
        <f t="shared" si="1"/>
        <v>-0.01858480176</v>
      </c>
      <c r="I1487" s="8">
        <f t="shared" si="2"/>
        <v>0.01858480176</v>
      </c>
      <c r="J1487" s="7" t="str">
        <f t="shared" si="3"/>
        <v>Apr-2025</v>
      </c>
      <c r="K1487" s="9">
        <f t="shared" si="4"/>
        <v>45748</v>
      </c>
      <c r="L1487" s="7" t="str">
        <f t="shared" si="5"/>
        <v/>
      </c>
      <c r="M1487" s="7" t="str">
        <f>IFERROR(__xludf.DUMMYFUNCTION("IFERROR(
  IF(
    F1487 &gt;
    3*AVERAGE(
       FILTER($F$2:$F10491,
         $G$2:$G10491=G1487,
         $A$2:$A10491&gt;=A1487-20,
         $A$2:$A10491&lt;=A1487
       )
    ),
    ""VOL_SPIKE_3X"",""""
  ),
"""")
"),"")</f>
        <v/>
      </c>
      <c r="N1487" s="7" t="str">
        <f t="shared" si="6"/>
        <v/>
      </c>
      <c r="O1487" s="7" t="str">
        <f t="shared" si="7"/>
        <v/>
      </c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>
      <c r="A1488" s="5">
        <f>IFERROR(__xludf.DUMMYFUNCTION("""COMPUTED_VALUE"""),45772.0)</f>
        <v>45772</v>
      </c>
      <c r="B1488" s="6">
        <f>IFERROR(__xludf.DUMMYFUNCTION("""COMPUTED_VALUE"""),249.0)</f>
        <v>249</v>
      </c>
      <c r="C1488" s="6">
        <f>IFERROR(__xludf.DUMMYFUNCTION("""COMPUTED_VALUE"""),250.68)</f>
        <v>250.68</v>
      </c>
      <c r="D1488" s="6">
        <f>IFERROR(__xludf.DUMMYFUNCTION("""COMPUTED_VALUE"""),244.4)</f>
        <v>244.4</v>
      </c>
      <c r="E1488" s="6">
        <f>IFERROR(__xludf.DUMMYFUNCTION("""COMPUTED_VALUE"""),246.33)</f>
        <v>246.33</v>
      </c>
      <c r="F1488" s="7">
        <f>IFERROR(__xludf.DUMMYFUNCTION("""COMPUTED_VALUE"""),1.5616265E7)</f>
        <v>15616265</v>
      </c>
      <c r="G1488" s="7" t="str">
        <f>IFERROR(__xludf.DUMMYFUNCTION("""COMPUTED_VALUE"""),"ONGC.NS")</f>
        <v>ONGC.NS</v>
      </c>
      <c r="H1488" s="8">
        <f t="shared" si="1"/>
        <v>-0.01072289157</v>
      </c>
      <c r="I1488" s="8">
        <f t="shared" si="2"/>
        <v>0.01072289157</v>
      </c>
      <c r="J1488" s="7" t="str">
        <f t="shared" si="3"/>
        <v>Apr-2025</v>
      </c>
      <c r="K1488" s="9">
        <f t="shared" si="4"/>
        <v>45748</v>
      </c>
      <c r="L1488" s="7" t="str">
        <f t="shared" si="5"/>
        <v/>
      </c>
      <c r="M1488" s="7" t="str">
        <f>IFERROR(__xludf.DUMMYFUNCTION("IFERROR(
  IF(
    F1488 &gt;
    3*AVERAGE(
       FILTER($F$2:$F10491,
         $G$2:$G10491=G1488,
         $A$2:$A10491&gt;=A1488-20,
         $A$2:$A10491&lt;=A1488
       )
    ),
    ""VOL_SPIKE_3X"",""""
  ),
"""")
"),"")</f>
        <v/>
      </c>
      <c r="N1488" s="7" t="str">
        <f t="shared" si="6"/>
        <v/>
      </c>
      <c r="O1488" s="7" t="str">
        <f t="shared" si="7"/>
        <v/>
      </c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>
      <c r="A1489" s="5">
        <f>IFERROR(__xludf.DUMMYFUNCTION("""COMPUTED_VALUE"""),45772.0)</f>
        <v>45772</v>
      </c>
      <c r="B1489" s="6">
        <f>IFERROR(__xludf.DUMMYFUNCTION("""COMPUTED_VALUE"""),313.0)</f>
        <v>313</v>
      </c>
      <c r="C1489" s="6">
        <f>IFERROR(__xludf.DUMMYFUNCTION("""COMPUTED_VALUE"""),315.4)</f>
        <v>315.4</v>
      </c>
      <c r="D1489" s="6">
        <f>IFERROR(__xludf.DUMMYFUNCTION("""COMPUTED_VALUE"""),303.4)</f>
        <v>303.4</v>
      </c>
      <c r="E1489" s="6">
        <f>IFERROR(__xludf.DUMMYFUNCTION("""COMPUTED_VALUE"""),306.5)</f>
        <v>306.5</v>
      </c>
      <c r="F1489" s="7">
        <f>IFERROR(__xludf.DUMMYFUNCTION("""COMPUTED_VALUE"""),1.1475773E7)</f>
        <v>11475773</v>
      </c>
      <c r="G1489" s="7" t="str">
        <f>IFERROR(__xludf.DUMMYFUNCTION("""COMPUTED_VALUE"""),"POWERGRID.NS")</f>
        <v>POWERGRID.NS</v>
      </c>
      <c r="H1489" s="8">
        <f t="shared" si="1"/>
        <v>-0.02076677316</v>
      </c>
      <c r="I1489" s="8">
        <f t="shared" si="2"/>
        <v>0.02076677316</v>
      </c>
      <c r="J1489" s="7" t="str">
        <f t="shared" si="3"/>
        <v>Apr-2025</v>
      </c>
      <c r="K1489" s="9">
        <f t="shared" si="4"/>
        <v>45748</v>
      </c>
      <c r="L1489" s="7" t="str">
        <f t="shared" si="5"/>
        <v/>
      </c>
      <c r="M1489" s="7" t="str">
        <f>IFERROR(__xludf.DUMMYFUNCTION("IFERROR(
  IF(
    F1489 &gt;
    3*AVERAGE(
       FILTER($F$2:$F10491,
         $G$2:$G10491=G1489,
         $A$2:$A10491&gt;=A1489-20,
         $A$2:$A10491&lt;=A1489
       )
    ),
    ""VOL_SPIKE_3X"",""""
  ),
"""")
"),"")</f>
        <v/>
      </c>
      <c r="N1489" s="7" t="str">
        <f t="shared" si="6"/>
        <v/>
      </c>
      <c r="O1489" s="7" t="str">
        <f t="shared" si="7"/>
        <v/>
      </c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>
      <c r="A1490" s="5">
        <f>IFERROR(__xludf.DUMMYFUNCTION("""COMPUTED_VALUE"""),45772.0)</f>
        <v>45772</v>
      </c>
      <c r="B1490" s="6">
        <f>IFERROR(__xludf.DUMMYFUNCTION("""COMPUTED_VALUE"""),1303.5)</f>
        <v>1303.5</v>
      </c>
      <c r="C1490" s="6">
        <f>IFERROR(__xludf.DUMMYFUNCTION("""COMPUTED_VALUE"""),1325.2)</f>
        <v>1325.2</v>
      </c>
      <c r="D1490" s="6">
        <f>IFERROR(__xludf.DUMMYFUNCTION("""COMPUTED_VALUE"""),1288.1)</f>
        <v>1288.1</v>
      </c>
      <c r="E1490" s="6">
        <f>IFERROR(__xludf.DUMMYFUNCTION("""COMPUTED_VALUE"""),1300.4)</f>
        <v>1300.4</v>
      </c>
      <c r="F1490" s="7">
        <f>IFERROR(__xludf.DUMMYFUNCTION("""COMPUTED_VALUE"""),1.4431012E7)</f>
        <v>14431012</v>
      </c>
      <c r="G1490" s="7" t="str">
        <f>IFERROR(__xludf.DUMMYFUNCTION("""COMPUTED_VALUE"""),"RELIANCE.NS")</f>
        <v>RELIANCE.NS</v>
      </c>
      <c r="H1490" s="8">
        <f t="shared" si="1"/>
        <v>-0.002378212505</v>
      </c>
      <c r="I1490" s="8">
        <f t="shared" si="2"/>
        <v>0.002378212505</v>
      </c>
      <c r="J1490" s="7" t="str">
        <f t="shared" si="3"/>
        <v>Apr-2025</v>
      </c>
      <c r="K1490" s="9">
        <f t="shared" si="4"/>
        <v>45748</v>
      </c>
      <c r="L1490" s="7" t="str">
        <f t="shared" si="5"/>
        <v/>
      </c>
      <c r="M1490" s="7" t="str">
        <f>IFERROR(__xludf.DUMMYFUNCTION("IFERROR(
  IF(
    F1490 &gt;
    3*AVERAGE(
       FILTER($F$2:$F10491,
         $G$2:$G10491=G1490,
         $A$2:$A10491&gt;=A1490-20,
         $A$2:$A10491&lt;=A1490
       )
    ),
    ""VOL_SPIKE_3X"",""""
  ),
"""")
"),"")</f>
        <v/>
      </c>
      <c r="N1490" s="7" t="str">
        <f t="shared" si="6"/>
        <v/>
      </c>
      <c r="O1490" s="7" t="str">
        <f t="shared" si="7"/>
        <v/>
      </c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>
      <c r="A1491" s="5">
        <f>IFERROR(__xludf.DUMMYFUNCTION("""COMPUTED_VALUE"""),45775.0)</f>
        <v>45775</v>
      </c>
      <c r="B1491" s="6">
        <f>IFERROR(__xludf.DUMMYFUNCTION("""COMPUTED_VALUE"""),914.0)</f>
        <v>914</v>
      </c>
      <c r="C1491" s="6">
        <f>IFERROR(__xludf.DUMMYFUNCTION("""COMPUTED_VALUE"""),941.6)</f>
        <v>941.6</v>
      </c>
      <c r="D1491" s="6">
        <f>IFERROR(__xludf.DUMMYFUNCTION("""COMPUTED_VALUE"""),904.0)</f>
        <v>904</v>
      </c>
      <c r="E1491" s="6">
        <f>IFERROR(__xludf.DUMMYFUNCTION("""COMPUTED_VALUE"""),925.3)</f>
        <v>925.3</v>
      </c>
      <c r="F1491" s="7">
        <f>IFERROR(__xludf.DUMMYFUNCTION("""COMPUTED_VALUE"""),2404027.0)</f>
        <v>2404027</v>
      </c>
      <c r="G1491" s="7" t="str">
        <f>IFERROR(__xludf.DUMMYFUNCTION("""COMPUTED_VALUE"""),"ADANIENSOL.NS")</f>
        <v>ADANIENSOL.NS</v>
      </c>
      <c r="H1491" s="8">
        <f t="shared" si="1"/>
        <v>0.01236323851</v>
      </c>
      <c r="I1491" s="8">
        <f t="shared" si="2"/>
        <v>0.01236323851</v>
      </c>
      <c r="J1491" s="7" t="str">
        <f t="shared" si="3"/>
        <v>Apr-2025</v>
      </c>
      <c r="K1491" s="9">
        <f t="shared" si="4"/>
        <v>45748</v>
      </c>
      <c r="L1491" s="7" t="str">
        <f t="shared" si="5"/>
        <v/>
      </c>
      <c r="M1491" s="7" t="str">
        <f>IFERROR(__xludf.DUMMYFUNCTION("IFERROR(
  IF(
    F1491 &gt;
    3*AVERAGE(
       FILTER($F$2:$F10491,
         $G$2:$G10491=G1491,
         $A$2:$A10491&gt;=A1491-20,
         $A$2:$A10491&lt;=A1491
       )
    ),
    ""VOL_SPIKE_3X"",""""
  ),
"""")
"),"")</f>
        <v/>
      </c>
      <c r="N1491" s="7" t="str">
        <f t="shared" si="6"/>
        <v/>
      </c>
      <c r="O1491" s="7" t="str">
        <f t="shared" si="7"/>
        <v/>
      </c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>
      <c r="A1492" s="5">
        <f>IFERROR(__xludf.DUMMYFUNCTION("""COMPUTED_VALUE"""),45775.0)</f>
        <v>45775</v>
      </c>
      <c r="B1492" s="6">
        <f>IFERROR(__xludf.DUMMYFUNCTION("""COMPUTED_VALUE"""),915.35)</f>
        <v>915.35</v>
      </c>
      <c r="C1492" s="6">
        <f>IFERROR(__xludf.DUMMYFUNCTION("""COMPUTED_VALUE"""),944.95)</f>
        <v>944.95</v>
      </c>
      <c r="D1492" s="6">
        <f>IFERROR(__xludf.DUMMYFUNCTION("""COMPUTED_VALUE"""),909.15)</f>
        <v>909.15</v>
      </c>
      <c r="E1492" s="6">
        <f>IFERROR(__xludf.DUMMYFUNCTION("""COMPUTED_VALUE"""),941.0)</f>
        <v>941</v>
      </c>
      <c r="F1492" s="7">
        <f>IFERROR(__xludf.DUMMYFUNCTION("""COMPUTED_VALUE"""),3691409.0)</f>
        <v>3691409</v>
      </c>
      <c r="G1492" s="7" t="str">
        <f>IFERROR(__xludf.DUMMYFUNCTION("""COMPUTED_VALUE"""),"ADANIGREEN.NS")</f>
        <v>ADANIGREEN.NS</v>
      </c>
      <c r="H1492" s="8">
        <f t="shared" si="1"/>
        <v>0.02802206806</v>
      </c>
      <c r="I1492" s="8">
        <f t="shared" si="2"/>
        <v>0.02802206806</v>
      </c>
      <c r="J1492" s="7" t="str">
        <f t="shared" si="3"/>
        <v>Apr-2025</v>
      </c>
      <c r="K1492" s="9">
        <f t="shared" si="4"/>
        <v>45748</v>
      </c>
      <c r="L1492" s="7" t="str">
        <f t="shared" si="5"/>
        <v/>
      </c>
      <c r="M1492" s="7" t="str">
        <f>IFERROR(__xludf.DUMMYFUNCTION("IFERROR(
  IF(
    F1492 &gt;
    3*AVERAGE(
       FILTER($F$2:$F10491,
         $G$2:$G10491=G1492,
         $A$2:$A10491&gt;=A1492-20,
         $A$2:$A10491&lt;=A1492
       )
    ),
    ""VOL_SPIKE_3X"",""""
  ),
"""")
"),"")</f>
        <v/>
      </c>
      <c r="N1492" s="7" t="str">
        <f t="shared" si="6"/>
        <v/>
      </c>
      <c r="O1492" s="7" t="str">
        <f t="shared" si="7"/>
        <v/>
      </c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>
      <c r="A1493" s="5">
        <f>IFERROR(__xludf.DUMMYFUNCTION("""COMPUTED_VALUE"""),45775.0)</f>
        <v>45775</v>
      </c>
      <c r="B1493" s="6">
        <f>IFERROR(__xludf.DUMMYFUNCTION("""COMPUTED_VALUE"""),293.1)</f>
        <v>293.1</v>
      </c>
      <c r="C1493" s="6">
        <f>IFERROR(__xludf.DUMMYFUNCTION("""COMPUTED_VALUE"""),310.95)</f>
        <v>310.95</v>
      </c>
      <c r="D1493" s="6">
        <f>IFERROR(__xludf.DUMMYFUNCTION("""COMPUTED_VALUE"""),293.1)</f>
        <v>293.1</v>
      </c>
      <c r="E1493" s="6">
        <f>IFERROR(__xludf.DUMMYFUNCTION("""COMPUTED_VALUE"""),310.0)</f>
        <v>310</v>
      </c>
      <c r="F1493" s="7">
        <f>IFERROR(__xludf.DUMMYFUNCTION("""COMPUTED_VALUE"""),1.4414879E7)</f>
        <v>14414879</v>
      </c>
      <c r="G1493" s="7" t="str">
        <f>IFERROR(__xludf.DUMMYFUNCTION("""COMPUTED_VALUE"""),"BPCL.NS")</f>
        <v>BPCL.NS</v>
      </c>
      <c r="H1493" s="8">
        <f t="shared" si="1"/>
        <v>0.05765950188</v>
      </c>
      <c r="I1493" s="8">
        <f t="shared" si="2"/>
        <v>0.05765950188</v>
      </c>
      <c r="J1493" s="7" t="str">
        <f t="shared" si="3"/>
        <v>Apr-2025</v>
      </c>
      <c r="K1493" s="9">
        <f t="shared" si="4"/>
        <v>45748</v>
      </c>
      <c r="L1493" s="7" t="str">
        <f t="shared" si="5"/>
        <v>PRICE_MOVE_5PCT+</v>
      </c>
      <c r="M1493" s="7" t="str">
        <f>IFERROR(__xludf.DUMMYFUNCTION("IFERROR(
  IF(
    F1493 &gt;
    3*AVERAGE(
       FILTER($F$2:$F10491,
         $G$2:$G10491=G1493,
         $A$2:$A10491&gt;=A1493-20,
         $A$2:$A10491&lt;=A1493
       )
    ),
    ""VOL_SPIKE_3X"",""""
  ),
"""")
"),"")</f>
        <v/>
      </c>
      <c r="N1493" s="7" t="str">
        <f t="shared" si="6"/>
        <v>PRICE_MOVE_5PCT+</v>
      </c>
      <c r="O1493" s="7" t="str">
        <f t="shared" si="7"/>
        <v/>
      </c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>
      <c r="A1494" s="5">
        <f>IFERROR(__xludf.DUMMYFUNCTION("""COMPUTED_VALUE"""),45775.0)</f>
        <v>45775</v>
      </c>
      <c r="B1494" s="6">
        <f>IFERROR(__xludf.DUMMYFUNCTION("""COMPUTED_VALUE"""),393.15)</f>
        <v>393.15</v>
      </c>
      <c r="C1494" s="6">
        <f>IFERROR(__xludf.DUMMYFUNCTION("""COMPUTED_VALUE"""),398.8)</f>
        <v>398.8</v>
      </c>
      <c r="D1494" s="6">
        <f>IFERROR(__xludf.DUMMYFUNCTION("""COMPUTED_VALUE"""),391.55)</f>
        <v>391.55</v>
      </c>
      <c r="E1494" s="6">
        <f>IFERROR(__xludf.DUMMYFUNCTION("""COMPUTED_VALUE"""),397.15)</f>
        <v>397.15</v>
      </c>
      <c r="F1494" s="7">
        <f>IFERROR(__xludf.DUMMYFUNCTION("""COMPUTED_VALUE"""),3458518.0)</f>
        <v>3458518</v>
      </c>
      <c r="G1494" s="7" t="str">
        <f>IFERROR(__xludf.DUMMYFUNCTION("""COMPUTED_VALUE"""),"COALINDIA.NS")</f>
        <v>COALINDIA.NS</v>
      </c>
      <c r="H1494" s="8">
        <f t="shared" si="1"/>
        <v>0.01017423375</v>
      </c>
      <c r="I1494" s="8">
        <f t="shared" si="2"/>
        <v>0.01017423375</v>
      </c>
      <c r="J1494" s="7" t="str">
        <f t="shared" si="3"/>
        <v>Apr-2025</v>
      </c>
      <c r="K1494" s="9">
        <f t="shared" si="4"/>
        <v>45748</v>
      </c>
      <c r="L1494" s="7" t="str">
        <f t="shared" si="5"/>
        <v/>
      </c>
      <c r="M1494" s="7" t="str">
        <f>IFERROR(__xludf.DUMMYFUNCTION("IFERROR(
  IF(
    F1494 &gt;
    3*AVERAGE(
       FILTER($F$2:$F10491,
         $G$2:$G10491=G1494,
         $A$2:$A10491&gt;=A1494-20,
         $A$2:$A10491&lt;=A1494
       )
    ),
    ""VOL_SPIKE_3X"",""""
  ),
"""")
"),"")</f>
        <v/>
      </c>
      <c r="N1494" s="7" t="str">
        <f t="shared" si="6"/>
        <v/>
      </c>
      <c r="O1494" s="7" t="str">
        <f t="shared" si="7"/>
        <v/>
      </c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>
      <c r="A1495" s="5">
        <f>IFERROR(__xludf.DUMMYFUNCTION("""COMPUTED_VALUE"""),45775.0)</f>
        <v>45775</v>
      </c>
      <c r="B1495" s="6">
        <f>IFERROR(__xludf.DUMMYFUNCTION("""COMPUTED_VALUE"""),377.0)</f>
        <v>377</v>
      </c>
      <c r="C1495" s="6">
        <f>IFERROR(__xludf.DUMMYFUNCTION("""COMPUTED_VALUE"""),393.0)</f>
        <v>393</v>
      </c>
      <c r="D1495" s="6">
        <f>IFERROR(__xludf.DUMMYFUNCTION("""COMPUTED_VALUE"""),377.0)</f>
        <v>377</v>
      </c>
      <c r="E1495" s="6">
        <f>IFERROR(__xludf.DUMMYFUNCTION("""COMPUTED_VALUE"""),392.2)</f>
        <v>392.2</v>
      </c>
      <c r="F1495" s="7">
        <f>IFERROR(__xludf.DUMMYFUNCTION("""COMPUTED_VALUE"""),6104973.0)</f>
        <v>6104973</v>
      </c>
      <c r="G1495" s="7" t="str">
        <f>IFERROR(__xludf.DUMMYFUNCTION("""COMPUTED_VALUE"""),"HINDPETRO.NS")</f>
        <v>HINDPETRO.NS</v>
      </c>
      <c r="H1495" s="8">
        <f t="shared" si="1"/>
        <v>0.04031830239</v>
      </c>
      <c r="I1495" s="8">
        <f t="shared" si="2"/>
        <v>0.04031830239</v>
      </c>
      <c r="J1495" s="7" t="str">
        <f t="shared" si="3"/>
        <v>Apr-2025</v>
      </c>
      <c r="K1495" s="9">
        <f t="shared" si="4"/>
        <v>45748</v>
      </c>
      <c r="L1495" s="7" t="str">
        <f t="shared" si="5"/>
        <v/>
      </c>
      <c r="M1495" s="7" t="str">
        <f>IFERROR(__xludf.DUMMYFUNCTION("IFERROR(
  IF(
    F1495 &gt;
    3*AVERAGE(
       FILTER($F$2:$F10491,
         $G$2:$G10491=G1495,
         $A$2:$A10491&gt;=A1495-20,
         $A$2:$A10491&lt;=A1495
       )
    ),
    ""VOL_SPIKE_3X"",""""
  ),
"""")
"),"")</f>
        <v/>
      </c>
      <c r="N1495" s="7" t="str">
        <f t="shared" si="6"/>
        <v/>
      </c>
      <c r="O1495" s="7" t="str">
        <f t="shared" si="7"/>
        <v/>
      </c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>
      <c r="A1496" s="5">
        <f>IFERROR(__xludf.DUMMYFUNCTION("""COMPUTED_VALUE"""),45775.0)</f>
        <v>45775</v>
      </c>
      <c r="B1496" s="6">
        <f>IFERROR(__xludf.DUMMYFUNCTION("""COMPUTED_VALUE"""),133.81)</f>
        <v>133.81</v>
      </c>
      <c r="C1496" s="6">
        <f>IFERROR(__xludf.DUMMYFUNCTION("""COMPUTED_VALUE"""),137.35)</f>
        <v>137.35</v>
      </c>
      <c r="D1496" s="6">
        <f>IFERROR(__xludf.DUMMYFUNCTION("""COMPUTED_VALUE"""),133.65)</f>
        <v>133.65</v>
      </c>
      <c r="E1496" s="6">
        <f>IFERROR(__xludf.DUMMYFUNCTION("""COMPUTED_VALUE"""),136.49)</f>
        <v>136.49</v>
      </c>
      <c r="F1496" s="7">
        <f>IFERROR(__xludf.DUMMYFUNCTION("""COMPUTED_VALUE"""),1.0943944E7)</f>
        <v>10943944</v>
      </c>
      <c r="G1496" s="7" t="str">
        <f>IFERROR(__xludf.DUMMYFUNCTION("""COMPUTED_VALUE"""),"IOC.NS")</f>
        <v>IOC.NS</v>
      </c>
      <c r="H1496" s="8">
        <f t="shared" si="1"/>
        <v>0.02002839848</v>
      </c>
      <c r="I1496" s="8">
        <f t="shared" si="2"/>
        <v>0.02002839848</v>
      </c>
      <c r="J1496" s="7" t="str">
        <f t="shared" si="3"/>
        <v>Apr-2025</v>
      </c>
      <c r="K1496" s="9">
        <f t="shared" si="4"/>
        <v>45748</v>
      </c>
      <c r="L1496" s="7" t="str">
        <f t="shared" si="5"/>
        <v/>
      </c>
      <c r="M1496" s="7" t="str">
        <f>IFERROR(__xludf.DUMMYFUNCTION("IFERROR(
  IF(
    F1496 &gt;
    3*AVERAGE(
       FILTER($F$2:$F10491,
         $G$2:$G10491=G1496,
         $A$2:$A10491&gt;=A1496-20,
         $A$2:$A10491&lt;=A1496
       )
    ),
    ""VOL_SPIKE_3X"",""""
  ),
"""")
"),"")</f>
        <v/>
      </c>
      <c r="N1496" s="7" t="str">
        <f t="shared" si="6"/>
        <v/>
      </c>
      <c r="O1496" s="7" t="str">
        <f t="shared" si="7"/>
        <v/>
      </c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>
      <c r="A1497" s="5">
        <f>IFERROR(__xludf.DUMMYFUNCTION("""COMPUTED_VALUE"""),45775.0)</f>
        <v>45775</v>
      </c>
      <c r="B1497" s="6">
        <f>IFERROR(__xludf.DUMMYFUNCTION("""COMPUTED_VALUE"""),353.7)</f>
        <v>353.7</v>
      </c>
      <c r="C1497" s="6">
        <f>IFERROR(__xludf.DUMMYFUNCTION("""COMPUTED_VALUE"""),362.9)</f>
        <v>362.9</v>
      </c>
      <c r="D1497" s="6">
        <f>IFERROR(__xludf.DUMMYFUNCTION("""COMPUTED_VALUE"""),353.7)</f>
        <v>353.7</v>
      </c>
      <c r="E1497" s="6">
        <f>IFERROR(__xludf.DUMMYFUNCTION("""COMPUTED_VALUE"""),361.5)</f>
        <v>361.5</v>
      </c>
      <c r="F1497" s="7">
        <f>IFERROR(__xludf.DUMMYFUNCTION("""COMPUTED_VALUE"""),5315840.0)</f>
        <v>5315840</v>
      </c>
      <c r="G1497" s="7" t="str">
        <f>IFERROR(__xludf.DUMMYFUNCTION("""COMPUTED_VALUE"""),"NTPC.NS")</f>
        <v>NTPC.NS</v>
      </c>
      <c r="H1497" s="8">
        <f t="shared" si="1"/>
        <v>0.02205258694</v>
      </c>
      <c r="I1497" s="8">
        <f t="shared" si="2"/>
        <v>0.02205258694</v>
      </c>
      <c r="J1497" s="7" t="str">
        <f t="shared" si="3"/>
        <v>Apr-2025</v>
      </c>
      <c r="K1497" s="9">
        <f t="shared" si="4"/>
        <v>45748</v>
      </c>
      <c r="L1497" s="7" t="str">
        <f t="shared" si="5"/>
        <v/>
      </c>
      <c r="M1497" s="7" t="str">
        <f>IFERROR(__xludf.DUMMYFUNCTION("IFERROR(
  IF(
    F1497 &gt;
    3*AVERAGE(
       FILTER($F$2:$F10491,
         $G$2:$G10491=G1497,
         $A$2:$A10491&gt;=A1497-20,
         $A$2:$A10491&lt;=A1497
       )
    ),
    ""VOL_SPIKE_3X"",""""
  ),
"""")
"),"")</f>
        <v/>
      </c>
      <c r="N1497" s="7" t="str">
        <f t="shared" si="6"/>
        <v/>
      </c>
      <c r="O1497" s="7" t="str">
        <f t="shared" si="7"/>
        <v/>
      </c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>
      <c r="A1498" s="5">
        <f>IFERROR(__xludf.DUMMYFUNCTION("""COMPUTED_VALUE"""),45775.0)</f>
        <v>45775</v>
      </c>
      <c r="B1498" s="6">
        <f>IFERROR(__xludf.DUMMYFUNCTION("""COMPUTED_VALUE"""),246.0)</f>
        <v>246</v>
      </c>
      <c r="C1498" s="6">
        <f>IFERROR(__xludf.DUMMYFUNCTION("""COMPUTED_VALUE"""),251.95)</f>
        <v>251.95</v>
      </c>
      <c r="D1498" s="6">
        <f>IFERROR(__xludf.DUMMYFUNCTION("""COMPUTED_VALUE"""),244.38)</f>
        <v>244.38</v>
      </c>
      <c r="E1498" s="6">
        <f>IFERROR(__xludf.DUMMYFUNCTION("""COMPUTED_VALUE"""),250.6)</f>
        <v>250.6</v>
      </c>
      <c r="F1498" s="7">
        <f>IFERROR(__xludf.DUMMYFUNCTION("""COMPUTED_VALUE"""),7669983.0)</f>
        <v>7669983</v>
      </c>
      <c r="G1498" s="7" t="str">
        <f>IFERROR(__xludf.DUMMYFUNCTION("""COMPUTED_VALUE"""),"ONGC.NS")</f>
        <v>ONGC.NS</v>
      </c>
      <c r="H1498" s="8">
        <f t="shared" si="1"/>
        <v>0.01869918699</v>
      </c>
      <c r="I1498" s="8">
        <f t="shared" si="2"/>
        <v>0.01869918699</v>
      </c>
      <c r="J1498" s="7" t="str">
        <f t="shared" si="3"/>
        <v>Apr-2025</v>
      </c>
      <c r="K1498" s="9">
        <f t="shared" si="4"/>
        <v>45748</v>
      </c>
      <c r="L1498" s="7" t="str">
        <f t="shared" si="5"/>
        <v/>
      </c>
      <c r="M1498" s="7" t="str">
        <f>IFERROR(__xludf.DUMMYFUNCTION("IFERROR(
  IF(
    F1498 &gt;
    3*AVERAGE(
       FILTER($F$2:$F10491,
         $G$2:$G10491=G1498,
         $A$2:$A10491&gt;=A1498-20,
         $A$2:$A10491&lt;=A1498
       )
    ),
    ""VOL_SPIKE_3X"",""""
  ),
"""")
"),"")</f>
        <v/>
      </c>
      <c r="N1498" s="7" t="str">
        <f t="shared" si="6"/>
        <v/>
      </c>
      <c r="O1498" s="7" t="str">
        <f t="shared" si="7"/>
        <v/>
      </c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>
      <c r="A1499" s="5">
        <f>IFERROR(__xludf.DUMMYFUNCTION("""COMPUTED_VALUE"""),45775.0)</f>
        <v>45775</v>
      </c>
      <c r="B1499" s="6">
        <f>IFERROR(__xludf.DUMMYFUNCTION("""COMPUTED_VALUE"""),304.2)</f>
        <v>304.2</v>
      </c>
      <c r="C1499" s="6">
        <f>IFERROR(__xludf.DUMMYFUNCTION("""COMPUTED_VALUE"""),310.95)</f>
        <v>310.95</v>
      </c>
      <c r="D1499" s="6">
        <f>IFERROR(__xludf.DUMMYFUNCTION("""COMPUTED_VALUE"""),303.55)</f>
        <v>303.55</v>
      </c>
      <c r="E1499" s="6">
        <f>IFERROR(__xludf.DUMMYFUNCTION("""COMPUTED_VALUE"""),308.55)</f>
        <v>308.55</v>
      </c>
      <c r="F1499" s="7">
        <f>IFERROR(__xludf.DUMMYFUNCTION("""COMPUTED_VALUE"""),7314824.0)</f>
        <v>7314824</v>
      </c>
      <c r="G1499" s="7" t="str">
        <f>IFERROR(__xludf.DUMMYFUNCTION("""COMPUTED_VALUE"""),"POWERGRID.NS")</f>
        <v>POWERGRID.NS</v>
      </c>
      <c r="H1499" s="8">
        <f t="shared" si="1"/>
        <v>0.01429980276</v>
      </c>
      <c r="I1499" s="8">
        <f t="shared" si="2"/>
        <v>0.01429980276</v>
      </c>
      <c r="J1499" s="7" t="str">
        <f t="shared" si="3"/>
        <v>Apr-2025</v>
      </c>
      <c r="K1499" s="9">
        <f t="shared" si="4"/>
        <v>45748</v>
      </c>
      <c r="L1499" s="7" t="str">
        <f t="shared" si="5"/>
        <v/>
      </c>
      <c r="M1499" s="7" t="str">
        <f>IFERROR(__xludf.DUMMYFUNCTION("IFERROR(
  IF(
    F1499 &gt;
    3*AVERAGE(
       FILTER($F$2:$F10491,
         $G$2:$G10491=G1499,
         $A$2:$A10491&gt;=A1499-20,
         $A$2:$A10491&lt;=A1499
       )
    ),
    ""VOL_SPIKE_3X"",""""
  ),
"""")
"),"")</f>
        <v/>
      </c>
      <c r="N1499" s="7" t="str">
        <f t="shared" si="6"/>
        <v/>
      </c>
      <c r="O1499" s="7" t="str">
        <f t="shared" si="7"/>
        <v/>
      </c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>
      <c r="A1500" s="5">
        <f>IFERROR(__xludf.DUMMYFUNCTION("""COMPUTED_VALUE"""),45775.0)</f>
        <v>45775</v>
      </c>
      <c r="B1500" s="6">
        <f>IFERROR(__xludf.DUMMYFUNCTION("""COMPUTED_VALUE"""),1340.0)</f>
        <v>1340</v>
      </c>
      <c r="C1500" s="6">
        <f>IFERROR(__xludf.DUMMYFUNCTION("""COMPUTED_VALUE"""),1374.6)</f>
        <v>1374.6</v>
      </c>
      <c r="D1500" s="6">
        <f>IFERROR(__xludf.DUMMYFUNCTION("""COMPUTED_VALUE"""),1320.2)</f>
        <v>1320.2</v>
      </c>
      <c r="E1500" s="6">
        <f>IFERROR(__xludf.DUMMYFUNCTION("""COMPUTED_VALUE"""),1368.8)</f>
        <v>1368.8</v>
      </c>
      <c r="F1500" s="7">
        <f>IFERROR(__xludf.DUMMYFUNCTION("""COMPUTED_VALUE"""),3.1104496E7)</f>
        <v>31104496</v>
      </c>
      <c r="G1500" s="7" t="str">
        <f>IFERROR(__xludf.DUMMYFUNCTION("""COMPUTED_VALUE"""),"RELIANCE.NS")</f>
        <v>RELIANCE.NS</v>
      </c>
      <c r="H1500" s="8">
        <f t="shared" si="1"/>
        <v>0.02149253731</v>
      </c>
      <c r="I1500" s="8">
        <f t="shared" si="2"/>
        <v>0.02149253731</v>
      </c>
      <c r="J1500" s="7" t="str">
        <f t="shared" si="3"/>
        <v>Apr-2025</v>
      </c>
      <c r="K1500" s="9">
        <f t="shared" si="4"/>
        <v>45748</v>
      </c>
      <c r="L1500" s="7" t="str">
        <f t="shared" si="5"/>
        <v/>
      </c>
      <c r="M1500" s="7" t="str">
        <f>IFERROR(__xludf.DUMMYFUNCTION("IFERROR(
  IF(
    F1500 &gt;
    3*AVERAGE(
       FILTER($F$2:$F10491,
         $G$2:$G10491=G1500,
         $A$2:$A10491&gt;=A1500-20,
         $A$2:$A10491&lt;=A1500
       )
    ),
    ""VOL_SPIKE_3X"",""""
  ),
"""")
"),"")</f>
        <v/>
      </c>
      <c r="N1500" s="7" t="str">
        <f t="shared" si="6"/>
        <v/>
      </c>
      <c r="O1500" s="7" t="str">
        <f t="shared" si="7"/>
        <v/>
      </c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>
      <c r="A1501" s="5">
        <f>IFERROR(__xludf.DUMMYFUNCTION("""COMPUTED_VALUE"""),45776.0)</f>
        <v>45776</v>
      </c>
      <c r="B1501" s="6">
        <f>IFERROR(__xludf.DUMMYFUNCTION("""COMPUTED_VALUE"""),929.9)</f>
        <v>929.9</v>
      </c>
      <c r="C1501" s="6">
        <f>IFERROR(__xludf.DUMMYFUNCTION("""COMPUTED_VALUE"""),939.85)</f>
        <v>939.85</v>
      </c>
      <c r="D1501" s="6">
        <f>IFERROR(__xludf.DUMMYFUNCTION("""COMPUTED_VALUE"""),912.05)</f>
        <v>912.05</v>
      </c>
      <c r="E1501" s="6">
        <f>IFERROR(__xludf.DUMMYFUNCTION("""COMPUTED_VALUE"""),917.65)</f>
        <v>917.65</v>
      </c>
      <c r="F1501" s="7">
        <f>IFERROR(__xludf.DUMMYFUNCTION("""COMPUTED_VALUE"""),1466481.0)</f>
        <v>1466481</v>
      </c>
      <c r="G1501" s="7" t="str">
        <f>IFERROR(__xludf.DUMMYFUNCTION("""COMPUTED_VALUE"""),"ADANIENSOL.NS")</f>
        <v>ADANIENSOL.NS</v>
      </c>
      <c r="H1501" s="8">
        <f t="shared" si="1"/>
        <v>-0.01317345951</v>
      </c>
      <c r="I1501" s="8">
        <f t="shared" si="2"/>
        <v>0.01317345951</v>
      </c>
      <c r="J1501" s="7" t="str">
        <f t="shared" si="3"/>
        <v>Apr-2025</v>
      </c>
      <c r="K1501" s="9">
        <f t="shared" si="4"/>
        <v>45748</v>
      </c>
      <c r="L1501" s="7" t="str">
        <f t="shared" si="5"/>
        <v/>
      </c>
      <c r="M1501" s="7" t="str">
        <f>IFERROR(__xludf.DUMMYFUNCTION("IFERROR(
  IF(
    F1501 &gt;
    3*AVERAGE(
       FILTER($F$2:$F10491,
         $G$2:$G10491=G1501,
         $A$2:$A10491&gt;=A1501-20,
         $A$2:$A10491&lt;=A1501
       )
    ),
    ""VOL_SPIKE_3X"",""""
  ),
"""")
"),"")</f>
        <v/>
      </c>
      <c r="N1501" s="7" t="str">
        <f t="shared" si="6"/>
        <v/>
      </c>
      <c r="O1501" s="7" t="str">
        <f t="shared" si="7"/>
        <v/>
      </c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>
      <c r="A1502" s="5">
        <f>IFERROR(__xludf.DUMMYFUNCTION("""COMPUTED_VALUE"""),45776.0)</f>
        <v>45776</v>
      </c>
      <c r="B1502" s="6">
        <f>IFERROR(__xludf.DUMMYFUNCTION("""COMPUTED_VALUE"""),960.0)</f>
        <v>960</v>
      </c>
      <c r="C1502" s="6">
        <f>IFERROR(__xludf.DUMMYFUNCTION("""COMPUTED_VALUE"""),961.9)</f>
        <v>961.9</v>
      </c>
      <c r="D1502" s="6">
        <f>IFERROR(__xludf.DUMMYFUNCTION("""COMPUTED_VALUE"""),918.9)</f>
        <v>918.9</v>
      </c>
      <c r="E1502" s="6">
        <f>IFERROR(__xludf.DUMMYFUNCTION("""COMPUTED_VALUE"""),922.4)</f>
        <v>922.4</v>
      </c>
      <c r="F1502" s="7">
        <f>IFERROR(__xludf.DUMMYFUNCTION("""COMPUTED_VALUE"""),6040053.0)</f>
        <v>6040053</v>
      </c>
      <c r="G1502" s="7" t="str">
        <f>IFERROR(__xludf.DUMMYFUNCTION("""COMPUTED_VALUE"""),"ADANIGREEN.NS")</f>
        <v>ADANIGREEN.NS</v>
      </c>
      <c r="H1502" s="8">
        <f t="shared" si="1"/>
        <v>-0.03916666667</v>
      </c>
      <c r="I1502" s="8">
        <f t="shared" si="2"/>
        <v>0.03916666667</v>
      </c>
      <c r="J1502" s="7" t="str">
        <f t="shared" si="3"/>
        <v>Apr-2025</v>
      </c>
      <c r="K1502" s="9">
        <f t="shared" si="4"/>
        <v>45748</v>
      </c>
      <c r="L1502" s="7" t="str">
        <f t="shared" si="5"/>
        <v/>
      </c>
      <c r="M1502" s="7" t="str">
        <f>IFERROR(__xludf.DUMMYFUNCTION("IFERROR(
  IF(
    F1502 &gt;
    3*AVERAGE(
       FILTER($F$2:$F10491,
         $G$2:$G10491=G1502,
         $A$2:$A10491&gt;=A1502-20,
         $A$2:$A10491&lt;=A1502
       )
    ),
    ""VOL_SPIKE_3X"",""""
  ),
"""")
"),"")</f>
        <v/>
      </c>
      <c r="N1502" s="7" t="str">
        <f t="shared" si="6"/>
        <v/>
      </c>
      <c r="O1502" s="7" t="str">
        <f t="shared" si="7"/>
        <v/>
      </c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>
      <c r="A1503" s="5">
        <f>IFERROR(__xludf.DUMMYFUNCTION("""COMPUTED_VALUE"""),45776.0)</f>
        <v>45776</v>
      </c>
      <c r="B1503" s="6">
        <f>IFERROR(__xludf.DUMMYFUNCTION("""COMPUTED_VALUE"""),311.55)</f>
        <v>311.55</v>
      </c>
      <c r="C1503" s="6">
        <f>IFERROR(__xludf.DUMMYFUNCTION("""COMPUTED_VALUE"""),315.6)</f>
        <v>315.6</v>
      </c>
      <c r="D1503" s="6">
        <f>IFERROR(__xludf.DUMMYFUNCTION("""COMPUTED_VALUE"""),309.8)</f>
        <v>309.8</v>
      </c>
      <c r="E1503" s="6">
        <f>IFERROR(__xludf.DUMMYFUNCTION("""COMPUTED_VALUE"""),311.7)</f>
        <v>311.7</v>
      </c>
      <c r="F1503" s="7">
        <f>IFERROR(__xludf.DUMMYFUNCTION("""COMPUTED_VALUE"""),9522966.0)</f>
        <v>9522966</v>
      </c>
      <c r="G1503" s="7" t="str">
        <f>IFERROR(__xludf.DUMMYFUNCTION("""COMPUTED_VALUE"""),"BPCL.NS")</f>
        <v>BPCL.NS</v>
      </c>
      <c r="H1503" s="8">
        <f t="shared" si="1"/>
        <v>0.0004814636495</v>
      </c>
      <c r="I1503" s="8">
        <f t="shared" si="2"/>
        <v>0.0004814636495</v>
      </c>
      <c r="J1503" s="7" t="str">
        <f t="shared" si="3"/>
        <v>Apr-2025</v>
      </c>
      <c r="K1503" s="9">
        <f t="shared" si="4"/>
        <v>45748</v>
      </c>
      <c r="L1503" s="7" t="str">
        <f t="shared" si="5"/>
        <v/>
      </c>
      <c r="M1503" s="7" t="str">
        <f>IFERROR(__xludf.DUMMYFUNCTION("IFERROR(
  IF(
    F1503 &gt;
    3*AVERAGE(
       FILTER($F$2:$F10491,
         $G$2:$G10491=G1503,
         $A$2:$A10491&gt;=A1503-20,
         $A$2:$A10491&lt;=A1503
       )
    ),
    ""VOL_SPIKE_3X"",""""
  ),
"""")
"),"")</f>
        <v/>
      </c>
      <c r="N1503" s="7" t="str">
        <f t="shared" si="6"/>
        <v/>
      </c>
      <c r="O1503" s="7" t="str">
        <f t="shared" si="7"/>
        <v/>
      </c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>
      <c r="A1504" s="5">
        <f>IFERROR(__xludf.DUMMYFUNCTION("""COMPUTED_VALUE"""),45776.0)</f>
        <v>45776</v>
      </c>
      <c r="B1504" s="6">
        <f>IFERROR(__xludf.DUMMYFUNCTION("""COMPUTED_VALUE"""),397.15)</f>
        <v>397.15</v>
      </c>
      <c r="C1504" s="6">
        <f>IFERROR(__xludf.DUMMYFUNCTION("""COMPUTED_VALUE"""),400.35)</f>
        <v>400.35</v>
      </c>
      <c r="D1504" s="6">
        <f>IFERROR(__xludf.DUMMYFUNCTION("""COMPUTED_VALUE"""),388.45)</f>
        <v>388.45</v>
      </c>
      <c r="E1504" s="6">
        <f>IFERROR(__xludf.DUMMYFUNCTION("""COMPUTED_VALUE"""),389.1)</f>
        <v>389.1</v>
      </c>
      <c r="F1504" s="7">
        <f>IFERROR(__xludf.DUMMYFUNCTION("""COMPUTED_VALUE"""),6274213.0)</f>
        <v>6274213</v>
      </c>
      <c r="G1504" s="7" t="str">
        <f>IFERROR(__xludf.DUMMYFUNCTION("""COMPUTED_VALUE"""),"COALINDIA.NS")</f>
        <v>COALINDIA.NS</v>
      </c>
      <c r="H1504" s="8">
        <f t="shared" si="1"/>
        <v>-0.02026941961</v>
      </c>
      <c r="I1504" s="8">
        <f t="shared" si="2"/>
        <v>0.02026941961</v>
      </c>
      <c r="J1504" s="7" t="str">
        <f t="shared" si="3"/>
        <v>Apr-2025</v>
      </c>
      <c r="K1504" s="9">
        <f t="shared" si="4"/>
        <v>45748</v>
      </c>
      <c r="L1504" s="7" t="str">
        <f t="shared" si="5"/>
        <v/>
      </c>
      <c r="M1504" s="7" t="str">
        <f>IFERROR(__xludf.DUMMYFUNCTION("IFERROR(
  IF(
    F1504 &gt;
    3*AVERAGE(
       FILTER($F$2:$F10491,
         $G$2:$G10491=G1504,
         $A$2:$A10491&gt;=A1504-20,
         $A$2:$A10491&lt;=A1504
       )
    ),
    ""VOL_SPIKE_3X"",""""
  ),
"""")
"),"")</f>
        <v/>
      </c>
      <c r="N1504" s="7" t="str">
        <f t="shared" si="6"/>
        <v/>
      </c>
      <c r="O1504" s="7" t="str">
        <f t="shared" si="7"/>
        <v/>
      </c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>
      <c r="A1505" s="5">
        <f>IFERROR(__xludf.DUMMYFUNCTION("""COMPUTED_VALUE"""),45776.0)</f>
        <v>45776</v>
      </c>
      <c r="B1505" s="6">
        <f>IFERROR(__xludf.DUMMYFUNCTION("""COMPUTED_VALUE"""),393.1)</f>
        <v>393.1</v>
      </c>
      <c r="C1505" s="6">
        <f>IFERROR(__xludf.DUMMYFUNCTION("""COMPUTED_VALUE"""),396.8)</f>
        <v>396.8</v>
      </c>
      <c r="D1505" s="6">
        <f>IFERROR(__xludf.DUMMYFUNCTION("""COMPUTED_VALUE"""),389.25)</f>
        <v>389.25</v>
      </c>
      <c r="E1505" s="6">
        <f>IFERROR(__xludf.DUMMYFUNCTION("""COMPUTED_VALUE"""),391.1)</f>
        <v>391.1</v>
      </c>
      <c r="F1505" s="7">
        <f>IFERROR(__xludf.DUMMYFUNCTION("""COMPUTED_VALUE"""),4419920.0)</f>
        <v>4419920</v>
      </c>
      <c r="G1505" s="7" t="str">
        <f>IFERROR(__xludf.DUMMYFUNCTION("""COMPUTED_VALUE"""),"HINDPETRO.NS")</f>
        <v>HINDPETRO.NS</v>
      </c>
      <c r="H1505" s="8">
        <f t="shared" si="1"/>
        <v>-0.005087763928</v>
      </c>
      <c r="I1505" s="8">
        <f t="shared" si="2"/>
        <v>0.005087763928</v>
      </c>
      <c r="J1505" s="7" t="str">
        <f t="shared" si="3"/>
        <v>Apr-2025</v>
      </c>
      <c r="K1505" s="9">
        <f t="shared" si="4"/>
        <v>45748</v>
      </c>
      <c r="L1505" s="7" t="str">
        <f t="shared" si="5"/>
        <v/>
      </c>
      <c r="M1505" s="7" t="str">
        <f>IFERROR(__xludf.DUMMYFUNCTION("IFERROR(
  IF(
    F1505 &gt;
    3*AVERAGE(
       FILTER($F$2:$F10491,
         $G$2:$G10491=G1505,
         $A$2:$A10491&gt;=A1505-20,
         $A$2:$A10491&lt;=A1505
       )
    ),
    ""VOL_SPIKE_3X"",""""
  ),
"""")
"),"")</f>
        <v/>
      </c>
      <c r="N1505" s="7" t="str">
        <f t="shared" si="6"/>
        <v/>
      </c>
      <c r="O1505" s="7" t="str">
        <f t="shared" si="7"/>
        <v/>
      </c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>
      <c r="A1506" s="5">
        <f>IFERROR(__xludf.DUMMYFUNCTION("""COMPUTED_VALUE"""),45776.0)</f>
        <v>45776</v>
      </c>
      <c r="B1506" s="6">
        <f>IFERROR(__xludf.DUMMYFUNCTION("""COMPUTED_VALUE"""),137.3)</f>
        <v>137.3</v>
      </c>
      <c r="C1506" s="6">
        <f>IFERROR(__xludf.DUMMYFUNCTION("""COMPUTED_VALUE"""),138.25)</f>
        <v>138.25</v>
      </c>
      <c r="D1506" s="6">
        <f>IFERROR(__xludf.DUMMYFUNCTION("""COMPUTED_VALUE"""),135.53)</f>
        <v>135.53</v>
      </c>
      <c r="E1506" s="6">
        <f>IFERROR(__xludf.DUMMYFUNCTION("""COMPUTED_VALUE"""),135.78)</f>
        <v>135.78</v>
      </c>
      <c r="F1506" s="7">
        <f>IFERROR(__xludf.DUMMYFUNCTION("""COMPUTED_VALUE"""),1.5222917E7)</f>
        <v>15222917</v>
      </c>
      <c r="G1506" s="7" t="str">
        <f>IFERROR(__xludf.DUMMYFUNCTION("""COMPUTED_VALUE"""),"IOC.NS")</f>
        <v>IOC.NS</v>
      </c>
      <c r="H1506" s="8">
        <f t="shared" si="1"/>
        <v>-0.01107064822</v>
      </c>
      <c r="I1506" s="8">
        <f t="shared" si="2"/>
        <v>0.01107064822</v>
      </c>
      <c r="J1506" s="7" t="str">
        <f t="shared" si="3"/>
        <v>Apr-2025</v>
      </c>
      <c r="K1506" s="9">
        <f t="shared" si="4"/>
        <v>45748</v>
      </c>
      <c r="L1506" s="7" t="str">
        <f t="shared" si="5"/>
        <v/>
      </c>
      <c r="M1506" s="7" t="str">
        <f>IFERROR(__xludf.DUMMYFUNCTION("IFERROR(
  IF(
    F1506 &gt;
    3*AVERAGE(
       FILTER($F$2:$F10491,
         $G$2:$G10491=G1506,
         $A$2:$A10491&gt;=A1506-20,
         $A$2:$A10491&lt;=A1506
       )
    ),
    ""VOL_SPIKE_3X"",""""
  ),
"""")
"),"")</f>
        <v/>
      </c>
      <c r="N1506" s="7" t="str">
        <f t="shared" si="6"/>
        <v/>
      </c>
      <c r="O1506" s="7" t="str">
        <f t="shared" si="7"/>
        <v/>
      </c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>
      <c r="A1507" s="5">
        <f>IFERROR(__xludf.DUMMYFUNCTION("""COMPUTED_VALUE"""),45776.0)</f>
        <v>45776</v>
      </c>
      <c r="B1507" s="6">
        <f>IFERROR(__xludf.DUMMYFUNCTION("""COMPUTED_VALUE"""),364.0)</f>
        <v>364</v>
      </c>
      <c r="C1507" s="6">
        <f>IFERROR(__xludf.DUMMYFUNCTION("""COMPUTED_VALUE"""),364.35)</f>
        <v>364.35</v>
      </c>
      <c r="D1507" s="6">
        <f>IFERROR(__xludf.DUMMYFUNCTION("""COMPUTED_VALUE"""),354.1)</f>
        <v>354.1</v>
      </c>
      <c r="E1507" s="6">
        <f>IFERROR(__xludf.DUMMYFUNCTION("""COMPUTED_VALUE"""),356.95)</f>
        <v>356.95</v>
      </c>
      <c r="F1507" s="7">
        <f>IFERROR(__xludf.DUMMYFUNCTION("""COMPUTED_VALUE"""),9472828.0)</f>
        <v>9472828</v>
      </c>
      <c r="G1507" s="7" t="str">
        <f>IFERROR(__xludf.DUMMYFUNCTION("""COMPUTED_VALUE"""),"NTPC.NS")</f>
        <v>NTPC.NS</v>
      </c>
      <c r="H1507" s="8">
        <f t="shared" si="1"/>
        <v>-0.01936813187</v>
      </c>
      <c r="I1507" s="8">
        <f t="shared" si="2"/>
        <v>0.01936813187</v>
      </c>
      <c r="J1507" s="7" t="str">
        <f t="shared" si="3"/>
        <v>Apr-2025</v>
      </c>
      <c r="K1507" s="9">
        <f t="shared" si="4"/>
        <v>45748</v>
      </c>
      <c r="L1507" s="7" t="str">
        <f t="shared" si="5"/>
        <v/>
      </c>
      <c r="M1507" s="7" t="str">
        <f>IFERROR(__xludf.DUMMYFUNCTION("IFERROR(
  IF(
    F1507 &gt;
    3*AVERAGE(
       FILTER($F$2:$F10491,
         $G$2:$G10491=G1507,
         $A$2:$A10491&gt;=A1507-20,
         $A$2:$A10491&lt;=A1507
       )
    ),
    ""VOL_SPIKE_3X"",""""
  ),
"""")
"),"")</f>
        <v/>
      </c>
      <c r="N1507" s="7" t="str">
        <f t="shared" si="6"/>
        <v/>
      </c>
      <c r="O1507" s="7" t="str">
        <f t="shared" si="7"/>
        <v/>
      </c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>
      <c r="A1508" s="5">
        <f>IFERROR(__xludf.DUMMYFUNCTION("""COMPUTED_VALUE"""),45776.0)</f>
        <v>45776</v>
      </c>
      <c r="B1508" s="6">
        <f>IFERROR(__xludf.DUMMYFUNCTION("""COMPUTED_VALUE"""),251.24)</f>
        <v>251.24</v>
      </c>
      <c r="C1508" s="6">
        <f>IFERROR(__xludf.DUMMYFUNCTION("""COMPUTED_VALUE"""),252.1)</f>
        <v>252.1</v>
      </c>
      <c r="D1508" s="6">
        <f>IFERROR(__xludf.DUMMYFUNCTION("""COMPUTED_VALUE"""),245.1)</f>
        <v>245.1</v>
      </c>
      <c r="E1508" s="6">
        <f>IFERROR(__xludf.DUMMYFUNCTION("""COMPUTED_VALUE"""),245.68)</f>
        <v>245.68</v>
      </c>
      <c r="F1508" s="7">
        <f>IFERROR(__xludf.DUMMYFUNCTION("""COMPUTED_VALUE"""),8030552.0)</f>
        <v>8030552</v>
      </c>
      <c r="G1508" s="7" t="str">
        <f>IFERROR(__xludf.DUMMYFUNCTION("""COMPUTED_VALUE"""),"ONGC.NS")</f>
        <v>ONGC.NS</v>
      </c>
      <c r="H1508" s="8">
        <f t="shared" si="1"/>
        <v>-0.02213023404</v>
      </c>
      <c r="I1508" s="8">
        <f t="shared" si="2"/>
        <v>0.02213023404</v>
      </c>
      <c r="J1508" s="7" t="str">
        <f t="shared" si="3"/>
        <v>Apr-2025</v>
      </c>
      <c r="K1508" s="9">
        <f t="shared" si="4"/>
        <v>45748</v>
      </c>
      <c r="L1508" s="7" t="str">
        <f t="shared" si="5"/>
        <v/>
      </c>
      <c r="M1508" s="7" t="str">
        <f>IFERROR(__xludf.DUMMYFUNCTION("IFERROR(
  IF(
    F1508 &gt;
    3*AVERAGE(
       FILTER($F$2:$F10491,
         $G$2:$G10491=G1508,
         $A$2:$A10491&gt;=A1508-20,
         $A$2:$A10491&lt;=A1508
       )
    ),
    ""VOL_SPIKE_3X"",""""
  ),
"""")
"),"")</f>
        <v/>
      </c>
      <c r="N1508" s="7" t="str">
        <f t="shared" si="6"/>
        <v/>
      </c>
      <c r="O1508" s="7" t="str">
        <f t="shared" si="7"/>
        <v/>
      </c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>
      <c r="A1509" s="5">
        <f>IFERROR(__xludf.DUMMYFUNCTION("""COMPUTED_VALUE"""),45776.0)</f>
        <v>45776</v>
      </c>
      <c r="B1509" s="6">
        <f>IFERROR(__xludf.DUMMYFUNCTION("""COMPUTED_VALUE"""),308.55)</f>
        <v>308.55</v>
      </c>
      <c r="C1509" s="6">
        <f>IFERROR(__xludf.DUMMYFUNCTION("""COMPUTED_VALUE"""),310.8)</f>
        <v>310.8</v>
      </c>
      <c r="D1509" s="6">
        <f>IFERROR(__xludf.DUMMYFUNCTION("""COMPUTED_VALUE"""),301.2)</f>
        <v>301.2</v>
      </c>
      <c r="E1509" s="6">
        <f>IFERROR(__xludf.DUMMYFUNCTION("""COMPUTED_VALUE"""),302.95)</f>
        <v>302.95</v>
      </c>
      <c r="F1509" s="7">
        <f>IFERROR(__xludf.DUMMYFUNCTION("""COMPUTED_VALUE"""),1.4678005E7)</f>
        <v>14678005</v>
      </c>
      <c r="G1509" s="7" t="str">
        <f>IFERROR(__xludf.DUMMYFUNCTION("""COMPUTED_VALUE"""),"POWERGRID.NS")</f>
        <v>POWERGRID.NS</v>
      </c>
      <c r="H1509" s="8">
        <f t="shared" si="1"/>
        <v>-0.01814940852</v>
      </c>
      <c r="I1509" s="8">
        <f t="shared" si="2"/>
        <v>0.01814940852</v>
      </c>
      <c r="J1509" s="7" t="str">
        <f t="shared" si="3"/>
        <v>Apr-2025</v>
      </c>
      <c r="K1509" s="9">
        <f t="shared" si="4"/>
        <v>45748</v>
      </c>
      <c r="L1509" s="7" t="str">
        <f t="shared" si="5"/>
        <v/>
      </c>
      <c r="M1509" s="7" t="str">
        <f>IFERROR(__xludf.DUMMYFUNCTION("IFERROR(
  IF(
    F1509 &gt;
    3*AVERAGE(
       FILTER($F$2:$F10491,
         $G$2:$G10491=G1509,
         $A$2:$A10491&gt;=A1509-20,
         $A$2:$A10491&lt;=A1509
       )
    ),
    ""VOL_SPIKE_3X"",""""
  ),
"""")
"),"")</f>
        <v/>
      </c>
      <c r="N1509" s="7" t="str">
        <f t="shared" si="6"/>
        <v/>
      </c>
      <c r="O1509" s="7" t="str">
        <f t="shared" si="7"/>
        <v/>
      </c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>
      <c r="A1510" s="5">
        <f>IFERROR(__xludf.DUMMYFUNCTION("""COMPUTED_VALUE"""),45776.0)</f>
        <v>45776</v>
      </c>
      <c r="B1510" s="6">
        <f>IFERROR(__xludf.DUMMYFUNCTION("""COMPUTED_VALUE"""),1371.0)</f>
        <v>1371</v>
      </c>
      <c r="C1510" s="6">
        <f>IFERROR(__xludf.DUMMYFUNCTION("""COMPUTED_VALUE"""),1410.9)</f>
        <v>1410.9</v>
      </c>
      <c r="D1510" s="6">
        <f>IFERROR(__xludf.DUMMYFUNCTION("""COMPUTED_VALUE"""),1370.0)</f>
        <v>1370</v>
      </c>
      <c r="E1510" s="6">
        <f>IFERROR(__xludf.DUMMYFUNCTION("""COMPUTED_VALUE"""),1399.7)</f>
        <v>1399.7</v>
      </c>
      <c r="F1510" s="7">
        <f>IFERROR(__xludf.DUMMYFUNCTION("""COMPUTED_VALUE"""),3.253897E7)</f>
        <v>32538970</v>
      </c>
      <c r="G1510" s="7" t="str">
        <f>IFERROR(__xludf.DUMMYFUNCTION("""COMPUTED_VALUE"""),"RELIANCE.NS")</f>
        <v>RELIANCE.NS</v>
      </c>
      <c r="H1510" s="8">
        <f t="shared" si="1"/>
        <v>0.02093362509</v>
      </c>
      <c r="I1510" s="8">
        <f t="shared" si="2"/>
        <v>0.02093362509</v>
      </c>
      <c r="J1510" s="7" t="str">
        <f t="shared" si="3"/>
        <v>Apr-2025</v>
      </c>
      <c r="K1510" s="9">
        <f t="shared" si="4"/>
        <v>45748</v>
      </c>
      <c r="L1510" s="7" t="str">
        <f t="shared" si="5"/>
        <v/>
      </c>
      <c r="M1510" s="7" t="str">
        <f>IFERROR(__xludf.DUMMYFUNCTION("IFERROR(
  IF(
    F1510 &gt;
    3*AVERAGE(
       FILTER($F$2:$F10491,
         $G$2:$G10491=G1510,
         $A$2:$A10491&gt;=A1510-20,
         $A$2:$A10491&lt;=A1510
       )
    ),
    ""VOL_SPIKE_3X"",""""
  ),
"""")
"),"")</f>
        <v/>
      </c>
      <c r="N1510" s="7" t="str">
        <f t="shared" si="6"/>
        <v/>
      </c>
      <c r="O1510" s="7" t="str">
        <f t="shared" si="7"/>
        <v/>
      </c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>
      <c r="A1511" s="5">
        <f>IFERROR(__xludf.DUMMYFUNCTION("""COMPUTED_VALUE"""),45777.0)</f>
        <v>45777</v>
      </c>
      <c r="B1511" s="6">
        <f>IFERROR(__xludf.DUMMYFUNCTION("""COMPUTED_VALUE"""),919.7)</f>
        <v>919.7</v>
      </c>
      <c r="C1511" s="6">
        <f>IFERROR(__xludf.DUMMYFUNCTION("""COMPUTED_VALUE"""),919.7)</f>
        <v>919.7</v>
      </c>
      <c r="D1511" s="6">
        <f>IFERROR(__xludf.DUMMYFUNCTION("""COMPUTED_VALUE"""),892.0)</f>
        <v>892</v>
      </c>
      <c r="E1511" s="6">
        <f>IFERROR(__xludf.DUMMYFUNCTION("""COMPUTED_VALUE"""),899.65)</f>
        <v>899.65</v>
      </c>
      <c r="F1511" s="7">
        <f>IFERROR(__xludf.DUMMYFUNCTION("""COMPUTED_VALUE"""),1191673.0)</f>
        <v>1191673</v>
      </c>
      <c r="G1511" s="7" t="str">
        <f>IFERROR(__xludf.DUMMYFUNCTION("""COMPUTED_VALUE"""),"ADANIENSOL.NS")</f>
        <v>ADANIENSOL.NS</v>
      </c>
      <c r="H1511" s="8">
        <f t="shared" si="1"/>
        <v>-0.02180058715</v>
      </c>
      <c r="I1511" s="8">
        <f t="shared" si="2"/>
        <v>0.02180058715</v>
      </c>
      <c r="J1511" s="7" t="str">
        <f t="shared" si="3"/>
        <v>Apr-2025</v>
      </c>
      <c r="K1511" s="9">
        <f t="shared" si="4"/>
        <v>45748</v>
      </c>
      <c r="L1511" s="7" t="str">
        <f t="shared" si="5"/>
        <v/>
      </c>
      <c r="M1511" s="7" t="str">
        <f>IFERROR(__xludf.DUMMYFUNCTION("IFERROR(
  IF(
    F1511 &gt;
    3*AVERAGE(
       FILTER($F$2:$F10491,
         $G$2:$G10491=G1511,
         $A$2:$A10491&gt;=A1511-20,
         $A$2:$A10491&lt;=A1511
       )
    ),
    ""VOL_SPIKE_3X"",""""
  ),
"""")
"),"")</f>
        <v/>
      </c>
      <c r="N1511" s="7" t="str">
        <f t="shared" si="6"/>
        <v/>
      </c>
      <c r="O1511" s="7" t="str">
        <f t="shared" si="7"/>
        <v/>
      </c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>
      <c r="A1512" s="5">
        <f>IFERROR(__xludf.DUMMYFUNCTION("""COMPUTED_VALUE"""),45777.0)</f>
        <v>45777</v>
      </c>
      <c r="B1512" s="6">
        <f>IFERROR(__xludf.DUMMYFUNCTION("""COMPUTED_VALUE"""),922.8)</f>
        <v>922.8</v>
      </c>
      <c r="C1512" s="6">
        <f>IFERROR(__xludf.DUMMYFUNCTION("""COMPUTED_VALUE"""),929.0)</f>
        <v>929</v>
      </c>
      <c r="D1512" s="6">
        <f>IFERROR(__xludf.DUMMYFUNCTION("""COMPUTED_VALUE"""),895.0)</f>
        <v>895</v>
      </c>
      <c r="E1512" s="6">
        <f>IFERROR(__xludf.DUMMYFUNCTION("""COMPUTED_VALUE"""),900.7)</f>
        <v>900.7</v>
      </c>
      <c r="F1512" s="7">
        <f>IFERROR(__xludf.DUMMYFUNCTION("""COMPUTED_VALUE"""),3000004.0)</f>
        <v>3000004</v>
      </c>
      <c r="G1512" s="7" t="str">
        <f>IFERROR(__xludf.DUMMYFUNCTION("""COMPUTED_VALUE"""),"ADANIGREEN.NS")</f>
        <v>ADANIGREEN.NS</v>
      </c>
      <c r="H1512" s="8">
        <f t="shared" si="1"/>
        <v>-0.02394885132</v>
      </c>
      <c r="I1512" s="8">
        <f t="shared" si="2"/>
        <v>0.02394885132</v>
      </c>
      <c r="J1512" s="7" t="str">
        <f t="shared" si="3"/>
        <v>Apr-2025</v>
      </c>
      <c r="K1512" s="9">
        <f t="shared" si="4"/>
        <v>45748</v>
      </c>
      <c r="L1512" s="7" t="str">
        <f t="shared" si="5"/>
        <v/>
      </c>
      <c r="M1512" s="7" t="str">
        <f>IFERROR(__xludf.DUMMYFUNCTION("IFERROR(
  IF(
    F1512 &gt;
    3*AVERAGE(
       FILTER($F$2:$F10491,
         $G$2:$G10491=G1512,
         $A$2:$A10491&gt;=A1512-20,
         $A$2:$A10491&lt;=A1512
       )
    ),
    ""VOL_SPIKE_3X"",""""
  ),
"""")
"),"")</f>
        <v/>
      </c>
      <c r="N1512" s="7" t="str">
        <f t="shared" si="6"/>
        <v/>
      </c>
      <c r="O1512" s="7" t="str">
        <f t="shared" si="7"/>
        <v/>
      </c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>
      <c r="A1513" s="5">
        <f>IFERROR(__xludf.DUMMYFUNCTION("""COMPUTED_VALUE"""),45777.0)</f>
        <v>45777</v>
      </c>
      <c r="B1513" s="6">
        <f>IFERROR(__xludf.DUMMYFUNCTION("""COMPUTED_VALUE"""),319.0)</f>
        <v>319</v>
      </c>
      <c r="C1513" s="6">
        <f>IFERROR(__xludf.DUMMYFUNCTION("""COMPUTED_VALUE"""),322.45)</f>
        <v>322.45</v>
      </c>
      <c r="D1513" s="6">
        <f>IFERROR(__xludf.DUMMYFUNCTION("""COMPUTED_VALUE"""),309.0)</f>
        <v>309</v>
      </c>
      <c r="E1513" s="6">
        <f>IFERROR(__xludf.DUMMYFUNCTION("""COMPUTED_VALUE"""),310.05)</f>
        <v>310.05</v>
      </c>
      <c r="F1513" s="7">
        <f>IFERROR(__xludf.DUMMYFUNCTION("""COMPUTED_VALUE"""),2.1424437E7)</f>
        <v>21424437</v>
      </c>
      <c r="G1513" s="7" t="str">
        <f>IFERROR(__xludf.DUMMYFUNCTION("""COMPUTED_VALUE"""),"BPCL.NS")</f>
        <v>BPCL.NS</v>
      </c>
      <c r="H1513" s="8">
        <f t="shared" si="1"/>
        <v>-0.02805642633</v>
      </c>
      <c r="I1513" s="8">
        <f t="shared" si="2"/>
        <v>0.02805642633</v>
      </c>
      <c r="J1513" s="7" t="str">
        <f t="shared" si="3"/>
        <v>Apr-2025</v>
      </c>
      <c r="K1513" s="9">
        <f t="shared" si="4"/>
        <v>45748</v>
      </c>
      <c r="L1513" s="7" t="str">
        <f t="shared" si="5"/>
        <v/>
      </c>
      <c r="M1513" s="7" t="str">
        <f>IFERROR(__xludf.DUMMYFUNCTION("IFERROR(
  IF(
    F1513 &gt;
    3*AVERAGE(
       FILTER($F$2:$F10491,
         $G$2:$G10491=G1513,
         $A$2:$A10491&gt;=A1513-20,
         $A$2:$A10491&lt;=A1513
       )
    ),
    ""VOL_SPIKE_3X"",""""
  ),
"""")
"),"")</f>
        <v/>
      </c>
      <c r="N1513" s="7" t="str">
        <f t="shared" si="6"/>
        <v/>
      </c>
      <c r="O1513" s="7" t="str">
        <f t="shared" si="7"/>
        <v/>
      </c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>
      <c r="A1514" s="5">
        <f>IFERROR(__xludf.DUMMYFUNCTION("""COMPUTED_VALUE"""),45777.0)</f>
        <v>45777</v>
      </c>
      <c r="B1514" s="6">
        <f>IFERROR(__xludf.DUMMYFUNCTION("""COMPUTED_VALUE"""),389.1)</f>
        <v>389.1</v>
      </c>
      <c r="C1514" s="6">
        <f>IFERROR(__xludf.DUMMYFUNCTION("""COMPUTED_VALUE"""),390.35)</f>
        <v>390.35</v>
      </c>
      <c r="D1514" s="6">
        <f>IFERROR(__xludf.DUMMYFUNCTION("""COMPUTED_VALUE"""),383.1)</f>
        <v>383.1</v>
      </c>
      <c r="E1514" s="6">
        <f>IFERROR(__xludf.DUMMYFUNCTION("""COMPUTED_VALUE"""),385.3)</f>
        <v>385.3</v>
      </c>
      <c r="F1514" s="7">
        <f>IFERROR(__xludf.DUMMYFUNCTION("""COMPUTED_VALUE"""),4559122.0)</f>
        <v>4559122</v>
      </c>
      <c r="G1514" s="7" t="str">
        <f>IFERROR(__xludf.DUMMYFUNCTION("""COMPUTED_VALUE"""),"COALINDIA.NS")</f>
        <v>COALINDIA.NS</v>
      </c>
      <c r="H1514" s="8">
        <f t="shared" si="1"/>
        <v>-0.00976612696</v>
      </c>
      <c r="I1514" s="8">
        <f t="shared" si="2"/>
        <v>0.00976612696</v>
      </c>
      <c r="J1514" s="7" t="str">
        <f t="shared" si="3"/>
        <v>Apr-2025</v>
      </c>
      <c r="K1514" s="9">
        <f t="shared" si="4"/>
        <v>45748</v>
      </c>
      <c r="L1514" s="7" t="str">
        <f t="shared" si="5"/>
        <v/>
      </c>
      <c r="M1514" s="7" t="str">
        <f>IFERROR(__xludf.DUMMYFUNCTION("IFERROR(
  IF(
    F1514 &gt;
    3*AVERAGE(
       FILTER($F$2:$F10491,
         $G$2:$G10491=G1514,
         $A$2:$A10491&gt;=A1514-20,
         $A$2:$A10491&lt;=A1514
       )
    ),
    ""VOL_SPIKE_3X"",""""
  ),
"""")
"),"")</f>
        <v/>
      </c>
      <c r="N1514" s="7" t="str">
        <f t="shared" si="6"/>
        <v/>
      </c>
      <c r="O1514" s="7" t="str">
        <f t="shared" si="7"/>
        <v/>
      </c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>
      <c r="A1515" s="5">
        <f>IFERROR(__xludf.DUMMYFUNCTION("""COMPUTED_VALUE"""),45777.0)</f>
        <v>45777</v>
      </c>
      <c r="B1515" s="6">
        <f>IFERROR(__xludf.DUMMYFUNCTION("""COMPUTED_VALUE"""),395.0)</f>
        <v>395</v>
      </c>
      <c r="C1515" s="6">
        <f>IFERROR(__xludf.DUMMYFUNCTION("""COMPUTED_VALUE"""),402.75)</f>
        <v>402.75</v>
      </c>
      <c r="D1515" s="6">
        <f>IFERROR(__xludf.DUMMYFUNCTION("""COMPUTED_VALUE"""),374.5)</f>
        <v>374.5</v>
      </c>
      <c r="E1515" s="6">
        <f>IFERROR(__xludf.DUMMYFUNCTION("""COMPUTED_VALUE"""),378.7)</f>
        <v>378.7</v>
      </c>
      <c r="F1515" s="7">
        <f>IFERROR(__xludf.DUMMYFUNCTION("""COMPUTED_VALUE"""),9150558.0)</f>
        <v>9150558</v>
      </c>
      <c r="G1515" s="7" t="str">
        <f>IFERROR(__xludf.DUMMYFUNCTION("""COMPUTED_VALUE"""),"HINDPETRO.NS")</f>
        <v>HINDPETRO.NS</v>
      </c>
      <c r="H1515" s="8">
        <f t="shared" si="1"/>
        <v>-0.04126582278</v>
      </c>
      <c r="I1515" s="8">
        <f t="shared" si="2"/>
        <v>0.04126582278</v>
      </c>
      <c r="J1515" s="7" t="str">
        <f t="shared" si="3"/>
        <v>Apr-2025</v>
      </c>
      <c r="K1515" s="9">
        <f t="shared" si="4"/>
        <v>45748</v>
      </c>
      <c r="L1515" s="7" t="str">
        <f t="shared" si="5"/>
        <v/>
      </c>
      <c r="M1515" s="7" t="str">
        <f>IFERROR(__xludf.DUMMYFUNCTION("IFERROR(
  IF(
    F1515 &gt;
    3*AVERAGE(
       FILTER($F$2:$F10491,
         $G$2:$G10491=G1515,
         $A$2:$A10491&gt;=A1515-20,
         $A$2:$A10491&lt;=A1515
       )
    ),
    ""VOL_SPIKE_3X"",""""
  ),
"""")
"),"")</f>
        <v/>
      </c>
      <c r="N1515" s="7" t="str">
        <f t="shared" si="6"/>
        <v/>
      </c>
      <c r="O1515" s="7" t="str">
        <f t="shared" si="7"/>
        <v/>
      </c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>
      <c r="A1516" s="5">
        <f>IFERROR(__xludf.DUMMYFUNCTION("""COMPUTED_VALUE"""),45777.0)</f>
        <v>45777</v>
      </c>
      <c r="B1516" s="6">
        <f>IFERROR(__xludf.DUMMYFUNCTION("""COMPUTED_VALUE"""),136.5)</f>
        <v>136.5</v>
      </c>
      <c r="C1516" s="6">
        <f>IFERROR(__xludf.DUMMYFUNCTION("""COMPUTED_VALUE"""),139.9)</f>
        <v>139.9</v>
      </c>
      <c r="D1516" s="6">
        <f>IFERROR(__xludf.DUMMYFUNCTION("""COMPUTED_VALUE"""),136.45)</f>
        <v>136.45</v>
      </c>
      <c r="E1516" s="6">
        <f>IFERROR(__xludf.DUMMYFUNCTION("""COMPUTED_VALUE"""),137.86)</f>
        <v>137.86</v>
      </c>
      <c r="F1516" s="7">
        <f>IFERROR(__xludf.DUMMYFUNCTION("""COMPUTED_VALUE"""),3.9902398E7)</f>
        <v>39902398</v>
      </c>
      <c r="G1516" s="7" t="str">
        <f>IFERROR(__xludf.DUMMYFUNCTION("""COMPUTED_VALUE"""),"IOC.NS")</f>
        <v>IOC.NS</v>
      </c>
      <c r="H1516" s="8">
        <f t="shared" si="1"/>
        <v>0.009963369963</v>
      </c>
      <c r="I1516" s="8">
        <f t="shared" si="2"/>
        <v>0.009963369963</v>
      </c>
      <c r="J1516" s="7" t="str">
        <f t="shared" si="3"/>
        <v>Apr-2025</v>
      </c>
      <c r="K1516" s="9">
        <f t="shared" si="4"/>
        <v>45748</v>
      </c>
      <c r="L1516" s="7" t="str">
        <f t="shared" si="5"/>
        <v/>
      </c>
      <c r="M1516" s="7" t="str">
        <f>IFERROR(__xludf.DUMMYFUNCTION("IFERROR(
  IF(
    F1516 &gt;
    3*AVERAGE(
       FILTER($F$2:$F10491,
         $G$2:$G10491=G1516,
         $A$2:$A10491&gt;=A1516-20,
         $A$2:$A10491&lt;=A1516
       )
    ),
    ""VOL_SPIKE_3X"",""""
  ),
"""")
"),"")</f>
        <v/>
      </c>
      <c r="N1516" s="7" t="str">
        <f t="shared" si="6"/>
        <v/>
      </c>
      <c r="O1516" s="7" t="str">
        <f t="shared" si="7"/>
        <v/>
      </c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>
      <c r="A1517" s="5">
        <f>IFERROR(__xludf.DUMMYFUNCTION("""COMPUTED_VALUE"""),45777.0)</f>
        <v>45777</v>
      </c>
      <c r="B1517" s="6">
        <f>IFERROR(__xludf.DUMMYFUNCTION("""COMPUTED_VALUE"""),357.0)</f>
        <v>357</v>
      </c>
      <c r="C1517" s="6">
        <f>IFERROR(__xludf.DUMMYFUNCTION("""COMPUTED_VALUE"""),361.0)</f>
        <v>361</v>
      </c>
      <c r="D1517" s="6">
        <f>IFERROR(__xludf.DUMMYFUNCTION("""COMPUTED_VALUE"""),352.0)</f>
        <v>352</v>
      </c>
      <c r="E1517" s="6">
        <f>IFERROR(__xludf.DUMMYFUNCTION("""COMPUTED_VALUE"""),354.55)</f>
        <v>354.55</v>
      </c>
      <c r="F1517" s="7">
        <f>IFERROR(__xludf.DUMMYFUNCTION("""COMPUTED_VALUE"""),1.6739088E7)</f>
        <v>16739088</v>
      </c>
      <c r="G1517" s="7" t="str">
        <f>IFERROR(__xludf.DUMMYFUNCTION("""COMPUTED_VALUE"""),"NTPC.NS")</f>
        <v>NTPC.NS</v>
      </c>
      <c r="H1517" s="8">
        <f t="shared" si="1"/>
        <v>-0.006862745098</v>
      </c>
      <c r="I1517" s="8">
        <f t="shared" si="2"/>
        <v>0.006862745098</v>
      </c>
      <c r="J1517" s="7" t="str">
        <f t="shared" si="3"/>
        <v>Apr-2025</v>
      </c>
      <c r="K1517" s="9">
        <f t="shared" si="4"/>
        <v>45748</v>
      </c>
      <c r="L1517" s="7" t="str">
        <f t="shared" si="5"/>
        <v/>
      </c>
      <c r="M1517" s="7" t="str">
        <f>IFERROR(__xludf.DUMMYFUNCTION("IFERROR(
  IF(
    F1517 &gt;
    3*AVERAGE(
       FILTER($F$2:$F10491,
         $G$2:$G10491=G1517,
         $A$2:$A10491&gt;=A1517-20,
         $A$2:$A10491&lt;=A1517
       )
    ),
    ""VOL_SPIKE_3X"",""""
  ),
"""")
"),"")</f>
        <v/>
      </c>
      <c r="N1517" s="7" t="str">
        <f t="shared" si="6"/>
        <v/>
      </c>
      <c r="O1517" s="7" t="str">
        <f t="shared" si="7"/>
        <v/>
      </c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>
      <c r="A1518" s="5">
        <f>IFERROR(__xludf.DUMMYFUNCTION("""COMPUTED_VALUE"""),45777.0)</f>
        <v>45777</v>
      </c>
      <c r="B1518" s="6">
        <f>IFERROR(__xludf.DUMMYFUNCTION("""COMPUTED_VALUE"""),245.5)</f>
        <v>245.5</v>
      </c>
      <c r="C1518" s="6">
        <f>IFERROR(__xludf.DUMMYFUNCTION("""COMPUTED_VALUE"""),247.44)</f>
        <v>247.44</v>
      </c>
      <c r="D1518" s="6">
        <f>IFERROR(__xludf.DUMMYFUNCTION("""COMPUTED_VALUE"""),242.22)</f>
        <v>242.22</v>
      </c>
      <c r="E1518" s="6">
        <f>IFERROR(__xludf.DUMMYFUNCTION("""COMPUTED_VALUE"""),244.45)</f>
        <v>244.45</v>
      </c>
      <c r="F1518" s="7">
        <f>IFERROR(__xludf.DUMMYFUNCTION("""COMPUTED_VALUE"""),9822483.0)</f>
        <v>9822483</v>
      </c>
      <c r="G1518" s="7" t="str">
        <f>IFERROR(__xludf.DUMMYFUNCTION("""COMPUTED_VALUE"""),"ONGC.NS")</f>
        <v>ONGC.NS</v>
      </c>
      <c r="H1518" s="8">
        <f t="shared" si="1"/>
        <v>-0.004276985743</v>
      </c>
      <c r="I1518" s="8">
        <f t="shared" si="2"/>
        <v>0.004276985743</v>
      </c>
      <c r="J1518" s="7" t="str">
        <f t="shared" si="3"/>
        <v>Apr-2025</v>
      </c>
      <c r="K1518" s="9">
        <f t="shared" si="4"/>
        <v>45748</v>
      </c>
      <c r="L1518" s="7" t="str">
        <f t="shared" si="5"/>
        <v/>
      </c>
      <c r="M1518" s="7" t="str">
        <f>IFERROR(__xludf.DUMMYFUNCTION("IFERROR(
  IF(
    F1518 &gt;
    3*AVERAGE(
       FILTER($F$2:$F10491,
         $G$2:$G10491=G1518,
         $A$2:$A10491&gt;=A1518-20,
         $A$2:$A10491&lt;=A1518
       )
    ),
    ""VOL_SPIKE_3X"",""""
  ),
"""")
"),"")</f>
        <v/>
      </c>
      <c r="N1518" s="7" t="str">
        <f t="shared" si="6"/>
        <v/>
      </c>
      <c r="O1518" s="7" t="str">
        <f t="shared" si="7"/>
        <v/>
      </c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>
      <c r="A1519" s="5">
        <f>IFERROR(__xludf.DUMMYFUNCTION("""COMPUTED_VALUE"""),45777.0)</f>
        <v>45777</v>
      </c>
      <c r="B1519" s="6">
        <f>IFERROR(__xludf.DUMMYFUNCTION("""COMPUTED_VALUE"""),304.45)</f>
        <v>304.45</v>
      </c>
      <c r="C1519" s="6">
        <f>IFERROR(__xludf.DUMMYFUNCTION("""COMPUTED_VALUE"""),310.0)</f>
        <v>310</v>
      </c>
      <c r="D1519" s="6">
        <f>IFERROR(__xludf.DUMMYFUNCTION("""COMPUTED_VALUE"""),301.9)</f>
        <v>301.9</v>
      </c>
      <c r="E1519" s="6">
        <f>IFERROR(__xludf.DUMMYFUNCTION("""COMPUTED_VALUE"""),307.45)</f>
        <v>307.45</v>
      </c>
      <c r="F1519" s="7">
        <f>IFERROR(__xludf.DUMMYFUNCTION("""COMPUTED_VALUE"""),1.7619987E7)</f>
        <v>17619987</v>
      </c>
      <c r="G1519" s="7" t="str">
        <f>IFERROR(__xludf.DUMMYFUNCTION("""COMPUTED_VALUE"""),"POWERGRID.NS")</f>
        <v>POWERGRID.NS</v>
      </c>
      <c r="H1519" s="8">
        <f t="shared" si="1"/>
        <v>0.009853834784</v>
      </c>
      <c r="I1519" s="8">
        <f t="shared" si="2"/>
        <v>0.009853834784</v>
      </c>
      <c r="J1519" s="7" t="str">
        <f t="shared" si="3"/>
        <v>Apr-2025</v>
      </c>
      <c r="K1519" s="9">
        <f t="shared" si="4"/>
        <v>45748</v>
      </c>
      <c r="L1519" s="7" t="str">
        <f t="shared" si="5"/>
        <v/>
      </c>
      <c r="M1519" s="7" t="str">
        <f>IFERROR(__xludf.DUMMYFUNCTION("IFERROR(
  IF(
    F1519 &gt;
    3*AVERAGE(
       FILTER($F$2:$F10491,
         $G$2:$G10491=G1519,
         $A$2:$A10491&gt;=A1519-20,
         $A$2:$A10491&lt;=A1519
       )
    ),
    ""VOL_SPIKE_3X"",""""
  ),
"""")
"),"")</f>
        <v/>
      </c>
      <c r="N1519" s="7" t="str">
        <f t="shared" si="6"/>
        <v/>
      </c>
      <c r="O1519" s="7" t="str">
        <f t="shared" si="7"/>
        <v/>
      </c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>
      <c r="A1520" s="5">
        <f>IFERROR(__xludf.DUMMYFUNCTION("""COMPUTED_VALUE"""),45777.0)</f>
        <v>45777</v>
      </c>
      <c r="B1520" s="6">
        <f>IFERROR(__xludf.DUMMYFUNCTION("""COMPUTED_VALUE"""),1402.0)</f>
        <v>1402</v>
      </c>
      <c r="C1520" s="6">
        <f>IFERROR(__xludf.DUMMYFUNCTION("""COMPUTED_VALUE"""),1412.4)</f>
        <v>1412.4</v>
      </c>
      <c r="D1520" s="6">
        <f>IFERROR(__xludf.DUMMYFUNCTION("""COMPUTED_VALUE"""),1369.0)</f>
        <v>1369</v>
      </c>
      <c r="E1520" s="6">
        <f>IFERROR(__xludf.DUMMYFUNCTION("""COMPUTED_VALUE"""),1405.0)</f>
        <v>1405</v>
      </c>
      <c r="F1520" s="7">
        <f>IFERROR(__xludf.DUMMYFUNCTION("""COMPUTED_VALUE"""),2.5480745E7)</f>
        <v>25480745</v>
      </c>
      <c r="G1520" s="7" t="str">
        <f>IFERROR(__xludf.DUMMYFUNCTION("""COMPUTED_VALUE"""),"RELIANCE.NS")</f>
        <v>RELIANCE.NS</v>
      </c>
      <c r="H1520" s="8">
        <f t="shared" si="1"/>
        <v>0.002139800285</v>
      </c>
      <c r="I1520" s="8">
        <f t="shared" si="2"/>
        <v>0.002139800285</v>
      </c>
      <c r="J1520" s="7" t="str">
        <f t="shared" si="3"/>
        <v>Apr-2025</v>
      </c>
      <c r="K1520" s="9">
        <f t="shared" si="4"/>
        <v>45748</v>
      </c>
      <c r="L1520" s="7" t="str">
        <f t="shared" si="5"/>
        <v/>
      </c>
      <c r="M1520" s="7" t="str">
        <f>IFERROR(__xludf.DUMMYFUNCTION("IFERROR(
  IF(
    F1520 &gt;
    3*AVERAGE(
       FILTER($F$2:$F10491,
         $G$2:$G10491=G1520,
         $A$2:$A10491&gt;=A1520-20,
         $A$2:$A10491&lt;=A1520
       )
    ),
    ""VOL_SPIKE_3X"",""""
  ),
"""")
"),"")</f>
        <v/>
      </c>
      <c r="N1520" s="7" t="str">
        <f t="shared" si="6"/>
        <v/>
      </c>
      <c r="O1520" s="7" t="str">
        <f t="shared" si="7"/>
        <v/>
      </c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>
      <c r="A1521" s="5">
        <f>IFERROR(__xludf.DUMMYFUNCTION("""COMPUTED_VALUE"""),45779.0)</f>
        <v>45779</v>
      </c>
      <c r="B1521" s="6">
        <f>IFERROR(__xludf.DUMMYFUNCTION("""COMPUTED_VALUE"""),900.05)</f>
        <v>900.05</v>
      </c>
      <c r="C1521" s="6">
        <f>IFERROR(__xludf.DUMMYFUNCTION("""COMPUTED_VALUE"""),929.85)</f>
        <v>929.85</v>
      </c>
      <c r="D1521" s="6">
        <f>IFERROR(__xludf.DUMMYFUNCTION("""COMPUTED_VALUE"""),900.05)</f>
        <v>900.05</v>
      </c>
      <c r="E1521" s="6">
        <f>IFERROR(__xludf.DUMMYFUNCTION("""COMPUTED_VALUE"""),907.15)</f>
        <v>907.15</v>
      </c>
      <c r="F1521" s="7">
        <f>IFERROR(__xludf.DUMMYFUNCTION("""COMPUTED_VALUE"""),1720419.0)</f>
        <v>1720419</v>
      </c>
      <c r="G1521" s="7" t="str">
        <f>IFERROR(__xludf.DUMMYFUNCTION("""COMPUTED_VALUE"""),"ADANIENSOL.NS")</f>
        <v>ADANIENSOL.NS</v>
      </c>
      <c r="H1521" s="8">
        <f t="shared" si="1"/>
        <v>0.007888450642</v>
      </c>
      <c r="I1521" s="8">
        <f t="shared" si="2"/>
        <v>0.007888450642</v>
      </c>
      <c r="J1521" s="7" t="str">
        <f t="shared" si="3"/>
        <v>May-2025</v>
      </c>
      <c r="K1521" s="9">
        <f t="shared" si="4"/>
        <v>45778</v>
      </c>
      <c r="L1521" s="7" t="str">
        <f t="shared" si="5"/>
        <v/>
      </c>
      <c r="M1521" s="7" t="str">
        <f>IFERROR(__xludf.DUMMYFUNCTION("IFERROR(
  IF(
    F1521 &gt;
    3*AVERAGE(
       FILTER($F$2:$F10491,
         $G$2:$G10491=G1521,
         $A$2:$A10491&gt;=A1521-20,
         $A$2:$A10491&lt;=A1521
       )
    ),
    ""VOL_SPIKE_3X"",""""
  ),
"""")
"),"")</f>
        <v/>
      </c>
      <c r="N1521" s="7" t="str">
        <f t="shared" si="6"/>
        <v/>
      </c>
      <c r="O1521" s="7" t="str">
        <f t="shared" si="7"/>
        <v/>
      </c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>
      <c r="A1522" s="5">
        <f>IFERROR(__xludf.DUMMYFUNCTION("""COMPUTED_VALUE"""),45779.0)</f>
        <v>45779</v>
      </c>
      <c r="B1522" s="6">
        <f>IFERROR(__xludf.DUMMYFUNCTION("""COMPUTED_VALUE"""),902.05)</f>
        <v>902.05</v>
      </c>
      <c r="C1522" s="6">
        <f>IFERROR(__xludf.DUMMYFUNCTION("""COMPUTED_VALUE"""),931.95)</f>
        <v>931.95</v>
      </c>
      <c r="D1522" s="6">
        <f>IFERROR(__xludf.DUMMYFUNCTION("""COMPUTED_VALUE"""),900.0)</f>
        <v>900</v>
      </c>
      <c r="E1522" s="6">
        <f>IFERROR(__xludf.DUMMYFUNCTION("""COMPUTED_VALUE"""),905.25)</f>
        <v>905.25</v>
      </c>
      <c r="F1522" s="7">
        <f>IFERROR(__xludf.DUMMYFUNCTION("""COMPUTED_VALUE"""),3047594.0)</f>
        <v>3047594</v>
      </c>
      <c r="G1522" s="7" t="str">
        <f>IFERROR(__xludf.DUMMYFUNCTION("""COMPUTED_VALUE"""),"ADANIGREEN.NS")</f>
        <v>ADANIGREEN.NS</v>
      </c>
      <c r="H1522" s="8">
        <f t="shared" si="1"/>
        <v>0.003547475195</v>
      </c>
      <c r="I1522" s="8">
        <f t="shared" si="2"/>
        <v>0.003547475195</v>
      </c>
      <c r="J1522" s="7" t="str">
        <f t="shared" si="3"/>
        <v>May-2025</v>
      </c>
      <c r="K1522" s="9">
        <f t="shared" si="4"/>
        <v>45778</v>
      </c>
      <c r="L1522" s="7" t="str">
        <f t="shared" si="5"/>
        <v/>
      </c>
      <c r="M1522" s="7" t="str">
        <f>IFERROR(__xludf.DUMMYFUNCTION("IFERROR(
  IF(
    F1522 &gt;
    3*AVERAGE(
       FILTER($F$2:$F10491,
         $G$2:$G10491=G1522,
         $A$2:$A10491&gt;=A1522-20,
         $A$2:$A10491&lt;=A1522
       )
    ),
    ""VOL_SPIKE_3X"",""""
  ),
"""")
"),"")</f>
        <v/>
      </c>
      <c r="N1522" s="7" t="str">
        <f t="shared" si="6"/>
        <v/>
      </c>
      <c r="O1522" s="7" t="str">
        <f t="shared" si="7"/>
        <v/>
      </c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>
      <c r="A1523" s="5">
        <f>IFERROR(__xludf.DUMMYFUNCTION("""COMPUTED_VALUE"""),45779.0)</f>
        <v>45779</v>
      </c>
      <c r="B1523" s="6">
        <f>IFERROR(__xludf.DUMMYFUNCTION("""COMPUTED_VALUE"""),310.55)</f>
        <v>310.55</v>
      </c>
      <c r="C1523" s="6">
        <f>IFERROR(__xludf.DUMMYFUNCTION("""COMPUTED_VALUE"""),317.5)</f>
        <v>317.5</v>
      </c>
      <c r="D1523" s="6">
        <f>IFERROR(__xludf.DUMMYFUNCTION("""COMPUTED_VALUE"""),309.9)</f>
        <v>309.9</v>
      </c>
      <c r="E1523" s="6">
        <f>IFERROR(__xludf.DUMMYFUNCTION("""COMPUTED_VALUE"""),311.15)</f>
        <v>311.15</v>
      </c>
      <c r="F1523" s="7">
        <f>IFERROR(__xludf.DUMMYFUNCTION("""COMPUTED_VALUE"""),6850147.0)</f>
        <v>6850147</v>
      </c>
      <c r="G1523" s="7" t="str">
        <f>IFERROR(__xludf.DUMMYFUNCTION("""COMPUTED_VALUE"""),"BPCL.NS")</f>
        <v>BPCL.NS</v>
      </c>
      <c r="H1523" s="8">
        <f t="shared" si="1"/>
        <v>0.00193205603</v>
      </c>
      <c r="I1523" s="8">
        <f t="shared" si="2"/>
        <v>0.00193205603</v>
      </c>
      <c r="J1523" s="7" t="str">
        <f t="shared" si="3"/>
        <v>May-2025</v>
      </c>
      <c r="K1523" s="9">
        <f t="shared" si="4"/>
        <v>45778</v>
      </c>
      <c r="L1523" s="7" t="str">
        <f t="shared" si="5"/>
        <v/>
      </c>
      <c r="M1523" s="7" t="str">
        <f>IFERROR(__xludf.DUMMYFUNCTION("IFERROR(
  IF(
    F1523 &gt;
    3*AVERAGE(
       FILTER($F$2:$F10491,
         $G$2:$G10491=G1523,
         $A$2:$A10491&gt;=A1523-20,
         $A$2:$A10491&lt;=A1523
       )
    ),
    ""VOL_SPIKE_3X"",""""
  ),
"""")
"),"")</f>
        <v/>
      </c>
      <c r="N1523" s="7" t="str">
        <f t="shared" si="6"/>
        <v/>
      </c>
      <c r="O1523" s="7" t="str">
        <f t="shared" si="7"/>
        <v/>
      </c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>
      <c r="A1524" s="5">
        <f>IFERROR(__xludf.DUMMYFUNCTION("""COMPUTED_VALUE"""),45779.0)</f>
        <v>45779</v>
      </c>
      <c r="B1524" s="6">
        <f>IFERROR(__xludf.DUMMYFUNCTION("""COMPUTED_VALUE"""),385.5)</f>
        <v>385.5</v>
      </c>
      <c r="C1524" s="6">
        <f>IFERROR(__xludf.DUMMYFUNCTION("""COMPUTED_VALUE"""),390.95)</f>
        <v>390.95</v>
      </c>
      <c r="D1524" s="6">
        <f>IFERROR(__xludf.DUMMYFUNCTION("""COMPUTED_VALUE"""),381.4)</f>
        <v>381.4</v>
      </c>
      <c r="E1524" s="6">
        <f>IFERROR(__xludf.DUMMYFUNCTION("""COMPUTED_VALUE"""),384.4)</f>
        <v>384.4</v>
      </c>
      <c r="F1524" s="7">
        <f>IFERROR(__xludf.DUMMYFUNCTION("""COMPUTED_VALUE"""),5045851.0)</f>
        <v>5045851</v>
      </c>
      <c r="G1524" s="7" t="str">
        <f>IFERROR(__xludf.DUMMYFUNCTION("""COMPUTED_VALUE"""),"COALINDIA.NS")</f>
        <v>COALINDIA.NS</v>
      </c>
      <c r="H1524" s="8">
        <f t="shared" si="1"/>
        <v>-0.002853437095</v>
      </c>
      <c r="I1524" s="8">
        <f t="shared" si="2"/>
        <v>0.002853437095</v>
      </c>
      <c r="J1524" s="7" t="str">
        <f t="shared" si="3"/>
        <v>May-2025</v>
      </c>
      <c r="K1524" s="9">
        <f t="shared" si="4"/>
        <v>45778</v>
      </c>
      <c r="L1524" s="7" t="str">
        <f t="shared" si="5"/>
        <v/>
      </c>
      <c r="M1524" s="7" t="str">
        <f>IFERROR(__xludf.DUMMYFUNCTION("IFERROR(
  IF(
    F1524 &gt;
    3*AVERAGE(
       FILTER($F$2:$F10491,
         $G$2:$G10491=G1524,
         $A$2:$A10491&gt;=A1524-20,
         $A$2:$A10491&lt;=A1524
       )
    ),
    ""VOL_SPIKE_3X"",""""
  ),
"""")
"),"")</f>
        <v/>
      </c>
      <c r="N1524" s="7" t="str">
        <f t="shared" si="6"/>
        <v/>
      </c>
      <c r="O1524" s="7" t="str">
        <f t="shared" si="7"/>
        <v/>
      </c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>
      <c r="A1525" s="5">
        <f>IFERROR(__xludf.DUMMYFUNCTION("""COMPUTED_VALUE"""),45779.0)</f>
        <v>45779</v>
      </c>
      <c r="B1525" s="6">
        <f>IFERROR(__xludf.DUMMYFUNCTION("""COMPUTED_VALUE"""),379.95)</f>
        <v>379.95</v>
      </c>
      <c r="C1525" s="6">
        <f>IFERROR(__xludf.DUMMYFUNCTION("""COMPUTED_VALUE"""),390.3)</f>
        <v>390.3</v>
      </c>
      <c r="D1525" s="6">
        <f>IFERROR(__xludf.DUMMYFUNCTION("""COMPUTED_VALUE"""),379.95)</f>
        <v>379.95</v>
      </c>
      <c r="E1525" s="6">
        <f>IFERROR(__xludf.DUMMYFUNCTION("""COMPUTED_VALUE"""),385.05)</f>
        <v>385.05</v>
      </c>
      <c r="F1525" s="7">
        <f>IFERROR(__xludf.DUMMYFUNCTION("""COMPUTED_VALUE"""),3503397.0)</f>
        <v>3503397</v>
      </c>
      <c r="G1525" s="7" t="str">
        <f>IFERROR(__xludf.DUMMYFUNCTION("""COMPUTED_VALUE"""),"HINDPETRO.NS")</f>
        <v>HINDPETRO.NS</v>
      </c>
      <c r="H1525" s="8">
        <f t="shared" si="1"/>
        <v>0.01342281879</v>
      </c>
      <c r="I1525" s="8">
        <f t="shared" si="2"/>
        <v>0.01342281879</v>
      </c>
      <c r="J1525" s="7" t="str">
        <f t="shared" si="3"/>
        <v>May-2025</v>
      </c>
      <c r="K1525" s="9">
        <f t="shared" si="4"/>
        <v>45778</v>
      </c>
      <c r="L1525" s="7" t="str">
        <f t="shared" si="5"/>
        <v/>
      </c>
      <c r="M1525" s="7" t="str">
        <f>IFERROR(__xludf.DUMMYFUNCTION("IFERROR(
  IF(
    F1525 &gt;
    3*AVERAGE(
       FILTER($F$2:$F10491,
         $G$2:$G10491=G1525,
         $A$2:$A10491&gt;=A1525-20,
         $A$2:$A10491&lt;=A1525
       )
    ),
    ""VOL_SPIKE_3X"",""""
  ),
"""")
"),"")</f>
        <v/>
      </c>
      <c r="N1525" s="7" t="str">
        <f t="shared" si="6"/>
        <v/>
      </c>
      <c r="O1525" s="7" t="str">
        <f t="shared" si="7"/>
        <v/>
      </c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>
      <c r="A1526" s="5">
        <f>IFERROR(__xludf.DUMMYFUNCTION("""COMPUTED_VALUE"""),45779.0)</f>
        <v>45779</v>
      </c>
      <c r="B1526" s="6">
        <f>IFERROR(__xludf.DUMMYFUNCTION("""COMPUTED_VALUE"""),139.79)</f>
        <v>139.79</v>
      </c>
      <c r="C1526" s="6">
        <f>IFERROR(__xludf.DUMMYFUNCTION("""COMPUTED_VALUE"""),144.09)</f>
        <v>144.09</v>
      </c>
      <c r="D1526" s="6">
        <f>IFERROR(__xludf.DUMMYFUNCTION("""COMPUTED_VALUE"""),138.11)</f>
        <v>138.11</v>
      </c>
      <c r="E1526" s="6">
        <f>IFERROR(__xludf.DUMMYFUNCTION("""COMPUTED_VALUE"""),143.28)</f>
        <v>143.28</v>
      </c>
      <c r="F1526" s="7">
        <f>IFERROR(__xludf.DUMMYFUNCTION("""COMPUTED_VALUE"""),4.5858781E7)</f>
        <v>45858781</v>
      </c>
      <c r="G1526" s="7" t="str">
        <f>IFERROR(__xludf.DUMMYFUNCTION("""COMPUTED_VALUE"""),"IOC.NS")</f>
        <v>IOC.NS</v>
      </c>
      <c r="H1526" s="8">
        <f t="shared" si="1"/>
        <v>0.02496602046</v>
      </c>
      <c r="I1526" s="8">
        <f t="shared" si="2"/>
        <v>0.02496602046</v>
      </c>
      <c r="J1526" s="7" t="str">
        <f t="shared" si="3"/>
        <v>May-2025</v>
      </c>
      <c r="K1526" s="9">
        <f t="shared" si="4"/>
        <v>45778</v>
      </c>
      <c r="L1526" s="7" t="str">
        <f t="shared" si="5"/>
        <v/>
      </c>
      <c r="M1526" s="7" t="str">
        <f>IFERROR(__xludf.DUMMYFUNCTION("IFERROR(
  IF(
    F1526 &gt;
    3*AVERAGE(
       FILTER($F$2:$F10491,
         $G$2:$G10491=G1526,
         $A$2:$A10491&gt;=A1526-20,
         $A$2:$A10491&lt;=A1526
       )
    ),
    ""VOL_SPIKE_3X"",""""
  ),
"""")
"),"")</f>
        <v/>
      </c>
      <c r="N1526" s="7" t="str">
        <f t="shared" si="6"/>
        <v/>
      </c>
      <c r="O1526" s="7" t="str">
        <f t="shared" si="7"/>
        <v/>
      </c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>
      <c r="A1527" s="5">
        <f>IFERROR(__xludf.DUMMYFUNCTION("""COMPUTED_VALUE"""),45779.0)</f>
        <v>45779</v>
      </c>
      <c r="B1527" s="6">
        <f>IFERROR(__xludf.DUMMYFUNCTION("""COMPUTED_VALUE"""),354.55)</f>
        <v>354.55</v>
      </c>
      <c r="C1527" s="6">
        <f>IFERROR(__xludf.DUMMYFUNCTION("""COMPUTED_VALUE"""),358.0)</f>
        <v>358</v>
      </c>
      <c r="D1527" s="6">
        <f>IFERROR(__xludf.DUMMYFUNCTION("""COMPUTED_VALUE"""),347.6)</f>
        <v>347.6</v>
      </c>
      <c r="E1527" s="6">
        <f>IFERROR(__xludf.DUMMYFUNCTION("""COMPUTED_VALUE"""),348.45)</f>
        <v>348.45</v>
      </c>
      <c r="F1527" s="7">
        <f>IFERROR(__xludf.DUMMYFUNCTION("""COMPUTED_VALUE"""),8221620.0)</f>
        <v>8221620</v>
      </c>
      <c r="G1527" s="7" t="str">
        <f>IFERROR(__xludf.DUMMYFUNCTION("""COMPUTED_VALUE"""),"NTPC.NS")</f>
        <v>NTPC.NS</v>
      </c>
      <c r="H1527" s="8">
        <f t="shared" si="1"/>
        <v>-0.01720490763</v>
      </c>
      <c r="I1527" s="8">
        <f t="shared" si="2"/>
        <v>0.01720490763</v>
      </c>
      <c r="J1527" s="7" t="str">
        <f t="shared" si="3"/>
        <v>May-2025</v>
      </c>
      <c r="K1527" s="9">
        <f t="shared" si="4"/>
        <v>45778</v>
      </c>
      <c r="L1527" s="7" t="str">
        <f t="shared" si="5"/>
        <v/>
      </c>
      <c r="M1527" s="7" t="str">
        <f>IFERROR(__xludf.DUMMYFUNCTION("IFERROR(
  IF(
    F1527 &gt;
    3*AVERAGE(
       FILTER($F$2:$F10491,
         $G$2:$G10491=G1527,
         $A$2:$A10491&gt;=A1527-20,
         $A$2:$A10491&lt;=A1527
       )
    ),
    ""VOL_SPIKE_3X"",""""
  ),
"""")
"),"")</f>
        <v/>
      </c>
      <c r="N1527" s="7" t="str">
        <f t="shared" si="6"/>
        <v/>
      </c>
      <c r="O1527" s="7" t="str">
        <f t="shared" si="7"/>
        <v/>
      </c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>
      <c r="A1528" s="5">
        <f>IFERROR(__xludf.DUMMYFUNCTION("""COMPUTED_VALUE"""),45779.0)</f>
        <v>45779</v>
      </c>
      <c r="B1528" s="6">
        <f>IFERROR(__xludf.DUMMYFUNCTION("""COMPUTED_VALUE"""),241.0)</f>
        <v>241</v>
      </c>
      <c r="C1528" s="6">
        <f>IFERROR(__xludf.DUMMYFUNCTION("""COMPUTED_VALUE"""),246.27)</f>
        <v>246.27</v>
      </c>
      <c r="D1528" s="6">
        <f>IFERROR(__xludf.DUMMYFUNCTION("""COMPUTED_VALUE"""),239.0)</f>
        <v>239</v>
      </c>
      <c r="E1528" s="6">
        <f>IFERROR(__xludf.DUMMYFUNCTION("""COMPUTED_VALUE"""),243.42)</f>
        <v>243.42</v>
      </c>
      <c r="F1528" s="7">
        <f>IFERROR(__xludf.DUMMYFUNCTION("""COMPUTED_VALUE"""),1.020319E7)</f>
        <v>10203190</v>
      </c>
      <c r="G1528" s="7" t="str">
        <f>IFERROR(__xludf.DUMMYFUNCTION("""COMPUTED_VALUE"""),"ONGC.NS")</f>
        <v>ONGC.NS</v>
      </c>
      <c r="H1528" s="8">
        <f t="shared" si="1"/>
        <v>0.01004149378</v>
      </c>
      <c r="I1528" s="8">
        <f t="shared" si="2"/>
        <v>0.01004149378</v>
      </c>
      <c r="J1528" s="7" t="str">
        <f t="shared" si="3"/>
        <v>May-2025</v>
      </c>
      <c r="K1528" s="9">
        <f t="shared" si="4"/>
        <v>45778</v>
      </c>
      <c r="L1528" s="7" t="str">
        <f t="shared" si="5"/>
        <v/>
      </c>
      <c r="M1528" s="7" t="str">
        <f>IFERROR(__xludf.DUMMYFUNCTION("IFERROR(
  IF(
    F1528 &gt;
    3*AVERAGE(
       FILTER($F$2:$F10491,
         $G$2:$G10491=G1528,
         $A$2:$A10491&gt;=A1528-20,
         $A$2:$A10491&lt;=A1528
       )
    ),
    ""VOL_SPIKE_3X"",""""
  ),
"""")
"),"")</f>
        <v/>
      </c>
      <c r="N1528" s="7" t="str">
        <f t="shared" si="6"/>
        <v/>
      </c>
      <c r="O1528" s="7" t="str">
        <f t="shared" si="7"/>
        <v/>
      </c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>
      <c r="A1529" s="5">
        <f>IFERROR(__xludf.DUMMYFUNCTION("""COMPUTED_VALUE"""),45779.0)</f>
        <v>45779</v>
      </c>
      <c r="B1529" s="6">
        <f>IFERROR(__xludf.DUMMYFUNCTION("""COMPUTED_VALUE"""),305.5)</f>
        <v>305.5</v>
      </c>
      <c r="C1529" s="6">
        <f>IFERROR(__xludf.DUMMYFUNCTION("""COMPUTED_VALUE"""),309.0)</f>
        <v>309</v>
      </c>
      <c r="D1529" s="6">
        <f>IFERROR(__xludf.DUMMYFUNCTION("""COMPUTED_VALUE"""),302.3)</f>
        <v>302.3</v>
      </c>
      <c r="E1529" s="6">
        <f>IFERROR(__xludf.DUMMYFUNCTION("""COMPUTED_VALUE"""),303.95)</f>
        <v>303.95</v>
      </c>
      <c r="F1529" s="7">
        <f>IFERROR(__xludf.DUMMYFUNCTION("""COMPUTED_VALUE"""),5688285.0)</f>
        <v>5688285</v>
      </c>
      <c r="G1529" s="7" t="str">
        <f>IFERROR(__xludf.DUMMYFUNCTION("""COMPUTED_VALUE"""),"POWERGRID.NS")</f>
        <v>POWERGRID.NS</v>
      </c>
      <c r="H1529" s="8">
        <f t="shared" si="1"/>
        <v>-0.005073649755</v>
      </c>
      <c r="I1529" s="8">
        <f t="shared" si="2"/>
        <v>0.005073649755</v>
      </c>
      <c r="J1529" s="7" t="str">
        <f t="shared" si="3"/>
        <v>May-2025</v>
      </c>
      <c r="K1529" s="9">
        <f t="shared" si="4"/>
        <v>45778</v>
      </c>
      <c r="L1529" s="7" t="str">
        <f t="shared" si="5"/>
        <v/>
      </c>
      <c r="M1529" s="7" t="str">
        <f>IFERROR(__xludf.DUMMYFUNCTION("IFERROR(
  IF(
    F1529 &gt;
    3*AVERAGE(
       FILTER($F$2:$F10491,
         $G$2:$G10491=G1529,
         $A$2:$A10491&gt;=A1529-20,
         $A$2:$A10491&lt;=A1529
       )
    ),
    ""VOL_SPIKE_3X"",""""
  ),
"""")
"),"")</f>
        <v/>
      </c>
      <c r="N1529" s="7" t="str">
        <f t="shared" si="6"/>
        <v/>
      </c>
      <c r="O1529" s="7" t="str">
        <f t="shared" si="7"/>
        <v/>
      </c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>
      <c r="A1530" s="5">
        <f>IFERROR(__xludf.DUMMYFUNCTION("""COMPUTED_VALUE"""),45779.0)</f>
        <v>45779</v>
      </c>
      <c r="B1530" s="6">
        <f>IFERROR(__xludf.DUMMYFUNCTION("""COMPUTED_VALUE"""),1414.0)</f>
        <v>1414</v>
      </c>
      <c r="C1530" s="6">
        <f>IFERROR(__xludf.DUMMYFUNCTION("""COMPUTED_VALUE"""),1426.7)</f>
        <v>1426.7</v>
      </c>
      <c r="D1530" s="6">
        <f>IFERROR(__xludf.DUMMYFUNCTION("""COMPUTED_VALUE"""),1409.1)</f>
        <v>1409.1</v>
      </c>
      <c r="E1530" s="6">
        <f>IFERROR(__xludf.DUMMYFUNCTION("""COMPUTED_VALUE"""),1422.4)</f>
        <v>1422.4</v>
      </c>
      <c r="F1530" s="7">
        <f>IFERROR(__xludf.DUMMYFUNCTION("""COMPUTED_VALUE"""),1.3007841E7)</f>
        <v>13007841</v>
      </c>
      <c r="G1530" s="7" t="str">
        <f>IFERROR(__xludf.DUMMYFUNCTION("""COMPUTED_VALUE"""),"RELIANCE.NS")</f>
        <v>RELIANCE.NS</v>
      </c>
      <c r="H1530" s="8">
        <f t="shared" si="1"/>
        <v>0.005940594059</v>
      </c>
      <c r="I1530" s="8">
        <f t="shared" si="2"/>
        <v>0.005940594059</v>
      </c>
      <c r="J1530" s="7" t="str">
        <f t="shared" si="3"/>
        <v>May-2025</v>
      </c>
      <c r="K1530" s="9">
        <f t="shared" si="4"/>
        <v>45778</v>
      </c>
      <c r="L1530" s="7" t="str">
        <f t="shared" si="5"/>
        <v/>
      </c>
      <c r="M1530" s="7" t="str">
        <f>IFERROR(__xludf.DUMMYFUNCTION("IFERROR(
  IF(
    F1530 &gt;
    3*AVERAGE(
       FILTER($F$2:$F10491,
         $G$2:$G10491=G1530,
         $A$2:$A10491&gt;=A1530-20,
         $A$2:$A10491&lt;=A1530
       )
    ),
    ""VOL_SPIKE_3X"",""""
  ),
"""")
"),"")</f>
        <v/>
      </c>
      <c r="N1530" s="7" t="str">
        <f t="shared" si="6"/>
        <v/>
      </c>
      <c r="O1530" s="7" t="str">
        <f t="shared" si="7"/>
        <v/>
      </c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>
      <c r="A1531" s="5">
        <f>IFERROR(__xludf.DUMMYFUNCTION("""COMPUTED_VALUE"""),45782.0)</f>
        <v>45782</v>
      </c>
      <c r="B1531" s="6">
        <f>IFERROR(__xludf.DUMMYFUNCTION("""COMPUTED_VALUE"""),911.0)</f>
        <v>911</v>
      </c>
      <c r="C1531" s="6">
        <f>IFERROR(__xludf.DUMMYFUNCTION("""COMPUTED_VALUE"""),980.85)</f>
        <v>980.85</v>
      </c>
      <c r="D1531" s="6">
        <f>IFERROR(__xludf.DUMMYFUNCTION("""COMPUTED_VALUE"""),909.95)</f>
        <v>909.95</v>
      </c>
      <c r="E1531" s="6">
        <f>IFERROR(__xludf.DUMMYFUNCTION("""COMPUTED_VALUE"""),937.2)</f>
        <v>937.2</v>
      </c>
      <c r="F1531" s="7">
        <f>IFERROR(__xludf.DUMMYFUNCTION("""COMPUTED_VALUE"""),5711254.0)</f>
        <v>5711254</v>
      </c>
      <c r="G1531" s="7" t="str">
        <f>IFERROR(__xludf.DUMMYFUNCTION("""COMPUTED_VALUE"""),"ADANIENSOL.NS")</f>
        <v>ADANIENSOL.NS</v>
      </c>
      <c r="H1531" s="8">
        <f t="shared" si="1"/>
        <v>0.02875960483</v>
      </c>
      <c r="I1531" s="8">
        <f t="shared" si="2"/>
        <v>0.02875960483</v>
      </c>
      <c r="J1531" s="7" t="str">
        <f t="shared" si="3"/>
        <v>May-2025</v>
      </c>
      <c r="K1531" s="9">
        <f t="shared" si="4"/>
        <v>45778</v>
      </c>
      <c r="L1531" s="7" t="str">
        <f t="shared" si="5"/>
        <v/>
      </c>
      <c r="M1531" s="7" t="str">
        <f>IFERROR(__xludf.DUMMYFUNCTION("IFERROR(
  IF(
    F1531 &gt;
    3*AVERAGE(
       FILTER($F$2:$F10491,
         $G$2:$G10491=G1531,
         $A$2:$A10491&gt;=A1531-20,
         $A$2:$A10491&lt;=A1531
       )
    ),
    ""VOL_SPIKE_3X"",""""
  ),
"""")
"),"")</f>
        <v/>
      </c>
      <c r="N1531" s="7" t="str">
        <f t="shared" si="6"/>
        <v/>
      </c>
      <c r="O1531" s="7" t="str">
        <f t="shared" si="7"/>
        <v/>
      </c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>
      <c r="A1532" s="5">
        <f>IFERROR(__xludf.DUMMYFUNCTION("""COMPUTED_VALUE"""),45782.0)</f>
        <v>45782</v>
      </c>
      <c r="B1532" s="6">
        <f>IFERROR(__xludf.DUMMYFUNCTION("""COMPUTED_VALUE"""),912.7)</f>
        <v>912.7</v>
      </c>
      <c r="C1532" s="6">
        <f>IFERROR(__xludf.DUMMYFUNCTION("""COMPUTED_VALUE"""),1003.5)</f>
        <v>1003.5</v>
      </c>
      <c r="D1532" s="6">
        <f>IFERROR(__xludf.DUMMYFUNCTION("""COMPUTED_VALUE"""),910.55)</f>
        <v>910.55</v>
      </c>
      <c r="E1532" s="6">
        <f>IFERROR(__xludf.DUMMYFUNCTION("""COMPUTED_VALUE"""),965.7)</f>
        <v>965.7</v>
      </c>
      <c r="F1532" s="7">
        <f>IFERROR(__xludf.DUMMYFUNCTION("""COMPUTED_VALUE"""),1.365218E7)</f>
        <v>13652180</v>
      </c>
      <c r="G1532" s="7" t="str">
        <f>IFERROR(__xludf.DUMMYFUNCTION("""COMPUTED_VALUE"""),"ADANIGREEN.NS")</f>
        <v>ADANIGREEN.NS</v>
      </c>
      <c r="H1532" s="8">
        <f t="shared" si="1"/>
        <v>0.05806946423</v>
      </c>
      <c r="I1532" s="8">
        <f t="shared" si="2"/>
        <v>0.05806946423</v>
      </c>
      <c r="J1532" s="7" t="str">
        <f t="shared" si="3"/>
        <v>May-2025</v>
      </c>
      <c r="K1532" s="9">
        <f t="shared" si="4"/>
        <v>45778</v>
      </c>
      <c r="L1532" s="7" t="str">
        <f t="shared" si="5"/>
        <v>PRICE_MOVE_5PCT+</v>
      </c>
      <c r="M1532" s="7" t="str">
        <f>IFERROR(__xludf.DUMMYFUNCTION("IFERROR(
  IF(
    F1532 &gt;
    3*AVERAGE(
       FILTER($F$2:$F10491,
         $G$2:$G10491=G1532,
         $A$2:$A10491&gt;=A1532-20,
         $A$2:$A10491&lt;=A1532
       )
    ),
    ""VOL_SPIKE_3X"",""""
  ),
"""")
"),"VOL_SPIKE_3X")</f>
        <v>VOL_SPIKE_3X</v>
      </c>
      <c r="N1532" s="7" t="str">
        <f t="shared" si="6"/>
        <v>PRICE_MOVE_5PCT+;VOL_SPIKE_3X</v>
      </c>
      <c r="O1532" s="7" t="str">
        <f t="shared" si="7"/>
        <v/>
      </c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>
      <c r="A1533" s="5">
        <f>IFERROR(__xludf.DUMMYFUNCTION("""COMPUTED_VALUE"""),45782.0)</f>
        <v>45782</v>
      </c>
      <c r="B1533" s="6">
        <f>IFERROR(__xludf.DUMMYFUNCTION("""COMPUTED_VALUE"""),317.0)</f>
        <v>317</v>
      </c>
      <c r="C1533" s="6">
        <f>IFERROR(__xludf.DUMMYFUNCTION("""COMPUTED_VALUE"""),325.85)</f>
        <v>325.85</v>
      </c>
      <c r="D1533" s="6">
        <f>IFERROR(__xludf.DUMMYFUNCTION("""COMPUTED_VALUE"""),316.0)</f>
        <v>316</v>
      </c>
      <c r="E1533" s="6">
        <f>IFERROR(__xludf.DUMMYFUNCTION("""COMPUTED_VALUE"""),321.05)</f>
        <v>321.05</v>
      </c>
      <c r="F1533" s="7">
        <f>IFERROR(__xludf.DUMMYFUNCTION("""COMPUTED_VALUE"""),1.6037327E7)</f>
        <v>16037327</v>
      </c>
      <c r="G1533" s="7" t="str">
        <f>IFERROR(__xludf.DUMMYFUNCTION("""COMPUTED_VALUE"""),"BPCL.NS")</f>
        <v>BPCL.NS</v>
      </c>
      <c r="H1533" s="8">
        <f t="shared" si="1"/>
        <v>0.01277602524</v>
      </c>
      <c r="I1533" s="8">
        <f t="shared" si="2"/>
        <v>0.01277602524</v>
      </c>
      <c r="J1533" s="7" t="str">
        <f t="shared" si="3"/>
        <v>May-2025</v>
      </c>
      <c r="K1533" s="9">
        <f t="shared" si="4"/>
        <v>45778</v>
      </c>
      <c r="L1533" s="7" t="str">
        <f t="shared" si="5"/>
        <v/>
      </c>
      <c r="M1533" s="7" t="str">
        <f>IFERROR(__xludf.DUMMYFUNCTION("IFERROR(
  IF(
    F1533 &gt;
    3*AVERAGE(
       FILTER($F$2:$F10491,
         $G$2:$G10491=G1533,
         $A$2:$A10491&gt;=A1533-20,
         $A$2:$A10491&lt;=A1533
       )
    ),
    ""VOL_SPIKE_3X"",""""
  ),
"""")
"),"")</f>
        <v/>
      </c>
      <c r="N1533" s="7" t="str">
        <f t="shared" si="6"/>
        <v/>
      </c>
      <c r="O1533" s="7" t="str">
        <f t="shared" si="7"/>
        <v/>
      </c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>
      <c r="A1534" s="5">
        <f>IFERROR(__xludf.DUMMYFUNCTION("""COMPUTED_VALUE"""),45782.0)</f>
        <v>45782</v>
      </c>
      <c r="B1534" s="6">
        <f>IFERROR(__xludf.DUMMYFUNCTION("""COMPUTED_VALUE"""),385.95)</f>
        <v>385.95</v>
      </c>
      <c r="C1534" s="6">
        <f>IFERROR(__xludf.DUMMYFUNCTION("""COMPUTED_VALUE"""),387.9)</f>
        <v>387.9</v>
      </c>
      <c r="D1534" s="6">
        <f>IFERROR(__xludf.DUMMYFUNCTION("""COMPUTED_VALUE"""),381.75)</f>
        <v>381.75</v>
      </c>
      <c r="E1534" s="6">
        <f>IFERROR(__xludf.DUMMYFUNCTION("""COMPUTED_VALUE"""),385.6)</f>
        <v>385.6</v>
      </c>
      <c r="F1534" s="7">
        <f>IFERROR(__xludf.DUMMYFUNCTION("""COMPUTED_VALUE"""),6395704.0)</f>
        <v>6395704</v>
      </c>
      <c r="G1534" s="7" t="str">
        <f>IFERROR(__xludf.DUMMYFUNCTION("""COMPUTED_VALUE"""),"COALINDIA.NS")</f>
        <v>COALINDIA.NS</v>
      </c>
      <c r="H1534" s="8">
        <f t="shared" si="1"/>
        <v>-0.0009068532193</v>
      </c>
      <c r="I1534" s="8">
        <f t="shared" si="2"/>
        <v>0.0009068532193</v>
      </c>
      <c r="J1534" s="7" t="str">
        <f t="shared" si="3"/>
        <v>May-2025</v>
      </c>
      <c r="K1534" s="9">
        <f t="shared" si="4"/>
        <v>45778</v>
      </c>
      <c r="L1534" s="7" t="str">
        <f t="shared" si="5"/>
        <v/>
      </c>
      <c r="M1534" s="7" t="str">
        <f>IFERROR(__xludf.DUMMYFUNCTION("IFERROR(
  IF(
    F1534 &gt;
    3*AVERAGE(
       FILTER($F$2:$F10491,
         $G$2:$G10491=G1534,
         $A$2:$A10491&gt;=A1534-20,
         $A$2:$A10491&lt;=A1534
       )
    ),
    ""VOL_SPIKE_3X"",""""
  ),
"""")
"),"")</f>
        <v/>
      </c>
      <c r="N1534" s="7" t="str">
        <f t="shared" si="6"/>
        <v/>
      </c>
      <c r="O1534" s="7" t="str">
        <f t="shared" si="7"/>
        <v/>
      </c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>
      <c r="A1535" s="5">
        <f>IFERROR(__xludf.DUMMYFUNCTION("""COMPUTED_VALUE"""),45782.0)</f>
        <v>45782</v>
      </c>
      <c r="B1535" s="6">
        <f>IFERROR(__xludf.DUMMYFUNCTION("""COMPUTED_VALUE"""),392.0)</f>
        <v>392</v>
      </c>
      <c r="C1535" s="6">
        <f>IFERROR(__xludf.DUMMYFUNCTION("""COMPUTED_VALUE"""),414.0)</f>
        <v>414</v>
      </c>
      <c r="D1535" s="6">
        <f>IFERROR(__xludf.DUMMYFUNCTION("""COMPUTED_VALUE"""),391.25)</f>
        <v>391.25</v>
      </c>
      <c r="E1535" s="6">
        <f>IFERROR(__xludf.DUMMYFUNCTION("""COMPUTED_VALUE"""),409.85)</f>
        <v>409.85</v>
      </c>
      <c r="F1535" s="7">
        <f>IFERROR(__xludf.DUMMYFUNCTION("""COMPUTED_VALUE"""),2.8073682E7)</f>
        <v>28073682</v>
      </c>
      <c r="G1535" s="7" t="str">
        <f>IFERROR(__xludf.DUMMYFUNCTION("""COMPUTED_VALUE"""),"HINDPETRO.NS")</f>
        <v>HINDPETRO.NS</v>
      </c>
      <c r="H1535" s="8">
        <f t="shared" si="1"/>
        <v>0.04553571429</v>
      </c>
      <c r="I1535" s="8">
        <f t="shared" si="2"/>
        <v>0.04553571429</v>
      </c>
      <c r="J1535" s="7" t="str">
        <f t="shared" si="3"/>
        <v>May-2025</v>
      </c>
      <c r="K1535" s="9">
        <f t="shared" si="4"/>
        <v>45778</v>
      </c>
      <c r="L1535" s="7" t="str">
        <f t="shared" si="5"/>
        <v/>
      </c>
      <c r="M1535" s="7" t="str">
        <f>IFERROR(__xludf.DUMMYFUNCTION("IFERROR(
  IF(
    F1535 &gt;
    3*AVERAGE(
       FILTER($F$2:$F10491,
         $G$2:$G10491=G1535,
         $A$2:$A10491&gt;=A1535-20,
         $A$2:$A10491&lt;=A1535
       )
    ),
    ""VOL_SPIKE_3X"",""""
  ),
"""")
"),"VOL_SPIKE_3X")</f>
        <v>VOL_SPIKE_3X</v>
      </c>
      <c r="N1535" s="7" t="str">
        <f t="shared" si="6"/>
        <v>VOL_SPIKE_3X</v>
      </c>
      <c r="O1535" s="7" t="str">
        <f t="shared" si="7"/>
        <v/>
      </c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>
      <c r="A1536" s="5">
        <f>IFERROR(__xludf.DUMMYFUNCTION("""COMPUTED_VALUE"""),45782.0)</f>
        <v>45782</v>
      </c>
      <c r="B1536" s="6">
        <f>IFERROR(__xludf.DUMMYFUNCTION("""COMPUTED_VALUE"""),145.0)</f>
        <v>145</v>
      </c>
      <c r="C1536" s="6">
        <f>IFERROR(__xludf.DUMMYFUNCTION("""COMPUTED_VALUE"""),149.74)</f>
        <v>149.74</v>
      </c>
      <c r="D1536" s="6">
        <f>IFERROR(__xludf.DUMMYFUNCTION("""COMPUTED_VALUE"""),144.75)</f>
        <v>144.75</v>
      </c>
      <c r="E1536" s="6">
        <f>IFERROR(__xludf.DUMMYFUNCTION("""COMPUTED_VALUE"""),148.56)</f>
        <v>148.56</v>
      </c>
      <c r="F1536" s="7">
        <f>IFERROR(__xludf.DUMMYFUNCTION("""COMPUTED_VALUE"""),4.7549493E7)</f>
        <v>47549493</v>
      </c>
      <c r="G1536" s="7" t="str">
        <f>IFERROR(__xludf.DUMMYFUNCTION("""COMPUTED_VALUE"""),"IOC.NS")</f>
        <v>IOC.NS</v>
      </c>
      <c r="H1536" s="8">
        <f t="shared" si="1"/>
        <v>0.02455172414</v>
      </c>
      <c r="I1536" s="8">
        <f t="shared" si="2"/>
        <v>0.02455172414</v>
      </c>
      <c r="J1536" s="7" t="str">
        <f t="shared" si="3"/>
        <v>May-2025</v>
      </c>
      <c r="K1536" s="9">
        <f t="shared" si="4"/>
        <v>45778</v>
      </c>
      <c r="L1536" s="7" t="str">
        <f t="shared" si="5"/>
        <v/>
      </c>
      <c r="M1536" s="7" t="str">
        <f>IFERROR(__xludf.DUMMYFUNCTION("IFERROR(
  IF(
    F1536 &gt;
    3*AVERAGE(
       FILTER($F$2:$F10491,
         $G$2:$G10491=G1536,
         $A$2:$A10491&gt;=A1536-20,
         $A$2:$A10491&lt;=A1536
       )
    ),
    ""VOL_SPIKE_3X"",""""
  ),
"""")
"),"")</f>
        <v/>
      </c>
      <c r="N1536" s="7" t="str">
        <f t="shared" si="6"/>
        <v/>
      </c>
      <c r="O1536" s="7" t="str">
        <f t="shared" si="7"/>
        <v/>
      </c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>
      <c r="A1537" s="5">
        <f>IFERROR(__xludf.DUMMYFUNCTION("""COMPUTED_VALUE"""),45782.0)</f>
        <v>45782</v>
      </c>
      <c r="B1537" s="6">
        <f>IFERROR(__xludf.DUMMYFUNCTION("""COMPUTED_VALUE"""),351.0)</f>
        <v>351</v>
      </c>
      <c r="C1537" s="6">
        <f>IFERROR(__xludf.DUMMYFUNCTION("""COMPUTED_VALUE"""),352.0)</f>
        <v>352</v>
      </c>
      <c r="D1537" s="6">
        <f>IFERROR(__xludf.DUMMYFUNCTION("""COMPUTED_VALUE"""),345.55)</f>
        <v>345.55</v>
      </c>
      <c r="E1537" s="6">
        <f>IFERROR(__xludf.DUMMYFUNCTION("""COMPUTED_VALUE"""),348.6)</f>
        <v>348.6</v>
      </c>
      <c r="F1537" s="7">
        <f>IFERROR(__xludf.DUMMYFUNCTION("""COMPUTED_VALUE"""),9492646.0)</f>
        <v>9492646</v>
      </c>
      <c r="G1537" s="7" t="str">
        <f>IFERROR(__xludf.DUMMYFUNCTION("""COMPUTED_VALUE"""),"NTPC.NS")</f>
        <v>NTPC.NS</v>
      </c>
      <c r="H1537" s="8">
        <f t="shared" si="1"/>
        <v>-0.006837606838</v>
      </c>
      <c r="I1537" s="8">
        <f t="shared" si="2"/>
        <v>0.006837606838</v>
      </c>
      <c r="J1537" s="7" t="str">
        <f t="shared" si="3"/>
        <v>May-2025</v>
      </c>
      <c r="K1537" s="9">
        <f t="shared" si="4"/>
        <v>45778</v>
      </c>
      <c r="L1537" s="7" t="str">
        <f t="shared" si="5"/>
        <v/>
      </c>
      <c r="M1537" s="7" t="str">
        <f>IFERROR(__xludf.DUMMYFUNCTION("IFERROR(
  IF(
    F1537 &gt;
    3*AVERAGE(
       FILTER($F$2:$F10491,
         $G$2:$G10491=G1537,
         $A$2:$A10491&gt;=A1537-20,
         $A$2:$A10491&lt;=A1537
       )
    ),
    ""VOL_SPIKE_3X"",""""
  ),
"""")
"),"")</f>
        <v/>
      </c>
      <c r="N1537" s="7" t="str">
        <f t="shared" si="6"/>
        <v/>
      </c>
      <c r="O1537" s="7" t="str">
        <f t="shared" si="7"/>
        <v/>
      </c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>
      <c r="A1538" s="5">
        <f>IFERROR(__xludf.DUMMYFUNCTION("""COMPUTED_VALUE"""),45782.0)</f>
        <v>45782</v>
      </c>
      <c r="B1538" s="6">
        <f>IFERROR(__xludf.DUMMYFUNCTION("""COMPUTED_VALUE"""),240.0)</f>
        <v>240</v>
      </c>
      <c r="C1538" s="6">
        <f>IFERROR(__xludf.DUMMYFUNCTION("""COMPUTED_VALUE"""),241.15)</f>
        <v>241.15</v>
      </c>
      <c r="D1538" s="6">
        <f>IFERROR(__xludf.DUMMYFUNCTION("""COMPUTED_VALUE"""),234.5)</f>
        <v>234.5</v>
      </c>
      <c r="E1538" s="6">
        <f>IFERROR(__xludf.DUMMYFUNCTION("""COMPUTED_VALUE"""),239.2)</f>
        <v>239.2</v>
      </c>
      <c r="F1538" s="7">
        <f>IFERROR(__xludf.DUMMYFUNCTION("""COMPUTED_VALUE"""),2.0086323E7)</f>
        <v>20086323</v>
      </c>
      <c r="G1538" s="7" t="str">
        <f>IFERROR(__xludf.DUMMYFUNCTION("""COMPUTED_VALUE"""),"ONGC.NS")</f>
        <v>ONGC.NS</v>
      </c>
      <c r="H1538" s="8">
        <f t="shared" si="1"/>
        <v>-0.003333333333</v>
      </c>
      <c r="I1538" s="8">
        <f t="shared" si="2"/>
        <v>0.003333333333</v>
      </c>
      <c r="J1538" s="7" t="str">
        <f t="shared" si="3"/>
        <v>May-2025</v>
      </c>
      <c r="K1538" s="9">
        <f t="shared" si="4"/>
        <v>45778</v>
      </c>
      <c r="L1538" s="7" t="str">
        <f t="shared" si="5"/>
        <v/>
      </c>
      <c r="M1538" s="7" t="str">
        <f>IFERROR(__xludf.DUMMYFUNCTION("IFERROR(
  IF(
    F1538 &gt;
    3*AVERAGE(
       FILTER($F$2:$F10491,
         $G$2:$G10491=G1538,
         $A$2:$A10491&gt;=A1538-20,
         $A$2:$A10491&lt;=A1538
       )
    ),
    ""VOL_SPIKE_3X"",""""
  ),
"""")
"),"")</f>
        <v/>
      </c>
      <c r="N1538" s="7" t="str">
        <f t="shared" si="6"/>
        <v/>
      </c>
      <c r="O1538" s="7" t="str">
        <f t="shared" si="7"/>
        <v/>
      </c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>
      <c r="A1539" s="5">
        <f>IFERROR(__xludf.DUMMYFUNCTION("""COMPUTED_VALUE"""),45782.0)</f>
        <v>45782</v>
      </c>
      <c r="B1539" s="6">
        <f>IFERROR(__xludf.DUMMYFUNCTION("""COMPUTED_VALUE"""),304.8)</f>
        <v>304.8</v>
      </c>
      <c r="C1539" s="6">
        <f>IFERROR(__xludf.DUMMYFUNCTION("""COMPUTED_VALUE"""),310.7)</f>
        <v>310.7</v>
      </c>
      <c r="D1539" s="6">
        <f>IFERROR(__xludf.DUMMYFUNCTION("""COMPUTED_VALUE"""),304.65)</f>
        <v>304.65</v>
      </c>
      <c r="E1539" s="6">
        <f>IFERROR(__xludf.DUMMYFUNCTION("""COMPUTED_VALUE"""),308.2)</f>
        <v>308.2</v>
      </c>
      <c r="F1539" s="7">
        <f>IFERROR(__xludf.DUMMYFUNCTION("""COMPUTED_VALUE"""),4342960.0)</f>
        <v>4342960</v>
      </c>
      <c r="G1539" s="7" t="str">
        <f>IFERROR(__xludf.DUMMYFUNCTION("""COMPUTED_VALUE"""),"POWERGRID.NS")</f>
        <v>POWERGRID.NS</v>
      </c>
      <c r="H1539" s="8">
        <f t="shared" si="1"/>
        <v>0.01115485564</v>
      </c>
      <c r="I1539" s="8">
        <f t="shared" si="2"/>
        <v>0.01115485564</v>
      </c>
      <c r="J1539" s="7" t="str">
        <f t="shared" si="3"/>
        <v>May-2025</v>
      </c>
      <c r="K1539" s="9">
        <f t="shared" si="4"/>
        <v>45778</v>
      </c>
      <c r="L1539" s="7" t="str">
        <f t="shared" si="5"/>
        <v/>
      </c>
      <c r="M1539" s="7" t="str">
        <f>IFERROR(__xludf.DUMMYFUNCTION("IFERROR(
  IF(
    F1539 &gt;
    3*AVERAGE(
       FILTER($F$2:$F10491,
         $G$2:$G10491=G1539,
         $A$2:$A10491&gt;=A1539-20,
         $A$2:$A10491&lt;=A1539
       )
    ),
    ""VOL_SPIKE_3X"",""""
  ),
"""")
"),"")</f>
        <v/>
      </c>
      <c r="N1539" s="7" t="str">
        <f t="shared" si="6"/>
        <v/>
      </c>
      <c r="O1539" s="7" t="str">
        <f t="shared" si="7"/>
        <v/>
      </c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>
      <c r="A1540" s="5">
        <f>IFERROR(__xludf.DUMMYFUNCTION("""COMPUTED_VALUE"""),45782.0)</f>
        <v>45782</v>
      </c>
      <c r="B1540" s="6">
        <f>IFERROR(__xludf.DUMMYFUNCTION("""COMPUTED_VALUE"""),1431.0)</f>
        <v>1431</v>
      </c>
      <c r="C1540" s="6">
        <f>IFERROR(__xludf.DUMMYFUNCTION("""COMPUTED_VALUE"""),1439.5)</f>
        <v>1439.5</v>
      </c>
      <c r="D1540" s="6">
        <f>IFERROR(__xludf.DUMMYFUNCTION("""COMPUTED_VALUE"""),1426.9)</f>
        <v>1426.9</v>
      </c>
      <c r="E1540" s="6">
        <f>IFERROR(__xludf.DUMMYFUNCTION("""COMPUTED_VALUE"""),1431.3)</f>
        <v>1431.3</v>
      </c>
      <c r="F1540" s="7">
        <f>IFERROR(__xludf.DUMMYFUNCTION("""COMPUTED_VALUE"""),1.2685649E7)</f>
        <v>12685649</v>
      </c>
      <c r="G1540" s="7" t="str">
        <f>IFERROR(__xludf.DUMMYFUNCTION("""COMPUTED_VALUE"""),"RELIANCE.NS")</f>
        <v>RELIANCE.NS</v>
      </c>
      <c r="H1540" s="8">
        <f t="shared" si="1"/>
        <v>0.0002096436059</v>
      </c>
      <c r="I1540" s="8">
        <f t="shared" si="2"/>
        <v>0.0002096436059</v>
      </c>
      <c r="J1540" s="7" t="str">
        <f t="shared" si="3"/>
        <v>May-2025</v>
      </c>
      <c r="K1540" s="9">
        <f t="shared" si="4"/>
        <v>45778</v>
      </c>
      <c r="L1540" s="7" t="str">
        <f t="shared" si="5"/>
        <v/>
      </c>
      <c r="M1540" s="7" t="str">
        <f>IFERROR(__xludf.DUMMYFUNCTION("IFERROR(
  IF(
    F1540 &gt;
    3*AVERAGE(
       FILTER($F$2:$F10491,
         $G$2:$G10491=G1540,
         $A$2:$A10491&gt;=A1540-20,
         $A$2:$A10491&lt;=A1540
       )
    ),
    ""VOL_SPIKE_3X"",""""
  ),
"""")
"),"")</f>
        <v/>
      </c>
      <c r="N1540" s="7" t="str">
        <f t="shared" si="6"/>
        <v/>
      </c>
      <c r="O1540" s="7" t="str">
        <f t="shared" si="7"/>
        <v/>
      </c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>
      <c r="A1541" s="5">
        <f>IFERROR(__xludf.DUMMYFUNCTION("""COMPUTED_VALUE"""),45783.0)</f>
        <v>45783</v>
      </c>
      <c r="B1541" s="6">
        <f>IFERROR(__xludf.DUMMYFUNCTION("""COMPUTED_VALUE"""),939.0)</f>
        <v>939</v>
      </c>
      <c r="C1541" s="6">
        <f>IFERROR(__xludf.DUMMYFUNCTION("""COMPUTED_VALUE"""),941.5)</f>
        <v>941.5</v>
      </c>
      <c r="D1541" s="6">
        <f>IFERROR(__xludf.DUMMYFUNCTION("""COMPUTED_VALUE"""),901.1)</f>
        <v>901.1</v>
      </c>
      <c r="E1541" s="6">
        <f>IFERROR(__xludf.DUMMYFUNCTION("""COMPUTED_VALUE"""),907.4)</f>
        <v>907.4</v>
      </c>
      <c r="F1541" s="7">
        <f>IFERROR(__xludf.DUMMYFUNCTION("""COMPUTED_VALUE"""),2569364.0)</f>
        <v>2569364</v>
      </c>
      <c r="G1541" s="7" t="str">
        <f>IFERROR(__xludf.DUMMYFUNCTION("""COMPUTED_VALUE"""),"ADANIENSOL.NS")</f>
        <v>ADANIENSOL.NS</v>
      </c>
      <c r="H1541" s="8">
        <f t="shared" si="1"/>
        <v>-0.03365282215</v>
      </c>
      <c r="I1541" s="8">
        <f t="shared" si="2"/>
        <v>0.03365282215</v>
      </c>
      <c r="J1541" s="7" t="str">
        <f t="shared" si="3"/>
        <v>May-2025</v>
      </c>
      <c r="K1541" s="9">
        <f t="shared" si="4"/>
        <v>45778</v>
      </c>
      <c r="L1541" s="7" t="str">
        <f t="shared" si="5"/>
        <v/>
      </c>
      <c r="M1541" s="7" t="str">
        <f>IFERROR(__xludf.DUMMYFUNCTION("IFERROR(
  IF(
    F1541 &gt;
    3*AVERAGE(
       FILTER($F$2:$F10491,
         $G$2:$G10491=G1541,
         $A$2:$A10491&gt;=A1541-20,
         $A$2:$A10491&lt;=A1541
       )
    ),
    ""VOL_SPIKE_3X"",""""
  ),
"""")
"),"")</f>
        <v/>
      </c>
      <c r="N1541" s="7" t="str">
        <f t="shared" si="6"/>
        <v/>
      </c>
      <c r="O1541" s="7" t="str">
        <f t="shared" si="7"/>
        <v/>
      </c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>
      <c r="A1542" s="5">
        <f>IFERROR(__xludf.DUMMYFUNCTION("""COMPUTED_VALUE"""),45783.0)</f>
        <v>45783</v>
      </c>
      <c r="B1542" s="6">
        <f>IFERROR(__xludf.DUMMYFUNCTION("""COMPUTED_VALUE"""),966.0)</f>
        <v>966</v>
      </c>
      <c r="C1542" s="6">
        <f>IFERROR(__xludf.DUMMYFUNCTION("""COMPUTED_VALUE"""),971.25)</f>
        <v>971.25</v>
      </c>
      <c r="D1542" s="6">
        <f>IFERROR(__xludf.DUMMYFUNCTION("""COMPUTED_VALUE"""),918.0)</f>
        <v>918</v>
      </c>
      <c r="E1542" s="6">
        <f>IFERROR(__xludf.DUMMYFUNCTION("""COMPUTED_VALUE"""),923.25)</f>
        <v>923.25</v>
      </c>
      <c r="F1542" s="7">
        <f>IFERROR(__xludf.DUMMYFUNCTION("""COMPUTED_VALUE"""),4153763.0)</f>
        <v>4153763</v>
      </c>
      <c r="G1542" s="7" t="str">
        <f>IFERROR(__xludf.DUMMYFUNCTION("""COMPUTED_VALUE"""),"ADANIGREEN.NS")</f>
        <v>ADANIGREEN.NS</v>
      </c>
      <c r="H1542" s="8">
        <f t="shared" si="1"/>
        <v>-0.04425465839</v>
      </c>
      <c r="I1542" s="8">
        <f t="shared" si="2"/>
        <v>0.04425465839</v>
      </c>
      <c r="J1542" s="7" t="str">
        <f t="shared" si="3"/>
        <v>May-2025</v>
      </c>
      <c r="K1542" s="9">
        <f t="shared" si="4"/>
        <v>45778</v>
      </c>
      <c r="L1542" s="7" t="str">
        <f t="shared" si="5"/>
        <v/>
      </c>
      <c r="M1542" s="7" t="str">
        <f>IFERROR(__xludf.DUMMYFUNCTION("IFERROR(
  IF(
    F1542 &gt;
    3*AVERAGE(
       FILTER($F$2:$F10491,
         $G$2:$G10491=G1542,
         $A$2:$A10491&gt;=A1542-20,
         $A$2:$A10491&lt;=A1542
       )
    ),
    ""VOL_SPIKE_3X"",""""
  ),
"""")
"),"")</f>
        <v/>
      </c>
      <c r="N1542" s="7" t="str">
        <f t="shared" si="6"/>
        <v/>
      </c>
      <c r="O1542" s="7" t="str">
        <f t="shared" si="7"/>
        <v/>
      </c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>
      <c r="A1543" s="5">
        <f>IFERROR(__xludf.DUMMYFUNCTION("""COMPUTED_VALUE"""),45783.0)</f>
        <v>45783</v>
      </c>
      <c r="B1543" s="6">
        <f>IFERROR(__xludf.DUMMYFUNCTION("""COMPUTED_VALUE"""),321.1)</f>
        <v>321.1</v>
      </c>
      <c r="C1543" s="6">
        <f>IFERROR(__xludf.DUMMYFUNCTION("""COMPUTED_VALUE"""),322.2)</f>
        <v>322.2</v>
      </c>
      <c r="D1543" s="6">
        <f>IFERROR(__xludf.DUMMYFUNCTION("""COMPUTED_VALUE"""),310.55)</f>
        <v>310.55</v>
      </c>
      <c r="E1543" s="6">
        <f>IFERROR(__xludf.DUMMYFUNCTION("""COMPUTED_VALUE"""),311.45)</f>
        <v>311.45</v>
      </c>
      <c r="F1543" s="7">
        <f>IFERROR(__xludf.DUMMYFUNCTION("""COMPUTED_VALUE"""),5444873.0)</f>
        <v>5444873</v>
      </c>
      <c r="G1543" s="7" t="str">
        <f>IFERROR(__xludf.DUMMYFUNCTION("""COMPUTED_VALUE"""),"BPCL.NS")</f>
        <v>BPCL.NS</v>
      </c>
      <c r="H1543" s="8">
        <f t="shared" si="1"/>
        <v>-0.03005294301</v>
      </c>
      <c r="I1543" s="8">
        <f t="shared" si="2"/>
        <v>0.03005294301</v>
      </c>
      <c r="J1543" s="7" t="str">
        <f t="shared" si="3"/>
        <v>May-2025</v>
      </c>
      <c r="K1543" s="9">
        <f t="shared" si="4"/>
        <v>45778</v>
      </c>
      <c r="L1543" s="7" t="str">
        <f t="shared" si="5"/>
        <v/>
      </c>
      <c r="M1543" s="7" t="str">
        <f>IFERROR(__xludf.DUMMYFUNCTION("IFERROR(
  IF(
    F1543 &gt;
    3*AVERAGE(
       FILTER($F$2:$F10491,
         $G$2:$G10491=G1543,
         $A$2:$A10491&gt;=A1543-20,
         $A$2:$A10491&lt;=A1543
       )
    ),
    ""VOL_SPIKE_3X"",""""
  ),
"""")
"),"")</f>
        <v/>
      </c>
      <c r="N1543" s="7" t="str">
        <f t="shared" si="6"/>
        <v/>
      </c>
      <c r="O1543" s="7" t="str">
        <f t="shared" si="7"/>
        <v/>
      </c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>
      <c r="A1544" s="5">
        <f>IFERROR(__xludf.DUMMYFUNCTION("""COMPUTED_VALUE"""),45783.0)</f>
        <v>45783</v>
      </c>
      <c r="B1544" s="6">
        <f>IFERROR(__xludf.DUMMYFUNCTION("""COMPUTED_VALUE"""),386.5)</f>
        <v>386.5</v>
      </c>
      <c r="C1544" s="6">
        <f>IFERROR(__xludf.DUMMYFUNCTION("""COMPUTED_VALUE"""),387.65)</f>
        <v>387.65</v>
      </c>
      <c r="D1544" s="6">
        <f>IFERROR(__xludf.DUMMYFUNCTION("""COMPUTED_VALUE"""),377.4)</f>
        <v>377.4</v>
      </c>
      <c r="E1544" s="6">
        <f>IFERROR(__xludf.DUMMYFUNCTION("""COMPUTED_VALUE"""),378.25)</f>
        <v>378.25</v>
      </c>
      <c r="F1544" s="7">
        <f>IFERROR(__xludf.DUMMYFUNCTION("""COMPUTED_VALUE"""),5982166.0)</f>
        <v>5982166</v>
      </c>
      <c r="G1544" s="7" t="str">
        <f>IFERROR(__xludf.DUMMYFUNCTION("""COMPUTED_VALUE"""),"COALINDIA.NS")</f>
        <v>COALINDIA.NS</v>
      </c>
      <c r="H1544" s="8">
        <f t="shared" si="1"/>
        <v>-0.0213454075</v>
      </c>
      <c r="I1544" s="8">
        <f t="shared" si="2"/>
        <v>0.0213454075</v>
      </c>
      <c r="J1544" s="7" t="str">
        <f t="shared" si="3"/>
        <v>May-2025</v>
      </c>
      <c r="K1544" s="9">
        <f t="shared" si="4"/>
        <v>45778</v>
      </c>
      <c r="L1544" s="7" t="str">
        <f t="shared" si="5"/>
        <v/>
      </c>
      <c r="M1544" s="7" t="str">
        <f>IFERROR(__xludf.DUMMYFUNCTION("IFERROR(
  IF(
    F1544 &gt;
    3*AVERAGE(
       FILTER($F$2:$F10491,
         $G$2:$G10491=G1544,
         $A$2:$A10491&gt;=A1544-20,
         $A$2:$A10491&lt;=A1544
       )
    ),
    ""VOL_SPIKE_3X"",""""
  ),
"""")
"),"")</f>
        <v/>
      </c>
      <c r="N1544" s="7" t="str">
        <f t="shared" si="6"/>
        <v/>
      </c>
      <c r="O1544" s="7" t="str">
        <f t="shared" si="7"/>
        <v/>
      </c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>
      <c r="A1545" s="5">
        <f>IFERROR(__xludf.DUMMYFUNCTION("""COMPUTED_VALUE"""),45783.0)</f>
        <v>45783</v>
      </c>
      <c r="B1545" s="6">
        <f>IFERROR(__xludf.DUMMYFUNCTION("""COMPUTED_VALUE"""),410.0)</f>
        <v>410</v>
      </c>
      <c r="C1545" s="6">
        <f>IFERROR(__xludf.DUMMYFUNCTION("""COMPUTED_VALUE"""),411.85)</f>
        <v>411.85</v>
      </c>
      <c r="D1545" s="6">
        <f>IFERROR(__xludf.DUMMYFUNCTION("""COMPUTED_VALUE"""),395.1)</f>
        <v>395.1</v>
      </c>
      <c r="E1545" s="6">
        <f>IFERROR(__xludf.DUMMYFUNCTION("""COMPUTED_VALUE"""),396.8)</f>
        <v>396.8</v>
      </c>
      <c r="F1545" s="7">
        <f>IFERROR(__xludf.DUMMYFUNCTION("""COMPUTED_VALUE"""),5485163.0)</f>
        <v>5485163</v>
      </c>
      <c r="G1545" s="7" t="str">
        <f>IFERROR(__xludf.DUMMYFUNCTION("""COMPUTED_VALUE"""),"HINDPETRO.NS")</f>
        <v>HINDPETRO.NS</v>
      </c>
      <c r="H1545" s="8">
        <f t="shared" si="1"/>
        <v>-0.03219512195</v>
      </c>
      <c r="I1545" s="8">
        <f t="shared" si="2"/>
        <v>0.03219512195</v>
      </c>
      <c r="J1545" s="7" t="str">
        <f t="shared" si="3"/>
        <v>May-2025</v>
      </c>
      <c r="K1545" s="9">
        <f t="shared" si="4"/>
        <v>45778</v>
      </c>
      <c r="L1545" s="7" t="str">
        <f t="shared" si="5"/>
        <v/>
      </c>
      <c r="M1545" s="7" t="str">
        <f>IFERROR(__xludf.DUMMYFUNCTION("IFERROR(
  IF(
    F1545 &gt;
    3*AVERAGE(
       FILTER($F$2:$F10491,
         $G$2:$G10491=G1545,
         $A$2:$A10491&gt;=A1545-20,
         $A$2:$A10491&lt;=A1545
       )
    ),
    ""VOL_SPIKE_3X"",""""
  ),
"""")
"),"")</f>
        <v/>
      </c>
      <c r="N1545" s="7" t="str">
        <f t="shared" si="6"/>
        <v/>
      </c>
      <c r="O1545" s="7" t="str">
        <f t="shared" si="7"/>
        <v/>
      </c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>
      <c r="A1546" s="5">
        <f>IFERROR(__xludf.DUMMYFUNCTION("""COMPUTED_VALUE"""),45783.0)</f>
        <v>45783</v>
      </c>
      <c r="B1546" s="6">
        <f>IFERROR(__xludf.DUMMYFUNCTION("""COMPUTED_VALUE"""),149.3)</f>
        <v>149.3</v>
      </c>
      <c r="C1546" s="6">
        <f>IFERROR(__xludf.DUMMYFUNCTION("""COMPUTED_VALUE"""),149.8)</f>
        <v>149.8</v>
      </c>
      <c r="D1546" s="6">
        <f>IFERROR(__xludf.DUMMYFUNCTION("""COMPUTED_VALUE"""),143.63)</f>
        <v>143.63</v>
      </c>
      <c r="E1546" s="6">
        <f>IFERROR(__xludf.DUMMYFUNCTION("""COMPUTED_VALUE"""),144.08)</f>
        <v>144.08</v>
      </c>
      <c r="F1546" s="7">
        <f>IFERROR(__xludf.DUMMYFUNCTION("""COMPUTED_VALUE"""),1.8018626E7)</f>
        <v>18018626</v>
      </c>
      <c r="G1546" s="7" t="str">
        <f>IFERROR(__xludf.DUMMYFUNCTION("""COMPUTED_VALUE"""),"IOC.NS")</f>
        <v>IOC.NS</v>
      </c>
      <c r="H1546" s="8">
        <f t="shared" si="1"/>
        <v>-0.03496316142</v>
      </c>
      <c r="I1546" s="8">
        <f t="shared" si="2"/>
        <v>0.03496316142</v>
      </c>
      <c r="J1546" s="7" t="str">
        <f t="shared" si="3"/>
        <v>May-2025</v>
      </c>
      <c r="K1546" s="9">
        <f t="shared" si="4"/>
        <v>45778</v>
      </c>
      <c r="L1546" s="7" t="str">
        <f t="shared" si="5"/>
        <v/>
      </c>
      <c r="M1546" s="7" t="str">
        <f>IFERROR(__xludf.DUMMYFUNCTION("IFERROR(
  IF(
    F1546 &gt;
    3*AVERAGE(
       FILTER($F$2:$F10491,
         $G$2:$G10491=G1546,
         $A$2:$A10491&gt;=A1546-20,
         $A$2:$A10491&lt;=A1546
       )
    ),
    ""VOL_SPIKE_3X"",""""
  ),
"""")
"),"")</f>
        <v/>
      </c>
      <c r="N1546" s="7" t="str">
        <f t="shared" si="6"/>
        <v/>
      </c>
      <c r="O1546" s="7" t="str">
        <f t="shared" si="7"/>
        <v/>
      </c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>
      <c r="A1547" s="5">
        <f>IFERROR(__xludf.DUMMYFUNCTION("""COMPUTED_VALUE"""),45783.0)</f>
        <v>45783</v>
      </c>
      <c r="B1547" s="6">
        <f>IFERROR(__xludf.DUMMYFUNCTION("""COMPUTED_VALUE"""),349.0)</f>
        <v>349</v>
      </c>
      <c r="C1547" s="6">
        <f>IFERROR(__xludf.DUMMYFUNCTION("""COMPUTED_VALUE"""),349.5)</f>
        <v>349.5</v>
      </c>
      <c r="D1547" s="6">
        <f>IFERROR(__xludf.DUMMYFUNCTION("""COMPUTED_VALUE"""),340.0)</f>
        <v>340</v>
      </c>
      <c r="E1547" s="6">
        <f>IFERROR(__xludf.DUMMYFUNCTION("""COMPUTED_VALUE"""),341.8)</f>
        <v>341.8</v>
      </c>
      <c r="F1547" s="7">
        <f>IFERROR(__xludf.DUMMYFUNCTION("""COMPUTED_VALUE"""),8904223.0)</f>
        <v>8904223</v>
      </c>
      <c r="G1547" s="7" t="str">
        <f>IFERROR(__xludf.DUMMYFUNCTION("""COMPUTED_VALUE"""),"NTPC.NS")</f>
        <v>NTPC.NS</v>
      </c>
      <c r="H1547" s="8">
        <f t="shared" si="1"/>
        <v>-0.02063037249</v>
      </c>
      <c r="I1547" s="8">
        <f t="shared" si="2"/>
        <v>0.02063037249</v>
      </c>
      <c r="J1547" s="7" t="str">
        <f t="shared" si="3"/>
        <v>May-2025</v>
      </c>
      <c r="K1547" s="9">
        <f t="shared" si="4"/>
        <v>45778</v>
      </c>
      <c r="L1547" s="7" t="str">
        <f t="shared" si="5"/>
        <v/>
      </c>
      <c r="M1547" s="7" t="str">
        <f>IFERROR(__xludf.DUMMYFUNCTION("IFERROR(
  IF(
    F1547 &gt;
    3*AVERAGE(
       FILTER($F$2:$F10491,
         $G$2:$G10491=G1547,
         $A$2:$A10491&gt;=A1547-20,
         $A$2:$A10491&lt;=A1547
       )
    ),
    ""VOL_SPIKE_3X"",""""
  ),
"""")
"),"")</f>
        <v/>
      </c>
      <c r="N1547" s="7" t="str">
        <f t="shared" si="6"/>
        <v/>
      </c>
      <c r="O1547" s="7" t="str">
        <f t="shared" si="7"/>
        <v/>
      </c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>
      <c r="A1548" s="5">
        <f>IFERROR(__xludf.DUMMYFUNCTION("""COMPUTED_VALUE"""),45783.0)</f>
        <v>45783</v>
      </c>
      <c r="B1548" s="6">
        <f>IFERROR(__xludf.DUMMYFUNCTION("""COMPUTED_VALUE"""),241.13)</f>
        <v>241.13</v>
      </c>
      <c r="C1548" s="6">
        <f>IFERROR(__xludf.DUMMYFUNCTION("""COMPUTED_VALUE"""),242.99)</f>
        <v>242.99</v>
      </c>
      <c r="D1548" s="6">
        <f>IFERROR(__xludf.DUMMYFUNCTION("""COMPUTED_VALUE"""),236.0)</f>
        <v>236</v>
      </c>
      <c r="E1548" s="6">
        <f>IFERROR(__xludf.DUMMYFUNCTION("""COMPUTED_VALUE"""),237.0)</f>
        <v>237</v>
      </c>
      <c r="F1548" s="7">
        <f>IFERROR(__xludf.DUMMYFUNCTION("""COMPUTED_VALUE"""),1.1350559E7)</f>
        <v>11350559</v>
      </c>
      <c r="G1548" s="7" t="str">
        <f>IFERROR(__xludf.DUMMYFUNCTION("""COMPUTED_VALUE"""),"ONGC.NS")</f>
        <v>ONGC.NS</v>
      </c>
      <c r="H1548" s="8">
        <f t="shared" si="1"/>
        <v>-0.01712769046</v>
      </c>
      <c r="I1548" s="8">
        <f t="shared" si="2"/>
        <v>0.01712769046</v>
      </c>
      <c r="J1548" s="7" t="str">
        <f t="shared" si="3"/>
        <v>May-2025</v>
      </c>
      <c r="K1548" s="9">
        <f t="shared" si="4"/>
        <v>45778</v>
      </c>
      <c r="L1548" s="7" t="str">
        <f t="shared" si="5"/>
        <v/>
      </c>
      <c r="M1548" s="7" t="str">
        <f>IFERROR(__xludf.DUMMYFUNCTION("IFERROR(
  IF(
    F1548 &gt;
    3*AVERAGE(
       FILTER($F$2:$F10491,
         $G$2:$G10491=G1548,
         $A$2:$A10491&gt;=A1548-20,
         $A$2:$A10491&lt;=A1548
       )
    ),
    ""VOL_SPIKE_3X"",""""
  ),
"""")
"),"")</f>
        <v/>
      </c>
      <c r="N1548" s="7" t="str">
        <f t="shared" si="6"/>
        <v/>
      </c>
      <c r="O1548" s="7" t="str">
        <f t="shared" si="7"/>
        <v/>
      </c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>
      <c r="A1549" s="5">
        <f>IFERROR(__xludf.DUMMYFUNCTION("""COMPUTED_VALUE"""),45783.0)</f>
        <v>45783</v>
      </c>
      <c r="B1549" s="6">
        <f>IFERROR(__xludf.DUMMYFUNCTION("""COMPUTED_VALUE"""),307.6)</f>
        <v>307.6</v>
      </c>
      <c r="C1549" s="6">
        <f>IFERROR(__xludf.DUMMYFUNCTION("""COMPUTED_VALUE"""),310.45)</f>
        <v>310.45</v>
      </c>
      <c r="D1549" s="6">
        <f>IFERROR(__xludf.DUMMYFUNCTION("""COMPUTED_VALUE"""),305.55)</f>
        <v>305.55</v>
      </c>
      <c r="E1549" s="6">
        <f>IFERROR(__xludf.DUMMYFUNCTION("""COMPUTED_VALUE"""),307.6)</f>
        <v>307.6</v>
      </c>
      <c r="F1549" s="7">
        <f>IFERROR(__xludf.DUMMYFUNCTION("""COMPUTED_VALUE"""),9124804.0)</f>
        <v>9124804</v>
      </c>
      <c r="G1549" s="7" t="str">
        <f>IFERROR(__xludf.DUMMYFUNCTION("""COMPUTED_VALUE"""),"POWERGRID.NS")</f>
        <v>POWERGRID.NS</v>
      </c>
      <c r="H1549" s="8">
        <f t="shared" si="1"/>
        <v>0</v>
      </c>
      <c r="I1549" s="8">
        <f t="shared" si="2"/>
        <v>0</v>
      </c>
      <c r="J1549" s="7" t="str">
        <f t="shared" si="3"/>
        <v>May-2025</v>
      </c>
      <c r="K1549" s="9">
        <f t="shared" si="4"/>
        <v>45778</v>
      </c>
      <c r="L1549" s="7" t="str">
        <f t="shared" si="5"/>
        <v/>
      </c>
      <c r="M1549" s="7" t="str">
        <f>IFERROR(__xludf.DUMMYFUNCTION("IFERROR(
  IF(
    F1549 &gt;
    3*AVERAGE(
       FILTER($F$2:$F10491,
         $G$2:$G10491=G1549,
         $A$2:$A10491&gt;=A1549-20,
         $A$2:$A10491&lt;=A1549
       )
    ),
    ""VOL_SPIKE_3X"",""""
  ),
"""")
"),"")</f>
        <v/>
      </c>
      <c r="N1549" s="7" t="str">
        <f t="shared" si="6"/>
        <v/>
      </c>
      <c r="O1549" s="7" t="str">
        <f t="shared" si="7"/>
        <v/>
      </c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>
      <c r="A1550" s="5">
        <f>IFERROR(__xludf.DUMMYFUNCTION("""COMPUTED_VALUE"""),45783.0)</f>
        <v>45783</v>
      </c>
      <c r="B1550" s="6">
        <f>IFERROR(__xludf.DUMMYFUNCTION("""COMPUTED_VALUE"""),1431.0)</f>
        <v>1431</v>
      </c>
      <c r="C1550" s="6">
        <f>IFERROR(__xludf.DUMMYFUNCTION("""COMPUTED_VALUE"""),1432.0)</f>
        <v>1432</v>
      </c>
      <c r="D1550" s="6">
        <f>IFERROR(__xludf.DUMMYFUNCTION("""COMPUTED_VALUE"""),1410.6)</f>
        <v>1410.6</v>
      </c>
      <c r="E1550" s="6">
        <f>IFERROR(__xludf.DUMMYFUNCTION("""COMPUTED_VALUE"""),1420.9)</f>
        <v>1420.9</v>
      </c>
      <c r="F1550" s="7">
        <f>IFERROR(__xludf.DUMMYFUNCTION("""COMPUTED_VALUE"""),1.4084117E7)</f>
        <v>14084117</v>
      </c>
      <c r="G1550" s="7" t="str">
        <f>IFERROR(__xludf.DUMMYFUNCTION("""COMPUTED_VALUE"""),"RELIANCE.NS")</f>
        <v>RELIANCE.NS</v>
      </c>
      <c r="H1550" s="8">
        <f t="shared" si="1"/>
        <v>-0.007058001398</v>
      </c>
      <c r="I1550" s="8">
        <f t="shared" si="2"/>
        <v>0.007058001398</v>
      </c>
      <c r="J1550" s="7" t="str">
        <f t="shared" si="3"/>
        <v>May-2025</v>
      </c>
      <c r="K1550" s="9">
        <f t="shared" si="4"/>
        <v>45778</v>
      </c>
      <c r="L1550" s="7" t="str">
        <f t="shared" si="5"/>
        <v/>
      </c>
      <c r="M1550" s="7" t="str">
        <f>IFERROR(__xludf.DUMMYFUNCTION("IFERROR(
  IF(
    F1550 &gt;
    3*AVERAGE(
       FILTER($F$2:$F10491,
         $G$2:$G10491=G1550,
         $A$2:$A10491&gt;=A1550-20,
         $A$2:$A10491&lt;=A1550
       )
    ),
    ""VOL_SPIKE_3X"",""""
  ),
"""")
"),"")</f>
        <v/>
      </c>
      <c r="N1550" s="7" t="str">
        <f t="shared" si="6"/>
        <v/>
      </c>
      <c r="O1550" s="7" t="str">
        <f t="shared" si="7"/>
        <v/>
      </c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>
      <c r="A1551" s="5">
        <f>IFERROR(__xludf.DUMMYFUNCTION("""COMPUTED_VALUE"""),45784.0)</f>
        <v>45784</v>
      </c>
      <c r="B1551" s="6">
        <f>IFERROR(__xludf.DUMMYFUNCTION("""COMPUTED_VALUE"""),878.0)</f>
        <v>878</v>
      </c>
      <c r="C1551" s="6">
        <f>IFERROR(__xludf.DUMMYFUNCTION("""COMPUTED_VALUE"""),907.0)</f>
        <v>907</v>
      </c>
      <c r="D1551" s="6">
        <f>IFERROR(__xludf.DUMMYFUNCTION("""COMPUTED_VALUE"""),865.1)</f>
        <v>865.1</v>
      </c>
      <c r="E1551" s="6">
        <f>IFERROR(__xludf.DUMMYFUNCTION("""COMPUTED_VALUE"""),871.6)</f>
        <v>871.6</v>
      </c>
      <c r="F1551" s="7">
        <f>IFERROR(__xludf.DUMMYFUNCTION("""COMPUTED_VALUE"""),5712060.0)</f>
        <v>5712060</v>
      </c>
      <c r="G1551" s="7" t="str">
        <f>IFERROR(__xludf.DUMMYFUNCTION("""COMPUTED_VALUE"""),"ADANIENSOL.NS")</f>
        <v>ADANIENSOL.NS</v>
      </c>
      <c r="H1551" s="8">
        <f t="shared" si="1"/>
        <v>-0.00728929385</v>
      </c>
      <c r="I1551" s="8">
        <f t="shared" si="2"/>
        <v>0.00728929385</v>
      </c>
      <c r="J1551" s="7" t="str">
        <f t="shared" si="3"/>
        <v>May-2025</v>
      </c>
      <c r="K1551" s="9">
        <f t="shared" si="4"/>
        <v>45778</v>
      </c>
      <c r="L1551" s="7" t="str">
        <f t="shared" si="5"/>
        <v/>
      </c>
      <c r="M1551" s="7" t="str">
        <f>IFERROR(__xludf.DUMMYFUNCTION("IFERROR(
  IF(
    F1551 &gt;
    3*AVERAGE(
       FILTER($F$2:$F10491,
         $G$2:$G10491=G1551,
         $A$2:$A10491&gt;=A1551-20,
         $A$2:$A10491&lt;=A1551
       )
    ),
    ""VOL_SPIKE_3X"",""""
  ),
"""")
"),"")</f>
        <v/>
      </c>
      <c r="N1551" s="7" t="str">
        <f t="shared" si="6"/>
        <v/>
      </c>
      <c r="O1551" s="7" t="str">
        <f t="shared" si="7"/>
        <v/>
      </c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>
      <c r="A1552" s="5">
        <f>IFERROR(__xludf.DUMMYFUNCTION("""COMPUTED_VALUE"""),45784.0)</f>
        <v>45784</v>
      </c>
      <c r="B1552" s="6">
        <f>IFERROR(__xludf.DUMMYFUNCTION("""COMPUTED_VALUE"""),901.2)</f>
        <v>901.2</v>
      </c>
      <c r="C1552" s="6">
        <f>IFERROR(__xludf.DUMMYFUNCTION("""COMPUTED_VALUE"""),929.0)</f>
        <v>929</v>
      </c>
      <c r="D1552" s="6">
        <f>IFERROR(__xludf.DUMMYFUNCTION("""COMPUTED_VALUE"""),901.1)</f>
        <v>901.1</v>
      </c>
      <c r="E1552" s="6">
        <f>IFERROR(__xludf.DUMMYFUNCTION("""COMPUTED_VALUE"""),917.25)</f>
        <v>917.25</v>
      </c>
      <c r="F1552" s="7">
        <f>IFERROR(__xludf.DUMMYFUNCTION("""COMPUTED_VALUE"""),3179762.0)</f>
        <v>3179762</v>
      </c>
      <c r="G1552" s="7" t="str">
        <f>IFERROR(__xludf.DUMMYFUNCTION("""COMPUTED_VALUE"""),"ADANIGREEN.NS")</f>
        <v>ADANIGREEN.NS</v>
      </c>
      <c r="H1552" s="8">
        <f t="shared" si="1"/>
        <v>0.01780958722</v>
      </c>
      <c r="I1552" s="8">
        <f t="shared" si="2"/>
        <v>0.01780958722</v>
      </c>
      <c r="J1552" s="7" t="str">
        <f t="shared" si="3"/>
        <v>May-2025</v>
      </c>
      <c r="K1552" s="9">
        <f t="shared" si="4"/>
        <v>45778</v>
      </c>
      <c r="L1552" s="7" t="str">
        <f t="shared" si="5"/>
        <v/>
      </c>
      <c r="M1552" s="7" t="str">
        <f>IFERROR(__xludf.DUMMYFUNCTION("IFERROR(
  IF(
    F1552 &gt;
    3*AVERAGE(
       FILTER($F$2:$F10491,
         $G$2:$G10491=G1552,
         $A$2:$A10491&gt;=A1552-20,
         $A$2:$A10491&lt;=A1552
       )
    ),
    ""VOL_SPIKE_3X"",""""
  ),
"""")
"),"")</f>
        <v/>
      </c>
      <c r="N1552" s="7" t="str">
        <f t="shared" si="6"/>
        <v/>
      </c>
      <c r="O1552" s="7" t="str">
        <f t="shared" si="7"/>
        <v/>
      </c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>
      <c r="A1553" s="5">
        <f>IFERROR(__xludf.DUMMYFUNCTION("""COMPUTED_VALUE"""),45784.0)</f>
        <v>45784</v>
      </c>
      <c r="B1553" s="6">
        <f>IFERROR(__xludf.DUMMYFUNCTION("""COMPUTED_VALUE"""),307.0)</f>
        <v>307</v>
      </c>
      <c r="C1553" s="6">
        <f>IFERROR(__xludf.DUMMYFUNCTION("""COMPUTED_VALUE"""),317.5)</f>
        <v>317.5</v>
      </c>
      <c r="D1553" s="6">
        <f>IFERROR(__xludf.DUMMYFUNCTION("""COMPUTED_VALUE"""),307.0)</f>
        <v>307</v>
      </c>
      <c r="E1553" s="6">
        <f>IFERROR(__xludf.DUMMYFUNCTION("""COMPUTED_VALUE"""),316.9)</f>
        <v>316.9</v>
      </c>
      <c r="F1553" s="7">
        <f>IFERROR(__xludf.DUMMYFUNCTION("""COMPUTED_VALUE"""),7970668.0)</f>
        <v>7970668</v>
      </c>
      <c r="G1553" s="7" t="str">
        <f>IFERROR(__xludf.DUMMYFUNCTION("""COMPUTED_VALUE"""),"BPCL.NS")</f>
        <v>BPCL.NS</v>
      </c>
      <c r="H1553" s="8">
        <f t="shared" si="1"/>
        <v>0.032247557</v>
      </c>
      <c r="I1553" s="8">
        <f t="shared" si="2"/>
        <v>0.032247557</v>
      </c>
      <c r="J1553" s="7" t="str">
        <f t="shared" si="3"/>
        <v>May-2025</v>
      </c>
      <c r="K1553" s="9">
        <f t="shared" si="4"/>
        <v>45778</v>
      </c>
      <c r="L1553" s="7" t="str">
        <f t="shared" si="5"/>
        <v/>
      </c>
      <c r="M1553" s="7" t="str">
        <f>IFERROR(__xludf.DUMMYFUNCTION("IFERROR(
  IF(
    F1553 &gt;
    3*AVERAGE(
       FILTER($F$2:$F10491,
         $G$2:$G10491=G1553,
         $A$2:$A10491&gt;=A1553-20,
         $A$2:$A10491&lt;=A1553
       )
    ),
    ""VOL_SPIKE_3X"",""""
  ),
"""")
"),"")</f>
        <v/>
      </c>
      <c r="N1553" s="7" t="str">
        <f t="shared" si="6"/>
        <v/>
      </c>
      <c r="O1553" s="7" t="str">
        <f t="shared" si="7"/>
        <v/>
      </c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>
      <c r="A1554" s="5">
        <f>IFERROR(__xludf.DUMMYFUNCTION("""COMPUTED_VALUE"""),45784.0)</f>
        <v>45784</v>
      </c>
      <c r="B1554" s="6">
        <f>IFERROR(__xludf.DUMMYFUNCTION("""COMPUTED_VALUE"""),370.3)</f>
        <v>370.3</v>
      </c>
      <c r="C1554" s="6">
        <f>IFERROR(__xludf.DUMMYFUNCTION("""COMPUTED_VALUE"""),387.3)</f>
        <v>387.3</v>
      </c>
      <c r="D1554" s="6">
        <f>IFERROR(__xludf.DUMMYFUNCTION("""COMPUTED_VALUE"""),370.3)</f>
        <v>370.3</v>
      </c>
      <c r="E1554" s="6">
        <f>IFERROR(__xludf.DUMMYFUNCTION("""COMPUTED_VALUE"""),383.3)</f>
        <v>383.3</v>
      </c>
      <c r="F1554" s="7">
        <f>IFERROR(__xludf.DUMMYFUNCTION("""COMPUTED_VALUE"""),9162368.0)</f>
        <v>9162368</v>
      </c>
      <c r="G1554" s="7" t="str">
        <f>IFERROR(__xludf.DUMMYFUNCTION("""COMPUTED_VALUE"""),"COALINDIA.NS")</f>
        <v>COALINDIA.NS</v>
      </c>
      <c r="H1554" s="8">
        <f t="shared" si="1"/>
        <v>0.03510667027</v>
      </c>
      <c r="I1554" s="8">
        <f t="shared" si="2"/>
        <v>0.03510667027</v>
      </c>
      <c r="J1554" s="7" t="str">
        <f t="shared" si="3"/>
        <v>May-2025</v>
      </c>
      <c r="K1554" s="9">
        <f t="shared" si="4"/>
        <v>45778</v>
      </c>
      <c r="L1554" s="7" t="str">
        <f t="shared" si="5"/>
        <v/>
      </c>
      <c r="M1554" s="7" t="str">
        <f>IFERROR(__xludf.DUMMYFUNCTION("IFERROR(
  IF(
    F1554 &gt;
    3*AVERAGE(
       FILTER($F$2:$F10491,
         $G$2:$G10491=G1554,
         $A$2:$A10491&gt;=A1554-20,
         $A$2:$A10491&lt;=A1554
       )
    ),
    ""VOL_SPIKE_3X"",""""
  ),
"""")
"),"")</f>
        <v/>
      </c>
      <c r="N1554" s="7" t="str">
        <f t="shared" si="6"/>
        <v/>
      </c>
      <c r="O1554" s="7" t="str">
        <f t="shared" si="7"/>
        <v/>
      </c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>
      <c r="A1555" s="5">
        <f>IFERROR(__xludf.DUMMYFUNCTION("""COMPUTED_VALUE"""),45784.0)</f>
        <v>45784</v>
      </c>
      <c r="B1555" s="6">
        <f>IFERROR(__xludf.DUMMYFUNCTION("""COMPUTED_VALUE"""),394.0)</f>
        <v>394</v>
      </c>
      <c r="C1555" s="6">
        <f>IFERROR(__xludf.DUMMYFUNCTION("""COMPUTED_VALUE"""),405.1)</f>
        <v>405.1</v>
      </c>
      <c r="D1555" s="6">
        <f>IFERROR(__xludf.DUMMYFUNCTION("""COMPUTED_VALUE"""),392.6)</f>
        <v>392.6</v>
      </c>
      <c r="E1555" s="6">
        <f>IFERROR(__xludf.DUMMYFUNCTION("""COMPUTED_VALUE"""),396.95)</f>
        <v>396.95</v>
      </c>
      <c r="F1555" s="7">
        <f>IFERROR(__xludf.DUMMYFUNCTION("""COMPUTED_VALUE"""),8825404.0)</f>
        <v>8825404</v>
      </c>
      <c r="G1555" s="7" t="str">
        <f>IFERROR(__xludf.DUMMYFUNCTION("""COMPUTED_VALUE"""),"HINDPETRO.NS")</f>
        <v>HINDPETRO.NS</v>
      </c>
      <c r="H1555" s="8">
        <f t="shared" si="1"/>
        <v>0.007487309645</v>
      </c>
      <c r="I1555" s="8">
        <f t="shared" si="2"/>
        <v>0.007487309645</v>
      </c>
      <c r="J1555" s="7" t="str">
        <f t="shared" si="3"/>
        <v>May-2025</v>
      </c>
      <c r="K1555" s="9">
        <f t="shared" si="4"/>
        <v>45778</v>
      </c>
      <c r="L1555" s="7" t="str">
        <f t="shared" si="5"/>
        <v/>
      </c>
      <c r="M1555" s="7" t="str">
        <f>IFERROR(__xludf.DUMMYFUNCTION("IFERROR(
  IF(
    F1555 &gt;
    3*AVERAGE(
       FILTER($F$2:$F10491,
         $G$2:$G10491=G1555,
         $A$2:$A10491&gt;=A1555-20,
         $A$2:$A10491&lt;=A1555
       )
    ),
    ""VOL_SPIKE_3X"",""""
  ),
"""")
"),"")</f>
        <v/>
      </c>
      <c r="N1555" s="7" t="str">
        <f t="shared" si="6"/>
        <v/>
      </c>
      <c r="O1555" s="7" t="str">
        <f t="shared" si="7"/>
        <v/>
      </c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>
      <c r="A1556" s="5">
        <f>IFERROR(__xludf.DUMMYFUNCTION("""COMPUTED_VALUE"""),45784.0)</f>
        <v>45784</v>
      </c>
      <c r="B1556" s="6">
        <f>IFERROR(__xludf.DUMMYFUNCTION("""COMPUTED_VALUE"""),140.0)</f>
        <v>140</v>
      </c>
      <c r="C1556" s="6">
        <f>IFERROR(__xludf.DUMMYFUNCTION("""COMPUTED_VALUE"""),145.14)</f>
        <v>145.14</v>
      </c>
      <c r="D1556" s="6">
        <f>IFERROR(__xludf.DUMMYFUNCTION("""COMPUTED_VALUE"""),140.0)</f>
        <v>140</v>
      </c>
      <c r="E1556" s="6">
        <f>IFERROR(__xludf.DUMMYFUNCTION("""COMPUTED_VALUE"""),144.49)</f>
        <v>144.49</v>
      </c>
      <c r="F1556" s="7">
        <f>IFERROR(__xludf.DUMMYFUNCTION("""COMPUTED_VALUE"""),1.931674E7)</f>
        <v>19316740</v>
      </c>
      <c r="G1556" s="7" t="str">
        <f>IFERROR(__xludf.DUMMYFUNCTION("""COMPUTED_VALUE"""),"IOC.NS")</f>
        <v>IOC.NS</v>
      </c>
      <c r="H1556" s="8">
        <f t="shared" si="1"/>
        <v>0.03207142857</v>
      </c>
      <c r="I1556" s="8">
        <f t="shared" si="2"/>
        <v>0.03207142857</v>
      </c>
      <c r="J1556" s="7" t="str">
        <f t="shared" si="3"/>
        <v>May-2025</v>
      </c>
      <c r="K1556" s="9">
        <f t="shared" si="4"/>
        <v>45778</v>
      </c>
      <c r="L1556" s="7" t="str">
        <f t="shared" si="5"/>
        <v/>
      </c>
      <c r="M1556" s="7" t="str">
        <f>IFERROR(__xludf.DUMMYFUNCTION("IFERROR(
  IF(
    F1556 &gt;
    3*AVERAGE(
       FILTER($F$2:$F10491,
         $G$2:$G10491=G1556,
         $A$2:$A10491&gt;=A1556-20,
         $A$2:$A10491&lt;=A1556
       )
    ),
    ""VOL_SPIKE_3X"",""""
  ),
"""")
"),"")</f>
        <v/>
      </c>
      <c r="N1556" s="7" t="str">
        <f t="shared" si="6"/>
        <v/>
      </c>
      <c r="O1556" s="7" t="str">
        <f t="shared" si="7"/>
        <v/>
      </c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>
      <c r="A1557" s="5">
        <f>IFERROR(__xludf.DUMMYFUNCTION("""COMPUTED_VALUE"""),45784.0)</f>
        <v>45784</v>
      </c>
      <c r="B1557" s="6">
        <f>IFERROR(__xludf.DUMMYFUNCTION("""COMPUTED_VALUE"""),338.0)</f>
        <v>338</v>
      </c>
      <c r="C1557" s="6">
        <f>IFERROR(__xludf.DUMMYFUNCTION("""COMPUTED_VALUE"""),343.7)</f>
        <v>343.7</v>
      </c>
      <c r="D1557" s="6">
        <f>IFERROR(__xludf.DUMMYFUNCTION("""COMPUTED_VALUE"""),337.0)</f>
        <v>337</v>
      </c>
      <c r="E1557" s="6">
        <f>IFERROR(__xludf.DUMMYFUNCTION("""COMPUTED_VALUE"""),342.05)</f>
        <v>342.05</v>
      </c>
      <c r="F1557" s="7">
        <f>IFERROR(__xludf.DUMMYFUNCTION("""COMPUTED_VALUE"""),8465490.0)</f>
        <v>8465490</v>
      </c>
      <c r="G1557" s="7" t="str">
        <f>IFERROR(__xludf.DUMMYFUNCTION("""COMPUTED_VALUE"""),"NTPC.NS")</f>
        <v>NTPC.NS</v>
      </c>
      <c r="H1557" s="8">
        <f t="shared" si="1"/>
        <v>0.01198224852</v>
      </c>
      <c r="I1557" s="8">
        <f t="shared" si="2"/>
        <v>0.01198224852</v>
      </c>
      <c r="J1557" s="7" t="str">
        <f t="shared" si="3"/>
        <v>May-2025</v>
      </c>
      <c r="K1557" s="9">
        <f t="shared" si="4"/>
        <v>45778</v>
      </c>
      <c r="L1557" s="7" t="str">
        <f t="shared" si="5"/>
        <v/>
      </c>
      <c r="M1557" s="7" t="str">
        <f>IFERROR(__xludf.DUMMYFUNCTION("IFERROR(
  IF(
    F1557 &gt;
    3*AVERAGE(
       FILTER($F$2:$F10491,
         $G$2:$G10491=G1557,
         $A$2:$A10491&gt;=A1557-20,
         $A$2:$A10491&lt;=A1557
       )
    ),
    ""VOL_SPIKE_3X"",""""
  ),
"""")
"),"")</f>
        <v/>
      </c>
      <c r="N1557" s="7" t="str">
        <f t="shared" si="6"/>
        <v/>
      </c>
      <c r="O1557" s="7" t="str">
        <f t="shared" si="7"/>
        <v/>
      </c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>
      <c r="A1558" s="5">
        <f>IFERROR(__xludf.DUMMYFUNCTION("""COMPUTED_VALUE"""),45784.0)</f>
        <v>45784</v>
      </c>
      <c r="B1558" s="6">
        <f>IFERROR(__xludf.DUMMYFUNCTION("""COMPUTED_VALUE"""),232.3)</f>
        <v>232.3</v>
      </c>
      <c r="C1558" s="6">
        <f>IFERROR(__xludf.DUMMYFUNCTION("""COMPUTED_VALUE"""),240.09)</f>
        <v>240.09</v>
      </c>
      <c r="D1558" s="6">
        <f>IFERROR(__xludf.DUMMYFUNCTION("""COMPUTED_VALUE"""),232.07)</f>
        <v>232.07</v>
      </c>
      <c r="E1558" s="6">
        <f>IFERROR(__xludf.DUMMYFUNCTION("""COMPUTED_VALUE"""),238.67)</f>
        <v>238.67</v>
      </c>
      <c r="F1558" s="7">
        <f>IFERROR(__xludf.DUMMYFUNCTION("""COMPUTED_VALUE"""),1.6689539E7)</f>
        <v>16689539</v>
      </c>
      <c r="G1558" s="7" t="str">
        <f>IFERROR(__xludf.DUMMYFUNCTION("""COMPUTED_VALUE"""),"ONGC.NS")</f>
        <v>ONGC.NS</v>
      </c>
      <c r="H1558" s="8">
        <f t="shared" si="1"/>
        <v>0.0274214378</v>
      </c>
      <c r="I1558" s="8">
        <f t="shared" si="2"/>
        <v>0.0274214378</v>
      </c>
      <c r="J1558" s="7" t="str">
        <f t="shared" si="3"/>
        <v>May-2025</v>
      </c>
      <c r="K1558" s="9">
        <f t="shared" si="4"/>
        <v>45778</v>
      </c>
      <c r="L1558" s="7" t="str">
        <f t="shared" si="5"/>
        <v/>
      </c>
      <c r="M1558" s="7" t="str">
        <f>IFERROR(__xludf.DUMMYFUNCTION("IFERROR(
  IF(
    F1558 &gt;
    3*AVERAGE(
       FILTER($F$2:$F10491,
         $G$2:$G10491=G1558,
         $A$2:$A10491&gt;=A1558-20,
         $A$2:$A10491&lt;=A1558
       )
    ),
    ""VOL_SPIKE_3X"",""""
  ),
"""")
"),"")</f>
        <v/>
      </c>
      <c r="N1558" s="7" t="str">
        <f t="shared" si="6"/>
        <v/>
      </c>
      <c r="O1558" s="7" t="str">
        <f t="shared" si="7"/>
        <v/>
      </c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>
      <c r="A1559" s="5">
        <f>IFERROR(__xludf.DUMMYFUNCTION("""COMPUTED_VALUE"""),45784.0)</f>
        <v>45784</v>
      </c>
      <c r="B1559" s="6">
        <f>IFERROR(__xludf.DUMMYFUNCTION("""COMPUTED_VALUE"""),308.0)</f>
        <v>308</v>
      </c>
      <c r="C1559" s="6">
        <f>IFERROR(__xludf.DUMMYFUNCTION("""COMPUTED_VALUE"""),313.15)</f>
        <v>313.15</v>
      </c>
      <c r="D1559" s="6">
        <f>IFERROR(__xludf.DUMMYFUNCTION("""COMPUTED_VALUE"""),307.0)</f>
        <v>307</v>
      </c>
      <c r="E1559" s="6">
        <f>IFERROR(__xludf.DUMMYFUNCTION("""COMPUTED_VALUE"""),311.1)</f>
        <v>311.1</v>
      </c>
      <c r="F1559" s="7">
        <f>IFERROR(__xludf.DUMMYFUNCTION("""COMPUTED_VALUE"""),1.4679327E7)</f>
        <v>14679327</v>
      </c>
      <c r="G1559" s="7" t="str">
        <f>IFERROR(__xludf.DUMMYFUNCTION("""COMPUTED_VALUE"""),"POWERGRID.NS")</f>
        <v>POWERGRID.NS</v>
      </c>
      <c r="H1559" s="8">
        <f t="shared" si="1"/>
        <v>0.01006493506</v>
      </c>
      <c r="I1559" s="8">
        <f t="shared" si="2"/>
        <v>0.01006493506</v>
      </c>
      <c r="J1559" s="7" t="str">
        <f t="shared" si="3"/>
        <v>May-2025</v>
      </c>
      <c r="K1559" s="9">
        <f t="shared" si="4"/>
        <v>45778</v>
      </c>
      <c r="L1559" s="7" t="str">
        <f t="shared" si="5"/>
        <v/>
      </c>
      <c r="M1559" s="7" t="str">
        <f>IFERROR(__xludf.DUMMYFUNCTION("IFERROR(
  IF(
    F1559 &gt;
    3*AVERAGE(
       FILTER($F$2:$F10491,
         $G$2:$G10491=G1559,
         $A$2:$A10491&gt;=A1559-20,
         $A$2:$A10491&lt;=A1559
       )
    ),
    ""VOL_SPIKE_3X"",""""
  ),
"""")
"),"")</f>
        <v/>
      </c>
      <c r="N1559" s="7" t="str">
        <f t="shared" si="6"/>
        <v/>
      </c>
      <c r="O1559" s="7" t="str">
        <f t="shared" si="7"/>
        <v/>
      </c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>
      <c r="A1560" s="5">
        <f>IFERROR(__xludf.DUMMYFUNCTION("""COMPUTED_VALUE"""),45784.0)</f>
        <v>45784</v>
      </c>
      <c r="B1560" s="6">
        <f>IFERROR(__xludf.DUMMYFUNCTION("""COMPUTED_VALUE"""),1420.9)</f>
        <v>1420.9</v>
      </c>
      <c r="C1560" s="6">
        <f>IFERROR(__xludf.DUMMYFUNCTION("""COMPUTED_VALUE"""),1424.4)</f>
        <v>1424.4</v>
      </c>
      <c r="D1560" s="6">
        <f>IFERROR(__xludf.DUMMYFUNCTION("""COMPUTED_VALUE"""),1402.7)</f>
        <v>1402.7</v>
      </c>
      <c r="E1560" s="6">
        <f>IFERROR(__xludf.DUMMYFUNCTION("""COMPUTED_VALUE"""),1406.0)</f>
        <v>1406</v>
      </c>
      <c r="F1560" s="7">
        <f>IFERROR(__xludf.DUMMYFUNCTION("""COMPUTED_VALUE"""),1.3440169E7)</f>
        <v>13440169</v>
      </c>
      <c r="G1560" s="7" t="str">
        <f>IFERROR(__xludf.DUMMYFUNCTION("""COMPUTED_VALUE"""),"RELIANCE.NS")</f>
        <v>RELIANCE.NS</v>
      </c>
      <c r="H1560" s="8">
        <f t="shared" si="1"/>
        <v>-0.01048631149</v>
      </c>
      <c r="I1560" s="8">
        <f t="shared" si="2"/>
        <v>0.01048631149</v>
      </c>
      <c r="J1560" s="7" t="str">
        <f t="shared" si="3"/>
        <v>May-2025</v>
      </c>
      <c r="K1560" s="9">
        <f t="shared" si="4"/>
        <v>45778</v>
      </c>
      <c r="L1560" s="7" t="str">
        <f t="shared" si="5"/>
        <v/>
      </c>
      <c r="M1560" s="7" t="str">
        <f>IFERROR(__xludf.DUMMYFUNCTION("IFERROR(
  IF(
    F1560 &gt;
    3*AVERAGE(
       FILTER($F$2:$F10491,
         $G$2:$G10491=G1560,
         $A$2:$A10491&gt;=A1560-20,
         $A$2:$A10491&lt;=A1560
       )
    ),
    ""VOL_SPIKE_3X"",""""
  ),
"""")
"),"")</f>
        <v/>
      </c>
      <c r="N1560" s="7" t="str">
        <f t="shared" si="6"/>
        <v/>
      </c>
      <c r="O1560" s="7" t="str">
        <f t="shared" si="7"/>
        <v/>
      </c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>
      <c r="A1561" s="5">
        <f>IFERROR(__xludf.DUMMYFUNCTION("""COMPUTED_VALUE"""),45785.0)</f>
        <v>45785</v>
      </c>
      <c r="B1561" s="6">
        <f>IFERROR(__xludf.DUMMYFUNCTION("""COMPUTED_VALUE"""),880.05)</f>
        <v>880.05</v>
      </c>
      <c r="C1561" s="6">
        <f>IFERROR(__xludf.DUMMYFUNCTION("""COMPUTED_VALUE"""),886.7)</f>
        <v>886.7</v>
      </c>
      <c r="D1561" s="6">
        <f>IFERROR(__xludf.DUMMYFUNCTION("""COMPUTED_VALUE"""),826.3)</f>
        <v>826.3</v>
      </c>
      <c r="E1561" s="6">
        <f>IFERROR(__xludf.DUMMYFUNCTION("""COMPUTED_VALUE"""),839.0)</f>
        <v>839</v>
      </c>
      <c r="F1561" s="7">
        <f>IFERROR(__xludf.DUMMYFUNCTION("""COMPUTED_VALUE"""),3262818.0)</f>
        <v>3262818</v>
      </c>
      <c r="G1561" s="7" t="str">
        <f>IFERROR(__xludf.DUMMYFUNCTION("""COMPUTED_VALUE"""),"ADANIENSOL.NS")</f>
        <v>ADANIENSOL.NS</v>
      </c>
      <c r="H1561" s="8">
        <f t="shared" si="1"/>
        <v>-0.04664507698</v>
      </c>
      <c r="I1561" s="8">
        <f t="shared" si="2"/>
        <v>0.04664507698</v>
      </c>
      <c r="J1561" s="7" t="str">
        <f t="shared" si="3"/>
        <v>May-2025</v>
      </c>
      <c r="K1561" s="9">
        <f t="shared" si="4"/>
        <v>45778</v>
      </c>
      <c r="L1561" s="7" t="str">
        <f t="shared" si="5"/>
        <v/>
      </c>
      <c r="M1561" s="7" t="str">
        <f>IFERROR(__xludf.DUMMYFUNCTION("IFERROR(
  IF(
    F1561 &gt;
    3*AVERAGE(
       FILTER($F$2:$F10491,
         $G$2:$G10491=G1561,
         $A$2:$A10491&gt;=A1561-20,
         $A$2:$A10491&lt;=A1561
       )
    ),
    ""VOL_SPIKE_3X"",""""
  ),
"""")
"),"")</f>
        <v/>
      </c>
      <c r="N1561" s="7" t="str">
        <f t="shared" si="6"/>
        <v/>
      </c>
      <c r="O1561" s="7" t="str">
        <f t="shared" si="7"/>
        <v/>
      </c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>
      <c r="A1562" s="5">
        <f>IFERROR(__xludf.DUMMYFUNCTION("""COMPUTED_VALUE"""),45785.0)</f>
        <v>45785</v>
      </c>
      <c r="B1562" s="6">
        <f>IFERROR(__xludf.DUMMYFUNCTION("""COMPUTED_VALUE"""),926.05)</f>
        <v>926.05</v>
      </c>
      <c r="C1562" s="6">
        <f>IFERROR(__xludf.DUMMYFUNCTION("""COMPUTED_VALUE"""),933.2)</f>
        <v>933.2</v>
      </c>
      <c r="D1562" s="6">
        <f>IFERROR(__xludf.DUMMYFUNCTION("""COMPUTED_VALUE"""),870.2)</f>
        <v>870.2</v>
      </c>
      <c r="E1562" s="6">
        <f>IFERROR(__xludf.DUMMYFUNCTION("""COMPUTED_VALUE"""),880.5)</f>
        <v>880.5</v>
      </c>
      <c r="F1562" s="7">
        <f>IFERROR(__xludf.DUMMYFUNCTION("""COMPUTED_VALUE"""),4281975.0)</f>
        <v>4281975</v>
      </c>
      <c r="G1562" s="7" t="str">
        <f>IFERROR(__xludf.DUMMYFUNCTION("""COMPUTED_VALUE"""),"ADANIGREEN.NS")</f>
        <v>ADANIGREEN.NS</v>
      </c>
      <c r="H1562" s="8">
        <f t="shared" si="1"/>
        <v>-0.04918740889</v>
      </c>
      <c r="I1562" s="8">
        <f t="shared" si="2"/>
        <v>0.04918740889</v>
      </c>
      <c r="J1562" s="7" t="str">
        <f t="shared" si="3"/>
        <v>May-2025</v>
      </c>
      <c r="K1562" s="9">
        <f t="shared" si="4"/>
        <v>45778</v>
      </c>
      <c r="L1562" s="7" t="str">
        <f t="shared" si="5"/>
        <v/>
      </c>
      <c r="M1562" s="7" t="str">
        <f>IFERROR(__xludf.DUMMYFUNCTION("IFERROR(
  IF(
    F1562 &gt;
    3*AVERAGE(
       FILTER($F$2:$F10491,
         $G$2:$G10491=G1562,
         $A$2:$A10491&gt;=A1562-20,
         $A$2:$A10491&lt;=A1562
       )
    ),
    ""VOL_SPIKE_3X"",""""
  ),
"""")
"),"")</f>
        <v/>
      </c>
      <c r="N1562" s="7" t="str">
        <f t="shared" si="6"/>
        <v/>
      </c>
      <c r="O1562" s="7" t="str">
        <f t="shared" si="7"/>
        <v/>
      </c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>
      <c r="A1563" s="5">
        <f>IFERROR(__xludf.DUMMYFUNCTION("""COMPUTED_VALUE"""),45785.0)</f>
        <v>45785</v>
      </c>
      <c r="B1563" s="6">
        <f>IFERROR(__xludf.DUMMYFUNCTION("""COMPUTED_VALUE"""),315.5)</f>
        <v>315.5</v>
      </c>
      <c r="C1563" s="6">
        <f>IFERROR(__xludf.DUMMYFUNCTION("""COMPUTED_VALUE"""),320.2)</f>
        <v>320.2</v>
      </c>
      <c r="D1563" s="6">
        <f>IFERROR(__xludf.DUMMYFUNCTION("""COMPUTED_VALUE"""),305.7)</f>
        <v>305.7</v>
      </c>
      <c r="E1563" s="6">
        <f>IFERROR(__xludf.DUMMYFUNCTION("""COMPUTED_VALUE"""),307.95)</f>
        <v>307.95</v>
      </c>
      <c r="F1563" s="7">
        <f>IFERROR(__xludf.DUMMYFUNCTION("""COMPUTED_VALUE"""),5918739.0)</f>
        <v>5918739</v>
      </c>
      <c r="G1563" s="7" t="str">
        <f>IFERROR(__xludf.DUMMYFUNCTION("""COMPUTED_VALUE"""),"BPCL.NS")</f>
        <v>BPCL.NS</v>
      </c>
      <c r="H1563" s="8">
        <f t="shared" si="1"/>
        <v>-0.02393026941</v>
      </c>
      <c r="I1563" s="8">
        <f t="shared" si="2"/>
        <v>0.02393026941</v>
      </c>
      <c r="J1563" s="7" t="str">
        <f t="shared" si="3"/>
        <v>May-2025</v>
      </c>
      <c r="K1563" s="9">
        <f t="shared" si="4"/>
        <v>45778</v>
      </c>
      <c r="L1563" s="7" t="str">
        <f t="shared" si="5"/>
        <v/>
      </c>
      <c r="M1563" s="7" t="str">
        <f>IFERROR(__xludf.DUMMYFUNCTION("IFERROR(
  IF(
    F1563 &gt;
    3*AVERAGE(
       FILTER($F$2:$F10491,
         $G$2:$G10491=G1563,
         $A$2:$A10491&gt;=A1563-20,
         $A$2:$A10491&lt;=A1563
       )
    ),
    ""VOL_SPIKE_3X"",""""
  ),
"""")
"),"")</f>
        <v/>
      </c>
      <c r="N1563" s="7" t="str">
        <f t="shared" si="6"/>
        <v/>
      </c>
      <c r="O1563" s="7" t="str">
        <f t="shared" si="7"/>
        <v/>
      </c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>
      <c r="A1564" s="5">
        <f>IFERROR(__xludf.DUMMYFUNCTION("""COMPUTED_VALUE"""),45785.0)</f>
        <v>45785</v>
      </c>
      <c r="B1564" s="6">
        <f>IFERROR(__xludf.DUMMYFUNCTION("""COMPUTED_VALUE"""),390.0)</f>
        <v>390</v>
      </c>
      <c r="C1564" s="6">
        <f>IFERROR(__xludf.DUMMYFUNCTION("""COMPUTED_VALUE"""),394.95)</f>
        <v>394.95</v>
      </c>
      <c r="D1564" s="6">
        <f>IFERROR(__xludf.DUMMYFUNCTION("""COMPUTED_VALUE"""),382.25)</f>
        <v>382.25</v>
      </c>
      <c r="E1564" s="6">
        <f>IFERROR(__xludf.DUMMYFUNCTION("""COMPUTED_VALUE"""),385.45)</f>
        <v>385.45</v>
      </c>
      <c r="F1564" s="7">
        <f>IFERROR(__xludf.DUMMYFUNCTION("""COMPUTED_VALUE"""),1.4258083E7)</f>
        <v>14258083</v>
      </c>
      <c r="G1564" s="7" t="str">
        <f>IFERROR(__xludf.DUMMYFUNCTION("""COMPUTED_VALUE"""),"COALINDIA.NS")</f>
        <v>COALINDIA.NS</v>
      </c>
      <c r="H1564" s="8">
        <f t="shared" si="1"/>
        <v>-0.01166666667</v>
      </c>
      <c r="I1564" s="8">
        <f t="shared" si="2"/>
        <v>0.01166666667</v>
      </c>
      <c r="J1564" s="7" t="str">
        <f t="shared" si="3"/>
        <v>May-2025</v>
      </c>
      <c r="K1564" s="9">
        <f t="shared" si="4"/>
        <v>45778</v>
      </c>
      <c r="L1564" s="7" t="str">
        <f t="shared" si="5"/>
        <v/>
      </c>
      <c r="M1564" s="7" t="str">
        <f>IFERROR(__xludf.DUMMYFUNCTION("IFERROR(
  IF(
    F1564 &gt;
    3*AVERAGE(
       FILTER($F$2:$F10491,
         $G$2:$G10491=G1564,
         $A$2:$A10491&gt;=A1564-20,
         $A$2:$A10491&lt;=A1564
       )
    ),
    ""VOL_SPIKE_3X"",""""
  ),
"""")
"),"")</f>
        <v/>
      </c>
      <c r="N1564" s="7" t="str">
        <f t="shared" si="6"/>
        <v/>
      </c>
      <c r="O1564" s="7" t="str">
        <f t="shared" si="7"/>
        <v/>
      </c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>
      <c r="A1565" s="5">
        <f>IFERROR(__xludf.DUMMYFUNCTION("""COMPUTED_VALUE"""),45785.0)</f>
        <v>45785</v>
      </c>
      <c r="B1565" s="6">
        <f>IFERROR(__xludf.DUMMYFUNCTION("""COMPUTED_VALUE"""),399.0)</f>
        <v>399</v>
      </c>
      <c r="C1565" s="6">
        <f>IFERROR(__xludf.DUMMYFUNCTION("""COMPUTED_VALUE"""),402.6)</f>
        <v>402.6</v>
      </c>
      <c r="D1565" s="6">
        <f>IFERROR(__xludf.DUMMYFUNCTION("""COMPUTED_VALUE"""),385.0)</f>
        <v>385</v>
      </c>
      <c r="E1565" s="6">
        <f>IFERROR(__xludf.DUMMYFUNCTION("""COMPUTED_VALUE"""),388.1)</f>
        <v>388.1</v>
      </c>
      <c r="F1565" s="7">
        <f>IFERROR(__xludf.DUMMYFUNCTION("""COMPUTED_VALUE"""),5347464.0)</f>
        <v>5347464</v>
      </c>
      <c r="G1565" s="7" t="str">
        <f>IFERROR(__xludf.DUMMYFUNCTION("""COMPUTED_VALUE"""),"HINDPETRO.NS")</f>
        <v>HINDPETRO.NS</v>
      </c>
      <c r="H1565" s="8">
        <f t="shared" si="1"/>
        <v>-0.02731829574</v>
      </c>
      <c r="I1565" s="8">
        <f t="shared" si="2"/>
        <v>0.02731829574</v>
      </c>
      <c r="J1565" s="7" t="str">
        <f t="shared" si="3"/>
        <v>May-2025</v>
      </c>
      <c r="K1565" s="9">
        <f t="shared" si="4"/>
        <v>45778</v>
      </c>
      <c r="L1565" s="7" t="str">
        <f t="shared" si="5"/>
        <v/>
      </c>
      <c r="M1565" s="7" t="str">
        <f>IFERROR(__xludf.DUMMYFUNCTION("IFERROR(
  IF(
    F1565 &gt;
    3*AVERAGE(
       FILTER($F$2:$F10491,
         $G$2:$G10491=G1565,
         $A$2:$A10491&gt;=A1565-20,
         $A$2:$A10491&lt;=A1565
       )
    ),
    ""VOL_SPIKE_3X"",""""
  ),
"""")
"),"")</f>
        <v/>
      </c>
      <c r="N1565" s="7" t="str">
        <f t="shared" si="6"/>
        <v/>
      </c>
      <c r="O1565" s="7" t="str">
        <f t="shared" si="7"/>
        <v/>
      </c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>
      <c r="A1566" s="5">
        <f>IFERROR(__xludf.DUMMYFUNCTION("""COMPUTED_VALUE"""),45785.0)</f>
        <v>45785</v>
      </c>
      <c r="B1566" s="6">
        <f>IFERROR(__xludf.DUMMYFUNCTION("""COMPUTED_VALUE"""),144.54)</f>
        <v>144.54</v>
      </c>
      <c r="C1566" s="6">
        <f>IFERROR(__xludf.DUMMYFUNCTION("""COMPUTED_VALUE"""),146.39)</f>
        <v>146.39</v>
      </c>
      <c r="D1566" s="6">
        <f>IFERROR(__xludf.DUMMYFUNCTION("""COMPUTED_VALUE"""),139.5)</f>
        <v>139.5</v>
      </c>
      <c r="E1566" s="6">
        <f>IFERROR(__xludf.DUMMYFUNCTION("""COMPUTED_VALUE"""),140.99)</f>
        <v>140.99</v>
      </c>
      <c r="F1566" s="7">
        <f>IFERROR(__xludf.DUMMYFUNCTION("""COMPUTED_VALUE"""),1.2047287E7)</f>
        <v>12047287</v>
      </c>
      <c r="G1566" s="7" t="str">
        <f>IFERROR(__xludf.DUMMYFUNCTION("""COMPUTED_VALUE"""),"IOC.NS")</f>
        <v>IOC.NS</v>
      </c>
      <c r="H1566" s="8">
        <f t="shared" si="1"/>
        <v>-0.02456067525</v>
      </c>
      <c r="I1566" s="8">
        <f t="shared" si="2"/>
        <v>0.02456067525</v>
      </c>
      <c r="J1566" s="7" t="str">
        <f t="shared" si="3"/>
        <v>May-2025</v>
      </c>
      <c r="K1566" s="9">
        <f t="shared" si="4"/>
        <v>45778</v>
      </c>
      <c r="L1566" s="7" t="str">
        <f t="shared" si="5"/>
        <v/>
      </c>
      <c r="M1566" s="7" t="str">
        <f>IFERROR(__xludf.DUMMYFUNCTION("IFERROR(
  IF(
    F1566 &gt;
    3*AVERAGE(
       FILTER($F$2:$F10491,
         $G$2:$G10491=G1566,
         $A$2:$A10491&gt;=A1566-20,
         $A$2:$A10491&lt;=A1566
       )
    ),
    ""VOL_SPIKE_3X"",""""
  ),
"""")
"),"")</f>
        <v/>
      </c>
      <c r="N1566" s="7" t="str">
        <f t="shared" si="6"/>
        <v/>
      </c>
      <c r="O1566" s="7" t="str">
        <f t="shared" si="7"/>
        <v/>
      </c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>
      <c r="A1567" s="5">
        <f>IFERROR(__xludf.DUMMYFUNCTION("""COMPUTED_VALUE"""),45785.0)</f>
        <v>45785</v>
      </c>
      <c r="B1567" s="6">
        <f>IFERROR(__xludf.DUMMYFUNCTION("""COMPUTED_VALUE"""),341.05)</f>
        <v>341.05</v>
      </c>
      <c r="C1567" s="6">
        <f>IFERROR(__xludf.DUMMYFUNCTION("""COMPUTED_VALUE"""),343.1)</f>
        <v>343.1</v>
      </c>
      <c r="D1567" s="6">
        <f>IFERROR(__xludf.DUMMYFUNCTION("""COMPUTED_VALUE"""),338.4)</f>
        <v>338.4</v>
      </c>
      <c r="E1567" s="6">
        <f>IFERROR(__xludf.DUMMYFUNCTION("""COMPUTED_VALUE"""),340.0)</f>
        <v>340</v>
      </c>
      <c r="F1567" s="7">
        <f>IFERROR(__xludf.DUMMYFUNCTION("""COMPUTED_VALUE"""),1.4286109E7)</f>
        <v>14286109</v>
      </c>
      <c r="G1567" s="7" t="str">
        <f>IFERROR(__xludf.DUMMYFUNCTION("""COMPUTED_VALUE"""),"NTPC.NS")</f>
        <v>NTPC.NS</v>
      </c>
      <c r="H1567" s="8">
        <f t="shared" si="1"/>
        <v>-0.003078727459</v>
      </c>
      <c r="I1567" s="8">
        <f t="shared" si="2"/>
        <v>0.003078727459</v>
      </c>
      <c r="J1567" s="7" t="str">
        <f t="shared" si="3"/>
        <v>May-2025</v>
      </c>
      <c r="K1567" s="9">
        <f t="shared" si="4"/>
        <v>45778</v>
      </c>
      <c r="L1567" s="7" t="str">
        <f t="shared" si="5"/>
        <v/>
      </c>
      <c r="M1567" s="7" t="str">
        <f>IFERROR(__xludf.DUMMYFUNCTION("IFERROR(
  IF(
    F1567 &gt;
    3*AVERAGE(
       FILTER($F$2:$F10491,
         $G$2:$G10491=G1567,
         $A$2:$A10491&gt;=A1567-20,
         $A$2:$A10491&lt;=A1567
       )
    ),
    ""VOL_SPIKE_3X"",""""
  ),
"""")
"),"")</f>
        <v/>
      </c>
      <c r="N1567" s="7" t="str">
        <f t="shared" si="6"/>
        <v/>
      </c>
      <c r="O1567" s="7" t="str">
        <f t="shared" si="7"/>
        <v/>
      </c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>
      <c r="A1568" s="5">
        <f>IFERROR(__xludf.DUMMYFUNCTION("""COMPUTED_VALUE"""),45785.0)</f>
        <v>45785</v>
      </c>
      <c r="B1568" s="6">
        <f>IFERROR(__xludf.DUMMYFUNCTION("""COMPUTED_VALUE"""),237.66)</f>
        <v>237.66</v>
      </c>
      <c r="C1568" s="6">
        <f>IFERROR(__xludf.DUMMYFUNCTION("""COMPUTED_VALUE"""),239.34)</f>
        <v>239.34</v>
      </c>
      <c r="D1568" s="6">
        <f>IFERROR(__xludf.DUMMYFUNCTION("""COMPUTED_VALUE"""),231.4)</f>
        <v>231.4</v>
      </c>
      <c r="E1568" s="6">
        <f>IFERROR(__xludf.DUMMYFUNCTION("""COMPUTED_VALUE"""),233.22)</f>
        <v>233.22</v>
      </c>
      <c r="F1568" s="7">
        <f>IFERROR(__xludf.DUMMYFUNCTION("""COMPUTED_VALUE"""),1.5026122E7)</f>
        <v>15026122</v>
      </c>
      <c r="G1568" s="7" t="str">
        <f>IFERROR(__xludf.DUMMYFUNCTION("""COMPUTED_VALUE"""),"ONGC.NS")</f>
        <v>ONGC.NS</v>
      </c>
      <c r="H1568" s="8">
        <f t="shared" si="1"/>
        <v>-0.01868215097</v>
      </c>
      <c r="I1568" s="8">
        <f t="shared" si="2"/>
        <v>0.01868215097</v>
      </c>
      <c r="J1568" s="7" t="str">
        <f t="shared" si="3"/>
        <v>May-2025</v>
      </c>
      <c r="K1568" s="9">
        <f t="shared" si="4"/>
        <v>45778</v>
      </c>
      <c r="L1568" s="7" t="str">
        <f t="shared" si="5"/>
        <v/>
      </c>
      <c r="M1568" s="7" t="str">
        <f>IFERROR(__xludf.DUMMYFUNCTION("IFERROR(
  IF(
    F1568 &gt;
    3*AVERAGE(
       FILTER($F$2:$F10491,
         $G$2:$G10491=G1568,
         $A$2:$A10491&gt;=A1568-20,
         $A$2:$A10491&lt;=A1568
       )
    ),
    ""VOL_SPIKE_3X"",""""
  ),
"""")
"),"")</f>
        <v/>
      </c>
      <c r="N1568" s="7" t="str">
        <f t="shared" si="6"/>
        <v/>
      </c>
      <c r="O1568" s="7" t="str">
        <f t="shared" si="7"/>
        <v/>
      </c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>
      <c r="A1569" s="5">
        <f>IFERROR(__xludf.DUMMYFUNCTION("""COMPUTED_VALUE"""),45785.0)</f>
        <v>45785</v>
      </c>
      <c r="B1569" s="6">
        <f>IFERROR(__xludf.DUMMYFUNCTION("""COMPUTED_VALUE"""),313.4)</f>
        <v>313.4</v>
      </c>
      <c r="C1569" s="6">
        <f>IFERROR(__xludf.DUMMYFUNCTION("""COMPUTED_VALUE"""),317.4)</f>
        <v>317.4</v>
      </c>
      <c r="D1569" s="6">
        <f>IFERROR(__xludf.DUMMYFUNCTION("""COMPUTED_VALUE"""),304.0)</f>
        <v>304</v>
      </c>
      <c r="E1569" s="6">
        <f>IFERROR(__xludf.DUMMYFUNCTION("""COMPUTED_VALUE"""),308.25)</f>
        <v>308.25</v>
      </c>
      <c r="F1569" s="7">
        <f>IFERROR(__xludf.DUMMYFUNCTION("""COMPUTED_VALUE"""),1.9253478E7)</f>
        <v>19253478</v>
      </c>
      <c r="G1569" s="7" t="str">
        <f>IFERROR(__xludf.DUMMYFUNCTION("""COMPUTED_VALUE"""),"POWERGRID.NS")</f>
        <v>POWERGRID.NS</v>
      </c>
      <c r="H1569" s="8">
        <f t="shared" si="1"/>
        <v>-0.0164326739</v>
      </c>
      <c r="I1569" s="8">
        <f t="shared" si="2"/>
        <v>0.0164326739</v>
      </c>
      <c r="J1569" s="7" t="str">
        <f t="shared" si="3"/>
        <v>May-2025</v>
      </c>
      <c r="K1569" s="9">
        <f t="shared" si="4"/>
        <v>45778</v>
      </c>
      <c r="L1569" s="7" t="str">
        <f t="shared" si="5"/>
        <v/>
      </c>
      <c r="M1569" s="7" t="str">
        <f>IFERROR(__xludf.DUMMYFUNCTION("IFERROR(
  IF(
    F1569 &gt;
    3*AVERAGE(
       FILTER($F$2:$F10491,
         $G$2:$G10491=G1569,
         $A$2:$A10491&gt;=A1569-20,
         $A$2:$A10491&lt;=A1569
       )
    ),
    ""VOL_SPIKE_3X"",""""
  ),
"""")
"),"")</f>
        <v/>
      </c>
      <c r="N1569" s="7" t="str">
        <f t="shared" si="6"/>
        <v/>
      </c>
      <c r="O1569" s="7" t="str">
        <f t="shared" si="7"/>
        <v/>
      </c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>
      <c r="A1570" s="5">
        <f>IFERROR(__xludf.DUMMYFUNCTION("""COMPUTED_VALUE"""),45785.0)</f>
        <v>45785</v>
      </c>
      <c r="B1570" s="6">
        <f>IFERROR(__xludf.DUMMYFUNCTION("""COMPUTED_VALUE"""),1404.1)</f>
        <v>1404.1</v>
      </c>
      <c r="C1570" s="6">
        <f>IFERROR(__xludf.DUMMYFUNCTION("""COMPUTED_VALUE"""),1420.8)</f>
        <v>1420.8</v>
      </c>
      <c r="D1570" s="6">
        <f>IFERROR(__xludf.DUMMYFUNCTION("""COMPUTED_VALUE"""),1398.0)</f>
        <v>1398</v>
      </c>
      <c r="E1570" s="6">
        <f>IFERROR(__xludf.DUMMYFUNCTION("""COMPUTED_VALUE"""),1407.0)</f>
        <v>1407</v>
      </c>
      <c r="F1570" s="7">
        <f>IFERROR(__xludf.DUMMYFUNCTION("""COMPUTED_VALUE"""),1.6106175E7)</f>
        <v>16106175</v>
      </c>
      <c r="G1570" s="7" t="str">
        <f>IFERROR(__xludf.DUMMYFUNCTION("""COMPUTED_VALUE"""),"RELIANCE.NS")</f>
        <v>RELIANCE.NS</v>
      </c>
      <c r="H1570" s="8">
        <f t="shared" si="1"/>
        <v>0.002065379959</v>
      </c>
      <c r="I1570" s="8">
        <f t="shared" si="2"/>
        <v>0.002065379959</v>
      </c>
      <c r="J1570" s="7" t="str">
        <f t="shared" si="3"/>
        <v>May-2025</v>
      </c>
      <c r="K1570" s="9">
        <f t="shared" si="4"/>
        <v>45778</v>
      </c>
      <c r="L1570" s="7" t="str">
        <f t="shared" si="5"/>
        <v/>
      </c>
      <c r="M1570" s="7" t="str">
        <f>IFERROR(__xludf.DUMMYFUNCTION("IFERROR(
  IF(
    F1570 &gt;
    3*AVERAGE(
       FILTER($F$2:$F10491,
         $G$2:$G10491=G1570,
         $A$2:$A10491&gt;=A1570-20,
         $A$2:$A10491&lt;=A1570
       )
    ),
    ""VOL_SPIKE_3X"",""""
  ),
"""")
"),"")</f>
        <v/>
      </c>
      <c r="N1570" s="7" t="str">
        <f t="shared" si="6"/>
        <v/>
      </c>
      <c r="O1570" s="7" t="str">
        <f t="shared" si="7"/>
        <v/>
      </c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>
      <c r="A1571" s="5">
        <f>IFERROR(__xludf.DUMMYFUNCTION("""COMPUTED_VALUE"""),45786.0)</f>
        <v>45786</v>
      </c>
      <c r="B1571" s="6">
        <f>IFERROR(__xludf.DUMMYFUNCTION("""COMPUTED_VALUE"""),811.0)</f>
        <v>811</v>
      </c>
      <c r="C1571" s="6">
        <f>IFERROR(__xludf.DUMMYFUNCTION("""COMPUTED_VALUE"""),834.6)</f>
        <v>834.6</v>
      </c>
      <c r="D1571" s="6">
        <f>IFERROR(__xludf.DUMMYFUNCTION("""COMPUTED_VALUE"""),806.1)</f>
        <v>806.1</v>
      </c>
      <c r="E1571" s="6">
        <f>IFERROR(__xludf.DUMMYFUNCTION("""COMPUTED_VALUE"""),827.1)</f>
        <v>827.1</v>
      </c>
      <c r="F1571" s="7">
        <f>IFERROR(__xludf.DUMMYFUNCTION("""COMPUTED_VALUE"""),2639860.0)</f>
        <v>2639860</v>
      </c>
      <c r="G1571" s="7" t="str">
        <f>IFERROR(__xludf.DUMMYFUNCTION("""COMPUTED_VALUE"""),"ADANIENSOL.NS")</f>
        <v>ADANIENSOL.NS</v>
      </c>
      <c r="H1571" s="8">
        <f t="shared" si="1"/>
        <v>0.01985203453</v>
      </c>
      <c r="I1571" s="8">
        <f t="shared" si="2"/>
        <v>0.01985203453</v>
      </c>
      <c r="J1571" s="7" t="str">
        <f t="shared" si="3"/>
        <v>May-2025</v>
      </c>
      <c r="K1571" s="9">
        <f t="shared" si="4"/>
        <v>45778</v>
      </c>
      <c r="L1571" s="7" t="str">
        <f t="shared" si="5"/>
        <v/>
      </c>
      <c r="M1571" s="7" t="str">
        <f>IFERROR(__xludf.DUMMYFUNCTION("IFERROR(
  IF(
    F1571 &gt;
    3*AVERAGE(
       FILTER($F$2:$F10491,
         $G$2:$G10491=G1571,
         $A$2:$A10491&gt;=A1571-20,
         $A$2:$A10491&lt;=A1571
       )
    ),
    ""VOL_SPIKE_3X"",""""
  ),
"""")
"),"")</f>
        <v/>
      </c>
      <c r="N1571" s="7" t="str">
        <f t="shared" si="6"/>
        <v/>
      </c>
      <c r="O1571" s="7" t="str">
        <f t="shared" si="7"/>
        <v/>
      </c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>
      <c r="A1572" s="5">
        <f>IFERROR(__xludf.DUMMYFUNCTION("""COMPUTED_VALUE"""),45786.0)</f>
        <v>45786</v>
      </c>
      <c r="B1572" s="6">
        <f>IFERROR(__xludf.DUMMYFUNCTION("""COMPUTED_VALUE"""),859.4)</f>
        <v>859.4</v>
      </c>
      <c r="C1572" s="6">
        <f>IFERROR(__xludf.DUMMYFUNCTION("""COMPUTED_VALUE"""),887.85)</f>
        <v>887.85</v>
      </c>
      <c r="D1572" s="6">
        <f>IFERROR(__xludf.DUMMYFUNCTION("""COMPUTED_VALUE"""),854.35)</f>
        <v>854.35</v>
      </c>
      <c r="E1572" s="6">
        <f>IFERROR(__xludf.DUMMYFUNCTION("""COMPUTED_VALUE"""),879.45)</f>
        <v>879.45</v>
      </c>
      <c r="F1572" s="7">
        <f>IFERROR(__xludf.DUMMYFUNCTION("""COMPUTED_VALUE"""),3051122.0)</f>
        <v>3051122</v>
      </c>
      <c r="G1572" s="7" t="str">
        <f>IFERROR(__xludf.DUMMYFUNCTION("""COMPUTED_VALUE"""),"ADANIGREEN.NS")</f>
        <v>ADANIGREEN.NS</v>
      </c>
      <c r="H1572" s="8">
        <f t="shared" si="1"/>
        <v>0.02333023039</v>
      </c>
      <c r="I1572" s="8">
        <f t="shared" si="2"/>
        <v>0.02333023039</v>
      </c>
      <c r="J1572" s="7" t="str">
        <f t="shared" si="3"/>
        <v>May-2025</v>
      </c>
      <c r="K1572" s="9">
        <f t="shared" si="4"/>
        <v>45778</v>
      </c>
      <c r="L1572" s="7" t="str">
        <f t="shared" si="5"/>
        <v/>
      </c>
      <c r="M1572" s="7" t="str">
        <f>IFERROR(__xludf.DUMMYFUNCTION("IFERROR(
  IF(
    F1572 &gt;
    3*AVERAGE(
       FILTER($F$2:$F10491,
         $G$2:$G10491=G1572,
         $A$2:$A10491&gt;=A1572-20,
         $A$2:$A10491&lt;=A1572
       )
    ),
    ""VOL_SPIKE_3X"",""""
  ),
"""")
"),"")</f>
        <v/>
      </c>
      <c r="N1572" s="7" t="str">
        <f t="shared" si="6"/>
        <v/>
      </c>
      <c r="O1572" s="7" t="str">
        <f t="shared" si="7"/>
        <v/>
      </c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>
      <c r="A1573" s="5">
        <f>IFERROR(__xludf.DUMMYFUNCTION("""COMPUTED_VALUE"""),45786.0)</f>
        <v>45786</v>
      </c>
      <c r="B1573" s="6">
        <f>IFERROR(__xludf.DUMMYFUNCTION("""COMPUTED_VALUE"""),302.55)</f>
        <v>302.55</v>
      </c>
      <c r="C1573" s="6">
        <f>IFERROR(__xludf.DUMMYFUNCTION("""COMPUTED_VALUE"""),307.35)</f>
        <v>307.35</v>
      </c>
      <c r="D1573" s="6">
        <f>IFERROR(__xludf.DUMMYFUNCTION("""COMPUTED_VALUE"""),301.35)</f>
        <v>301.35</v>
      </c>
      <c r="E1573" s="6">
        <f>IFERROR(__xludf.DUMMYFUNCTION("""COMPUTED_VALUE"""),306.85)</f>
        <v>306.85</v>
      </c>
      <c r="F1573" s="7">
        <f>IFERROR(__xludf.DUMMYFUNCTION("""COMPUTED_VALUE"""),4955934.0)</f>
        <v>4955934</v>
      </c>
      <c r="G1573" s="7" t="str">
        <f>IFERROR(__xludf.DUMMYFUNCTION("""COMPUTED_VALUE"""),"BPCL.NS")</f>
        <v>BPCL.NS</v>
      </c>
      <c r="H1573" s="8">
        <f t="shared" si="1"/>
        <v>0.01421252686</v>
      </c>
      <c r="I1573" s="8">
        <f t="shared" si="2"/>
        <v>0.01421252686</v>
      </c>
      <c r="J1573" s="7" t="str">
        <f t="shared" si="3"/>
        <v>May-2025</v>
      </c>
      <c r="K1573" s="9">
        <f t="shared" si="4"/>
        <v>45778</v>
      </c>
      <c r="L1573" s="7" t="str">
        <f t="shared" si="5"/>
        <v/>
      </c>
      <c r="M1573" s="7" t="str">
        <f>IFERROR(__xludf.DUMMYFUNCTION("IFERROR(
  IF(
    F1573 &gt;
    3*AVERAGE(
       FILTER($F$2:$F10491,
         $G$2:$G10491=G1573,
         $A$2:$A10491&gt;=A1573-20,
         $A$2:$A10491&lt;=A1573
       )
    ),
    ""VOL_SPIKE_3X"",""""
  ),
"""")
"),"")</f>
        <v/>
      </c>
      <c r="N1573" s="7" t="str">
        <f t="shared" si="6"/>
        <v/>
      </c>
      <c r="O1573" s="7" t="str">
        <f t="shared" si="7"/>
        <v/>
      </c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>
      <c r="A1574" s="5">
        <f>IFERROR(__xludf.DUMMYFUNCTION("""COMPUTED_VALUE"""),45786.0)</f>
        <v>45786</v>
      </c>
      <c r="B1574" s="6">
        <f>IFERROR(__xludf.DUMMYFUNCTION("""COMPUTED_VALUE"""),379.1)</f>
        <v>379.1</v>
      </c>
      <c r="C1574" s="6">
        <f>IFERROR(__xludf.DUMMYFUNCTION("""COMPUTED_VALUE"""),383.25)</f>
        <v>383.25</v>
      </c>
      <c r="D1574" s="6">
        <f>IFERROR(__xludf.DUMMYFUNCTION("""COMPUTED_VALUE"""),377.05)</f>
        <v>377.05</v>
      </c>
      <c r="E1574" s="6">
        <f>IFERROR(__xludf.DUMMYFUNCTION("""COMPUTED_VALUE"""),382.4)</f>
        <v>382.4</v>
      </c>
      <c r="F1574" s="7">
        <f>IFERROR(__xludf.DUMMYFUNCTION("""COMPUTED_VALUE"""),3809943.0)</f>
        <v>3809943</v>
      </c>
      <c r="G1574" s="7" t="str">
        <f>IFERROR(__xludf.DUMMYFUNCTION("""COMPUTED_VALUE"""),"COALINDIA.NS")</f>
        <v>COALINDIA.NS</v>
      </c>
      <c r="H1574" s="8">
        <f t="shared" si="1"/>
        <v>0.008704827222</v>
      </c>
      <c r="I1574" s="8">
        <f t="shared" si="2"/>
        <v>0.008704827222</v>
      </c>
      <c r="J1574" s="7" t="str">
        <f t="shared" si="3"/>
        <v>May-2025</v>
      </c>
      <c r="K1574" s="9">
        <f t="shared" si="4"/>
        <v>45778</v>
      </c>
      <c r="L1574" s="7" t="str">
        <f t="shared" si="5"/>
        <v/>
      </c>
      <c r="M1574" s="7" t="str">
        <f>IFERROR(__xludf.DUMMYFUNCTION("IFERROR(
  IF(
    F1574 &gt;
    3*AVERAGE(
       FILTER($F$2:$F10491,
         $G$2:$G10491=G1574,
         $A$2:$A10491&gt;=A1574-20,
         $A$2:$A10491&lt;=A1574
       )
    ),
    ""VOL_SPIKE_3X"",""""
  ),
"""")
"),"")</f>
        <v/>
      </c>
      <c r="N1574" s="7" t="str">
        <f t="shared" si="6"/>
        <v/>
      </c>
      <c r="O1574" s="7" t="str">
        <f t="shared" si="7"/>
        <v/>
      </c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>
      <c r="A1575" s="5">
        <f>IFERROR(__xludf.DUMMYFUNCTION("""COMPUTED_VALUE"""),45786.0)</f>
        <v>45786</v>
      </c>
      <c r="B1575" s="6">
        <f>IFERROR(__xludf.DUMMYFUNCTION("""COMPUTED_VALUE"""),382.2)</f>
        <v>382.2</v>
      </c>
      <c r="C1575" s="6">
        <f>IFERROR(__xludf.DUMMYFUNCTION("""COMPUTED_VALUE"""),388.0)</f>
        <v>388</v>
      </c>
      <c r="D1575" s="6">
        <f>IFERROR(__xludf.DUMMYFUNCTION("""COMPUTED_VALUE"""),380.0)</f>
        <v>380</v>
      </c>
      <c r="E1575" s="6">
        <f>IFERROR(__xludf.DUMMYFUNCTION("""COMPUTED_VALUE"""),386.25)</f>
        <v>386.25</v>
      </c>
      <c r="F1575" s="7">
        <f>IFERROR(__xludf.DUMMYFUNCTION("""COMPUTED_VALUE"""),3757854.0)</f>
        <v>3757854</v>
      </c>
      <c r="G1575" s="7" t="str">
        <f>IFERROR(__xludf.DUMMYFUNCTION("""COMPUTED_VALUE"""),"HINDPETRO.NS")</f>
        <v>HINDPETRO.NS</v>
      </c>
      <c r="H1575" s="8">
        <f t="shared" si="1"/>
        <v>0.01059654631</v>
      </c>
      <c r="I1575" s="8">
        <f t="shared" si="2"/>
        <v>0.01059654631</v>
      </c>
      <c r="J1575" s="7" t="str">
        <f t="shared" si="3"/>
        <v>May-2025</v>
      </c>
      <c r="K1575" s="9">
        <f t="shared" si="4"/>
        <v>45778</v>
      </c>
      <c r="L1575" s="7" t="str">
        <f t="shared" si="5"/>
        <v/>
      </c>
      <c r="M1575" s="7" t="str">
        <f>IFERROR(__xludf.DUMMYFUNCTION("IFERROR(
  IF(
    F1575 &gt;
    3*AVERAGE(
       FILTER($F$2:$F10491,
         $G$2:$G10491=G1575,
         $A$2:$A10491&gt;=A1575-20,
         $A$2:$A10491&lt;=A1575
       )
    ),
    ""VOL_SPIKE_3X"",""""
  ),
"""")
"),"")</f>
        <v/>
      </c>
      <c r="N1575" s="7" t="str">
        <f t="shared" si="6"/>
        <v/>
      </c>
      <c r="O1575" s="7" t="str">
        <f t="shared" si="7"/>
        <v/>
      </c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>
      <c r="A1576" s="5">
        <f>IFERROR(__xludf.DUMMYFUNCTION("""COMPUTED_VALUE"""),45786.0)</f>
        <v>45786</v>
      </c>
      <c r="B1576" s="6">
        <f>IFERROR(__xludf.DUMMYFUNCTION("""COMPUTED_VALUE"""),138.0)</f>
        <v>138</v>
      </c>
      <c r="C1576" s="6">
        <f>IFERROR(__xludf.DUMMYFUNCTION("""COMPUTED_VALUE"""),140.85)</f>
        <v>140.85</v>
      </c>
      <c r="D1576" s="6">
        <f>IFERROR(__xludf.DUMMYFUNCTION("""COMPUTED_VALUE"""),137.61)</f>
        <v>137.61</v>
      </c>
      <c r="E1576" s="6">
        <f>IFERROR(__xludf.DUMMYFUNCTION("""COMPUTED_VALUE"""),139.99)</f>
        <v>139.99</v>
      </c>
      <c r="F1576" s="7">
        <f>IFERROR(__xludf.DUMMYFUNCTION("""COMPUTED_VALUE"""),1.5348575E7)</f>
        <v>15348575</v>
      </c>
      <c r="G1576" s="7" t="str">
        <f>IFERROR(__xludf.DUMMYFUNCTION("""COMPUTED_VALUE"""),"IOC.NS")</f>
        <v>IOC.NS</v>
      </c>
      <c r="H1576" s="8">
        <f t="shared" si="1"/>
        <v>0.01442028986</v>
      </c>
      <c r="I1576" s="8">
        <f t="shared" si="2"/>
        <v>0.01442028986</v>
      </c>
      <c r="J1576" s="7" t="str">
        <f t="shared" si="3"/>
        <v>May-2025</v>
      </c>
      <c r="K1576" s="9">
        <f t="shared" si="4"/>
        <v>45778</v>
      </c>
      <c r="L1576" s="7" t="str">
        <f t="shared" si="5"/>
        <v/>
      </c>
      <c r="M1576" s="7" t="str">
        <f>IFERROR(__xludf.DUMMYFUNCTION("IFERROR(
  IF(
    F1576 &gt;
    3*AVERAGE(
       FILTER($F$2:$F10491,
         $G$2:$G10491=G1576,
         $A$2:$A10491&gt;=A1576-20,
         $A$2:$A10491&lt;=A1576
       )
    ),
    ""VOL_SPIKE_3X"",""""
  ),
"""")
"),"")</f>
        <v/>
      </c>
      <c r="N1576" s="7" t="str">
        <f t="shared" si="6"/>
        <v/>
      </c>
      <c r="O1576" s="7" t="str">
        <f t="shared" si="7"/>
        <v/>
      </c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>
      <c r="A1577" s="5">
        <f>IFERROR(__xludf.DUMMYFUNCTION("""COMPUTED_VALUE"""),45786.0)</f>
        <v>45786</v>
      </c>
      <c r="B1577" s="6">
        <f>IFERROR(__xludf.DUMMYFUNCTION("""COMPUTED_VALUE"""),334.2)</f>
        <v>334.2</v>
      </c>
      <c r="C1577" s="6">
        <f>IFERROR(__xludf.DUMMYFUNCTION("""COMPUTED_VALUE"""),338.75)</f>
        <v>338.75</v>
      </c>
      <c r="D1577" s="6">
        <f>IFERROR(__xludf.DUMMYFUNCTION("""COMPUTED_VALUE"""),330.6)</f>
        <v>330.6</v>
      </c>
      <c r="E1577" s="6">
        <f>IFERROR(__xludf.DUMMYFUNCTION("""COMPUTED_VALUE"""),334.75)</f>
        <v>334.75</v>
      </c>
      <c r="F1577" s="7">
        <f>IFERROR(__xludf.DUMMYFUNCTION("""COMPUTED_VALUE"""),1.1322011E7)</f>
        <v>11322011</v>
      </c>
      <c r="G1577" s="7" t="str">
        <f>IFERROR(__xludf.DUMMYFUNCTION("""COMPUTED_VALUE"""),"NTPC.NS")</f>
        <v>NTPC.NS</v>
      </c>
      <c r="H1577" s="8">
        <f t="shared" si="1"/>
        <v>0.001645721125</v>
      </c>
      <c r="I1577" s="8">
        <f t="shared" si="2"/>
        <v>0.001645721125</v>
      </c>
      <c r="J1577" s="7" t="str">
        <f t="shared" si="3"/>
        <v>May-2025</v>
      </c>
      <c r="K1577" s="9">
        <f t="shared" si="4"/>
        <v>45778</v>
      </c>
      <c r="L1577" s="7" t="str">
        <f t="shared" si="5"/>
        <v/>
      </c>
      <c r="M1577" s="7" t="str">
        <f>IFERROR(__xludf.DUMMYFUNCTION("IFERROR(
  IF(
    F1577 &gt;
    3*AVERAGE(
       FILTER($F$2:$F10491,
         $G$2:$G10491=G1577,
         $A$2:$A10491&gt;=A1577-20,
         $A$2:$A10491&lt;=A1577
       )
    ),
    ""VOL_SPIKE_3X"",""""
  ),
"""")
"),"")</f>
        <v/>
      </c>
      <c r="N1577" s="7" t="str">
        <f t="shared" si="6"/>
        <v/>
      </c>
      <c r="O1577" s="7" t="str">
        <f t="shared" si="7"/>
        <v/>
      </c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>
      <c r="A1578" s="5">
        <f>IFERROR(__xludf.DUMMYFUNCTION("""COMPUTED_VALUE"""),45786.0)</f>
        <v>45786</v>
      </c>
      <c r="B1578" s="6">
        <f>IFERROR(__xludf.DUMMYFUNCTION("""COMPUTED_VALUE"""),229.1)</f>
        <v>229.1</v>
      </c>
      <c r="C1578" s="6">
        <f>IFERROR(__xludf.DUMMYFUNCTION("""COMPUTED_VALUE"""),235.3)</f>
        <v>235.3</v>
      </c>
      <c r="D1578" s="6">
        <f>IFERROR(__xludf.DUMMYFUNCTION("""COMPUTED_VALUE"""),228.45)</f>
        <v>228.45</v>
      </c>
      <c r="E1578" s="6">
        <f>IFERROR(__xludf.DUMMYFUNCTION("""COMPUTED_VALUE"""),234.96)</f>
        <v>234.96</v>
      </c>
      <c r="F1578" s="7">
        <f>IFERROR(__xludf.DUMMYFUNCTION("""COMPUTED_VALUE"""),1.1184507E7)</f>
        <v>11184507</v>
      </c>
      <c r="G1578" s="7" t="str">
        <f>IFERROR(__xludf.DUMMYFUNCTION("""COMPUTED_VALUE"""),"ONGC.NS")</f>
        <v>ONGC.NS</v>
      </c>
      <c r="H1578" s="8">
        <f t="shared" si="1"/>
        <v>0.02557835007</v>
      </c>
      <c r="I1578" s="8">
        <f t="shared" si="2"/>
        <v>0.02557835007</v>
      </c>
      <c r="J1578" s="7" t="str">
        <f t="shared" si="3"/>
        <v>May-2025</v>
      </c>
      <c r="K1578" s="9">
        <f t="shared" si="4"/>
        <v>45778</v>
      </c>
      <c r="L1578" s="7" t="str">
        <f t="shared" si="5"/>
        <v/>
      </c>
      <c r="M1578" s="7" t="str">
        <f>IFERROR(__xludf.DUMMYFUNCTION("IFERROR(
  IF(
    F1578 &gt;
    3*AVERAGE(
       FILTER($F$2:$F10491,
         $G$2:$G10491=G1578,
         $A$2:$A10491&gt;=A1578-20,
         $A$2:$A10491&lt;=A1578
       )
    ),
    ""VOL_SPIKE_3X"",""""
  ),
"""")
"),"")</f>
        <v/>
      </c>
      <c r="N1578" s="7" t="str">
        <f t="shared" si="6"/>
        <v/>
      </c>
      <c r="O1578" s="7" t="str">
        <f t="shared" si="7"/>
        <v/>
      </c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>
      <c r="A1579" s="5">
        <f>IFERROR(__xludf.DUMMYFUNCTION("""COMPUTED_VALUE"""),45786.0)</f>
        <v>45786</v>
      </c>
      <c r="B1579" s="6">
        <f>IFERROR(__xludf.DUMMYFUNCTION("""COMPUTED_VALUE"""),300.0)</f>
        <v>300</v>
      </c>
      <c r="C1579" s="6">
        <f>IFERROR(__xludf.DUMMYFUNCTION("""COMPUTED_VALUE"""),303.05)</f>
        <v>303.05</v>
      </c>
      <c r="D1579" s="6">
        <f>IFERROR(__xludf.DUMMYFUNCTION("""COMPUTED_VALUE"""),296.4)</f>
        <v>296.4</v>
      </c>
      <c r="E1579" s="6">
        <f>IFERROR(__xludf.DUMMYFUNCTION("""COMPUTED_VALUE"""),299.3)</f>
        <v>299.3</v>
      </c>
      <c r="F1579" s="7">
        <f>IFERROR(__xludf.DUMMYFUNCTION("""COMPUTED_VALUE"""),1.1981497E7)</f>
        <v>11981497</v>
      </c>
      <c r="G1579" s="7" t="str">
        <f>IFERROR(__xludf.DUMMYFUNCTION("""COMPUTED_VALUE"""),"POWERGRID.NS")</f>
        <v>POWERGRID.NS</v>
      </c>
      <c r="H1579" s="8">
        <f t="shared" si="1"/>
        <v>-0.002333333333</v>
      </c>
      <c r="I1579" s="8">
        <f t="shared" si="2"/>
        <v>0.002333333333</v>
      </c>
      <c r="J1579" s="7" t="str">
        <f t="shared" si="3"/>
        <v>May-2025</v>
      </c>
      <c r="K1579" s="9">
        <f t="shared" si="4"/>
        <v>45778</v>
      </c>
      <c r="L1579" s="7" t="str">
        <f t="shared" si="5"/>
        <v/>
      </c>
      <c r="M1579" s="7" t="str">
        <f>IFERROR(__xludf.DUMMYFUNCTION("IFERROR(
  IF(
    F1579 &gt;
    3*AVERAGE(
       FILTER($F$2:$F10491,
         $G$2:$G10491=G1579,
         $A$2:$A10491&gt;=A1579-20,
         $A$2:$A10491&lt;=A1579
       )
    ),
    ""VOL_SPIKE_3X"",""""
  ),
"""")
"),"")</f>
        <v/>
      </c>
      <c r="N1579" s="7" t="str">
        <f t="shared" si="6"/>
        <v/>
      </c>
      <c r="O1579" s="7" t="str">
        <f t="shared" si="7"/>
        <v/>
      </c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>
      <c r="A1580" s="5">
        <f>IFERROR(__xludf.DUMMYFUNCTION("""COMPUTED_VALUE"""),45786.0)</f>
        <v>45786</v>
      </c>
      <c r="B1580" s="6">
        <f>IFERROR(__xludf.DUMMYFUNCTION("""COMPUTED_VALUE"""),1385.5)</f>
        <v>1385.5</v>
      </c>
      <c r="C1580" s="6">
        <f>IFERROR(__xludf.DUMMYFUNCTION("""COMPUTED_VALUE"""),1394.8)</f>
        <v>1394.8</v>
      </c>
      <c r="D1580" s="6">
        <f>IFERROR(__xludf.DUMMYFUNCTION("""COMPUTED_VALUE"""),1374.5)</f>
        <v>1374.5</v>
      </c>
      <c r="E1580" s="6">
        <f>IFERROR(__xludf.DUMMYFUNCTION("""COMPUTED_VALUE"""),1377.2)</f>
        <v>1377.2</v>
      </c>
      <c r="F1580" s="7">
        <f>IFERROR(__xludf.DUMMYFUNCTION("""COMPUTED_VALUE"""),1.3668904E7)</f>
        <v>13668904</v>
      </c>
      <c r="G1580" s="7" t="str">
        <f>IFERROR(__xludf.DUMMYFUNCTION("""COMPUTED_VALUE"""),"RELIANCE.NS")</f>
        <v>RELIANCE.NS</v>
      </c>
      <c r="H1580" s="8">
        <f t="shared" si="1"/>
        <v>-0.005990617106</v>
      </c>
      <c r="I1580" s="8">
        <f t="shared" si="2"/>
        <v>0.005990617106</v>
      </c>
      <c r="J1580" s="7" t="str">
        <f t="shared" si="3"/>
        <v>May-2025</v>
      </c>
      <c r="K1580" s="9">
        <f t="shared" si="4"/>
        <v>45778</v>
      </c>
      <c r="L1580" s="7" t="str">
        <f t="shared" si="5"/>
        <v/>
      </c>
      <c r="M1580" s="7" t="str">
        <f>IFERROR(__xludf.DUMMYFUNCTION("IFERROR(
  IF(
    F1580 &gt;
    3*AVERAGE(
       FILTER($F$2:$F10491,
         $G$2:$G10491=G1580,
         $A$2:$A10491&gt;=A1580-20,
         $A$2:$A10491&lt;=A1580
       )
    ),
    ""VOL_SPIKE_3X"",""""
  ),
"""")
"),"")</f>
        <v/>
      </c>
      <c r="N1580" s="7" t="str">
        <f t="shared" si="6"/>
        <v/>
      </c>
      <c r="O1580" s="7" t="str">
        <f t="shared" si="7"/>
        <v/>
      </c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>
      <c r="A1581" s="5">
        <f>IFERROR(__xludf.DUMMYFUNCTION("""COMPUTED_VALUE"""),45789.0)</f>
        <v>45789</v>
      </c>
      <c r="B1581" s="6">
        <f>IFERROR(__xludf.DUMMYFUNCTION("""COMPUTED_VALUE"""),860.0)</f>
        <v>860</v>
      </c>
      <c r="C1581" s="6">
        <f>IFERROR(__xludf.DUMMYFUNCTION("""COMPUTED_VALUE"""),897.65)</f>
        <v>897.65</v>
      </c>
      <c r="D1581" s="6">
        <f>IFERROR(__xludf.DUMMYFUNCTION("""COMPUTED_VALUE"""),851.05)</f>
        <v>851.05</v>
      </c>
      <c r="E1581" s="6">
        <f>IFERROR(__xludf.DUMMYFUNCTION("""COMPUTED_VALUE"""),894.3)</f>
        <v>894.3</v>
      </c>
      <c r="F1581" s="7">
        <f>IFERROR(__xludf.DUMMYFUNCTION("""COMPUTED_VALUE"""),3286835.0)</f>
        <v>3286835</v>
      </c>
      <c r="G1581" s="7" t="str">
        <f>IFERROR(__xludf.DUMMYFUNCTION("""COMPUTED_VALUE"""),"ADANIENSOL.NS")</f>
        <v>ADANIENSOL.NS</v>
      </c>
      <c r="H1581" s="8">
        <f t="shared" si="1"/>
        <v>0.03988372093</v>
      </c>
      <c r="I1581" s="8">
        <f t="shared" si="2"/>
        <v>0.03988372093</v>
      </c>
      <c r="J1581" s="7" t="str">
        <f t="shared" si="3"/>
        <v>May-2025</v>
      </c>
      <c r="K1581" s="9">
        <f t="shared" si="4"/>
        <v>45778</v>
      </c>
      <c r="L1581" s="7" t="str">
        <f t="shared" si="5"/>
        <v/>
      </c>
      <c r="M1581" s="7" t="str">
        <f>IFERROR(__xludf.DUMMYFUNCTION("IFERROR(
  IF(
    F1581 &gt;
    3*AVERAGE(
       FILTER($F$2:$F10491,
         $G$2:$G10491=G1581,
         $A$2:$A10491&gt;=A1581-20,
         $A$2:$A10491&lt;=A1581
       )
    ),
    ""VOL_SPIKE_3X"",""""
  ),
"""")
"),"")</f>
        <v/>
      </c>
      <c r="N1581" s="7" t="str">
        <f t="shared" si="6"/>
        <v/>
      </c>
      <c r="O1581" s="7" t="str">
        <f t="shared" si="7"/>
        <v/>
      </c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>
      <c r="A1582" s="5">
        <f>IFERROR(__xludf.DUMMYFUNCTION("""COMPUTED_VALUE"""),45789.0)</f>
        <v>45789</v>
      </c>
      <c r="B1582" s="6">
        <f>IFERROR(__xludf.DUMMYFUNCTION("""COMPUTED_VALUE"""),914.9)</f>
        <v>914.9</v>
      </c>
      <c r="C1582" s="6">
        <f>IFERROR(__xludf.DUMMYFUNCTION("""COMPUTED_VALUE"""),945.0)</f>
        <v>945</v>
      </c>
      <c r="D1582" s="6">
        <f>IFERROR(__xludf.DUMMYFUNCTION("""COMPUTED_VALUE"""),911.05)</f>
        <v>911.05</v>
      </c>
      <c r="E1582" s="6">
        <f>IFERROR(__xludf.DUMMYFUNCTION("""COMPUTED_VALUE"""),940.55)</f>
        <v>940.55</v>
      </c>
      <c r="F1582" s="7">
        <f>IFERROR(__xludf.DUMMYFUNCTION("""COMPUTED_VALUE"""),6222615.0)</f>
        <v>6222615</v>
      </c>
      <c r="G1582" s="7" t="str">
        <f>IFERROR(__xludf.DUMMYFUNCTION("""COMPUTED_VALUE"""),"ADANIGREEN.NS")</f>
        <v>ADANIGREEN.NS</v>
      </c>
      <c r="H1582" s="8">
        <f t="shared" si="1"/>
        <v>0.02803585091</v>
      </c>
      <c r="I1582" s="8">
        <f t="shared" si="2"/>
        <v>0.02803585091</v>
      </c>
      <c r="J1582" s="7" t="str">
        <f t="shared" si="3"/>
        <v>May-2025</v>
      </c>
      <c r="K1582" s="9">
        <f t="shared" si="4"/>
        <v>45778</v>
      </c>
      <c r="L1582" s="7" t="str">
        <f t="shared" si="5"/>
        <v/>
      </c>
      <c r="M1582" s="7" t="str">
        <f>IFERROR(__xludf.DUMMYFUNCTION("IFERROR(
  IF(
    F1582 &gt;
    3*AVERAGE(
       FILTER($F$2:$F10491,
         $G$2:$G10491=G1582,
         $A$2:$A10491&gt;=A1582-20,
         $A$2:$A10491&lt;=A1582
       )
    ),
    ""VOL_SPIKE_3X"",""""
  ),
"""")
"),"")</f>
        <v/>
      </c>
      <c r="N1582" s="7" t="str">
        <f t="shared" si="6"/>
        <v/>
      </c>
      <c r="O1582" s="7" t="str">
        <f t="shared" si="7"/>
        <v/>
      </c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>
      <c r="A1583" s="5">
        <f>IFERROR(__xludf.DUMMYFUNCTION("""COMPUTED_VALUE"""),45789.0)</f>
        <v>45789</v>
      </c>
      <c r="B1583" s="6">
        <f>IFERROR(__xludf.DUMMYFUNCTION("""COMPUTED_VALUE"""),315.0)</f>
        <v>315</v>
      </c>
      <c r="C1583" s="6">
        <f>IFERROR(__xludf.DUMMYFUNCTION("""COMPUTED_VALUE"""),315.95)</f>
        <v>315.95</v>
      </c>
      <c r="D1583" s="6">
        <f>IFERROR(__xludf.DUMMYFUNCTION("""COMPUTED_VALUE"""),307.15)</f>
        <v>307.15</v>
      </c>
      <c r="E1583" s="6">
        <f>IFERROR(__xludf.DUMMYFUNCTION("""COMPUTED_VALUE"""),309.05)</f>
        <v>309.05</v>
      </c>
      <c r="F1583" s="7">
        <f>IFERROR(__xludf.DUMMYFUNCTION("""COMPUTED_VALUE"""),6844271.0)</f>
        <v>6844271</v>
      </c>
      <c r="G1583" s="7" t="str">
        <f>IFERROR(__xludf.DUMMYFUNCTION("""COMPUTED_VALUE"""),"BPCL.NS")</f>
        <v>BPCL.NS</v>
      </c>
      <c r="H1583" s="8">
        <f t="shared" si="1"/>
        <v>-0.01888888889</v>
      </c>
      <c r="I1583" s="8">
        <f t="shared" si="2"/>
        <v>0.01888888889</v>
      </c>
      <c r="J1583" s="7" t="str">
        <f t="shared" si="3"/>
        <v>May-2025</v>
      </c>
      <c r="K1583" s="9">
        <f t="shared" si="4"/>
        <v>45778</v>
      </c>
      <c r="L1583" s="7" t="str">
        <f t="shared" si="5"/>
        <v/>
      </c>
      <c r="M1583" s="7" t="str">
        <f>IFERROR(__xludf.DUMMYFUNCTION("IFERROR(
  IF(
    F1583 &gt;
    3*AVERAGE(
       FILTER($F$2:$F10491,
         $G$2:$G10491=G1583,
         $A$2:$A10491&gt;=A1583-20,
         $A$2:$A10491&lt;=A1583
       )
    ),
    ""VOL_SPIKE_3X"",""""
  ),
"""")
"),"")</f>
        <v/>
      </c>
      <c r="N1583" s="7" t="str">
        <f t="shared" si="6"/>
        <v/>
      </c>
      <c r="O1583" s="7" t="str">
        <f t="shared" si="7"/>
        <v/>
      </c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>
      <c r="A1584" s="5">
        <f>IFERROR(__xludf.DUMMYFUNCTION("""COMPUTED_VALUE"""),45789.0)</f>
        <v>45789</v>
      </c>
      <c r="B1584" s="6">
        <f>IFERROR(__xludf.DUMMYFUNCTION("""COMPUTED_VALUE"""),391.95)</f>
        <v>391.95</v>
      </c>
      <c r="C1584" s="6">
        <f>IFERROR(__xludf.DUMMYFUNCTION("""COMPUTED_VALUE"""),396.1)</f>
        <v>396.1</v>
      </c>
      <c r="D1584" s="6">
        <f>IFERROR(__xludf.DUMMYFUNCTION("""COMPUTED_VALUE"""),387.5)</f>
        <v>387.5</v>
      </c>
      <c r="E1584" s="6">
        <f>IFERROR(__xludf.DUMMYFUNCTION("""COMPUTED_VALUE"""),395.5)</f>
        <v>395.5</v>
      </c>
      <c r="F1584" s="7">
        <f>IFERROR(__xludf.DUMMYFUNCTION("""COMPUTED_VALUE"""),6743279.0)</f>
        <v>6743279</v>
      </c>
      <c r="G1584" s="7" t="str">
        <f>IFERROR(__xludf.DUMMYFUNCTION("""COMPUTED_VALUE"""),"COALINDIA.NS")</f>
        <v>COALINDIA.NS</v>
      </c>
      <c r="H1584" s="8">
        <f t="shared" si="1"/>
        <v>0.009057277714</v>
      </c>
      <c r="I1584" s="8">
        <f t="shared" si="2"/>
        <v>0.009057277714</v>
      </c>
      <c r="J1584" s="7" t="str">
        <f t="shared" si="3"/>
        <v>May-2025</v>
      </c>
      <c r="K1584" s="9">
        <f t="shared" si="4"/>
        <v>45778</v>
      </c>
      <c r="L1584" s="7" t="str">
        <f t="shared" si="5"/>
        <v/>
      </c>
      <c r="M1584" s="7" t="str">
        <f>IFERROR(__xludf.DUMMYFUNCTION("IFERROR(
  IF(
    F1584 &gt;
    3*AVERAGE(
       FILTER($F$2:$F10491,
         $G$2:$G10491=G1584,
         $A$2:$A10491&gt;=A1584-20,
         $A$2:$A10491&lt;=A1584
       )
    ),
    ""VOL_SPIKE_3X"",""""
  ),
"""")
"),"")</f>
        <v/>
      </c>
      <c r="N1584" s="7" t="str">
        <f t="shared" si="6"/>
        <v/>
      </c>
      <c r="O1584" s="7" t="str">
        <f t="shared" si="7"/>
        <v/>
      </c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>
      <c r="A1585" s="5">
        <f>IFERROR(__xludf.DUMMYFUNCTION("""COMPUTED_VALUE"""),45789.0)</f>
        <v>45789</v>
      </c>
      <c r="B1585" s="6">
        <f>IFERROR(__xludf.DUMMYFUNCTION("""COMPUTED_VALUE"""),395.0)</f>
        <v>395</v>
      </c>
      <c r="C1585" s="6">
        <f>IFERROR(__xludf.DUMMYFUNCTION("""COMPUTED_VALUE"""),397.0)</f>
        <v>397</v>
      </c>
      <c r="D1585" s="6">
        <f>IFERROR(__xludf.DUMMYFUNCTION("""COMPUTED_VALUE"""),386.0)</f>
        <v>386</v>
      </c>
      <c r="E1585" s="6">
        <f>IFERROR(__xludf.DUMMYFUNCTION("""COMPUTED_VALUE"""),388.8)</f>
        <v>388.8</v>
      </c>
      <c r="F1585" s="7">
        <f>IFERROR(__xludf.DUMMYFUNCTION("""COMPUTED_VALUE"""),4957935.0)</f>
        <v>4957935</v>
      </c>
      <c r="G1585" s="7" t="str">
        <f>IFERROR(__xludf.DUMMYFUNCTION("""COMPUTED_VALUE"""),"HINDPETRO.NS")</f>
        <v>HINDPETRO.NS</v>
      </c>
      <c r="H1585" s="8">
        <f t="shared" si="1"/>
        <v>-0.01569620253</v>
      </c>
      <c r="I1585" s="8">
        <f t="shared" si="2"/>
        <v>0.01569620253</v>
      </c>
      <c r="J1585" s="7" t="str">
        <f t="shared" si="3"/>
        <v>May-2025</v>
      </c>
      <c r="K1585" s="9">
        <f t="shared" si="4"/>
        <v>45778</v>
      </c>
      <c r="L1585" s="7" t="str">
        <f t="shared" si="5"/>
        <v/>
      </c>
      <c r="M1585" s="7" t="str">
        <f>IFERROR(__xludf.DUMMYFUNCTION("IFERROR(
  IF(
    F1585 &gt;
    3*AVERAGE(
       FILTER($F$2:$F10491,
         $G$2:$G10491=G1585,
         $A$2:$A10491&gt;=A1585-20,
         $A$2:$A10491&lt;=A1585
       )
    ),
    ""VOL_SPIKE_3X"",""""
  ),
"""")
"),"")</f>
        <v/>
      </c>
      <c r="N1585" s="7" t="str">
        <f t="shared" si="6"/>
        <v/>
      </c>
      <c r="O1585" s="7" t="str">
        <f t="shared" si="7"/>
        <v/>
      </c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>
      <c r="A1586" s="5">
        <f>IFERROR(__xludf.DUMMYFUNCTION("""COMPUTED_VALUE"""),45789.0)</f>
        <v>45789</v>
      </c>
      <c r="B1586" s="6">
        <f>IFERROR(__xludf.DUMMYFUNCTION("""COMPUTED_VALUE"""),144.0)</f>
        <v>144</v>
      </c>
      <c r="C1586" s="6">
        <f>IFERROR(__xludf.DUMMYFUNCTION("""COMPUTED_VALUE"""),144.45)</f>
        <v>144.45</v>
      </c>
      <c r="D1586" s="6">
        <f>IFERROR(__xludf.DUMMYFUNCTION("""COMPUTED_VALUE"""),141.71)</f>
        <v>141.71</v>
      </c>
      <c r="E1586" s="6">
        <f>IFERROR(__xludf.DUMMYFUNCTION("""COMPUTED_VALUE"""),142.35)</f>
        <v>142.35</v>
      </c>
      <c r="F1586" s="7">
        <f>IFERROR(__xludf.DUMMYFUNCTION("""COMPUTED_VALUE"""),1.3526883E7)</f>
        <v>13526883</v>
      </c>
      <c r="G1586" s="7" t="str">
        <f>IFERROR(__xludf.DUMMYFUNCTION("""COMPUTED_VALUE"""),"IOC.NS")</f>
        <v>IOC.NS</v>
      </c>
      <c r="H1586" s="8">
        <f t="shared" si="1"/>
        <v>-0.01145833333</v>
      </c>
      <c r="I1586" s="8">
        <f t="shared" si="2"/>
        <v>0.01145833333</v>
      </c>
      <c r="J1586" s="7" t="str">
        <f t="shared" si="3"/>
        <v>May-2025</v>
      </c>
      <c r="K1586" s="9">
        <f t="shared" si="4"/>
        <v>45778</v>
      </c>
      <c r="L1586" s="7" t="str">
        <f t="shared" si="5"/>
        <v/>
      </c>
      <c r="M1586" s="7" t="str">
        <f>IFERROR(__xludf.DUMMYFUNCTION("IFERROR(
  IF(
    F1586 &gt;
    3*AVERAGE(
       FILTER($F$2:$F10491,
         $G$2:$G10491=G1586,
         $A$2:$A10491&gt;=A1586-20,
         $A$2:$A10491&lt;=A1586
       )
    ),
    ""VOL_SPIKE_3X"",""""
  ),
"""")
"),"")</f>
        <v/>
      </c>
      <c r="N1586" s="7" t="str">
        <f t="shared" si="6"/>
        <v/>
      </c>
      <c r="O1586" s="7" t="str">
        <f t="shared" si="7"/>
        <v/>
      </c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>
      <c r="A1587" s="5">
        <f>IFERROR(__xludf.DUMMYFUNCTION("""COMPUTED_VALUE"""),45789.0)</f>
        <v>45789</v>
      </c>
      <c r="B1587" s="6">
        <f>IFERROR(__xludf.DUMMYFUNCTION("""COMPUTED_VALUE"""),340.4)</f>
        <v>340.4</v>
      </c>
      <c r="C1587" s="6">
        <f>IFERROR(__xludf.DUMMYFUNCTION("""COMPUTED_VALUE"""),349.2)</f>
        <v>349.2</v>
      </c>
      <c r="D1587" s="6">
        <f>IFERROR(__xludf.DUMMYFUNCTION("""COMPUTED_VALUE"""),338.1)</f>
        <v>338.1</v>
      </c>
      <c r="E1587" s="6">
        <f>IFERROR(__xludf.DUMMYFUNCTION("""COMPUTED_VALUE"""),348.55)</f>
        <v>348.55</v>
      </c>
      <c r="F1587" s="7">
        <f>IFERROR(__xludf.DUMMYFUNCTION("""COMPUTED_VALUE"""),7978210.0)</f>
        <v>7978210</v>
      </c>
      <c r="G1587" s="7" t="str">
        <f>IFERROR(__xludf.DUMMYFUNCTION("""COMPUTED_VALUE"""),"NTPC.NS")</f>
        <v>NTPC.NS</v>
      </c>
      <c r="H1587" s="8">
        <f t="shared" si="1"/>
        <v>0.02394242068</v>
      </c>
      <c r="I1587" s="8">
        <f t="shared" si="2"/>
        <v>0.02394242068</v>
      </c>
      <c r="J1587" s="7" t="str">
        <f t="shared" si="3"/>
        <v>May-2025</v>
      </c>
      <c r="K1587" s="9">
        <f t="shared" si="4"/>
        <v>45778</v>
      </c>
      <c r="L1587" s="7" t="str">
        <f t="shared" si="5"/>
        <v/>
      </c>
      <c r="M1587" s="7" t="str">
        <f>IFERROR(__xludf.DUMMYFUNCTION("IFERROR(
  IF(
    F1587 &gt;
    3*AVERAGE(
       FILTER($F$2:$F10491,
         $G$2:$G10491=G1587,
         $A$2:$A10491&gt;=A1587-20,
         $A$2:$A10491&lt;=A1587
       )
    ),
    ""VOL_SPIKE_3X"",""""
  ),
"""")
"),"")</f>
        <v/>
      </c>
      <c r="N1587" s="7" t="str">
        <f t="shared" si="6"/>
        <v/>
      </c>
      <c r="O1587" s="7" t="str">
        <f t="shared" si="7"/>
        <v/>
      </c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>
      <c r="A1588" s="5">
        <f>IFERROR(__xludf.DUMMYFUNCTION("""COMPUTED_VALUE"""),45789.0)</f>
        <v>45789</v>
      </c>
      <c r="B1588" s="6">
        <f>IFERROR(__xludf.DUMMYFUNCTION("""COMPUTED_VALUE"""),239.0)</f>
        <v>239</v>
      </c>
      <c r="C1588" s="6">
        <f>IFERROR(__xludf.DUMMYFUNCTION("""COMPUTED_VALUE"""),244.6)</f>
        <v>244.6</v>
      </c>
      <c r="D1588" s="6">
        <f>IFERROR(__xludf.DUMMYFUNCTION("""COMPUTED_VALUE"""),238.11)</f>
        <v>238.11</v>
      </c>
      <c r="E1588" s="6">
        <f>IFERROR(__xludf.DUMMYFUNCTION("""COMPUTED_VALUE"""),244.02)</f>
        <v>244.02</v>
      </c>
      <c r="F1588" s="7">
        <f>IFERROR(__xludf.DUMMYFUNCTION("""COMPUTED_VALUE"""),1.1374237E7)</f>
        <v>11374237</v>
      </c>
      <c r="G1588" s="7" t="str">
        <f>IFERROR(__xludf.DUMMYFUNCTION("""COMPUTED_VALUE"""),"ONGC.NS")</f>
        <v>ONGC.NS</v>
      </c>
      <c r="H1588" s="8">
        <f t="shared" si="1"/>
        <v>0.0210041841</v>
      </c>
      <c r="I1588" s="8">
        <f t="shared" si="2"/>
        <v>0.0210041841</v>
      </c>
      <c r="J1588" s="7" t="str">
        <f t="shared" si="3"/>
        <v>May-2025</v>
      </c>
      <c r="K1588" s="9">
        <f t="shared" si="4"/>
        <v>45778</v>
      </c>
      <c r="L1588" s="7" t="str">
        <f t="shared" si="5"/>
        <v/>
      </c>
      <c r="M1588" s="7" t="str">
        <f>IFERROR(__xludf.DUMMYFUNCTION("IFERROR(
  IF(
    F1588 &gt;
    3*AVERAGE(
       FILTER($F$2:$F10491,
         $G$2:$G10491=G1588,
         $A$2:$A10491&gt;=A1588-20,
         $A$2:$A10491&lt;=A1588
       )
    ),
    ""VOL_SPIKE_3X"",""""
  ),
"""")
"),"")</f>
        <v/>
      </c>
      <c r="N1588" s="7" t="str">
        <f t="shared" si="6"/>
        <v/>
      </c>
      <c r="O1588" s="7" t="str">
        <f t="shared" si="7"/>
        <v/>
      </c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>
      <c r="A1589" s="5">
        <f>IFERROR(__xludf.DUMMYFUNCTION("""COMPUTED_VALUE"""),45789.0)</f>
        <v>45789</v>
      </c>
      <c r="B1589" s="6">
        <f>IFERROR(__xludf.DUMMYFUNCTION("""COMPUTED_VALUE"""),304.05)</f>
        <v>304.05</v>
      </c>
      <c r="C1589" s="6">
        <f>IFERROR(__xludf.DUMMYFUNCTION("""COMPUTED_VALUE"""),311.1)</f>
        <v>311.1</v>
      </c>
      <c r="D1589" s="6">
        <f>IFERROR(__xludf.DUMMYFUNCTION("""COMPUTED_VALUE"""),304.05)</f>
        <v>304.05</v>
      </c>
      <c r="E1589" s="6">
        <f>IFERROR(__xludf.DUMMYFUNCTION("""COMPUTED_VALUE"""),309.05)</f>
        <v>309.05</v>
      </c>
      <c r="F1589" s="7">
        <f>IFERROR(__xludf.DUMMYFUNCTION("""COMPUTED_VALUE"""),7145884.0)</f>
        <v>7145884</v>
      </c>
      <c r="G1589" s="7" t="str">
        <f>IFERROR(__xludf.DUMMYFUNCTION("""COMPUTED_VALUE"""),"POWERGRID.NS")</f>
        <v>POWERGRID.NS</v>
      </c>
      <c r="H1589" s="8">
        <f t="shared" si="1"/>
        <v>0.01644466371</v>
      </c>
      <c r="I1589" s="8">
        <f t="shared" si="2"/>
        <v>0.01644466371</v>
      </c>
      <c r="J1589" s="7" t="str">
        <f t="shared" si="3"/>
        <v>May-2025</v>
      </c>
      <c r="K1589" s="9">
        <f t="shared" si="4"/>
        <v>45778</v>
      </c>
      <c r="L1589" s="7" t="str">
        <f t="shared" si="5"/>
        <v/>
      </c>
      <c r="M1589" s="7" t="str">
        <f>IFERROR(__xludf.DUMMYFUNCTION("IFERROR(
  IF(
    F1589 &gt;
    3*AVERAGE(
       FILTER($F$2:$F10491,
         $G$2:$G10491=G1589,
         $A$2:$A10491&gt;=A1589-20,
         $A$2:$A10491&lt;=A1589
       )
    ),
    ""VOL_SPIKE_3X"",""""
  ),
"""")
"),"")</f>
        <v/>
      </c>
      <c r="N1589" s="7" t="str">
        <f t="shared" si="6"/>
        <v/>
      </c>
      <c r="O1589" s="7" t="str">
        <f t="shared" si="7"/>
        <v/>
      </c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>
      <c r="A1590" s="5">
        <f>IFERROR(__xludf.DUMMYFUNCTION("""COMPUTED_VALUE"""),45789.0)</f>
        <v>45789</v>
      </c>
      <c r="B1590" s="6">
        <f>IFERROR(__xludf.DUMMYFUNCTION("""COMPUTED_VALUE"""),1400.0)</f>
        <v>1400</v>
      </c>
      <c r="C1590" s="6">
        <f>IFERROR(__xludf.DUMMYFUNCTION("""COMPUTED_VALUE"""),1439.0)</f>
        <v>1439</v>
      </c>
      <c r="D1590" s="6">
        <f>IFERROR(__xludf.DUMMYFUNCTION("""COMPUTED_VALUE"""),1400.0)</f>
        <v>1400</v>
      </c>
      <c r="E1590" s="6">
        <f>IFERROR(__xludf.DUMMYFUNCTION("""COMPUTED_VALUE"""),1436.5)</f>
        <v>1436.5</v>
      </c>
      <c r="F1590" s="7">
        <f>IFERROR(__xludf.DUMMYFUNCTION("""COMPUTED_VALUE"""),1.0674081E7)</f>
        <v>10674081</v>
      </c>
      <c r="G1590" s="7" t="str">
        <f>IFERROR(__xludf.DUMMYFUNCTION("""COMPUTED_VALUE"""),"RELIANCE.NS")</f>
        <v>RELIANCE.NS</v>
      </c>
      <c r="H1590" s="8">
        <f t="shared" si="1"/>
        <v>0.02607142857</v>
      </c>
      <c r="I1590" s="8">
        <f t="shared" si="2"/>
        <v>0.02607142857</v>
      </c>
      <c r="J1590" s="7" t="str">
        <f t="shared" si="3"/>
        <v>May-2025</v>
      </c>
      <c r="K1590" s="9">
        <f t="shared" si="4"/>
        <v>45778</v>
      </c>
      <c r="L1590" s="7" t="str">
        <f t="shared" si="5"/>
        <v/>
      </c>
      <c r="M1590" s="7" t="str">
        <f>IFERROR(__xludf.DUMMYFUNCTION("IFERROR(
  IF(
    F1590 &gt;
    3*AVERAGE(
       FILTER($F$2:$F10491,
         $G$2:$G10491=G1590,
         $A$2:$A10491&gt;=A1590-20,
         $A$2:$A10491&lt;=A1590
       )
    ),
    ""VOL_SPIKE_3X"",""""
  ),
"""")
"),"")</f>
        <v/>
      </c>
      <c r="N1590" s="7" t="str">
        <f t="shared" si="6"/>
        <v/>
      </c>
      <c r="O1590" s="7" t="str">
        <f t="shared" si="7"/>
        <v/>
      </c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>
      <c r="A1591" s="5">
        <f>IFERROR(__xludf.DUMMYFUNCTION("""COMPUTED_VALUE"""),45790.0)</f>
        <v>45790</v>
      </c>
      <c r="B1591" s="6">
        <f>IFERROR(__xludf.DUMMYFUNCTION("""COMPUTED_VALUE"""),890.0)</f>
        <v>890</v>
      </c>
      <c r="C1591" s="6">
        <f>IFERROR(__xludf.DUMMYFUNCTION("""COMPUTED_VALUE"""),908.9)</f>
        <v>908.9</v>
      </c>
      <c r="D1591" s="6">
        <f>IFERROR(__xludf.DUMMYFUNCTION("""COMPUTED_VALUE"""),885.25)</f>
        <v>885.25</v>
      </c>
      <c r="E1591" s="6">
        <f>IFERROR(__xludf.DUMMYFUNCTION("""COMPUTED_VALUE"""),904.2)</f>
        <v>904.2</v>
      </c>
      <c r="F1591" s="7">
        <f>IFERROR(__xludf.DUMMYFUNCTION("""COMPUTED_VALUE"""),2246532.0)</f>
        <v>2246532</v>
      </c>
      <c r="G1591" s="7" t="str">
        <f>IFERROR(__xludf.DUMMYFUNCTION("""COMPUTED_VALUE"""),"ADANIENSOL.NS")</f>
        <v>ADANIENSOL.NS</v>
      </c>
      <c r="H1591" s="8">
        <f t="shared" si="1"/>
        <v>0.01595505618</v>
      </c>
      <c r="I1591" s="8">
        <f t="shared" si="2"/>
        <v>0.01595505618</v>
      </c>
      <c r="J1591" s="7" t="str">
        <f t="shared" si="3"/>
        <v>May-2025</v>
      </c>
      <c r="K1591" s="9">
        <f t="shared" si="4"/>
        <v>45778</v>
      </c>
      <c r="L1591" s="7" t="str">
        <f t="shared" si="5"/>
        <v/>
      </c>
      <c r="M1591" s="7" t="str">
        <f>IFERROR(__xludf.DUMMYFUNCTION("IFERROR(
  IF(
    F1591 &gt;
    3*AVERAGE(
       FILTER($F$2:$F10491,
         $G$2:$G10491=G1591,
         $A$2:$A10491&gt;=A1591-20,
         $A$2:$A10491&lt;=A1591
       )
    ),
    ""VOL_SPIKE_3X"",""""
  ),
"""")
"),"")</f>
        <v/>
      </c>
      <c r="N1591" s="7" t="str">
        <f t="shared" si="6"/>
        <v/>
      </c>
      <c r="O1591" s="7" t="str">
        <f t="shared" si="7"/>
        <v/>
      </c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>
      <c r="A1592" s="5">
        <f>IFERROR(__xludf.DUMMYFUNCTION("""COMPUTED_VALUE"""),45790.0)</f>
        <v>45790</v>
      </c>
      <c r="B1592" s="6">
        <f>IFERROR(__xludf.DUMMYFUNCTION("""COMPUTED_VALUE"""),940.55)</f>
        <v>940.55</v>
      </c>
      <c r="C1592" s="6">
        <f>IFERROR(__xludf.DUMMYFUNCTION("""COMPUTED_VALUE"""),973.7)</f>
        <v>973.7</v>
      </c>
      <c r="D1592" s="6">
        <f>IFERROR(__xludf.DUMMYFUNCTION("""COMPUTED_VALUE"""),933.2)</f>
        <v>933.2</v>
      </c>
      <c r="E1592" s="6">
        <f>IFERROR(__xludf.DUMMYFUNCTION("""COMPUTED_VALUE"""),958.05)</f>
        <v>958.05</v>
      </c>
      <c r="F1592" s="7">
        <f>IFERROR(__xludf.DUMMYFUNCTION("""COMPUTED_VALUE"""),4260617.0)</f>
        <v>4260617</v>
      </c>
      <c r="G1592" s="7" t="str">
        <f>IFERROR(__xludf.DUMMYFUNCTION("""COMPUTED_VALUE"""),"ADANIGREEN.NS")</f>
        <v>ADANIGREEN.NS</v>
      </c>
      <c r="H1592" s="8">
        <f t="shared" si="1"/>
        <v>0.01860613471</v>
      </c>
      <c r="I1592" s="8">
        <f t="shared" si="2"/>
        <v>0.01860613471</v>
      </c>
      <c r="J1592" s="7" t="str">
        <f t="shared" si="3"/>
        <v>May-2025</v>
      </c>
      <c r="K1592" s="9">
        <f t="shared" si="4"/>
        <v>45778</v>
      </c>
      <c r="L1592" s="7" t="str">
        <f t="shared" si="5"/>
        <v/>
      </c>
      <c r="M1592" s="7" t="str">
        <f>IFERROR(__xludf.DUMMYFUNCTION("IFERROR(
  IF(
    F1592 &gt;
    3*AVERAGE(
       FILTER($F$2:$F10491,
         $G$2:$G10491=G1592,
         $A$2:$A10491&gt;=A1592-20,
         $A$2:$A10491&lt;=A1592
       )
    ),
    ""VOL_SPIKE_3X"",""""
  ),
"""")
"),"")</f>
        <v/>
      </c>
      <c r="N1592" s="7" t="str">
        <f t="shared" si="6"/>
        <v/>
      </c>
      <c r="O1592" s="7" t="str">
        <f t="shared" si="7"/>
        <v/>
      </c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>
      <c r="A1593" s="5">
        <f>IFERROR(__xludf.DUMMYFUNCTION("""COMPUTED_VALUE"""),45790.0)</f>
        <v>45790</v>
      </c>
      <c r="B1593" s="6">
        <f>IFERROR(__xludf.DUMMYFUNCTION("""COMPUTED_VALUE"""),309.05)</f>
        <v>309.05</v>
      </c>
      <c r="C1593" s="6">
        <f>IFERROR(__xludf.DUMMYFUNCTION("""COMPUTED_VALUE"""),310.6)</f>
        <v>310.6</v>
      </c>
      <c r="D1593" s="6">
        <f>IFERROR(__xludf.DUMMYFUNCTION("""COMPUTED_VALUE"""),304.5)</f>
        <v>304.5</v>
      </c>
      <c r="E1593" s="6">
        <f>IFERROR(__xludf.DUMMYFUNCTION("""COMPUTED_VALUE"""),306.9)</f>
        <v>306.9</v>
      </c>
      <c r="F1593" s="7">
        <f>IFERROR(__xludf.DUMMYFUNCTION("""COMPUTED_VALUE"""),7241358.0)</f>
        <v>7241358</v>
      </c>
      <c r="G1593" s="7" t="str">
        <f>IFERROR(__xludf.DUMMYFUNCTION("""COMPUTED_VALUE"""),"BPCL.NS")</f>
        <v>BPCL.NS</v>
      </c>
      <c r="H1593" s="8">
        <f t="shared" si="1"/>
        <v>-0.006956803106</v>
      </c>
      <c r="I1593" s="8">
        <f t="shared" si="2"/>
        <v>0.006956803106</v>
      </c>
      <c r="J1593" s="7" t="str">
        <f t="shared" si="3"/>
        <v>May-2025</v>
      </c>
      <c r="K1593" s="9">
        <f t="shared" si="4"/>
        <v>45778</v>
      </c>
      <c r="L1593" s="7" t="str">
        <f t="shared" si="5"/>
        <v/>
      </c>
      <c r="M1593" s="7" t="str">
        <f>IFERROR(__xludf.DUMMYFUNCTION("IFERROR(
  IF(
    F1593 &gt;
    3*AVERAGE(
       FILTER($F$2:$F10491,
         $G$2:$G10491=G1593,
         $A$2:$A10491&gt;=A1593-20,
         $A$2:$A10491&lt;=A1593
       )
    ),
    ""VOL_SPIKE_3X"",""""
  ),
"""")
"),"")</f>
        <v/>
      </c>
      <c r="N1593" s="7" t="str">
        <f t="shared" si="6"/>
        <v/>
      </c>
      <c r="O1593" s="7" t="str">
        <f t="shared" si="7"/>
        <v/>
      </c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>
      <c r="A1594" s="5">
        <f>IFERROR(__xludf.DUMMYFUNCTION("""COMPUTED_VALUE"""),45790.0)</f>
        <v>45790</v>
      </c>
      <c r="B1594" s="6">
        <f>IFERROR(__xludf.DUMMYFUNCTION("""COMPUTED_VALUE"""),395.5)</f>
        <v>395.5</v>
      </c>
      <c r="C1594" s="6">
        <f>IFERROR(__xludf.DUMMYFUNCTION("""COMPUTED_VALUE"""),399.6)</f>
        <v>399.6</v>
      </c>
      <c r="D1594" s="6">
        <f>IFERROR(__xludf.DUMMYFUNCTION("""COMPUTED_VALUE"""),394.05)</f>
        <v>394.05</v>
      </c>
      <c r="E1594" s="6">
        <f>IFERROR(__xludf.DUMMYFUNCTION("""COMPUTED_VALUE"""),395.15)</f>
        <v>395.15</v>
      </c>
      <c r="F1594" s="7">
        <f>IFERROR(__xludf.DUMMYFUNCTION("""COMPUTED_VALUE"""),6307140.0)</f>
        <v>6307140</v>
      </c>
      <c r="G1594" s="7" t="str">
        <f>IFERROR(__xludf.DUMMYFUNCTION("""COMPUTED_VALUE"""),"COALINDIA.NS")</f>
        <v>COALINDIA.NS</v>
      </c>
      <c r="H1594" s="8">
        <f t="shared" si="1"/>
        <v>-0.0008849557522</v>
      </c>
      <c r="I1594" s="8">
        <f t="shared" si="2"/>
        <v>0.0008849557522</v>
      </c>
      <c r="J1594" s="7" t="str">
        <f t="shared" si="3"/>
        <v>May-2025</v>
      </c>
      <c r="K1594" s="9">
        <f t="shared" si="4"/>
        <v>45778</v>
      </c>
      <c r="L1594" s="7" t="str">
        <f t="shared" si="5"/>
        <v/>
      </c>
      <c r="M1594" s="7" t="str">
        <f>IFERROR(__xludf.DUMMYFUNCTION("IFERROR(
  IF(
    F1594 &gt;
    3*AVERAGE(
       FILTER($F$2:$F10491,
         $G$2:$G10491=G1594,
         $A$2:$A10491&gt;=A1594-20,
         $A$2:$A10491&lt;=A1594
       )
    ),
    ""VOL_SPIKE_3X"",""""
  ),
"""")
"),"")</f>
        <v/>
      </c>
      <c r="N1594" s="7" t="str">
        <f t="shared" si="6"/>
        <v/>
      </c>
      <c r="O1594" s="7" t="str">
        <f t="shared" si="7"/>
        <v/>
      </c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>
      <c r="A1595" s="5">
        <f>IFERROR(__xludf.DUMMYFUNCTION("""COMPUTED_VALUE"""),45790.0)</f>
        <v>45790</v>
      </c>
      <c r="B1595" s="6">
        <f>IFERROR(__xludf.DUMMYFUNCTION("""COMPUTED_VALUE"""),390.0)</f>
        <v>390</v>
      </c>
      <c r="C1595" s="6">
        <f>IFERROR(__xludf.DUMMYFUNCTION("""COMPUTED_VALUE"""),393.6)</f>
        <v>393.6</v>
      </c>
      <c r="D1595" s="6">
        <f>IFERROR(__xludf.DUMMYFUNCTION("""COMPUTED_VALUE"""),386.2)</f>
        <v>386.2</v>
      </c>
      <c r="E1595" s="6">
        <f>IFERROR(__xludf.DUMMYFUNCTION("""COMPUTED_VALUE"""),388.9)</f>
        <v>388.9</v>
      </c>
      <c r="F1595" s="7">
        <f>IFERROR(__xludf.DUMMYFUNCTION("""COMPUTED_VALUE"""),3665291.0)</f>
        <v>3665291</v>
      </c>
      <c r="G1595" s="7" t="str">
        <f>IFERROR(__xludf.DUMMYFUNCTION("""COMPUTED_VALUE"""),"HINDPETRO.NS")</f>
        <v>HINDPETRO.NS</v>
      </c>
      <c r="H1595" s="8">
        <f t="shared" si="1"/>
        <v>-0.002820512821</v>
      </c>
      <c r="I1595" s="8">
        <f t="shared" si="2"/>
        <v>0.002820512821</v>
      </c>
      <c r="J1595" s="7" t="str">
        <f t="shared" si="3"/>
        <v>May-2025</v>
      </c>
      <c r="K1595" s="9">
        <f t="shared" si="4"/>
        <v>45778</v>
      </c>
      <c r="L1595" s="7" t="str">
        <f t="shared" si="5"/>
        <v/>
      </c>
      <c r="M1595" s="7" t="str">
        <f>IFERROR(__xludf.DUMMYFUNCTION("IFERROR(
  IF(
    F1595 &gt;
    3*AVERAGE(
       FILTER($F$2:$F10491,
         $G$2:$G10491=G1595,
         $A$2:$A10491&gt;=A1595-20,
         $A$2:$A10491&lt;=A1595
       )
    ),
    ""VOL_SPIKE_3X"",""""
  ),
"""")
"),"")</f>
        <v/>
      </c>
      <c r="N1595" s="7" t="str">
        <f t="shared" si="6"/>
        <v/>
      </c>
      <c r="O1595" s="7" t="str">
        <f t="shared" si="7"/>
        <v/>
      </c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>
      <c r="A1596" s="5">
        <f>IFERROR(__xludf.DUMMYFUNCTION("""COMPUTED_VALUE"""),45790.0)</f>
        <v>45790</v>
      </c>
      <c r="B1596" s="6">
        <f>IFERROR(__xludf.DUMMYFUNCTION("""COMPUTED_VALUE"""),142.35)</f>
        <v>142.35</v>
      </c>
      <c r="C1596" s="6">
        <f>IFERROR(__xludf.DUMMYFUNCTION("""COMPUTED_VALUE"""),142.98)</f>
        <v>142.98</v>
      </c>
      <c r="D1596" s="6">
        <f>IFERROR(__xludf.DUMMYFUNCTION("""COMPUTED_VALUE"""),141.0)</f>
        <v>141</v>
      </c>
      <c r="E1596" s="6">
        <f>IFERROR(__xludf.DUMMYFUNCTION("""COMPUTED_VALUE"""),141.69)</f>
        <v>141.69</v>
      </c>
      <c r="F1596" s="7">
        <f>IFERROR(__xludf.DUMMYFUNCTION("""COMPUTED_VALUE"""),9484801.0)</f>
        <v>9484801</v>
      </c>
      <c r="G1596" s="7" t="str">
        <f>IFERROR(__xludf.DUMMYFUNCTION("""COMPUTED_VALUE"""),"IOC.NS")</f>
        <v>IOC.NS</v>
      </c>
      <c r="H1596" s="8">
        <f t="shared" si="1"/>
        <v>-0.004636459431</v>
      </c>
      <c r="I1596" s="8">
        <f t="shared" si="2"/>
        <v>0.004636459431</v>
      </c>
      <c r="J1596" s="7" t="str">
        <f t="shared" si="3"/>
        <v>May-2025</v>
      </c>
      <c r="K1596" s="9">
        <f t="shared" si="4"/>
        <v>45778</v>
      </c>
      <c r="L1596" s="7" t="str">
        <f t="shared" si="5"/>
        <v/>
      </c>
      <c r="M1596" s="7" t="str">
        <f>IFERROR(__xludf.DUMMYFUNCTION("IFERROR(
  IF(
    F1596 &gt;
    3*AVERAGE(
       FILTER($F$2:$F10491,
         $G$2:$G10491=G1596,
         $A$2:$A10491&gt;=A1596-20,
         $A$2:$A10491&lt;=A1596
       )
    ),
    ""VOL_SPIKE_3X"",""""
  ),
"""")
"),"")</f>
        <v/>
      </c>
      <c r="N1596" s="7" t="str">
        <f t="shared" si="6"/>
        <v/>
      </c>
      <c r="O1596" s="7" t="str">
        <f t="shared" si="7"/>
        <v/>
      </c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>
      <c r="A1597" s="5">
        <f>IFERROR(__xludf.DUMMYFUNCTION("""COMPUTED_VALUE"""),45790.0)</f>
        <v>45790</v>
      </c>
      <c r="B1597" s="6">
        <f>IFERROR(__xludf.DUMMYFUNCTION("""COMPUTED_VALUE"""),348.6)</f>
        <v>348.6</v>
      </c>
      <c r="C1597" s="6">
        <f>IFERROR(__xludf.DUMMYFUNCTION("""COMPUTED_VALUE"""),349.8)</f>
        <v>349.8</v>
      </c>
      <c r="D1597" s="6">
        <f>IFERROR(__xludf.DUMMYFUNCTION("""COMPUTED_VALUE"""),340.5)</f>
        <v>340.5</v>
      </c>
      <c r="E1597" s="6">
        <f>IFERROR(__xludf.DUMMYFUNCTION("""COMPUTED_VALUE"""),341.5)</f>
        <v>341.5</v>
      </c>
      <c r="F1597" s="7">
        <f>IFERROR(__xludf.DUMMYFUNCTION("""COMPUTED_VALUE"""),1.473898E7)</f>
        <v>14738980</v>
      </c>
      <c r="G1597" s="7" t="str">
        <f>IFERROR(__xludf.DUMMYFUNCTION("""COMPUTED_VALUE"""),"NTPC.NS")</f>
        <v>NTPC.NS</v>
      </c>
      <c r="H1597" s="8">
        <f t="shared" si="1"/>
        <v>-0.02036718302</v>
      </c>
      <c r="I1597" s="8">
        <f t="shared" si="2"/>
        <v>0.02036718302</v>
      </c>
      <c r="J1597" s="7" t="str">
        <f t="shared" si="3"/>
        <v>May-2025</v>
      </c>
      <c r="K1597" s="9">
        <f t="shared" si="4"/>
        <v>45778</v>
      </c>
      <c r="L1597" s="7" t="str">
        <f t="shared" si="5"/>
        <v/>
      </c>
      <c r="M1597" s="7" t="str">
        <f>IFERROR(__xludf.DUMMYFUNCTION("IFERROR(
  IF(
    F1597 &gt;
    3*AVERAGE(
       FILTER($F$2:$F10491,
         $G$2:$G10491=G1597,
         $A$2:$A10491&gt;=A1597-20,
         $A$2:$A10491&lt;=A1597
       )
    ),
    ""VOL_SPIKE_3X"",""""
  ),
"""")
"),"")</f>
        <v/>
      </c>
      <c r="N1597" s="7" t="str">
        <f t="shared" si="6"/>
        <v/>
      </c>
      <c r="O1597" s="7" t="str">
        <f t="shared" si="7"/>
        <v/>
      </c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>
      <c r="A1598" s="5">
        <f>IFERROR(__xludf.DUMMYFUNCTION("""COMPUTED_VALUE"""),45790.0)</f>
        <v>45790</v>
      </c>
      <c r="B1598" s="6">
        <f>IFERROR(__xludf.DUMMYFUNCTION("""COMPUTED_VALUE"""),244.15)</f>
        <v>244.15</v>
      </c>
      <c r="C1598" s="6">
        <f>IFERROR(__xludf.DUMMYFUNCTION("""COMPUTED_VALUE"""),245.29)</f>
        <v>245.29</v>
      </c>
      <c r="D1598" s="6">
        <f>IFERROR(__xludf.DUMMYFUNCTION("""COMPUTED_VALUE"""),240.29)</f>
        <v>240.29</v>
      </c>
      <c r="E1598" s="6">
        <f>IFERROR(__xludf.DUMMYFUNCTION("""COMPUTED_VALUE"""),241.16)</f>
        <v>241.16</v>
      </c>
      <c r="F1598" s="7">
        <f>IFERROR(__xludf.DUMMYFUNCTION("""COMPUTED_VALUE"""),9336026.0)</f>
        <v>9336026</v>
      </c>
      <c r="G1598" s="7" t="str">
        <f>IFERROR(__xludf.DUMMYFUNCTION("""COMPUTED_VALUE"""),"ONGC.NS")</f>
        <v>ONGC.NS</v>
      </c>
      <c r="H1598" s="8">
        <f t="shared" si="1"/>
        <v>-0.01224656973</v>
      </c>
      <c r="I1598" s="8">
        <f t="shared" si="2"/>
        <v>0.01224656973</v>
      </c>
      <c r="J1598" s="7" t="str">
        <f t="shared" si="3"/>
        <v>May-2025</v>
      </c>
      <c r="K1598" s="9">
        <f t="shared" si="4"/>
        <v>45778</v>
      </c>
      <c r="L1598" s="7" t="str">
        <f t="shared" si="5"/>
        <v/>
      </c>
      <c r="M1598" s="7" t="str">
        <f>IFERROR(__xludf.DUMMYFUNCTION("IFERROR(
  IF(
    F1598 &gt;
    3*AVERAGE(
       FILTER($F$2:$F10491,
         $G$2:$G10491=G1598,
         $A$2:$A10491&gt;=A1598-20,
         $A$2:$A10491&lt;=A1598
       )
    ),
    ""VOL_SPIKE_3X"",""""
  ),
"""")
"),"")</f>
        <v/>
      </c>
      <c r="N1598" s="7" t="str">
        <f t="shared" si="6"/>
        <v/>
      </c>
      <c r="O1598" s="7" t="str">
        <f t="shared" si="7"/>
        <v/>
      </c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>
      <c r="A1599" s="5">
        <f>IFERROR(__xludf.DUMMYFUNCTION("""COMPUTED_VALUE"""),45790.0)</f>
        <v>45790</v>
      </c>
      <c r="B1599" s="6">
        <f>IFERROR(__xludf.DUMMYFUNCTION("""COMPUTED_VALUE"""),305.0)</f>
        <v>305</v>
      </c>
      <c r="C1599" s="6">
        <f>IFERROR(__xludf.DUMMYFUNCTION("""COMPUTED_VALUE"""),308.75)</f>
        <v>308.75</v>
      </c>
      <c r="D1599" s="6">
        <f>IFERROR(__xludf.DUMMYFUNCTION("""COMPUTED_VALUE"""),298.0)</f>
        <v>298</v>
      </c>
      <c r="E1599" s="6">
        <f>IFERROR(__xludf.DUMMYFUNCTION("""COMPUTED_VALUE"""),298.45)</f>
        <v>298.45</v>
      </c>
      <c r="F1599" s="7">
        <f>IFERROR(__xludf.DUMMYFUNCTION("""COMPUTED_VALUE"""),1.7988336E7)</f>
        <v>17988336</v>
      </c>
      <c r="G1599" s="7" t="str">
        <f>IFERROR(__xludf.DUMMYFUNCTION("""COMPUTED_VALUE"""),"POWERGRID.NS")</f>
        <v>POWERGRID.NS</v>
      </c>
      <c r="H1599" s="8">
        <f t="shared" si="1"/>
        <v>-0.02147540984</v>
      </c>
      <c r="I1599" s="8">
        <f t="shared" si="2"/>
        <v>0.02147540984</v>
      </c>
      <c r="J1599" s="7" t="str">
        <f t="shared" si="3"/>
        <v>May-2025</v>
      </c>
      <c r="K1599" s="9">
        <f t="shared" si="4"/>
        <v>45778</v>
      </c>
      <c r="L1599" s="7" t="str">
        <f t="shared" si="5"/>
        <v/>
      </c>
      <c r="M1599" s="7" t="str">
        <f>IFERROR(__xludf.DUMMYFUNCTION("IFERROR(
  IF(
    F1599 &gt;
    3*AVERAGE(
       FILTER($F$2:$F10491,
         $G$2:$G10491=G1599,
         $A$2:$A10491&gt;=A1599-20,
         $A$2:$A10491&lt;=A1599
       )
    ),
    ""VOL_SPIKE_3X"",""""
  ),
"""")
"),"")</f>
        <v/>
      </c>
      <c r="N1599" s="7" t="str">
        <f t="shared" si="6"/>
        <v/>
      </c>
      <c r="O1599" s="7" t="str">
        <f t="shared" si="7"/>
        <v/>
      </c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>
      <c r="A1600" s="5">
        <f>IFERROR(__xludf.DUMMYFUNCTION("""COMPUTED_VALUE"""),45790.0)</f>
        <v>45790</v>
      </c>
      <c r="B1600" s="6">
        <f>IFERROR(__xludf.DUMMYFUNCTION("""COMPUTED_VALUE"""),1433.5)</f>
        <v>1433.5</v>
      </c>
      <c r="C1600" s="6">
        <f>IFERROR(__xludf.DUMMYFUNCTION("""COMPUTED_VALUE"""),1447.7)</f>
        <v>1447.7</v>
      </c>
      <c r="D1600" s="6">
        <f>IFERROR(__xludf.DUMMYFUNCTION("""COMPUTED_VALUE"""),1412.4)</f>
        <v>1412.4</v>
      </c>
      <c r="E1600" s="6">
        <f>IFERROR(__xludf.DUMMYFUNCTION("""COMPUTED_VALUE"""),1415.7)</f>
        <v>1415.7</v>
      </c>
      <c r="F1600" s="7">
        <f>IFERROR(__xludf.DUMMYFUNCTION("""COMPUTED_VALUE"""),1.1407896E7)</f>
        <v>11407896</v>
      </c>
      <c r="G1600" s="7" t="str">
        <f>IFERROR(__xludf.DUMMYFUNCTION("""COMPUTED_VALUE"""),"RELIANCE.NS")</f>
        <v>RELIANCE.NS</v>
      </c>
      <c r="H1600" s="8">
        <f t="shared" si="1"/>
        <v>-0.0124171608</v>
      </c>
      <c r="I1600" s="8">
        <f t="shared" si="2"/>
        <v>0.0124171608</v>
      </c>
      <c r="J1600" s="7" t="str">
        <f t="shared" si="3"/>
        <v>May-2025</v>
      </c>
      <c r="K1600" s="9">
        <f t="shared" si="4"/>
        <v>45778</v>
      </c>
      <c r="L1600" s="7" t="str">
        <f t="shared" si="5"/>
        <v/>
      </c>
      <c r="M1600" s="7" t="str">
        <f>IFERROR(__xludf.DUMMYFUNCTION("IFERROR(
  IF(
    F1600 &gt;
    3*AVERAGE(
       FILTER($F$2:$F10491,
         $G$2:$G10491=G1600,
         $A$2:$A10491&gt;=A1600-20,
         $A$2:$A10491&lt;=A1600
       )
    ),
    ""VOL_SPIKE_3X"",""""
  ),
"""")
"),"")</f>
        <v/>
      </c>
      <c r="N1600" s="7" t="str">
        <f t="shared" si="6"/>
        <v/>
      </c>
      <c r="O1600" s="7" t="str">
        <f t="shared" si="7"/>
        <v/>
      </c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>
      <c r="A1601" s="5">
        <f>IFERROR(__xludf.DUMMYFUNCTION("""COMPUTED_VALUE"""),45791.0)</f>
        <v>45791</v>
      </c>
      <c r="B1601" s="6">
        <f>IFERROR(__xludf.DUMMYFUNCTION("""COMPUTED_VALUE"""),903.95)</f>
        <v>903.95</v>
      </c>
      <c r="C1601" s="6">
        <f>IFERROR(__xludf.DUMMYFUNCTION("""COMPUTED_VALUE"""),903.95)</f>
        <v>903.95</v>
      </c>
      <c r="D1601" s="6">
        <f>IFERROR(__xludf.DUMMYFUNCTION("""COMPUTED_VALUE"""),886.0)</f>
        <v>886</v>
      </c>
      <c r="E1601" s="6">
        <f>IFERROR(__xludf.DUMMYFUNCTION("""COMPUTED_VALUE"""),890.8)</f>
        <v>890.8</v>
      </c>
      <c r="F1601" s="7">
        <f>IFERROR(__xludf.DUMMYFUNCTION("""COMPUTED_VALUE"""),1929234.0)</f>
        <v>1929234</v>
      </c>
      <c r="G1601" s="7" t="str">
        <f>IFERROR(__xludf.DUMMYFUNCTION("""COMPUTED_VALUE"""),"ADANIENSOL.NS")</f>
        <v>ADANIENSOL.NS</v>
      </c>
      <c r="H1601" s="8">
        <f t="shared" si="1"/>
        <v>-0.01454726478</v>
      </c>
      <c r="I1601" s="8">
        <f t="shared" si="2"/>
        <v>0.01454726478</v>
      </c>
      <c r="J1601" s="7" t="str">
        <f t="shared" si="3"/>
        <v>May-2025</v>
      </c>
      <c r="K1601" s="9">
        <f t="shared" si="4"/>
        <v>45778</v>
      </c>
      <c r="L1601" s="7" t="str">
        <f t="shared" si="5"/>
        <v/>
      </c>
      <c r="M1601" s="7" t="str">
        <f>IFERROR(__xludf.DUMMYFUNCTION("IFERROR(
  IF(
    F1601 &gt;
    3*AVERAGE(
       FILTER($F$2:$F10491,
         $G$2:$G10491=G1601,
         $A$2:$A10491&gt;=A1601-20,
         $A$2:$A10491&lt;=A1601
       )
    ),
    ""VOL_SPIKE_3X"",""""
  ),
"""")
"),"")</f>
        <v/>
      </c>
      <c r="N1601" s="7" t="str">
        <f t="shared" si="6"/>
        <v/>
      </c>
      <c r="O1601" s="7" t="str">
        <f t="shared" si="7"/>
        <v/>
      </c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>
      <c r="A1602" s="5">
        <f>IFERROR(__xludf.DUMMYFUNCTION("""COMPUTED_VALUE"""),45791.0)</f>
        <v>45791</v>
      </c>
      <c r="B1602" s="6">
        <f>IFERROR(__xludf.DUMMYFUNCTION("""COMPUTED_VALUE"""),966.0)</f>
        <v>966</v>
      </c>
      <c r="C1602" s="6">
        <f>IFERROR(__xludf.DUMMYFUNCTION("""COMPUTED_VALUE"""),975.0)</f>
        <v>975</v>
      </c>
      <c r="D1602" s="6">
        <f>IFERROR(__xludf.DUMMYFUNCTION("""COMPUTED_VALUE"""),957.8)</f>
        <v>957.8</v>
      </c>
      <c r="E1602" s="6">
        <f>IFERROR(__xludf.DUMMYFUNCTION("""COMPUTED_VALUE"""),967.25)</f>
        <v>967.25</v>
      </c>
      <c r="F1602" s="7">
        <f>IFERROR(__xludf.DUMMYFUNCTION("""COMPUTED_VALUE"""),3634440.0)</f>
        <v>3634440</v>
      </c>
      <c r="G1602" s="7" t="str">
        <f>IFERROR(__xludf.DUMMYFUNCTION("""COMPUTED_VALUE"""),"ADANIGREEN.NS")</f>
        <v>ADANIGREEN.NS</v>
      </c>
      <c r="H1602" s="8">
        <f t="shared" si="1"/>
        <v>0.001293995859</v>
      </c>
      <c r="I1602" s="8">
        <f t="shared" si="2"/>
        <v>0.001293995859</v>
      </c>
      <c r="J1602" s="7" t="str">
        <f t="shared" si="3"/>
        <v>May-2025</v>
      </c>
      <c r="K1602" s="9">
        <f t="shared" si="4"/>
        <v>45778</v>
      </c>
      <c r="L1602" s="7" t="str">
        <f t="shared" si="5"/>
        <v/>
      </c>
      <c r="M1602" s="7" t="str">
        <f>IFERROR(__xludf.DUMMYFUNCTION("IFERROR(
  IF(
    F1602 &gt;
    3*AVERAGE(
       FILTER($F$2:$F10491,
         $G$2:$G10491=G1602,
         $A$2:$A10491&gt;=A1602-20,
         $A$2:$A10491&lt;=A1602
       )
    ),
    ""VOL_SPIKE_3X"",""""
  ),
"""")
"),"")</f>
        <v/>
      </c>
      <c r="N1602" s="7" t="str">
        <f t="shared" si="6"/>
        <v/>
      </c>
      <c r="O1602" s="7" t="str">
        <f t="shared" si="7"/>
        <v/>
      </c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>
      <c r="A1603" s="5">
        <f>IFERROR(__xludf.DUMMYFUNCTION("""COMPUTED_VALUE"""),45791.0)</f>
        <v>45791</v>
      </c>
      <c r="B1603" s="6">
        <f>IFERROR(__xludf.DUMMYFUNCTION("""COMPUTED_VALUE"""),308.7)</f>
        <v>308.7</v>
      </c>
      <c r="C1603" s="6">
        <f>IFERROR(__xludf.DUMMYFUNCTION("""COMPUTED_VALUE"""),313.55)</f>
        <v>313.55</v>
      </c>
      <c r="D1603" s="6">
        <f>IFERROR(__xludf.DUMMYFUNCTION("""COMPUTED_VALUE"""),308.4)</f>
        <v>308.4</v>
      </c>
      <c r="E1603" s="6">
        <f>IFERROR(__xludf.DUMMYFUNCTION("""COMPUTED_VALUE"""),312.5)</f>
        <v>312.5</v>
      </c>
      <c r="F1603" s="7">
        <f>IFERROR(__xludf.DUMMYFUNCTION("""COMPUTED_VALUE"""),7733320.0)</f>
        <v>7733320</v>
      </c>
      <c r="G1603" s="7" t="str">
        <f>IFERROR(__xludf.DUMMYFUNCTION("""COMPUTED_VALUE"""),"BPCL.NS")</f>
        <v>BPCL.NS</v>
      </c>
      <c r="H1603" s="8">
        <f t="shared" si="1"/>
        <v>0.01230968578</v>
      </c>
      <c r="I1603" s="8">
        <f t="shared" si="2"/>
        <v>0.01230968578</v>
      </c>
      <c r="J1603" s="7" t="str">
        <f t="shared" si="3"/>
        <v>May-2025</v>
      </c>
      <c r="K1603" s="9">
        <f t="shared" si="4"/>
        <v>45778</v>
      </c>
      <c r="L1603" s="7" t="str">
        <f t="shared" si="5"/>
        <v/>
      </c>
      <c r="M1603" s="7" t="str">
        <f>IFERROR(__xludf.DUMMYFUNCTION("IFERROR(
  IF(
    F1603 &gt;
    3*AVERAGE(
       FILTER($F$2:$F10491,
         $G$2:$G10491=G1603,
         $A$2:$A10491&gt;=A1603-20,
         $A$2:$A10491&lt;=A1603
       )
    ),
    ""VOL_SPIKE_3X"",""""
  ),
"""")
"),"")</f>
        <v/>
      </c>
      <c r="N1603" s="7" t="str">
        <f t="shared" si="6"/>
        <v/>
      </c>
      <c r="O1603" s="7" t="str">
        <f t="shared" si="7"/>
        <v/>
      </c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>
      <c r="A1604" s="5">
        <f>IFERROR(__xludf.DUMMYFUNCTION("""COMPUTED_VALUE"""),45791.0)</f>
        <v>45791</v>
      </c>
      <c r="B1604" s="6">
        <f>IFERROR(__xludf.DUMMYFUNCTION("""COMPUTED_VALUE"""),396.75)</f>
        <v>396.75</v>
      </c>
      <c r="C1604" s="6">
        <f>IFERROR(__xludf.DUMMYFUNCTION("""COMPUTED_VALUE"""),404.05)</f>
        <v>404.05</v>
      </c>
      <c r="D1604" s="6">
        <f>IFERROR(__xludf.DUMMYFUNCTION("""COMPUTED_VALUE"""),396.45)</f>
        <v>396.45</v>
      </c>
      <c r="E1604" s="6">
        <f>IFERROR(__xludf.DUMMYFUNCTION("""COMPUTED_VALUE"""),403.1)</f>
        <v>403.1</v>
      </c>
      <c r="F1604" s="7">
        <f>IFERROR(__xludf.DUMMYFUNCTION("""COMPUTED_VALUE"""),6822756.0)</f>
        <v>6822756</v>
      </c>
      <c r="G1604" s="7" t="str">
        <f>IFERROR(__xludf.DUMMYFUNCTION("""COMPUTED_VALUE"""),"COALINDIA.NS")</f>
        <v>COALINDIA.NS</v>
      </c>
      <c r="H1604" s="8">
        <f t="shared" si="1"/>
        <v>0.01600504096</v>
      </c>
      <c r="I1604" s="8">
        <f t="shared" si="2"/>
        <v>0.01600504096</v>
      </c>
      <c r="J1604" s="7" t="str">
        <f t="shared" si="3"/>
        <v>May-2025</v>
      </c>
      <c r="K1604" s="9">
        <f t="shared" si="4"/>
        <v>45778</v>
      </c>
      <c r="L1604" s="7" t="str">
        <f t="shared" si="5"/>
        <v/>
      </c>
      <c r="M1604" s="7" t="str">
        <f>IFERROR(__xludf.DUMMYFUNCTION("IFERROR(
  IF(
    F1604 &gt;
    3*AVERAGE(
       FILTER($F$2:$F10491,
         $G$2:$G10491=G1604,
         $A$2:$A10491&gt;=A1604-20,
         $A$2:$A10491&lt;=A1604
       )
    ),
    ""VOL_SPIKE_3X"",""""
  ),
"""")
"),"")</f>
        <v/>
      </c>
      <c r="N1604" s="7" t="str">
        <f t="shared" si="6"/>
        <v/>
      </c>
      <c r="O1604" s="7" t="str">
        <f t="shared" si="7"/>
        <v/>
      </c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>
      <c r="A1605" s="5">
        <f>IFERROR(__xludf.DUMMYFUNCTION("""COMPUTED_VALUE"""),45791.0)</f>
        <v>45791</v>
      </c>
      <c r="B1605" s="6">
        <f>IFERROR(__xludf.DUMMYFUNCTION("""COMPUTED_VALUE"""),392.8)</f>
        <v>392.8</v>
      </c>
      <c r="C1605" s="6">
        <f>IFERROR(__xludf.DUMMYFUNCTION("""COMPUTED_VALUE"""),398.0)</f>
        <v>398</v>
      </c>
      <c r="D1605" s="6">
        <f>IFERROR(__xludf.DUMMYFUNCTION("""COMPUTED_VALUE"""),391.45)</f>
        <v>391.45</v>
      </c>
      <c r="E1605" s="6">
        <f>IFERROR(__xludf.DUMMYFUNCTION("""COMPUTED_VALUE"""),396.6)</f>
        <v>396.6</v>
      </c>
      <c r="F1605" s="7">
        <f>IFERROR(__xludf.DUMMYFUNCTION("""COMPUTED_VALUE"""),4370060.0)</f>
        <v>4370060</v>
      </c>
      <c r="G1605" s="7" t="str">
        <f>IFERROR(__xludf.DUMMYFUNCTION("""COMPUTED_VALUE"""),"HINDPETRO.NS")</f>
        <v>HINDPETRO.NS</v>
      </c>
      <c r="H1605" s="8">
        <f t="shared" si="1"/>
        <v>0.00967413442</v>
      </c>
      <c r="I1605" s="8">
        <f t="shared" si="2"/>
        <v>0.00967413442</v>
      </c>
      <c r="J1605" s="7" t="str">
        <f t="shared" si="3"/>
        <v>May-2025</v>
      </c>
      <c r="K1605" s="9">
        <f t="shared" si="4"/>
        <v>45778</v>
      </c>
      <c r="L1605" s="7" t="str">
        <f t="shared" si="5"/>
        <v/>
      </c>
      <c r="M1605" s="7" t="str">
        <f>IFERROR(__xludf.DUMMYFUNCTION("IFERROR(
  IF(
    F1605 &gt;
    3*AVERAGE(
       FILTER($F$2:$F10491,
         $G$2:$G10491=G1605,
         $A$2:$A10491&gt;=A1605-20,
         $A$2:$A10491&lt;=A1605
       )
    ),
    ""VOL_SPIKE_3X"",""""
  ),
"""")
"),"")</f>
        <v/>
      </c>
      <c r="N1605" s="7" t="str">
        <f t="shared" si="6"/>
        <v/>
      </c>
      <c r="O1605" s="7" t="str">
        <f t="shared" si="7"/>
        <v/>
      </c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>
      <c r="A1606" s="5">
        <f>IFERROR(__xludf.DUMMYFUNCTION("""COMPUTED_VALUE"""),45791.0)</f>
        <v>45791</v>
      </c>
      <c r="B1606" s="6">
        <f>IFERROR(__xludf.DUMMYFUNCTION("""COMPUTED_VALUE"""),141.99)</f>
        <v>141.99</v>
      </c>
      <c r="C1606" s="6">
        <f>IFERROR(__xludf.DUMMYFUNCTION("""COMPUTED_VALUE"""),143.91)</f>
        <v>143.91</v>
      </c>
      <c r="D1606" s="6">
        <f>IFERROR(__xludf.DUMMYFUNCTION("""COMPUTED_VALUE"""),141.95)</f>
        <v>141.95</v>
      </c>
      <c r="E1606" s="6">
        <f>IFERROR(__xludf.DUMMYFUNCTION("""COMPUTED_VALUE"""),143.47)</f>
        <v>143.47</v>
      </c>
      <c r="F1606" s="7">
        <f>IFERROR(__xludf.DUMMYFUNCTION("""COMPUTED_VALUE"""),9987794.0)</f>
        <v>9987794</v>
      </c>
      <c r="G1606" s="7" t="str">
        <f>IFERROR(__xludf.DUMMYFUNCTION("""COMPUTED_VALUE"""),"IOC.NS")</f>
        <v>IOC.NS</v>
      </c>
      <c r="H1606" s="8">
        <f t="shared" si="1"/>
        <v>0.01042326924</v>
      </c>
      <c r="I1606" s="8">
        <f t="shared" si="2"/>
        <v>0.01042326924</v>
      </c>
      <c r="J1606" s="7" t="str">
        <f t="shared" si="3"/>
        <v>May-2025</v>
      </c>
      <c r="K1606" s="9">
        <f t="shared" si="4"/>
        <v>45778</v>
      </c>
      <c r="L1606" s="7" t="str">
        <f t="shared" si="5"/>
        <v/>
      </c>
      <c r="M1606" s="7" t="str">
        <f>IFERROR(__xludf.DUMMYFUNCTION("IFERROR(
  IF(
    F1606 &gt;
    3*AVERAGE(
       FILTER($F$2:$F10491,
         $G$2:$G10491=G1606,
         $A$2:$A10491&gt;=A1606-20,
         $A$2:$A10491&lt;=A1606
       )
    ),
    ""VOL_SPIKE_3X"",""""
  ),
"""")
"),"")</f>
        <v/>
      </c>
      <c r="N1606" s="7" t="str">
        <f t="shared" si="6"/>
        <v/>
      </c>
      <c r="O1606" s="7" t="str">
        <f t="shared" si="7"/>
        <v/>
      </c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>
      <c r="A1607" s="5">
        <f>IFERROR(__xludf.DUMMYFUNCTION("""COMPUTED_VALUE"""),45791.0)</f>
        <v>45791</v>
      </c>
      <c r="B1607" s="6">
        <f>IFERROR(__xludf.DUMMYFUNCTION("""COMPUTED_VALUE"""),342.45)</f>
        <v>342.45</v>
      </c>
      <c r="C1607" s="6">
        <f>IFERROR(__xludf.DUMMYFUNCTION("""COMPUTED_VALUE"""),343.85)</f>
        <v>343.85</v>
      </c>
      <c r="D1607" s="6">
        <f>IFERROR(__xludf.DUMMYFUNCTION("""COMPUTED_VALUE"""),337.75)</f>
        <v>337.75</v>
      </c>
      <c r="E1607" s="6">
        <f>IFERROR(__xludf.DUMMYFUNCTION("""COMPUTED_VALUE"""),338.55)</f>
        <v>338.55</v>
      </c>
      <c r="F1607" s="7">
        <f>IFERROR(__xludf.DUMMYFUNCTION("""COMPUTED_VALUE"""),2.2485535E7)</f>
        <v>22485535</v>
      </c>
      <c r="G1607" s="7" t="str">
        <f>IFERROR(__xludf.DUMMYFUNCTION("""COMPUTED_VALUE"""),"NTPC.NS")</f>
        <v>NTPC.NS</v>
      </c>
      <c r="H1607" s="8">
        <f t="shared" si="1"/>
        <v>-0.01138852387</v>
      </c>
      <c r="I1607" s="8">
        <f t="shared" si="2"/>
        <v>0.01138852387</v>
      </c>
      <c r="J1607" s="7" t="str">
        <f t="shared" si="3"/>
        <v>May-2025</v>
      </c>
      <c r="K1607" s="9">
        <f t="shared" si="4"/>
        <v>45778</v>
      </c>
      <c r="L1607" s="7" t="str">
        <f t="shared" si="5"/>
        <v/>
      </c>
      <c r="M1607" s="7" t="str">
        <f>IFERROR(__xludf.DUMMYFUNCTION("IFERROR(
  IF(
    F1607 &gt;
    3*AVERAGE(
       FILTER($F$2:$F10491,
         $G$2:$G10491=G1607,
         $A$2:$A10491&gt;=A1607-20,
         $A$2:$A10491&lt;=A1607
       )
    ),
    ""VOL_SPIKE_3X"",""""
  ),
"""")
"),"")</f>
        <v/>
      </c>
      <c r="N1607" s="7" t="str">
        <f t="shared" si="6"/>
        <v/>
      </c>
      <c r="O1607" s="7" t="str">
        <f t="shared" si="7"/>
        <v/>
      </c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>
      <c r="A1608" s="5">
        <f>IFERROR(__xludf.DUMMYFUNCTION("""COMPUTED_VALUE"""),45791.0)</f>
        <v>45791</v>
      </c>
      <c r="B1608" s="6">
        <f>IFERROR(__xludf.DUMMYFUNCTION("""COMPUTED_VALUE"""),241.16)</f>
        <v>241.16</v>
      </c>
      <c r="C1608" s="6">
        <f>IFERROR(__xludf.DUMMYFUNCTION("""COMPUTED_VALUE"""),246.9)</f>
        <v>246.9</v>
      </c>
      <c r="D1608" s="6">
        <f>IFERROR(__xludf.DUMMYFUNCTION("""COMPUTED_VALUE"""),241.16)</f>
        <v>241.16</v>
      </c>
      <c r="E1608" s="6">
        <f>IFERROR(__xludf.DUMMYFUNCTION("""COMPUTED_VALUE"""),246.01)</f>
        <v>246.01</v>
      </c>
      <c r="F1608" s="7">
        <f>IFERROR(__xludf.DUMMYFUNCTION("""COMPUTED_VALUE"""),8234859.0)</f>
        <v>8234859</v>
      </c>
      <c r="G1608" s="7" t="str">
        <f>IFERROR(__xludf.DUMMYFUNCTION("""COMPUTED_VALUE"""),"ONGC.NS")</f>
        <v>ONGC.NS</v>
      </c>
      <c r="H1608" s="8">
        <f t="shared" si="1"/>
        <v>0.02011112954</v>
      </c>
      <c r="I1608" s="8">
        <f t="shared" si="2"/>
        <v>0.02011112954</v>
      </c>
      <c r="J1608" s="7" t="str">
        <f t="shared" si="3"/>
        <v>May-2025</v>
      </c>
      <c r="K1608" s="9">
        <f t="shared" si="4"/>
        <v>45778</v>
      </c>
      <c r="L1608" s="7" t="str">
        <f t="shared" si="5"/>
        <v/>
      </c>
      <c r="M1608" s="7" t="str">
        <f>IFERROR(__xludf.DUMMYFUNCTION("IFERROR(
  IF(
    F1608 &gt;
    3*AVERAGE(
       FILTER($F$2:$F10491,
         $G$2:$G10491=G1608,
         $A$2:$A10491&gt;=A1608-20,
         $A$2:$A10491&lt;=A1608
       )
    ),
    ""VOL_SPIKE_3X"",""""
  ),
"""")
"),"")</f>
        <v/>
      </c>
      <c r="N1608" s="7" t="str">
        <f t="shared" si="6"/>
        <v/>
      </c>
      <c r="O1608" s="7" t="str">
        <f t="shared" si="7"/>
        <v/>
      </c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>
      <c r="A1609" s="5">
        <f>IFERROR(__xludf.DUMMYFUNCTION("""COMPUTED_VALUE"""),45791.0)</f>
        <v>45791</v>
      </c>
      <c r="B1609" s="6">
        <f>IFERROR(__xludf.DUMMYFUNCTION("""COMPUTED_VALUE"""),299.2)</f>
        <v>299.2</v>
      </c>
      <c r="C1609" s="6">
        <f>IFERROR(__xludf.DUMMYFUNCTION("""COMPUTED_VALUE"""),300.55)</f>
        <v>300.55</v>
      </c>
      <c r="D1609" s="6">
        <f>IFERROR(__xludf.DUMMYFUNCTION("""COMPUTED_VALUE"""),294.05)</f>
        <v>294.05</v>
      </c>
      <c r="E1609" s="6">
        <f>IFERROR(__xludf.DUMMYFUNCTION("""COMPUTED_VALUE"""),295.95)</f>
        <v>295.95</v>
      </c>
      <c r="F1609" s="7">
        <f>IFERROR(__xludf.DUMMYFUNCTION("""COMPUTED_VALUE"""),1.0359258E7)</f>
        <v>10359258</v>
      </c>
      <c r="G1609" s="7" t="str">
        <f>IFERROR(__xludf.DUMMYFUNCTION("""COMPUTED_VALUE"""),"POWERGRID.NS")</f>
        <v>POWERGRID.NS</v>
      </c>
      <c r="H1609" s="8">
        <f t="shared" si="1"/>
        <v>-0.01086229947</v>
      </c>
      <c r="I1609" s="8">
        <f t="shared" si="2"/>
        <v>0.01086229947</v>
      </c>
      <c r="J1609" s="7" t="str">
        <f t="shared" si="3"/>
        <v>May-2025</v>
      </c>
      <c r="K1609" s="9">
        <f t="shared" si="4"/>
        <v>45778</v>
      </c>
      <c r="L1609" s="7" t="str">
        <f t="shared" si="5"/>
        <v/>
      </c>
      <c r="M1609" s="7" t="str">
        <f>IFERROR(__xludf.DUMMYFUNCTION("IFERROR(
  IF(
    F1609 &gt;
    3*AVERAGE(
       FILTER($F$2:$F10491,
         $G$2:$G10491=G1609,
         $A$2:$A10491&gt;=A1609-20,
         $A$2:$A10491&lt;=A1609
       )
    ),
    ""VOL_SPIKE_3X"",""""
  ),
"""")
"),"")</f>
        <v/>
      </c>
      <c r="N1609" s="7" t="str">
        <f t="shared" si="6"/>
        <v/>
      </c>
      <c r="O1609" s="7" t="str">
        <f t="shared" si="7"/>
        <v/>
      </c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>
      <c r="A1610" s="5">
        <f>IFERROR(__xludf.DUMMYFUNCTION("""COMPUTED_VALUE"""),45791.0)</f>
        <v>45791</v>
      </c>
      <c r="B1610" s="6">
        <f>IFERROR(__xludf.DUMMYFUNCTION("""COMPUTED_VALUE"""),1420.0)</f>
        <v>1420</v>
      </c>
      <c r="C1610" s="6">
        <f>IFERROR(__xludf.DUMMYFUNCTION("""COMPUTED_VALUE"""),1429.9)</f>
        <v>1429.9</v>
      </c>
      <c r="D1610" s="6">
        <f>IFERROR(__xludf.DUMMYFUNCTION("""COMPUTED_VALUE"""),1415.5)</f>
        <v>1415.5</v>
      </c>
      <c r="E1610" s="6">
        <f>IFERROR(__xludf.DUMMYFUNCTION("""COMPUTED_VALUE"""),1424.4)</f>
        <v>1424.4</v>
      </c>
      <c r="F1610" s="7">
        <f>IFERROR(__xludf.DUMMYFUNCTION("""COMPUTED_VALUE"""),5570160.0)</f>
        <v>5570160</v>
      </c>
      <c r="G1610" s="7" t="str">
        <f>IFERROR(__xludf.DUMMYFUNCTION("""COMPUTED_VALUE"""),"RELIANCE.NS")</f>
        <v>RELIANCE.NS</v>
      </c>
      <c r="H1610" s="8">
        <f t="shared" si="1"/>
        <v>0.003098591549</v>
      </c>
      <c r="I1610" s="8">
        <f t="shared" si="2"/>
        <v>0.003098591549</v>
      </c>
      <c r="J1610" s="7" t="str">
        <f t="shared" si="3"/>
        <v>May-2025</v>
      </c>
      <c r="K1610" s="9">
        <f t="shared" si="4"/>
        <v>45778</v>
      </c>
      <c r="L1610" s="7" t="str">
        <f t="shared" si="5"/>
        <v/>
      </c>
      <c r="M1610" s="7" t="str">
        <f>IFERROR(__xludf.DUMMYFUNCTION("IFERROR(
  IF(
    F1610 &gt;
    3*AVERAGE(
       FILTER($F$2:$F10491,
         $G$2:$G10491=G1610,
         $A$2:$A10491&gt;=A1610-20,
         $A$2:$A10491&lt;=A1610
       )
    ),
    ""VOL_SPIKE_3X"",""""
  ),
"""")
"),"")</f>
        <v/>
      </c>
      <c r="N1610" s="7" t="str">
        <f t="shared" si="6"/>
        <v/>
      </c>
      <c r="O1610" s="7" t="str">
        <f t="shared" si="7"/>
        <v/>
      </c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>
      <c r="A1611" s="5">
        <f>IFERROR(__xludf.DUMMYFUNCTION("""COMPUTED_VALUE"""),45792.0)</f>
        <v>45792</v>
      </c>
      <c r="B1611" s="6">
        <f>IFERROR(__xludf.DUMMYFUNCTION("""COMPUTED_VALUE"""),894.95)</f>
        <v>894.95</v>
      </c>
      <c r="C1611" s="6">
        <f>IFERROR(__xludf.DUMMYFUNCTION("""COMPUTED_VALUE"""),913.55)</f>
        <v>913.55</v>
      </c>
      <c r="D1611" s="6">
        <f>IFERROR(__xludf.DUMMYFUNCTION("""COMPUTED_VALUE"""),884.05)</f>
        <v>884.05</v>
      </c>
      <c r="E1611" s="6">
        <f>IFERROR(__xludf.DUMMYFUNCTION("""COMPUTED_VALUE"""),910.8)</f>
        <v>910.8</v>
      </c>
      <c r="F1611" s="7">
        <f>IFERROR(__xludf.DUMMYFUNCTION("""COMPUTED_VALUE"""),1755815.0)</f>
        <v>1755815</v>
      </c>
      <c r="G1611" s="7" t="str">
        <f>IFERROR(__xludf.DUMMYFUNCTION("""COMPUTED_VALUE"""),"ADANIENSOL.NS")</f>
        <v>ADANIENSOL.NS</v>
      </c>
      <c r="H1611" s="8">
        <f t="shared" si="1"/>
        <v>0.01771048662</v>
      </c>
      <c r="I1611" s="8">
        <f t="shared" si="2"/>
        <v>0.01771048662</v>
      </c>
      <c r="J1611" s="7" t="str">
        <f t="shared" si="3"/>
        <v>May-2025</v>
      </c>
      <c r="K1611" s="9">
        <f t="shared" si="4"/>
        <v>45778</v>
      </c>
      <c r="L1611" s="7" t="str">
        <f t="shared" si="5"/>
        <v/>
      </c>
      <c r="M1611" s="7" t="str">
        <f>IFERROR(__xludf.DUMMYFUNCTION("IFERROR(
  IF(
    F1611 &gt;
    3*AVERAGE(
       FILTER($F$2:$F10491,
         $G$2:$G10491=G1611,
         $A$2:$A10491&gt;=A1611-20,
         $A$2:$A10491&lt;=A1611
       )
    ),
    ""VOL_SPIKE_3X"",""""
  ),
"""")
"),"")</f>
        <v/>
      </c>
      <c r="N1611" s="7" t="str">
        <f t="shared" si="6"/>
        <v/>
      </c>
      <c r="O1611" s="7" t="str">
        <f t="shared" si="7"/>
        <v/>
      </c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>
      <c r="A1612" s="5">
        <f>IFERROR(__xludf.DUMMYFUNCTION("""COMPUTED_VALUE"""),45792.0)</f>
        <v>45792</v>
      </c>
      <c r="B1612" s="6">
        <f>IFERROR(__xludf.DUMMYFUNCTION("""COMPUTED_VALUE"""),972.1)</f>
        <v>972.1</v>
      </c>
      <c r="C1612" s="6">
        <f>IFERROR(__xludf.DUMMYFUNCTION("""COMPUTED_VALUE"""),972.8)</f>
        <v>972.8</v>
      </c>
      <c r="D1612" s="6">
        <f>IFERROR(__xludf.DUMMYFUNCTION("""COMPUTED_VALUE"""),953.4)</f>
        <v>953.4</v>
      </c>
      <c r="E1612" s="6">
        <f>IFERROR(__xludf.DUMMYFUNCTION("""COMPUTED_VALUE"""),967.9)</f>
        <v>967.9</v>
      </c>
      <c r="F1612" s="7">
        <f>IFERROR(__xludf.DUMMYFUNCTION("""COMPUTED_VALUE"""),4951675.0)</f>
        <v>4951675</v>
      </c>
      <c r="G1612" s="7" t="str">
        <f>IFERROR(__xludf.DUMMYFUNCTION("""COMPUTED_VALUE"""),"ADANIGREEN.NS")</f>
        <v>ADANIGREEN.NS</v>
      </c>
      <c r="H1612" s="8">
        <f t="shared" si="1"/>
        <v>-0.004320543154</v>
      </c>
      <c r="I1612" s="8">
        <f t="shared" si="2"/>
        <v>0.004320543154</v>
      </c>
      <c r="J1612" s="7" t="str">
        <f t="shared" si="3"/>
        <v>May-2025</v>
      </c>
      <c r="K1612" s="9">
        <f t="shared" si="4"/>
        <v>45778</v>
      </c>
      <c r="L1612" s="7" t="str">
        <f t="shared" si="5"/>
        <v/>
      </c>
      <c r="M1612" s="7" t="str">
        <f>IFERROR(__xludf.DUMMYFUNCTION("IFERROR(
  IF(
    F1612 &gt;
    3*AVERAGE(
       FILTER($F$2:$F10491,
         $G$2:$G10491=G1612,
         $A$2:$A10491&gt;=A1612-20,
         $A$2:$A10491&lt;=A1612
       )
    ),
    ""VOL_SPIKE_3X"",""""
  ),
"""")
"),"")</f>
        <v/>
      </c>
      <c r="N1612" s="7" t="str">
        <f t="shared" si="6"/>
        <v/>
      </c>
      <c r="O1612" s="7" t="str">
        <f t="shared" si="7"/>
        <v/>
      </c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>
      <c r="A1613" s="5">
        <f>IFERROR(__xludf.DUMMYFUNCTION("""COMPUTED_VALUE"""),45792.0)</f>
        <v>45792</v>
      </c>
      <c r="B1613" s="6">
        <f>IFERROR(__xludf.DUMMYFUNCTION("""COMPUTED_VALUE"""),314.0)</f>
        <v>314</v>
      </c>
      <c r="C1613" s="6">
        <f>IFERROR(__xludf.DUMMYFUNCTION("""COMPUTED_VALUE"""),320.2)</f>
        <v>320.2</v>
      </c>
      <c r="D1613" s="6">
        <f>IFERROR(__xludf.DUMMYFUNCTION("""COMPUTED_VALUE"""),313.5)</f>
        <v>313.5</v>
      </c>
      <c r="E1613" s="6">
        <f>IFERROR(__xludf.DUMMYFUNCTION("""COMPUTED_VALUE"""),317.0)</f>
        <v>317</v>
      </c>
      <c r="F1613" s="7">
        <f>IFERROR(__xludf.DUMMYFUNCTION("""COMPUTED_VALUE"""),7055032.0)</f>
        <v>7055032</v>
      </c>
      <c r="G1613" s="7" t="str">
        <f>IFERROR(__xludf.DUMMYFUNCTION("""COMPUTED_VALUE"""),"BPCL.NS")</f>
        <v>BPCL.NS</v>
      </c>
      <c r="H1613" s="8">
        <f t="shared" si="1"/>
        <v>0.009554140127</v>
      </c>
      <c r="I1613" s="8">
        <f t="shared" si="2"/>
        <v>0.009554140127</v>
      </c>
      <c r="J1613" s="7" t="str">
        <f t="shared" si="3"/>
        <v>May-2025</v>
      </c>
      <c r="K1613" s="9">
        <f t="shared" si="4"/>
        <v>45778</v>
      </c>
      <c r="L1613" s="7" t="str">
        <f t="shared" si="5"/>
        <v/>
      </c>
      <c r="M1613" s="7" t="str">
        <f>IFERROR(__xludf.DUMMYFUNCTION("IFERROR(
  IF(
    F1613 &gt;
    3*AVERAGE(
       FILTER($F$2:$F10491,
         $G$2:$G10491=G1613,
         $A$2:$A10491&gt;=A1613-20,
         $A$2:$A10491&lt;=A1613
       )
    ),
    ""VOL_SPIKE_3X"",""""
  ),
"""")
"),"")</f>
        <v/>
      </c>
      <c r="N1613" s="7" t="str">
        <f t="shared" si="6"/>
        <v/>
      </c>
      <c r="O1613" s="7" t="str">
        <f t="shared" si="7"/>
        <v/>
      </c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>
      <c r="A1614" s="5">
        <f>IFERROR(__xludf.DUMMYFUNCTION("""COMPUTED_VALUE"""),45792.0)</f>
        <v>45792</v>
      </c>
      <c r="B1614" s="6">
        <f>IFERROR(__xludf.DUMMYFUNCTION("""COMPUTED_VALUE"""),403.75)</f>
        <v>403.75</v>
      </c>
      <c r="C1614" s="6">
        <f>IFERROR(__xludf.DUMMYFUNCTION("""COMPUTED_VALUE"""),406.4)</f>
        <v>406.4</v>
      </c>
      <c r="D1614" s="6">
        <f>IFERROR(__xludf.DUMMYFUNCTION("""COMPUTED_VALUE"""),399.6)</f>
        <v>399.6</v>
      </c>
      <c r="E1614" s="6">
        <f>IFERROR(__xludf.DUMMYFUNCTION("""COMPUTED_VALUE"""),404.65)</f>
        <v>404.65</v>
      </c>
      <c r="F1614" s="7">
        <f>IFERROR(__xludf.DUMMYFUNCTION("""COMPUTED_VALUE"""),1.0511989E7)</f>
        <v>10511989</v>
      </c>
      <c r="G1614" s="7" t="str">
        <f>IFERROR(__xludf.DUMMYFUNCTION("""COMPUTED_VALUE"""),"COALINDIA.NS")</f>
        <v>COALINDIA.NS</v>
      </c>
      <c r="H1614" s="8">
        <f t="shared" si="1"/>
        <v>0.002229102167</v>
      </c>
      <c r="I1614" s="8">
        <f t="shared" si="2"/>
        <v>0.002229102167</v>
      </c>
      <c r="J1614" s="7" t="str">
        <f t="shared" si="3"/>
        <v>May-2025</v>
      </c>
      <c r="K1614" s="9">
        <f t="shared" si="4"/>
        <v>45778</v>
      </c>
      <c r="L1614" s="7" t="str">
        <f t="shared" si="5"/>
        <v/>
      </c>
      <c r="M1614" s="7" t="str">
        <f>IFERROR(__xludf.DUMMYFUNCTION("IFERROR(
  IF(
    F1614 &gt;
    3*AVERAGE(
       FILTER($F$2:$F10491,
         $G$2:$G10491=G1614,
         $A$2:$A10491&gt;=A1614-20,
         $A$2:$A10491&lt;=A1614
       )
    ),
    ""VOL_SPIKE_3X"",""""
  ),
"""")
"),"")</f>
        <v/>
      </c>
      <c r="N1614" s="7" t="str">
        <f t="shared" si="6"/>
        <v/>
      </c>
      <c r="O1614" s="7" t="str">
        <f t="shared" si="7"/>
        <v/>
      </c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>
      <c r="A1615" s="5">
        <f>IFERROR(__xludf.DUMMYFUNCTION("""COMPUTED_VALUE"""),45792.0)</f>
        <v>45792</v>
      </c>
      <c r="B1615" s="6">
        <f>IFERROR(__xludf.DUMMYFUNCTION("""COMPUTED_VALUE"""),400.0)</f>
        <v>400</v>
      </c>
      <c r="C1615" s="6">
        <f>IFERROR(__xludf.DUMMYFUNCTION("""COMPUTED_VALUE"""),407.3)</f>
        <v>407.3</v>
      </c>
      <c r="D1615" s="6">
        <f>IFERROR(__xludf.DUMMYFUNCTION("""COMPUTED_VALUE"""),397.7)</f>
        <v>397.7</v>
      </c>
      <c r="E1615" s="6">
        <f>IFERROR(__xludf.DUMMYFUNCTION("""COMPUTED_VALUE"""),402.7)</f>
        <v>402.7</v>
      </c>
      <c r="F1615" s="7">
        <f>IFERROR(__xludf.DUMMYFUNCTION("""COMPUTED_VALUE"""),5828155.0)</f>
        <v>5828155</v>
      </c>
      <c r="G1615" s="7" t="str">
        <f>IFERROR(__xludf.DUMMYFUNCTION("""COMPUTED_VALUE"""),"HINDPETRO.NS")</f>
        <v>HINDPETRO.NS</v>
      </c>
      <c r="H1615" s="8">
        <f t="shared" si="1"/>
        <v>0.00675</v>
      </c>
      <c r="I1615" s="8">
        <f t="shared" si="2"/>
        <v>0.00675</v>
      </c>
      <c r="J1615" s="7" t="str">
        <f t="shared" si="3"/>
        <v>May-2025</v>
      </c>
      <c r="K1615" s="9">
        <f t="shared" si="4"/>
        <v>45778</v>
      </c>
      <c r="L1615" s="7" t="str">
        <f t="shared" si="5"/>
        <v/>
      </c>
      <c r="M1615" s="7" t="str">
        <f>IFERROR(__xludf.DUMMYFUNCTION("IFERROR(
  IF(
    F1615 &gt;
    3*AVERAGE(
       FILTER($F$2:$F10491,
         $G$2:$G10491=G1615,
         $A$2:$A10491&gt;=A1615-20,
         $A$2:$A10491&lt;=A1615
       )
    ),
    ""VOL_SPIKE_3X"",""""
  ),
"""")
"),"")</f>
        <v/>
      </c>
      <c r="N1615" s="7" t="str">
        <f t="shared" si="6"/>
        <v/>
      </c>
      <c r="O1615" s="7" t="str">
        <f t="shared" si="7"/>
        <v/>
      </c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>
      <c r="A1616" s="5">
        <f>IFERROR(__xludf.DUMMYFUNCTION("""COMPUTED_VALUE"""),45792.0)</f>
        <v>45792</v>
      </c>
      <c r="B1616" s="6">
        <f>IFERROR(__xludf.DUMMYFUNCTION("""COMPUTED_VALUE"""),144.0)</f>
        <v>144</v>
      </c>
      <c r="C1616" s="6">
        <f>IFERROR(__xludf.DUMMYFUNCTION("""COMPUTED_VALUE"""),146.0)</f>
        <v>146</v>
      </c>
      <c r="D1616" s="6">
        <f>IFERROR(__xludf.DUMMYFUNCTION("""COMPUTED_VALUE"""),143.57)</f>
        <v>143.57</v>
      </c>
      <c r="E1616" s="6">
        <f>IFERROR(__xludf.DUMMYFUNCTION("""COMPUTED_VALUE"""),145.0)</f>
        <v>145</v>
      </c>
      <c r="F1616" s="7">
        <f>IFERROR(__xludf.DUMMYFUNCTION("""COMPUTED_VALUE"""),1.0181275E7)</f>
        <v>10181275</v>
      </c>
      <c r="G1616" s="7" t="str">
        <f>IFERROR(__xludf.DUMMYFUNCTION("""COMPUTED_VALUE"""),"IOC.NS")</f>
        <v>IOC.NS</v>
      </c>
      <c r="H1616" s="8">
        <f t="shared" si="1"/>
        <v>0.006944444444</v>
      </c>
      <c r="I1616" s="8">
        <f t="shared" si="2"/>
        <v>0.006944444444</v>
      </c>
      <c r="J1616" s="7" t="str">
        <f t="shared" si="3"/>
        <v>May-2025</v>
      </c>
      <c r="K1616" s="9">
        <f t="shared" si="4"/>
        <v>45778</v>
      </c>
      <c r="L1616" s="7" t="str">
        <f t="shared" si="5"/>
        <v/>
      </c>
      <c r="M1616" s="7" t="str">
        <f>IFERROR(__xludf.DUMMYFUNCTION("IFERROR(
  IF(
    F1616 &gt;
    3*AVERAGE(
       FILTER($F$2:$F10491,
         $G$2:$G10491=G1616,
         $A$2:$A10491&gt;=A1616-20,
         $A$2:$A10491&lt;=A1616
       )
    ),
    ""VOL_SPIKE_3X"",""""
  ),
"""")
"),"")</f>
        <v/>
      </c>
      <c r="N1616" s="7" t="str">
        <f t="shared" si="6"/>
        <v/>
      </c>
      <c r="O1616" s="7" t="str">
        <f t="shared" si="7"/>
        <v/>
      </c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>
      <c r="A1617" s="5">
        <f>IFERROR(__xludf.DUMMYFUNCTION("""COMPUTED_VALUE"""),45792.0)</f>
        <v>45792</v>
      </c>
      <c r="B1617" s="6">
        <f>IFERROR(__xludf.DUMMYFUNCTION("""COMPUTED_VALUE"""),339.5)</f>
        <v>339.5</v>
      </c>
      <c r="C1617" s="6">
        <f>IFERROR(__xludf.DUMMYFUNCTION("""COMPUTED_VALUE"""),343.75)</f>
        <v>343.75</v>
      </c>
      <c r="D1617" s="6">
        <f>IFERROR(__xludf.DUMMYFUNCTION("""COMPUTED_VALUE"""),332.65)</f>
        <v>332.65</v>
      </c>
      <c r="E1617" s="6">
        <f>IFERROR(__xludf.DUMMYFUNCTION("""COMPUTED_VALUE"""),341.95)</f>
        <v>341.95</v>
      </c>
      <c r="F1617" s="7">
        <f>IFERROR(__xludf.DUMMYFUNCTION("""COMPUTED_VALUE"""),4.3307763E7)</f>
        <v>43307763</v>
      </c>
      <c r="G1617" s="7" t="str">
        <f>IFERROR(__xludf.DUMMYFUNCTION("""COMPUTED_VALUE"""),"NTPC.NS")</f>
        <v>NTPC.NS</v>
      </c>
      <c r="H1617" s="8">
        <f t="shared" si="1"/>
        <v>0.007216494845</v>
      </c>
      <c r="I1617" s="8">
        <f t="shared" si="2"/>
        <v>0.007216494845</v>
      </c>
      <c r="J1617" s="7" t="str">
        <f t="shared" si="3"/>
        <v>May-2025</v>
      </c>
      <c r="K1617" s="9">
        <f t="shared" si="4"/>
        <v>45778</v>
      </c>
      <c r="L1617" s="7" t="str">
        <f t="shared" si="5"/>
        <v/>
      </c>
      <c r="M1617" s="7" t="str">
        <f>IFERROR(__xludf.DUMMYFUNCTION("IFERROR(
  IF(
    F1617 &gt;
    3*AVERAGE(
       FILTER($F$2:$F10491,
         $G$2:$G10491=G1617,
         $A$2:$A10491&gt;=A1617-20,
         $A$2:$A10491&lt;=A1617
       )
    ),
    ""VOL_SPIKE_3X"",""""
  ),
"""")
"),"VOL_SPIKE_3X")</f>
        <v>VOL_SPIKE_3X</v>
      </c>
      <c r="N1617" s="7" t="str">
        <f t="shared" si="6"/>
        <v>VOL_SPIKE_3X</v>
      </c>
      <c r="O1617" s="7" t="str">
        <f t="shared" si="7"/>
        <v/>
      </c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>
      <c r="A1618" s="5">
        <f>IFERROR(__xludf.DUMMYFUNCTION("""COMPUTED_VALUE"""),45792.0)</f>
        <v>45792</v>
      </c>
      <c r="B1618" s="6">
        <f>IFERROR(__xludf.DUMMYFUNCTION("""COMPUTED_VALUE"""),244.95)</f>
        <v>244.95</v>
      </c>
      <c r="C1618" s="6">
        <f>IFERROR(__xludf.DUMMYFUNCTION("""COMPUTED_VALUE"""),248.92)</f>
        <v>248.92</v>
      </c>
      <c r="D1618" s="6">
        <f>IFERROR(__xludf.DUMMYFUNCTION("""COMPUTED_VALUE"""),242.3)</f>
        <v>242.3</v>
      </c>
      <c r="E1618" s="6">
        <f>IFERROR(__xludf.DUMMYFUNCTION("""COMPUTED_VALUE"""),247.61)</f>
        <v>247.61</v>
      </c>
      <c r="F1618" s="7">
        <f>IFERROR(__xludf.DUMMYFUNCTION("""COMPUTED_VALUE"""),1.681275E7)</f>
        <v>16812750</v>
      </c>
      <c r="G1618" s="7" t="str">
        <f>IFERROR(__xludf.DUMMYFUNCTION("""COMPUTED_VALUE"""),"ONGC.NS")</f>
        <v>ONGC.NS</v>
      </c>
      <c r="H1618" s="8">
        <f t="shared" si="1"/>
        <v>0.01085935905</v>
      </c>
      <c r="I1618" s="8">
        <f t="shared" si="2"/>
        <v>0.01085935905</v>
      </c>
      <c r="J1618" s="7" t="str">
        <f t="shared" si="3"/>
        <v>May-2025</v>
      </c>
      <c r="K1618" s="9">
        <f t="shared" si="4"/>
        <v>45778</v>
      </c>
      <c r="L1618" s="7" t="str">
        <f t="shared" si="5"/>
        <v/>
      </c>
      <c r="M1618" s="7" t="str">
        <f>IFERROR(__xludf.DUMMYFUNCTION("IFERROR(
  IF(
    F1618 &gt;
    3*AVERAGE(
       FILTER($F$2:$F10491,
         $G$2:$G10491=G1618,
         $A$2:$A10491&gt;=A1618-20,
         $A$2:$A10491&lt;=A1618
       )
    ),
    ""VOL_SPIKE_3X"",""""
  ),
"""")
"),"")</f>
        <v/>
      </c>
      <c r="N1618" s="7" t="str">
        <f t="shared" si="6"/>
        <v/>
      </c>
      <c r="O1618" s="7" t="str">
        <f t="shared" si="7"/>
        <v/>
      </c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>
      <c r="A1619" s="5">
        <f>IFERROR(__xludf.DUMMYFUNCTION("""COMPUTED_VALUE"""),45792.0)</f>
        <v>45792</v>
      </c>
      <c r="B1619" s="6">
        <f>IFERROR(__xludf.DUMMYFUNCTION("""COMPUTED_VALUE"""),295.9)</f>
        <v>295.9</v>
      </c>
      <c r="C1619" s="6">
        <f>IFERROR(__xludf.DUMMYFUNCTION("""COMPUTED_VALUE"""),300.4)</f>
        <v>300.4</v>
      </c>
      <c r="D1619" s="6">
        <f>IFERROR(__xludf.DUMMYFUNCTION("""COMPUTED_VALUE"""),291.05)</f>
        <v>291.05</v>
      </c>
      <c r="E1619" s="6">
        <f>IFERROR(__xludf.DUMMYFUNCTION("""COMPUTED_VALUE"""),299.65)</f>
        <v>299.65</v>
      </c>
      <c r="F1619" s="7">
        <f>IFERROR(__xludf.DUMMYFUNCTION("""COMPUTED_VALUE"""),2.2640626E7)</f>
        <v>22640626</v>
      </c>
      <c r="G1619" s="7" t="str">
        <f>IFERROR(__xludf.DUMMYFUNCTION("""COMPUTED_VALUE"""),"POWERGRID.NS")</f>
        <v>POWERGRID.NS</v>
      </c>
      <c r="H1619" s="8">
        <f t="shared" si="1"/>
        <v>0.01267320041</v>
      </c>
      <c r="I1619" s="8">
        <f t="shared" si="2"/>
        <v>0.01267320041</v>
      </c>
      <c r="J1619" s="7" t="str">
        <f t="shared" si="3"/>
        <v>May-2025</v>
      </c>
      <c r="K1619" s="9">
        <f t="shared" si="4"/>
        <v>45778</v>
      </c>
      <c r="L1619" s="7" t="str">
        <f t="shared" si="5"/>
        <v/>
      </c>
      <c r="M1619" s="7" t="str">
        <f>IFERROR(__xludf.DUMMYFUNCTION("IFERROR(
  IF(
    F1619 &gt;
    3*AVERAGE(
       FILTER($F$2:$F10491,
         $G$2:$G10491=G1619,
         $A$2:$A10491&gt;=A1619-20,
         $A$2:$A10491&lt;=A1619
       )
    ),
    ""VOL_SPIKE_3X"",""""
  ),
"""")
"),"")</f>
        <v/>
      </c>
      <c r="N1619" s="7" t="str">
        <f t="shared" si="6"/>
        <v/>
      </c>
      <c r="O1619" s="7" t="str">
        <f t="shared" si="7"/>
        <v/>
      </c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>
      <c r="A1620" s="5">
        <f>IFERROR(__xludf.DUMMYFUNCTION("""COMPUTED_VALUE"""),45792.0)</f>
        <v>45792</v>
      </c>
      <c r="B1620" s="6">
        <f>IFERROR(__xludf.DUMMYFUNCTION("""COMPUTED_VALUE"""),1425.0)</f>
        <v>1425</v>
      </c>
      <c r="C1620" s="6">
        <f>IFERROR(__xludf.DUMMYFUNCTION("""COMPUTED_VALUE"""),1461.4)</f>
        <v>1461.4</v>
      </c>
      <c r="D1620" s="6">
        <f>IFERROR(__xludf.DUMMYFUNCTION("""COMPUTED_VALUE"""),1412.7)</f>
        <v>1412.7</v>
      </c>
      <c r="E1620" s="6">
        <f>IFERROR(__xludf.DUMMYFUNCTION("""COMPUTED_VALUE"""),1454.2)</f>
        <v>1454.2</v>
      </c>
      <c r="F1620" s="7">
        <f>IFERROR(__xludf.DUMMYFUNCTION("""COMPUTED_VALUE"""),2.0177211E7)</f>
        <v>20177211</v>
      </c>
      <c r="G1620" s="7" t="str">
        <f>IFERROR(__xludf.DUMMYFUNCTION("""COMPUTED_VALUE"""),"RELIANCE.NS")</f>
        <v>RELIANCE.NS</v>
      </c>
      <c r="H1620" s="8">
        <f t="shared" si="1"/>
        <v>0.02049122807</v>
      </c>
      <c r="I1620" s="8">
        <f t="shared" si="2"/>
        <v>0.02049122807</v>
      </c>
      <c r="J1620" s="7" t="str">
        <f t="shared" si="3"/>
        <v>May-2025</v>
      </c>
      <c r="K1620" s="9">
        <f t="shared" si="4"/>
        <v>45778</v>
      </c>
      <c r="L1620" s="7" t="str">
        <f t="shared" si="5"/>
        <v/>
      </c>
      <c r="M1620" s="7" t="str">
        <f>IFERROR(__xludf.DUMMYFUNCTION("IFERROR(
  IF(
    F1620 &gt;
    3*AVERAGE(
       FILTER($F$2:$F10491,
         $G$2:$G10491=G1620,
         $A$2:$A10491&gt;=A1620-20,
         $A$2:$A10491&lt;=A1620
       )
    ),
    ""VOL_SPIKE_3X"",""""
  ),
"""")
"),"")</f>
        <v/>
      </c>
      <c r="N1620" s="7" t="str">
        <f t="shared" si="6"/>
        <v/>
      </c>
      <c r="O1620" s="7" t="str">
        <f t="shared" si="7"/>
        <v/>
      </c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>
      <c r="A1621" s="5">
        <f>IFERROR(__xludf.DUMMYFUNCTION("""COMPUTED_VALUE"""),45793.0)</f>
        <v>45793</v>
      </c>
      <c r="B1621" s="6">
        <f>IFERROR(__xludf.DUMMYFUNCTION("""COMPUTED_VALUE"""),912.1)</f>
        <v>912.1</v>
      </c>
      <c r="C1621" s="6">
        <f>IFERROR(__xludf.DUMMYFUNCTION("""COMPUTED_VALUE"""),934.75)</f>
        <v>934.75</v>
      </c>
      <c r="D1621" s="6">
        <f>IFERROR(__xludf.DUMMYFUNCTION("""COMPUTED_VALUE"""),908.05)</f>
        <v>908.05</v>
      </c>
      <c r="E1621" s="6">
        <f>IFERROR(__xludf.DUMMYFUNCTION("""COMPUTED_VALUE"""),915.05)</f>
        <v>915.05</v>
      </c>
      <c r="F1621" s="7">
        <f>IFERROR(__xludf.DUMMYFUNCTION("""COMPUTED_VALUE"""),2288025.0)</f>
        <v>2288025</v>
      </c>
      <c r="G1621" s="7" t="str">
        <f>IFERROR(__xludf.DUMMYFUNCTION("""COMPUTED_VALUE"""),"ADANIENSOL.NS")</f>
        <v>ADANIENSOL.NS</v>
      </c>
      <c r="H1621" s="8">
        <f t="shared" si="1"/>
        <v>0.003234294485</v>
      </c>
      <c r="I1621" s="8">
        <f t="shared" si="2"/>
        <v>0.003234294485</v>
      </c>
      <c r="J1621" s="7" t="str">
        <f t="shared" si="3"/>
        <v>May-2025</v>
      </c>
      <c r="K1621" s="9">
        <f t="shared" si="4"/>
        <v>45778</v>
      </c>
      <c r="L1621" s="7" t="str">
        <f t="shared" si="5"/>
        <v/>
      </c>
      <c r="M1621" s="7" t="str">
        <f>IFERROR(__xludf.DUMMYFUNCTION("IFERROR(
  IF(
    F1621 &gt;
    3*AVERAGE(
       FILTER($F$2:$F10491,
         $G$2:$G10491=G1621,
         $A$2:$A10491&gt;=A1621-20,
         $A$2:$A10491&lt;=A1621
       )
    ),
    ""VOL_SPIKE_3X"",""""
  ),
"""")
"),"")</f>
        <v/>
      </c>
      <c r="N1621" s="7" t="str">
        <f t="shared" si="6"/>
        <v/>
      </c>
      <c r="O1621" s="7" t="str">
        <f t="shared" si="7"/>
        <v/>
      </c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>
      <c r="A1622" s="5">
        <f>IFERROR(__xludf.DUMMYFUNCTION("""COMPUTED_VALUE"""),45793.0)</f>
        <v>45793</v>
      </c>
      <c r="B1622" s="6">
        <f>IFERROR(__xludf.DUMMYFUNCTION("""COMPUTED_VALUE"""),971.45)</f>
        <v>971.45</v>
      </c>
      <c r="C1622" s="6">
        <f>IFERROR(__xludf.DUMMYFUNCTION("""COMPUTED_VALUE"""),1025.0)</f>
        <v>1025</v>
      </c>
      <c r="D1622" s="6">
        <f>IFERROR(__xludf.DUMMYFUNCTION("""COMPUTED_VALUE"""),965.2)</f>
        <v>965.2</v>
      </c>
      <c r="E1622" s="6">
        <f>IFERROR(__xludf.DUMMYFUNCTION("""COMPUTED_VALUE"""),1020.1)</f>
        <v>1020.1</v>
      </c>
      <c r="F1622" s="7">
        <f>IFERROR(__xludf.DUMMYFUNCTION("""COMPUTED_VALUE"""),7644511.0)</f>
        <v>7644511</v>
      </c>
      <c r="G1622" s="7" t="str">
        <f>IFERROR(__xludf.DUMMYFUNCTION("""COMPUTED_VALUE"""),"ADANIGREEN.NS")</f>
        <v>ADANIGREEN.NS</v>
      </c>
      <c r="H1622" s="8">
        <f t="shared" si="1"/>
        <v>0.05007977765</v>
      </c>
      <c r="I1622" s="8">
        <f t="shared" si="2"/>
        <v>0.05007977765</v>
      </c>
      <c r="J1622" s="7" t="str">
        <f t="shared" si="3"/>
        <v>May-2025</v>
      </c>
      <c r="K1622" s="9">
        <f t="shared" si="4"/>
        <v>45778</v>
      </c>
      <c r="L1622" s="7" t="str">
        <f t="shared" si="5"/>
        <v>PRICE_MOVE_5PCT+</v>
      </c>
      <c r="M1622" s="7" t="str">
        <f>IFERROR(__xludf.DUMMYFUNCTION("IFERROR(
  IF(
    F1622 &gt;
    3*AVERAGE(
       FILTER($F$2:$F10491,
         $G$2:$G10491=G1622,
         $A$2:$A10491&gt;=A1622-20,
         $A$2:$A10491&lt;=A1622
       )
    ),
    ""VOL_SPIKE_3X"",""""
  ),
"""")
"),"")</f>
        <v/>
      </c>
      <c r="N1622" s="7" t="str">
        <f t="shared" si="6"/>
        <v>PRICE_MOVE_5PCT+</v>
      </c>
      <c r="O1622" s="7" t="str">
        <f t="shared" si="7"/>
        <v/>
      </c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>
      <c r="A1623" s="5">
        <f>IFERROR(__xludf.DUMMYFUNCTION("""COMPUTED_VALUE"""),45793.0)</f>
        <v>45793</v>
      </c>
      <c r="B1623" s="6">
        <f>IFERROR(__xludf.DUMMYFUNCTION("""COMPUTED_VALUE"""),316.0)</f>
        <v>316</v>
      </c>
      <c r="C1623" s="6">
        <f>IFERROR(__xludf.DUMMYFUNCTION("""COMPUTED_VALUE"""),321.0)</f>
        <v>321</v>
      </c>
      <c r="D1623" s="6">
        <f>IFERROR(__xludf.DUMMYFUNCTION("""COMPUTED_VALUE"""),315.8)</f>
        <v>315.8</v>
      </c>
      <c r="E1623" s="6">
        <f>IFERROR(__xludf.DUMMYFUNCTION("""COMPUTED_VALUE"""),320.1)</f>
        <v>320.1</v>
      </c>
      <c r="F1623" s="7">
        <f>IFERROR(__xludf.DUMMYFUNCTION("""COMPUTED_VALUE"""),6861786.0)</f>
        <v>6861786</v>
      </c>
      <c r="G1623" s="7" t="str">
        <f>IFERROR(__xludf.DUMMYFUNCTION("""COMPUTED_VALUE"""),"BPCL.NS")</f>
        <v>BPCL.NS</v>
      </c>
      <c r="H1623" s="8">
        <f t="shared" si="1"/>
        <v>0.01297468354</v>
      </c>
      <c r="I1623" s="8">
        <f t="shared" si="2"/>
        <v>0.01297468354</v>
      </c>
      <c r="J1623" s="7" t="str">
        <f t="shared" si="3"/>
        <v>May-2025</v>
      </c>
      <c r="K1623" s="9">
        <f t="shared" si="4"/>
        <v>45778</v>
      </c>
      <c r="L1623" s="7" t="str">
        <f t="shared" si="5"/>
        <v/>
      </c>
      <c r="M1623" s="7" t="str">
        <f>IFERROR(__xludf.DUMMYFUNCTION("IFERROR(
  IF(
    F1623 &gt;
    3*AVERAGE(
       FILTER($F$2:$F10491,
         $G$2:$G10491=G1623,
         $A$2:$A10491&gt;=A1623-20,
         $A$2:$A10491&lt;=A1623
       )
    ),
    ""VOL_SPIKE_3X"",""""
  ),
"""")
"),"")</f>
        <v/>
      </c>
      <c r="N1623" s="7" t="str">
        <f t="shared" si="6"/>
        <v/>
      </c>
      <c r="O1623" s="7" t="str">
        <f t="shared" si="7"/>
        <v/>
      </c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>
      <c r="A1624" s="5">
        <f>IFERROR(__xludf.DUMMYFUNCTION("""COMPUTED_VALUE"""),45793.0)</f>
        <v>45793</v>
      </c>
      <c r="B1624" s="6">
        <f>IFERROR(__xludf.DUMMYFUNCTION("""COMPUTED_VALUE"""),406.0)</f>
        <v>406</v>
      </c>
      <c r="C1624" s="6">
        <f>IFERROR(__xludf.DUMMYFUNCTION("""COMPUTED_VALUE"""),409.0)</f>
        <v>409</v>
      </c>
      <c r="D1624" s="6">
        <f>IFERROR(__xludf.DUMMYFUNCTION("""COMPUTED_VALUE"""),403.6)</f>
        <v>403.6</v>
      </c>
      <c r="E1624" s="6">
        <f>IFERROR(__xludf.DUMMYFUNCTION("""COMPUTED_VALUE"""),404.8)</f>
        <v>404.8</v>
      </c>
      <c r="F1624" s="7">
        <f>IFERROR(__xludf.DUMMYFUNCTION("""COMPUTED_VALUE"""),4702603.0)</f>
        <v>4702603</v>
      </c>
      <c r="G1624" s="7" t="str">
        <f>IFERROR(__xludf.DUMMYFUNCTION("""COMPUTED_VALUE"""),"COALINDIA.NS")</f>
        <v>COALINDIA.NS</v>
      </c>
      <c r="H1624" s="8">
        <f t="shared" si="1"/>
        <v>-0.002955665025</v>
      </c>
      <c r="I1624" s="8">
        <f t="shared" si="2"/>
        <v>0.002955665025</v>
      </c>
      <c r="J1624" s="7" t="str">
        <f t="shared" si="3"/>
        <v>May-2025</v>
      </c>
      <c r="K1624" s="9">
        <f t="shared" si="4"/>
        <v>45778</v>
      </c>
      <c r="L1624" s="7" t="str">
        <f t="shared" si="5"/>
        <v/>
      </c>
      <c r="M1624" s="7" t="str">
        <f>IFERROR(__xludf.DUMMYFUNCTION("IFERROR(
  IF(
    F1624 &gt;
    3*AVERAGE(
       FILTER($F$2:$F10491,
         $G$2:$G10491=G1624,
         $A$2:$A10491&gt;=A1624-20,
         $A$2:$A10491&lt;=A1624
       )
    ),
    ""VOL_SPIKE_3X"",""""
  ),
"""")
"),"")</f>
        <v/>
      </c>
      <c r="N1624" s="7" t="str">
        <f t="shared" si="6"/>
        <v/>
      </c>
      <c r="O1624" s="7" t="str">
        <f t="shared" si="7"/>
        <v/>
      </c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>
      <c r="A1625" s="5">
        <f>IFERROR(__xludf.DUMMYFUNCTION("""COMPUTED_VALUE"""),45793.0)</f>
        <v>45793</v>
      </c>
      <c r="B1625" s="6">
        <f>IFERROR(__xludf.DUMMYFUNCTION("""COMPUTED_VALUE"""),404.45)</f>
        <v>404.45</v>
      </c>
      <c r="C1625" s="6">
        <f>IFERROR(__xludf.DUMMYFUNCTION("""COMPUTED_VALUE"""),411.2)</f>
        <v>411.2</v>
      </c>
      <c r="D1625" s="6">
        <f>IFERROR(__xludf.DUMMYFUNCTION("""COMPUTED_VALUE"""),402.65)</f>
        <v>402.65</v>
      </c>
      <c r="E1625" s="6">
        <f>IFERROR(__xludf.DUMMYFUNCTION("""COMPUTED_VALUE"""),410.05)</f>
        <v>410.05</v>
      </c>
      <c r="F1625" s="7">
        <f>IFERROR(__xludf.DUMMYFUNCTION("""COMPUTED_VALUE"""),5353067.0)</f>
        <v>5353067</v>
      </c>
      <c r="G1625" s="7" t="str">
        <f>IFERROR(__xludf.DUMMYFUNCTION("""COMPUTED_VALUE"""),"HINDPETRO.NS")</f>
        <v>HINDPETRO.NS</v>
      </c>
      <c r="H1625" s="8">
        <f t="shared" si="1"/>
        <v>0.01384596365</v>
      </c>
      <c r="I1625" s="8">
        <f t="shared" si="2"/>
        <v>0.01384596365</v>
      </c>
      <c r="J1625" s="7" t="str">
        <f t="shared" si="3"/>
        <v>May-2025</v>
      </c>
      <c r="K1625" s="9">
        <f t="shared" si="4"/>
        <v>45778</v>
      </c>
      <c r="L1625" s="7" t="str">
        <f t="shared" si="5"/>
        <v/>
      </c>
      <c r="M1625" s="7" t="str">
        <f>IFERROR(__xludf.DUMMYFUNCTION("IFERROR(
  IF(
    F1625 &gt;
    3*AVERAGE(
       FILTER($F$2:$F10491,
         $G$2:$G10491=G1625,
         $A$2:$A10491&gt;=A1625-20,
         $A$2:$A10491&lt;=A1625
       )
    ),
    ""VOL_SPIKE_3X"",""""
  ),
"""")
"),"")</f>
        <v/>
      </c>
      <c r="N1625" s="7" t="str">
        <f t="shared" si="6"/>
        <v/>
      </c>
      <c r="O1625" s="7" t="str">
        <f t="shared" si="7"/>
        <v/>
      </c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>
      <c r="A1626" s="5">
        <f>IFERROR(__xludf.DUMMYFUNCTION("""COMPUTED_VALUE"""),45793.0)</f>
        <v>45793</v>
      </c>
      <c r="B1626" s="6">
        <f>IFERROR(__xludf.DUMMYFUNCTION("""COMPUTED_VALUE"""),145.0)</f>
        <v>145</v>
      </c>
      <c r="C1626" s="6">
        <f>IFERROR(__xludf.DUMMYFUNCTION("""COMPUTED_VALUE"""),146.85)</f>
        <v>146.85</v>
      </c>
      <c r="D1626" s="6">
        <f>IFERROR(__xludf.DUMMYFUNCTION("""COMPUTED_VALUE"""),144.43)</f>
        <v>144.43</v>
      </c>
      <c r="E1626" s="6">
        <f>IFERROR(__xludf.DUMMYFUNCTION("""COMPUTED_VALUE"""),144.72)</f>
        <v>144.72</v>
      </c>
      <c r="F1626" s="7">
        <f>IFERROR(__xludf.DUMMYFUNCTION("""COMPUTED_VALUE"""),1.4529013E7)</f>
        <v>14529013</v>
      </c>
      <c r="G1626" s="7" t="str">
        <f>IFERROR(__xludf.DUMMYFUNCTION("""COMPUTED_VALUE"""),"IOC.NS")</f>
        <v>IOC.NS</v>
      </c>
      <c r="H1626" s="8">
        <f t="shared" si="1"/>
        <v>-0.001931034483</v>
      </c>
      <c r="I1626" s="8">
        <f t="shared" si="2"/>
        <v>0.001931034483</v>
      </c>
      <c r="J1626" s="7" t="str">
        <f t="shared" si="3"/>
        <v>May-2025</v>
      </c>
      <c r="K1626" s="9">
        <f t="shared" si="4"/>
        <v>45778</v>
      </c>
      <c r="L1626" s="7" t="str">
        <f t="shared" si="5"/>
        <v/>
      </c>
      <c r="M1626" s="7" t="str">
        <f>IFERROR(__xludf.DUMMYFUNCTION("IFERROR(
  IF(
    F1626 &gt;
    3*AVERAGE(
       FILTER($F$2:$F10491,
         $G$2:$G10491=G1626,
         $A$2:$A10491&gt;=A1626-20,
         $A$2:$A10491&lt;=A1626
       )
    ),
    ""VOL_SPIKE_3X"",""""
  ),
"""")
"),"")</f>
        <v/>
      </c>
      <c r="N1626" s="7" t="str">
        <f t="shared" si="6"/>
        <v/>
      </c>
      <c r="O1626" s="7" t="str">
        <f t="shared" si="7"/>
        <v/>
      </c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>
      <c r="A1627" s="5">
        <f>IFERROR(__xludf.DUMMYFUNCTION("""COMPUTED_VALUE"""),45793.0)</f>
        <v>45793</v>
      </c>
      <c r="B1627" s="6">
        <f>IFERROR(__xludf.DUMMYFUNCTION("""COMPUTED_VALUE"""),343.0)</f>
        <v>343</v>
      </c>
      <c r="C1627" s="6">
        <f>IFERROR(__xludf.DUMMYFUNCTION("""COMPUTED_VALUE"""),347.6)</f>
        <v>347.6</v>
      </c>
      <c r="D1627" s="6">
        <f>IFERROR(__xludf.DUMMYFUNCTION("""COMPUTED_VALUE"""),342.0)</f>
        <v>342</v>
      </c>
      <c r="E1627" s="6">
        <f>IFERROR(__xludf.DUMMYFUNCTION("""COMPUTED_VALUE"""),343.1)</f>
        <v>343.1</v>
      </c>
      <c r="F1627" s="7">
        <f>IFERROR(__xludf.DUMMYFUNCTION("""COMPUTED_VALUE"""),6920351.0)</f>
        <v>6920351</v>
      </c>
      <c r="G1627" s="7" t="str">
        <f>IFERROR(__xludf.DUMMYFUNCTION("""COMPUTED_VALUE"""),"NTPC.NS")</f>
        <v>NTPC.NS</v>
      </c>
      <c r="H1627" s="8">
        <f t="shared" si="1"/>
        <v>0.0002915451895</v>
      </c>
      <c r="I1627" s="8">
        <f t="shared" si="2"/>
        <v>0.0002915451895</v>
      </c>
      <c r="J1627" s="7" t="str">
        <f t="shared" si="3"/>
        <v>May-2025</v>
      </c>
      <c r="K1627" s="9">
        <f t="shared" si="4"/>
        <v>45778</v>
      </c>
      <c r="L1627" s="7" t="str">
        <f t="shared" si="5"/>
        <v/>
      </c>
      <c r="M1627" s="7" t="str">
        <f>IFERROR(__xludf.DUMMYFUNCTION("IFERROR(
  IF(
    F1627 &gt;
    3*AVERAGE(
       FILTER($F$2:$F10491,
         $G$2:$G10491=G1627,
         $A$2:$A10491&gt;=A1627-20,
         $A$2:$A10491&lt;=A1627
       )
    ),
    ""VOL_SPIKE_3X"",""""
  ),
"""")
"),"")</f>
        <v/>
      </c>
      <c r="N1627" s="7" t="str">
        <f t="shared" si="6"/>
        <v/>
      </c>
      <c r="O1627" s="7" t="str">
        <f t="shared" si="7"/>
        <v/>
      </c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>
      <c r="A1628" s="5">
        <f>IFERROR(__xludf.DUMMYFUNCTION("""COMPUTED_VALUE"""),45793.0)</f>
        <v>45793</v>
      </c>
      <c r="B1628" s="6">
        <f>IFERROR(__xludf.DUMMYFUNCTION("""COMPUTED_VALUE"""),247.06)</f>
        <v>247.06</v>
      </c>
      <c r="C1628" s="6">
        <f>IFERROR(__xludf.DUMMYFUNCTION("""COMPUTED_VALUE"""),249.39)</f>
        <v>249.39</v>
      </c>
      <c r="D1628" s="6">
        <f>IFERROR(__xludf.DUMMYFUNCTION("""COMPUTED_VALUE"""),246.2)</f>
        <v>246.2</v>
      </c>
      <c r="E1628" s="6">
        <f>IFERROR(__xludf.DUMMYFUNCTION("""COMPUTED_VALUE"""),247.27)</f>
        <v>247.27</v>
      </c>
      <c r="F1628" s="7">
        <f>IFERROR(__xludf.DUMMYFUNCTION("""COMPUTED_VALUE"""),8030229.0)</f>
        <v>8030229</v>
      </c>
      <c r="G1628" s="7" t="str">
        <f>IFERROR(__xludf.DUMMYFUNCTION("""COMPUTED_VALUE"""),"ONGC.NS")</f>
        <v>ONGC.NS</v>
      </c>
      <c r="H1628" s="8">
        <f t="shared" si="1"/>
        <v>0.0008499959524</v>
      </c>
      <c r="I1628" s="8">
        <f t="shared" si="2"/>
        <v>0.0008499959524</v>
      </c>
      <c r="J1628" s="7" t="str">
        <f t="shared" si="3"/>
        <v>May-2025</v>
      </c>
      <c r="K1628" s="9">
        <f t="shared" si="4"/>
        <v>45778</v>
      </c>
      <c r="L1628" s="7" t="str">
        <f t="shared" si="5"/>
        <v/>
      </c>
      <c r="M1628" s="7" t="str">
        <f>IFERROR(__xludf.DUMMYFUNCTION("IFERROR(
  IF(
    F1628 &gt;
    3*AVERAGE(
       FILTER($F$2:$F10491,
         $G$2:$G10491=G1628,
         $A$2:$A10491&gt;=A1628-20,
         $A$2:$A10491&lt;=A1628
       )
    ),
    ""VOL_SPIKE_3X"",""""
  ),
"""")
"),"")</f>
        <v/>
      </c>
      <c r="N1628" s="7" t="str">
        <f t="shared" si="6"/>
        <v/>
      </c>
      <c r="O1628" s="7" t="str">
        <f t="shared" si="7"/>
        <v/>
      </c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>
      <c r="A1629" s="5">
        <f>IFERROR(__xludf.DUMMYFUNCTION("""COMPUTED_VALUE"""),45793.0)</f>
        <v>45793</v>
      </c>
      <c r="B1629" s="6">
        <f>IFERROR(__xludf.DUMMYFUNCTION("""COMPUTED_VALUE"""),300.0)</f>
        <v>300</v>
      </c>
      <c r="C1629" s="6">
        <f>IFERROR(__xludf.DUMMYFUNCTION("""COMPUTED_VALUE"""),302.2)</f>
        <v>302.2</v>
      </c>
      <c r="D1629" s="6">
        <f>IFERROR(__xludf.DUMMYFUNCTION("""COMPUTED_VALUE"""),295.5)</f>
        <v>295.5</v>
      </c>
      <c r="E1629" s="6">
        <f>IFERROR(__xludf.DUMMYFUNCTION("""COMPUTED_VALUE"""),300.2)</f>
        <v>300.2</v>
      </c>
      <c r="F1629" s="7">
        <f>IFERROR(__xludf.DUMMYFUNCTION("""COMPUTED_VALUE"""),1.6763668E7)</f>
        <v>16763668</v>
      </c>
      <c r="G1629" s="7" t="str">
        <f>IFERROR(__xludf.DUMMYFUNCTION("""COMPUTED_VALUE"""),"POWERGRID.NS")</f>
        <v>POWERGRID.NS</v>
      </c>
      <c r="H1629" s="8">
        <f t="shared" si="1"/>
        <v>0.0006666666667</v>
      </c>
      <c r="I1629" s="8">
        <f t="shared" si="2"/>
        <v>0.0006666666667</v>
      </c>
      <c r="J1629" s="7" t="str">
        <f t="shared" si="3"/>
        <v>May-2025</v>
      </c>
      <c r="K1629" s="9">
        <f t="shared" si="4"/>
        <v>45778</v>
      </c>
      <c r="L1629" s="7" t="str">
        <f t="shared" si="5"/>
        <v/>
      </c>
      <c r="M1629" s="7" t="str">
        <f>IFERROR(__xludf.DUMMYFUNCTION("IFERROR(
  IF(
    F1629 &gt;
    3*AVERAGE(
       FILTER($F$2:$F10491,
         $G$2:$G10491=G1629,
         $A$2:$A10491&gt;=A1629-20,
         $A$2:$A10491&lt;=A1629
       )
    ),
    ""VOL_SPIKE_3X"",""""
  ),
"""")
"),"")</f>
        <v/>
      </c>
      <c r="N1629" s="7" t="str">
        <f t="shared" si="6"/>
        <v/>
      </c>
      <c r="O1629" s="7" t="str">
        <f t="shared" si="7"/>
        <v/>
      </c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>
      <c r="A1630" s="5">
        <f>IFERROR(__xludf.DUMMYFUNCTION("""COMPUTED_VALUE"""),45793.0)</f>
        <v>45793</v>
      </c>
      <c r="B1630" s="6">
        <f>IFERROR(__xludf.DUMMYFUNCTION("""COMPUTED_VALUE"""),1453.2)</f>
        <v>1453.2</v>
      </c>
      <c r="C1630" s="6">
        <f>IFERROR(__xludf.DUMMYFUNCTION("""COMPUTED_VALUE"""),1461.0)</f>
        <v>1461</v>
      </c>
      <c r="D1630" s="6">
        <f>IFERROR(__xludf.DUMMYFUNCTION("""COMPUTED_VALUE"""),1447.3)</f>
        <v>1447.3</v>
      </c>
      <c r="E1630" s="6">
        <f>IFERROR(__xludf.DUMMYFUNCTION("""COMPUTED_VALUE"""),1456.4)</f>
        <v>1456.4</v>
      </c>
      <c r="F1630" s="7">
        <f>IFERROR(__xludf.DUMMYFUNCTION("""COMPUTED_VALUE"""),9036695.0)</f>
        <v>9036695</v>
      </c>
      <c r="G1630" s="7" t="str">
        <f>IFERROR(__xludf.DUMMYFUNCTION("""COMPUTED_VALUE"""),"RELIANCE.NS")</f>
        <v>RELIANCE.NS</v>
      </c>
      <c r="H1630" s="8">
        <f t="shared" si="1"/>
        <v>0.002202036884</v>
      </c>
      <c r="I1630" s="8">
        <f t="shared" si="2"/>
        <v>0.002202036884</v>
      </c>
      <c r="J1630" s="7" t="str">
        <f t="shared" si="3"/>
        <v>May-2025</v>
      </c>
      <c r="K1630" s="9">
        <f t="shared" si="4"/>
        <v>45778</v>
      </c>
      <c r="L1630" s="7" t="str">
        <f t="shared" si="5"/>
        <v/>
      </c>
      <c r="M1630" s="7" t="str">
        <f>IFERROR(__xludf.DUMMYFUNCTION("IFERROR(
  IF(
    F1630 &gt;
    3*AVERAGE(
       FILTER($F$2:$F10491,
         $G$2:$G10491=G1630,
         $A$2:$A10491&gt;=A1630-20,
         $A$2:$A10491&lt;=A1630
       )
    ),
    ""VOL_SPIKE_3X"",""""
  ),
"""")
"),"")</f>
        <v/>
      </c>
      <c r="N1630" s="7" t="str">
        <f t="shared" si="6"/>
        <v/>
      </c>
      <c r="O1630" s="7" t="str">
        <f t="shared" si="7"/>
        <v/>
      </c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>
      <c r="A1631" s="5">
        <f>IFERROR(__xludf.DUMMYFUNCTION("""COMPUTED_VALUE"""),45796.0)</f>
        <v>45796</v>
      </c>
      <c r="B1631" s="6">
        <f>IFERROR(__xludf.DUMMYFUNCTION("""COMPUTED_VALUE"""),920.0)</f>
        <v>920</v>
      </c>
      <c r="C1631" s="6">
        <f>IFERROR(__xludf.DUMMYFUNCTION("""COMPUTED_VALUE"""),920.8)</f>
        <v>920.8</v>
      </c>
      <c r="D1631" s="6">
        <f>IFERROR(__xludf.DUMMYFUNCTION("""COMPUTED_VALUE"""),886.0)</f>
        <v>886</v>
      </c>
      <c r="E1631" s="6">
        <f>IFERROR(__xludf.DUMMYFUNCTION("""COMPUTED_VALUE"""),888.9)</f>
        <v>888.9</v>
      </c>
      <c r="F1631" s="7">
        <f>IFERROR(__xludf.DUMMYFUNCTION("""COMPUTED_VALUE"""),2120510.0)</f>
        <v>2120510</v>
      </c>
      <c r="G1631" s="7" t="str">
        <f>IFERROR(__xludf.DUMMYFUNCTION("""COMPUTED_VALUE"""),"ADANIENSOL.NS")</f>
        <v>ADANIENSOL.NS</v>
      </c>
      <c r="H1631" s="8">
        <f t="shared" si="1"/>
        <v>-0.03380434783</v>
      </c>
      <c r="I1631" s="8">
        <f t="shared" si="2"/>
        <v>0.03380434783</v>
      </c>
      <c r="J1631" s="7" t="str">
        <f t="shared" si="3"/>
        <v>May-2025</v>
      </c>
      <c r="K1631" s="9">
        <f t="shared" si="4"/>
        <v>45778</v>
      </c>
      <c r="L1631" s="7" t="str">
        <f t="shared" si="5"/>
        <v/>
      </c>
      <c r="M1631" s="7" t="str">
        <f>IFERROR(__xludf.DUMMYFUNCTION("IFERROR(
  IF(
    F1631 &gt;
    3*AVERAGE(
       FILTER($F$2:$F10491,
         $G$2:$G10491=G1631,
         $A$2:$A10491&gt;=A1631-20,
         $A$2:$A10491&lt;=A1631
       )
    ),
    ""VOL_SPIKE_3X"",""""
  ),
"""")
"),"")</f>
        <v/>
      </c>
      <c r="N1631" s="7" t="str">
        <f t="shared" si="6"/>
        <v/>
      </c>
      <c r="O1631" s="7" t="str">
        <f t="shared" si="7"/>
        <v/>
      </c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>
      <c r="A1632" s="5">
        <f>IFERROR(__xludf.DUMMYFUNCTION("""COMPUTED_VALUE"""),45796.0)</f>
        <v>45796</v>
      </c>
      <c r="B1632" s="6">
        <f>IFERROR(__xludf.DUMMYFUNCTION("""COMPUTED_VALUE"""),1031.95)</f>
        <v>1031.95</v>
      </c>
      <c r="C1632" s="6">
        <f>IFERROR(__xludf.DUMMYFUNCTION("""COMPUTED_VALUE"""),1038.35)</f>
        <v>1038.35</v>
      </c>
      <c r="D1632" s="6">
        <f>IFERROR(__xludf.DUMMYFUNCTION("""COMPUTED_VALUE"""),1010.05)</f>
        <v>1010.05</v>
      </c>
      <c r="E1632" s="6">
        <f>IFERROR(__xludf.DUMMYFUNCTION("""COMPUTED_VALUE"""),1014.0)</f>
        <v>1014</v>
      </c>
      <c r="F1632" s="7">
        <f>IFERROR(__xludf.DUMMYFUNCTION("""COMPUTED_VALUE"""),3176879.0)</f>
        <v>3176879</v>
      </c>
      <c r="G1632" s="7" t="str">
        <f>IFERROR(__xludf.DUMMYFUNCTION("""COMPUTED_VALUE"""),"ADANIGREEN.NS")</f>
        <v>ADANIGREEN.NS</v>
      </c>
      <c r="H1632" s="8">
        <f t="shared" si="1"/>
        <v>-0.0173942536</v>
      </c>
      <c r="I1632" s="8">
        <f t="shared" si="2"/>
        <v>0.0173942536</v>
      </c>
      <c r="J1632" s="7" t="str">
        <f t="shared" si="3"/>
        <v>May-2025</v>
      </c>
      <c r="K1632" s="9">
        <f t="shared" si="4"/>
        <v>45778</v>
      </c>
      <c r="L1632" s="7" t="str">
        <f t="shared" si="5"/>
        <v/>
      </c>
      <c r="M1632" s="7" t="str">
        <f>IFERROR(__xludf.DUMMYFUNCTION("IFERROR(
  IF(
    F1632 &gt;
    3*AVERAGE(
       FILTER($F$2:$F10491,
         $G$2:$G10491=G1632,
         $A$2:$A10491&gt;=A1632-20,
         $A$2:$A10491&lt;=A1632
       )
    ),
    ""VOL_SPIKE_3X"",""""
  ),
"""")
"),"")</f>
        <v/>
      </c>
      <c r="N1632" s="7" t="str">
        <f t="shared" si="6"/>
        <v/>
      </c>
      <c r="O1632" s="7" t="str">
        <f t="shared" si="7"/>
        <v/>
      </c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>
      <c r="A1633" s="5">
        <f>IFERROR(__xludf.DUMMYFUNCTION("""COMPUTED_VALUE"""),45796.0)</f>
        <v>45796</v>
      </c>
      <c r="B1633" s="6">
        <f>IFERROR(__xludf.DUMMYFUNCTION("""COMPUTED_VALUE"""),318.55)</f>
        <v>318.55</v>
      </c>
      <c r="C1633" s="6">
        <f>IFERROR(__xludf.DUMMYFUNCTION("""COMPUTED_VALUE"""),319.55)</f>
        <v>319.55</v>
      </c>
      <c r="D1633" s="6">
        <f>IFERROR(__xludf.DUMMYFUNCTION("""COMPUTED_VALUE"""),316.15)</f>
        <v>316.15</v>
      </c>
      <c r="E1633" s="6">
        <f>IFERROR(__xludf.DUMMYFUNCTION("""COMPUTED_VALUE"""),317.2)</f>
        <v>317.2</v>
      </c>
      <c r="F1633" s="7">
        <f>IFERROR(__xludf.DUMMYFUNCTION("""COMPUTED_VALUE"""),2956007.0)</f>
        <v>2956007</v>
      </c>
      <c r="G1633" s="7" t="str">
        <f>IFERROR(__xludf.DUMMYFUNCTION("""COMPUTED_VALUE"""),"BPCL.NS")</f>
        <v>BPCL.NS</v>
      </c>
      <c r="H1633" s="8">
        <f t="shared" si="1"/>
        <v>-0.004237953226</v>
      </c>
      <c r="I1633" s="8">
        <f t="shared" si="2"/>
        <v>0.004237953226</v>
      </c>
      <c r="J1633" s="7" t="str">
        <f t="shared" si="3"/>
        <v>May-2025</v>
      </c>
      <c r="K1633" s="9">
        <f t="shared" si="4"/>
        <v>45778</v>
      </c>
      <c r="L1633" s="7" t="str">
        <f t="shared" si="5"/>
        <v/>
      </c>
      <c r="M1633" s="7" t="str">
        <f>IFERROR(__xludf.DUMMYFUNCTION("IFERROR(
  IF(
    F1633 &gt;
    3*AVERAGE(
       FILTER($F$2:$F10491,
         $G$2:$G10491=G1633,
         $A$2:$A10491&gt;=A1633-20,
         $A$2:$A10491&lt;=A1633
       )
    ),
    ""VOL_SPIKE_3X"",""""
  ),
"""")
"),"")</f>
        <v/>
      </c>
      <c r="N1633" s="7" t="str">
        <f t="shared" si="6"/>
        <v/>
      </c>
      <c r="O1633" s="7" t="str">
        <f t="shared" si="7"/>
        <v/>
      </c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>
      <c r="A1634" s="5">
        <f>IFERROR(__xludf.DUMMYFUNCTION("""COMPUTED_VALUE"""),45796.0)</f>
        <v>45796</v>
      </c>
      <c r="B1634" s="6">
        <f>IFERROR(__xludf.DUMMYFUNCTION("""COMPUTED_VALUE"""),405.95)</f>
        <v>405.95</v>
      </c>
      <c r="C1634" s="6">
        <f>IFERROR(__xludf.DUMMYFUNCTION("""COMPUTED_VALUE"""),407.45)</f>
        <v>407.45</v>
      </c>
      <c r="D1634" s="6">
        <f>IFERROR(__xludf.DUMMYFUNCTION("""COMPUTED_VALUE"""),401.05)</f>
        <v>401.05</v>
      </c>
      <c r="E1634" s="6">
        <f>IFERROR(__xludf.DUMMYFUNCTION("""COMPUTED_VALUE"""),402.7)</f>
        <v>402.7</v>
      </c>
      <c r="F1634" s="7">
        <f>IFERROR(__xludf.DUMMYFUNCTION("""COMPUTED_VALUE"""),5446656.0)</f>
        <v>5446656</v>
      </c>
      <c r="G1634" s="7" t="str">
        <f>IFERROR(__xludf.DUMMYFUNCTION("""COMPUTED_VALUE"""),"COALINDIA.NS")</f>
        <v>COALINDIA.NS</v>
      </c>
      <c r="H1634" s="8">
        <f t="shared" si="1"/>
        <v>-0.008005912058</v>
      </c>
      <c r="I1634" s="8">
        <f t="shared" si="2"/>
        <v>0.008005912058</v>
      </c>
      <c r="J1634" s="7" t="str">
        <f t="shared" si="3"/>
        <v>May-2025</v>
      </c>
      <c r="K1634" s="9">
        <f t="shared" si="4"/>
        <v>45778</v>
      </c>
      <c r="L1634" s="7" t="str">
        <f t="shared" si="5"/>
        <v/>
      </c>
      <c r="M1634" s="7" t="str">
        <f>IFERROR(__xludf.DUMMYFUNCTION("IFERROR(
  IF(
    F1634 &gt;
    3*AVERAGE(
       FILTER($F$2:$F10491,
         $G$2:$G10491=G1634,
         $A$2:$A10491&gt;=A1634-20,
         $A$2:$A10491&lt;=A1634
       )
    ),
    ""VOL_SPIKE_3X"",""""
  ),
"""")
"),"")</f>
        <v/>
      </c>
      <c r="N1634" s="7" t="str">
        <f t="shared" si="6"/>
        <v/>
      </c>
      <c r="O1634" s="7" t="str">
        <f t="shared" si="7"/>
        <v/>
      </c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>
      <c r="A1635" s="5">
        <f>IFERROR(__xludf.DUMMYFUNCTION("""COMPUTED_VALUE"""),45796.0)</f>
        <v>45796</v>
      </c>
      <c r="B1635" s="6">
        <f>IFERROR(__xludf.DUMMYFUNCTION("""COMPUTED_VALUE"""),410.1)</f>
        <v>410.1</v>
      </c>
      <c r="C1635" s="6">
        <f>IFERROR(__xludf.DUMMYFUNCTION("""COMPUTED_VALUE"""),411.5)</f>
        <v>411.5</v>
      </c>
      <c r="D1635" s="6">
        <f>IFERROR(__xludf.DUMMYFUNCTION("""COMPUTED_VALUE"""),404.1)</f>
        <v>404.1</v>
      </c>
      <c r="E1635" s="6">
        <f>IFERROR(__xludf.DUMMYFUNCTION("""COMPUTED_VALUE"""),404.9)</f>
        <v>404.9</v>
      </c>
      <c r="F1635" s="7">
        <f>IFERROR(__xludf.DUMMYFUNCTION("""COMPUTED_VALUE"""),2489091.0)</f>
        <v>2489091</v>
      </c>
      <c r="G1635" s="7" t="str">
        <f>IFERROR(__xludf.DUMMYFUNCTION("""COMPUTED_VALUE"""),"HINDPETRO.NS")</f>
        <v>HINDPETRO.NS</v>
      </c>
      <c r="H1635" s="8">
        <f t="shared" si="1"/>
        <v>-0.01267983419</v>
      </c>
      <c r="I1635" s="8">
        <f t="shared" si="2"/>
        <v>0.01267983419</v>
      </c>
      <c r="J1635" s="7" t="str">
        <f t="shared" si="3"/>
        <v>May-2025</v>
      </c>
      <c r="K1635" s="9">
        <f t="shared" si="4"/>
        <v>45778</v>
      </c>
      <c r="L1635" s="7" t="str">
        <f t="shared" si="5"/>
        <v/>
      </c>
      <c r="M1635" s="7" t="str">
        <f>IFERROR(__xludf.DUMMYFUNCTION("IFERROR(
  IF(
    F1635 &gt;
    3*AVERAGE(
       FILTER($F$2:$F10491,
         $G$2:$G10491=G1635,
         $A$2:$A10491&gt;=A1635-20,
         $A$2:$A10491&lt;=A1635
       )
    ),
    ""VOL_SPIKE_3X"",""""
  ),
"""")
"),"")</f>
        <v/>
      </c>
      <c r="N1635" s="7" t="str">
        <f t="shared" si="6"/>
        <v/>
      </c>
      <c r="O1635" s="7" t="str">
        <f t="shared" si="7"/>
        <v/>
      </c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>
      <c r="A1636" s="5">
        <f>IFERROR(__xludf.DUMMYFUNCTION("""COMPUTED_VALUE"""),45796.0)</f>
        <v>45796</v>
      </c>
      <c r="B1636" s="6">
        <f>IFERROR(__xludf.DUMMYFUNCTION("""COMPUTED_VALUE"""),145.0)</f>
        <v>145</v>
      </c>
      <c r="C1636" s="6">
        <f>IFERROR(__xludf.DUMMYFUNCTION("""COMPUTED_VALUE"""),145.82)</f>
        <v>145.82</v>
      </c>
      <c r="D1636" s="6">
        <f>IFERROR(__xludf.DUMMYFUNCTION("""COMPUTED_VALUE"""),144.1)</f>
        <v>144.1</v>
      </c>
      <c r="E1636" s="6">
        <f>IFERROR(__xludf.DUMMYFUNCTION("""COMPUTED_VALUE"""),144.69)</f>
        <v>144.69</v>
      </c>
      <c r="F1636" s="7">
        <f>IFERROR(__xludf.DUMMYFUNCTION("""COMPUTED_VALUE"""),6802870.0)</f>
        <v>6802870</v>
      </c>
      <c r="G1636" s="7" t="str">
        <f>IFERROR(__xludf.DUMMYFUNCTION("""COMPUTED_VALUE"""),"IOC.NS")</f>
        <v>IOC.NS</v>
      </c>
      <c r="H1636" s="8">
        <f t="shared" si="1"/>
        <v>-0.002137931034</v>
      </c>
      <c r="I1636" s="8">
        <f t="shared" si="2"/>
        <v>0.002137931034</v>
      </c>
      <c r="J1636" s="7" t="str">
        <f t="shared" si="3"/>
        <v>May-2025</v>
      </c>
      <c r="K1636" s="9">
        <f t="shared" si="4"/>
        <v>45778</v>
      </c>
      <c r="L1636" s="7" t="str">
        <f t="shared" si="5"/>
        <v/>
      </c>
      <c r="M1636" s="7" t="str">
        <f>IFERROR(__xludf.DUMMYFUNCTION("IFERROR(
  IF(
    F1636 &gt;
    3*AVERAGE(
       FILTER($F$2:$F10491,
         $G$2:$G10491=G1636,
         $A$2:$A10491&gt;=A1636-20,
         $A$2:$A10491&lt;=A1636
       )
    ),
    ""VOL_SPIKE_3X"",""""
  ),
"""")
"),"")</f>
        <v/>
      </c>
      <c r="N1636" s="7" t="str">
        <f t="shared" si="6"/>
        <v/>
      </c>
      <c r="O1636" s="7" t="str">
        <f t="shared" si="7"/>
        <v/>
      </c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>
      <c r="A1637" s="5">
        <f>IFERROR(__xludf.DUMMYFUNCTION("""COMPUTED_VALUE"""),45796.0)</f>
        <v>45796</v>
      </c>
      <c r="B1637" s="6">
        <f>IFERROR(__xludf.DUMMYFUNCTION("""COMPUTED_VALUE"""),343.1)</f>
        <v>343.1</v>
      </c>
      <c r="C1637" s="6">
        <f>IFERROR(__xludf.DUMMYFUNCTION("""COMPUTED_VALUE"""),347.7)</f>
        <v>347.7</v>
      </c>
      <c r="D1637" s="6">
        <f>IFERROR(__xludf.DUMMYFUNCTION("""COMPUTED_VALUE"""),342.4)</f>
        <v>342.4</v>
      </c>
      <c r="E1637" s="6">
        <f>IFERROR(__xludf.DUMMYFUNCTION("""COMPUTED_VALUE"""),345.15)</f>
        <v>345.15</v>
      </c>
      <c r="F1637" s="7">
        <f>IFERROR(__xludf.DUMMYFUNCTION("""COMPUTED_VALUE"""),6218209.0)</f>
        <v>6218209</v>
      </c>
      <c r="G1637" s="7" t="str">
        <f>IFERROR(__xludf.DUMMYFUNCTION("""COMPUTED_VALUE"""),"NTPC.NS")</f>
        <v>NTPC.NS</v>
      </c>
      <c r="H1637" s="8">
        <f t="shared" si="1"/>
        <v>0.005974934421</v>
      </c>
      <c r="I1637" s="8">
        <f t="shared" si="2"/>
        <v>0.005974934421</v>
      </c>
      <c r="J1637" s="7" t="str">
        <f t="shared" si="3"/>
        <v>May-2025</v>
      </c>
      <c r="K1637" s="9">
        <f t="shared" si="4"/>
        <v>45778</v>
      </c>
      <c r="L1637" s="7" t="str">
        <f t="shared" si="5"/>
        <v/>
      </c>
      <c r="M1637" s="7" t="str">
        <f>IFERROR(__xludf.DUMMYFUNCTION("IFERROR(
  IF(
    F1637 &gt;
    3*AVERAGE(
       FILTER($F$2:$F10491,
         $G$2:$G10491=G1637,
         $A$2:$A10491&gt;=A1637-20,
         $A$2:$A10491&lt;=A1637
       )
    ),
    ""VOL_SPIKE_3X"",""""
  ),
"""")
"),"")</f>
        <v/>
      </c>
      <c r="N1637" s="7" t="str">
        <f t="shared" si="6"/>
        <v/>
      </c>
      <c r="O1637" s="7" t="str">
        <f t="shared" si="7"/>
        <v/>
      </c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>
      <c r="A1638" s="5">
        <f>IFERROR(__xludf.DUMMYFUNCTION("""COMPUTED_VALUE"""),45796.0)</f>
        <v>45796</v>
      </c>
      <c r="B1638" s="6">
        <f>IFERROR(__xludf.DUMMYFUNCTION("""COMPUTED_VALUE"""),248.0)</f>
        <v>248</v>
      </c>
      <c r="C1638" s="6">
        <f>IFERROR(__xludf.DUMMYFUNCTION("""COMPUTED_VALUE"""),249.45)</f>
        <v>249.45</v>
      </c>
      <c r="D1638" s="6">
        <f>IFERROR(__xludf.DUMMYFUNCTION("""COMPUTED_VALUE"""),244.91)</f>
        <v>244.91</v>
      </c>
      <c r="E1638" s="6">
        <f>IFERROR(__xludf.DUMMYFUNCTION("""COMPUTED_VALUE"""),246.58)</f>
        <v>246.58</v>
      </c>
      <c r="F1638" s="7">
        <f>IFERROR(__xludf.DUMMYFUNCTION("""COMPUTED_VALUE"""),8043270.0)</f>
        <v>8043270</v>
      </c>
      <c r="G1638" s="7" t="str">
        <f>IFERROR(__xludf.DUMMYFUNCTION("""COMPUTED_VALUE"""),"ONGC.NS")</f>
        <v>ONGC.NS</v>
      </c>
      <c r="H1638" s="8">
        <f t="shared" si="1"/>
        <v>-0.005725806452</v>
      </c>
      <c r="I1638" s="8">
        <f t="shared" si="2"/>
        <v>0.005725806452</v>
      </c>
      <c r="J1638" s="7" t="str">
        <f t="shared" si="3"/>
        <v>May-2025</v>
      </c>
      <c r="K1638" s="9">
        <f t="shared" si="4"/>
        <v>45778</v>
      </c>
      <c r="L1638" s="7" t="str">
        <f t="shared" si="5"/>
        <v/>
      </c>
      <c r="M1638" s="7" t="str">
        <f>IFERROR(__xludf.DUMMYFUNCTION("IFERROR(
  IF(
    F1638 &gt;
    3*AVERAGE(
       FILTER($F$2:$F10491,
         $G$2:$G10491=G1638,
         $A$2:$A10491&gt;=A1638-20,
         $A$2:$A10491&lt;=A1638
       )
    ),
    ""VOL_SPIKE_3X"",""""
  ),
"""")
"),"")</f>
        <v/>
      </c>
      <c r="N1638" s="7" t="str">
        <f t="shared" si="6"/>
        <v/>
      </c>
      <c r="O1638" s="7" t="str">
        <f t="shared" si="7"/>
        <v/>
      </c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>
      <c r="A1639" s="5">
        <f>IFERROR(__xludf.DUMMYFUNCTION("""COMPUTED_VALUE"""),45796.0)</f>
        <v>45796</v>
      </c>
      <c r="B1639" s="6">
        <f>IFERROR(__xludf.DUMMYFUNCTION("""COMPUTED_VALUE"""),302.0)</f>
        <v>302</v>
      </c>
      <c r="C1639" s="6">
        <f>IFERROR(__xludf.DUMMYFUNCTION("""COMPUTED_VALUE"""),304.5)</f>
        <v>304.5</v>
      </c>
      <c r="D1639" s="6">
        <f>IFERROR(__xludf.DUMMYFUNCTION("""COMPUTED_VALUE"""),299.0)</f>
        <v>299</v>
      </c>
      <c r="E1639" s="6">
        <f>IFERROR(__xludf.DUMMYFUNCTION("""COMPUTED_VALUE"""),304.05)</f>
        <v>304.05</v>
      </c>
      <c r="F1639" s="7">
        <f>IFERROR(__xludf.DUMMYFUNCTION("""COMPUTED_VALUE"""),1.2575289E7)</f>
        <v>12575289</v>
      </c>
      <c r="G1639" s="7" t="str">
        <f>IFERROR(__xludf.DUMMYFUNCTION("""COMPUTED_VALUE"""),"POWERGRID.NS")</f>
        <v>POWERGRID.NS</v>
      </c>
      <c r="H1639" s="8">
        <f t="shared" si="1"/>
        <v>0.00678807947</v>
      </c>
      <c r="I1639" s="8">
        <f t="shared" si="2"/>
        <v>0.00678807947</v>
      </c>
      <c r="J1639" s="7" t="str">
        <f t="shared" si="3"/>
        <v>May-2025</v>
      </c>
      <c r="K1639" s="9">
        <f t="shared" si="4"/>
        <v>45778</v>
      </c>
      <c r="L1639" s="7" t="str">
        <f t="shared" si="5"/>
        <v/>
      </c>
      <c r="M1639" s="7" t="str">
        <f>IFERROR(__xludf.DUMMYFUNCTION("IFERROR(
  IF(
    F1639 &gt;
    3*AVERAGE(
       FILTER($F$2:$F10491,
         $G$2:$G10491=G1639,
         $A$2:$A10491&gt;=A1639-20,
         $A$2:$A10491&lt;=A1639
       )
    ),
    ""VOL_SPIKE_3X"",""""
  ),
"""")
"),"")</f>
        <v/>
      </c>
      <c r="N1639" s="7" t="str">
        <f t="shared" si="6"/>
        <v/>
      </c>
      <c r="O1639" s="7" t="str">
        <f t="shared" si="7"/>
        <v/>
      </c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>
      <c r="A1640" s="5">
        <f>IFERROR(__xludf.DUMMYFUNCTION("""COMPUTED_VALUE"""),45796.0)</f>
        <v>45796</v>
      </c>
      <c r="B1640" s="6">
        <f>IFERROR(__xludf.DUMMYFUNCTION("""COMPUTED_VALUE"""),1452.1)</f>
        <v>1452.1</v>
      </c>
      <c r="C1640" s="6">
        <f>IFERROR(__xludf.DUMMYFUNCTION("""COMPUTED_VALUE"""),1454.6)</f>
        <v>1454.6</v>
      </c>
      <c r="D1640" s="6">
        <f>IFERROR(__xludf.DUMMYFUNCTION("""COMPUTED_VALUE"""),1438.2)</f>
        <v>1438.2</v>
      </c>
      <c r="E1640" s="6">
        <f>IFERROR(__xludf.DUMMYFUNCTION("""COMPUTED_VALUE"""),1440.8)</f>
        <v>1440.8</v>
      </c>
      <c r="F1640" s="7">
        <f>IFERROR(__xludf.DUMMYFUNCTION("""COMPUTED_VALUE"""),6195791.0)</f>
        <v>6195791</v>
      </c>
      <c r="G1640" s="7" t="str">
        <f>IFERROR(__xludf.DUMMYFUNCTION("""COMPUTED_VALUE"""),"RELIANCE.NS")</f>
        <v>RELIANCE.NS</v>
      </c>
      <c r="H1640" s="8">
        <f t="shared" si="1"/>
        <v>-0.007781833207</v>
      </c>
      <c r="I1640" s="8">
        <f t="shared" si="2"/>
        <v>0.007781833207</v>
      </c>
      <c r="J1640" s="7" t="str">
        <f t="shared" si="3"/>
        <v>May-2025</v>
      </c>
      <c r="K1640" s="9">
        <f t="shared" si="4"/>
        <v>45778</v>
      </c>
      <c r="L1640" s="7" t="str">
        <f t="shared" si="5"/>
        <v/>
      </c>
      <c r="M1640" s="7" t="str">
        <f>IFERROR(__xludf.DUMMYFUNCTION("IFERROR(
  IF(
    F1640 &gt;
    3*AVERAGE(
       FILTER($F$2:$F10491,
         $G$2:$G10491=G1640,
         $A$2:$A10491&gt;=A1640-20,
         $A$2:$A10491&lt;=A1640
       )
    ),
    ""VOL_SPIKE_3X"",""""
  ),
"""")
"),"")</f>
        <v/>
      </c>
      <c r="N1640" s="7" t="str">
        <f t="shared" si="6"/>
        <v/>
      </c>
      <c r="O1640" s="7" t="str">
        <f t="shared" si="7"/>
        <v/>
      </c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>
      <c r="A1641" s="5">
        <f>IFERROR(__xludf.DUMMYFUNCTION("""COMPUTED_VALUE"""),45797.0)</f>
        <v>45797</v>
      </c>
      <c r="B1641" s="6">
        <f>IFERROR(__xludf.DUMMYFUNCTION("""COMPUTED_VALUE"""),894.45)</f>
        <v>894.45</v>
      </c>
      <c r="C1641" s="6">
        <f>IFERROR(__xludf.DUMMYFUNCTION("""COMPUTED_VALUE"""),897.55)</f>
        <v>897.55</v>
      </c>
      <c r="D1641" s="6">
        <f>IFERROR(__xludf.DUMMYFUNCTION("""COMPUTED_VALUE"""),866.55)</f>
        <v>866.55</v>
      </c>
      <c r="E1641" s="6">
        <f>IFERROR(__xludf.DUMMYFUNCTION("""COMPUTED_VALUE"""),869.75)</f>
        <v>869.75</v>
      </c>
      <c r="F1641" s="7">
        <f>IFERROR(__xludf.DUMMYFUNCTION("""COMPUTED_VALUE"""),1301836.0)</f>
        <v>1301836</v>
      </c>
      <c r="G1641" s="7" t="str">
        <f>IFERROR(__xludf.DUMMYFUNCTION("""COMPUTED_VALUE"""),"ADANIENSOL.NS")</f>
        <v>ADANIENSOL.NS</v>
      </c>
      <c r="H1641" s="8">
        <f t="shared" si="1"/>
        <v>-0.02761473531</v>
      </c>
      <c r="I1641" s="8">
        <f t="shared" si="2"/>
        <v>0.02761473531</v>
      </c>
      <c r="J1641" s="7" t="str">
        <f t="shared" si="3"/>
        <v>May-2025</v>
      </c>
      <c r="K1641" s="9">
        <f t="shared" si="4"/>
        <v>45778</v>
      </c>
      <c r="L1641" s="7" t="str">
        <f t="shared" si="5"/>
        <v/>
      </c>
      <c r="M1641" s="7" t="str">
        <f>IFERROR(__xludf.DUMMYFUNCTION("IFERROR(
  IF(
    F1641 &gt;
    3*AVERAGE(
       FILTER($F$2:$F10491,
         $G$2:$G10491=G1641,
         $A$2:$A10491&gt;=A1641-20,
         $A$2:$A10491&lt;=A1641
       )
    ),
    ""VOL_SPIKE_3X"",""""
  ),
"""")
"),"")</f>
        <v/>
      </c>
      <c r="N1641" s="7" t="str">
        <f t="shared" si="6"/>
        <v/>
      </c>
      <c r="O1641" s="7" t="str">
        <f t="shared" si="7"/>
        <v/>
      </c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>
      <c r="A1642" s="5">
        <f>IFERROR(__xludf.DUMMYFUNCTION("""COMPUTED_VALUE"""),45797.0)</f>
        <v>45797</v>
      </c>
      <c r="B1642" s="6">
        <f>IFERROR(__xludf.DUMMYFUNCTION("""COMPUTED_VALUE"""),1016.0)</f>
        <v>1016</v>
      </c>
      <c r="C1642" s="6">
        <f>IFERROR(__xludf.DUMMYFUNCTION("""COMPUTED_VALUE"""),1020.95)</f>
        <v>1020.95</v>
      </c>
      <c r="D1642" s="6">
        <f>IFERROR(__xludf.DUMMYFUNCTION("""COMPUTED_VALUE"""),981.8)</f>
        <v>981.8</v>
      </c>
      <c r="E1642" s="6">
        <f>IFERROR(__xludf.DUMMYFUNCTION("""COMPUTED_VALUE"""),983.95)</f>
        <v>983.95</v>
      </c>
      <c r="F1642" s="7">
        <f>IFERROR(__xludf.DUMMYFUNCTION("""COMPUTED_VALUE"""),2713486.0)</f>
        <v>2713486</v>
      </c>
      <c r="G1642" s="7" t="str">
        <f>IFERROR(__xludf.DUMMYFUNCTION("""COMPUTED_VALUE"""),"ADANIGREEN.NS")</f>
        <v>ADANIGREEN.NS</v>
      </c>
      <c r="H1642" s="8">
        <f t="shared" si="1"/>
        <v>-0.03154527559</v>
      </c>
      <c r="I1642" s="8">
        <f t="shared" si="2"/>
        <v>0.03154527559</v>
      </c>
      <c r="J1642" s="7" t="str">
        <f t="shared" si="3"/>
        <v>May-2025</v>
      </c>
      <c r="K1642" s="9">
        <f t="shared" si="4"/>
        <v>45778</v>
      </c>
      <c r="L1642" s="7" t="str">
        <f t="shared" si="5"/>
        <v/>
      </c>
      <c r="M1642" s="7" t="str">
        <f>IFERROR(__xludf.DUMMYFUNCTION("IFERROR(
  IF(
    F1642 &gt;
    3*AVERAGE(
       FILTER($F$2:$F10491,
         $G$2:$G10491=G1642,
         $A$2:$A10491&gt;=A1642-20,
         $A$2:$A10491&lt;=A1642
       )
    ),
    ""VOL_SPIKE_3X"",""""
  ),
"""")
"),"")</f>
        <v/>
      </c>
      <c r="N1642" s="7" t="str">
        <f t="shared" si="6"/>
        <v/>
      </c>
      <c r="O1642" s="7" t="str">
        <f t="shared" si="7"/>
        <v/>
      </c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>
      <c r="A1643" s="5">
        <f>IFERROR(__xludf.DUMMYFUNCTION("""COMPUTED_VALUE"""),45797.0)</f>
        <v>45797</v>
      </c>
      <c r="B1643" s="6">
        <f>IFERROR(__xludf.DUMMYFUNCTION("""COMPUTED_VALUE"""),317.0)</f>
        <v>317</v>
      </c>
      <c r="C1643" s="6">
        <f>IFERROR(__xludf.DUMMYFUNCTION("""COMPUTED_VALUE"""),319.65)</f>
        <v>319.65</v>
      </c>
      <c r="D1643" s="6">
        <f>IFERROR(__xludf.DUMMYFUNCTION("""COMPUTED_VALUE"""),311.75)</f>
        <v>311.75</v>
      </c>
      <c r="E1643" s="6">
        <f>IFERROR(__xludf.DUMMYFUNCTION("""COMPUTED_VALUE"""),312.9)</f>
        <v>312.9</v>
      </c>
      <c r="F1643" s="7">
        <f>IFERROR(__xludf.DUMMYFUNCTION("""COMPUTED_VALUE"""),5016433.0)</f>
        <v>5016433</v>
      </c>
      <c r="G1643" s="7" t="str">
        <f>IFERROR(__xludf.DUMMYFUNCTION("""COMPUTED_VALUE"""),"BPCL.NS")</f>
        <v>BPCL.NS</v>
      </c>
      <c r="H1643" s="8">
        <f t="shared" si="1"/>
        <v>-0.01293375394</v>
      </c>
      <c r="I1643" s="8">
        <f t="shared" si="2"/>
        <v>0.01293375394</v>
      </c>
      <c r="J1643" s="7" t="str">
        <f t="shared" si="3"/>
        <v>May-2025</v>
      </c>
      <c r="K1643" s="9">
        <f t="shared" si="4"/>
        <v>45778</v>
      </c>
      <c r="L1643" s="7" t="str">
        <f t="shared" si="5"/>
        <v/>
      </c>
      <c r="M1643" s="7" t="str">
        <f>IFERROR(__xludf.DUMMYFUNCTION("IFERROR(
  IF(
    F1643 &gt;
    3*AVERAGE(
       FILTER($F$2:$F10491,
         $G$2:$G10491=G1643,
         $A$2:$A10491&gt;=A1643-20,
         $A$2:$A10491&lt;=A1643
       )
    ),
    ""VOL_SPIKE_3X"",""""
  ),
"""")
"),"")</f>
        <v/>
      </c>
      <c r="N1643" s="7" t="str">
        <f t="shared" si="6"/>
        <v/>
      </c>
      <c r="O1643" s="7" t="str">
        <f t="shared" si="7"/>
        <v/>
      </c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>
      <c r="A1644" s="5">
        <f>IFERROR(__xludf.DUMMYFUNCTION("""COMPUTED_VALUE"""),45797.0)</f>
        <v>45797</v>
      </c>
      <c r="B1644" s="6">
        <f>IFERROR(__xludf.DUMMYFUNCTION("""COMPUTED_VALUE"""),405.5)</f>
        <v>405.5</v>
      </c>
      <c r="C1644" s="6">
        <f>IFERROR(__xludf.DUMMYFUNCTION("""COMPUTED_VALUE"""),417.25)</f>
        <v>417.25</v>
      </c>
      <c r="D1644" s="6">
        <f>IFERROR(__xludf.DUMMYFUNCTION("""COMPUTED_VALUE"""),404.0)</f>
        <v>404</v>
      </c>
      <c r="E1644" s="6">
        <f>IFERROR(__xludf.DUMMYFUNCTION("""COMPUTED_VALUE"""),408.1)</f>
        <v>408.1</v>
      </c>
      <c r="F1644" s="7">
        <f>IFERROR(__xludf.DUMMYFUNCTION("""COMPUTED_VALUE"""),1.8755291E7)</f>
        <v>18755291</v>
      </c>
      <c r="G1644" s="7" t="str">
        <f>IFERROR(__xludf.DUMMYFUNCTION("""COMPUTED_VALUE"""),"COALINDIA.NS")</f>
        <v>COALINDIA.NS</v>
      </c>
      <c r="H1644" s="8">
        <f t="shared" si="1"/>
        <v>0.006411837238</v>
      </c>
      <c r="I1644" s="8">
        <f t="shared" si="2"/>
        <v>0.006411837238</v>
      </c>
      <c r="J1644" s="7" t="str">
        <f t="shared" si="3"/>
        <v>May-2025</v>
      </c>
      <c r="K1644" s="9">
        <f t="shared" si="4"/>
        <v>45778</v>
      </c>
      <c r="L1644" s="7" t="str">
        <f t="shared" si="5"/>
        <v/>
      </c>
      <c r="M1644" s="7" t="str">
        <f>IFERROR(__xludf.DUMMYFUNCTION("IFERROR(
  IF(
    F1644 &gt;
    3*AVERAGE(
       FILTER($F$2:$F10491,
         $G$2:$G10491=G1644,
         $A$2:$A10491&gt;=A1644-20,
         $A$2:$A10491&lt;=A1644
       )
    ),
    ""VOL_SPIKE_3X"",""""
  ),
"""")
"),"")</f>
        <v/>
      </c>
      <c r="N1644" s="7" t="str">
        <f t="shared" si="6"/>
        <v/>
      </c>
      <c r="O1644" s="7" t="str">
        <f t="shared" si="7"/>
        <v/>
      </c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>
      <c r="A1645" s="5">
        <f>IFERROR(__xludf.DUMMYFUNCTION("""COMPUTED_VALUE"""),45797.0)</f>
        <v>45797</v>
      </c>
      <c r="B1645" s="6">
        <f>IFERROR(__xludf.DUMMYFUNCTION("""COMPUTED_VALUE"""),406.0)</f>
        <v>406</v>
      </c>
      <c r="C1645" s="6">
        <f>IFERROR(__xludf.DUMMYFUNCTION("""COMPUTED_VALUE"""),410.5)</f>
        <v>410.5</v>
      </c>
      <c r="D1645" s="6">
        <f>IFERROR(__xludf.DUMMYFUNCTION("""COMPUTED_VALUE"""),392.2)</f>
        <v>392.2</v>
      </c>
      <c r="E1645" s="6">
        <f>IFERROR(__xludf.DUMMYFUNCTION("""COMPUTED_VALUE"""),397.4)</f>
        <v>397.4</v>
      </c>
      <c r="F1645" s="7">
        <f>IFERROR(__xludf.DUMMYFUNCTION("""COMPUTED_VALUE"""),3231580.0)</f>
        <v>3231580</v>
      </c>
      <c r="G1645" s="7" t="str">
        <f>IFERROR(__xludf.DUMMYFUNCTION("""COMPUTED_VALUE"""),"HINDPETRO.NS")</f>
        <v>HINDPETRO.NS</v>
      </c>
      <c r="H1645" s="8">
        <f t="shared" si="1"/>
        <v>-0.02118226601</v>
      </c>
      <c r="I1645" s="8">
        <f t="shared" si="2"/>
        <v>0.02118226601</v>
      </c>
      <c r="J1645" s="7" t="str">
        <f t="shared" si="3"/>
        <v>May-2025</v>
      </c>
      <c r="K1645" s="9">
        <f t="shared" si="4"/>
        <v>45778</v>
      </c>
      <c r="L1645" s="7" t="str">
        <f t="shared" si="5"/>
        <v/>
      </c>
      <c r="M1645" s="7" t="str">
        <f>IFERROR(__xludf.DUMMYFUNCTION("IFERROR(
  IF(
    F1645 &gt;
    3*AVERAGE(
       FILTER($F$2:$F10491,
         $G$2:$G10491=G1645,
         $A$2:$A10491&gt;=A1645-20,
         $A$2:$A10491&lt;=A1645
       )
    ),
    ""VOL_SPIKE_3X"",""""
  ),
"""")
"),"")</f>
        <v/>
      </c>
      <c r="N1645" s="7" t="str">
        <f t="shared" si="6"/>
        <v/>
      </c>
      <c r="O1645" s="7" t="str">
        <f t="shared" si="7"/>
        <v/>
      </c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>
      <c r="A1646" s="5">
        <f>IFERROR(__xludf.DUMMYFUNCTION("""COMPUTED_VALUE"""),45797.0)</f>
        <v>45797</v>
      </c>
      <c r="B1646" s="6">
        <f>IFERROR(__xludf.DUMMYFUNCTION("""COMPUTED_VALUE"""),145.0)</f>
        <v>145</v>
      </c>
      <c r="C1646" s="6">
        <f>IFERROR(__xludf.DUMMYFUNCTION("""COMPUTED_VALUE"""),145.81)</f>
        <v>145.81</v>
      </c>
      <c r="D1646" s="6">
        <f>IFERROR(__xludf.DUMMYFUNCTION("""COMPUTED_VALUE"""),141.39)</f>
        <v>141.39</v>
      </c>
      <c r="E1646" s="6">
        <f>IFERROR(__xludf.DUMMYFUNCTION("""COMPUTED_VALUE"""),141.92)</f>
        <v>141.92</v>
      </c>
      <c r="F1646" s="7">
        <f>IFERROR(__xludf.DUMMYFUNCTION("""COMPUTED_VALUE"""),1.1330045E7)</f>
        <v>11330045</v>
      </c>
      <c r="G1646" s="7" t="str">
        <f>IFERROR(__xludf.DUMMYFUNCTION("""COMPUTED_VALUE"""),"IOC.NS")</f>
        <v>IOC.NS</v>
      </c>
      <c r="H1646" s="8">
        <f t="shared" si="1"/>
        <v>-0.02124137931</v>
      </c>
      <c r="I1646" s="8">
        <f t="shared" si="2"/>
        <v>0.02124137931</v>
      </c>
      <c r="J1646" s="7" t="str">
        <f t="shared" si="3"/>
        <v>May-2025</v>
      </c>
      <c r="K1646" s="9">
        <f t="shared" si="4"/>
        <v>45778</v>
      </c>
      <c r="L1646" s="7" t="str">
        <f t="shared" si="5"/>
        <v/>
      </c>
      <c r="M1646" s="7" t="str">
        <f>IFERROR(__xludf.DUMMYFUNCTION("IFERROR(
  IF(
    F1646 &gt;
    3*AVERAGE(
       FILTER($F$2:$F10491,
         $G$2:$G10491=G1646,
         $A$2:$A10491&gt;=A1646-20,
         $A$2:$A10491&lt;=A1646
       )
    ),
    ""VOL_SPIKE_3X"",""""
  ),
"""")
"),"")</f>
        <v/>
      </c>
      <c r="N1646" s="7" t="str">
        <f t="shared" si="6"/>
        <v/>
      </c>
      <c r="O1646" s="7" t="str">
        <f t="shared" si="7"/>
        <v/>
      </c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>
      <c r="A1647" s="5">
        <f>IFERROR(__xludf.DUMMYFUNCTION("""COMPUTED_VALUE"""),45797.0)</f>
        <v>45797</v>
      </c>
      <c r="B1647" s="6">
        <f>IFERROR(__xludf.DUMMYFUNCTION("""COMPUTED_VALUE"""),346.9)</f>
        <v>346.9</v>
      </c>
      <c r="C1647" s="6">
        <f>IFERROR(__xludf.DUMMYFUNCTION("""COMPUTED_VALUE"""),349.7)</f>
        <v>349.7</v>
      </c>
      <c r="D1647" s="6">
        <f>IFERROR(__xludf.DUMMYFUNCTION("""COMPUTED_VALUE"""),341.55)</f>
        <v>341.55</v>
      </c>
      <c r="E1647" s="6">
        <f>IFERROR(__xludf.DUMMYFUNCTION("""COMPUTED_VALUE"""),342.6)</f>
        <v>342.6</v>
      </c>
      <c r="F1647" s="7">
        <f>IFERROR(__xludf.DUMMYFUNCTION("""COMPUTED_VALUE"""),9986143.0)</f>
        <v>9986143</v>
      </c>
      <c r="G1647" s="7" t="str">
        <f>IFERROR(__xludf.DUMMYFUNCTION("""COMPUTED_VALUE"""),"NTPC.NS")</f>
        <v>NTPC.NS</v>
      </c>
      <c r="H1647" s="8">
        <f t="shared" si="1"/>
        <v>-0.01239550303</v>
      </c>
      <c r="I1647" s="8">
        <f t="shared" si="2"/>
        <v>0.01239550303</v>
      </c>
      <c r="J1647" s="7" t="str">
        <f t="shared" si="3"/>
        <v>May-2025</v>
      </c>
      <c r="K1647" s="9">
        <f t="shared" si="4"/>
        <v>45778</v>
      </c>
      <c r="L1647" s="7" t="str">
        <f t="shared" si="5"/>
        <v/>
      </c>
      <c r="M1647" s="7" t="str">
        <f>IFERROR(__xludf.DUMMYFUNCTION("IFERROR(
  IF(
    F1647 &gt;
    3*AVERAGE(
       FILTER($F$2:$F10491,
         $G$2:$G10491=G1647,
         $A$2:$A10491&gt;=A1647-20,
         $A$2:$A10491&lt;=A1647
       )
    ),
    ""VOL_SPIKE_3X"",""""
  ),
"""")
"),"")</f>
        <v/>
      </c>
      <c r="N1647" s="7" t="str">
        <f t="shared" si="6"/>
        <v/>
      </c>
      <c r="O1647" s="7" t="str">
        <f t="shared" si="7"/>
        <v/>
      </c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>
      <c r="A1648" s="5">
        <f>IFERROR(__xludf.DUMMYFUNCTION("""COMPUTED_VALUE"""),45797.0)</f>
        <v>45797</v>
      </c>
      <c r="B1648" s="6">
        <f>IFERROR(__xludf.DUMMYFUNCTION("""COMPUTED_VALUE"""),246.79)</f>
        <v>246.79</v>
      </c>
      <c r="C1648" s="6">
        <f>IFERROR(__xludf.DUMMYFUNCTION("""COMPUTED_VALUE"""),252.7)</f>
        <v>252.7</v>
      </c>
      <c r="D1648" s="6">
        <f>IFERROR(__xludf.DUMMYFUNCTION("""COMPUTED_VALUE"""),246.79)</f>
        <v>246.79</v>
      </c>
      <c r="E1648" s="6">
        <f>IFERROR(__xludf.DUMMYFUNCTION("""COMPUTED_VALUE"""),249.26)</f>
        <v>249.26</v>
      </c>
      <c r="F1648" s="7">
        <f>IFERROR(__xludf.DUMMYFUNCTION("""COMPUTED_VALUE"""),1.3183059E7)</f>
        <v>13183059</v>
      </c>
      <c r="G1648" s="7" t="str">
        <f>IFERROR(__xludf.DUMMYFUNCTION("""COMPUTED_VALUE"""),"ONGC.NS")</f>
        <v>ONGC.NS</v>
      </c>
      <c r="H1648" s="8">
        <f t="shared" si="1"/>
        <v>0.01000850926</v>
      </c>
      <c r="I1648" s="8">
        <f t="shared" si="2"/>
        <v>0.01000850926</v>
      </c>
      <c r="J1648" s="7" t="str">
        <f t="shared" si="3"/>
        <v>May-2025</v>
      </c>
      <c r="K1648" s="9">
        <f t="shared" si="4"/>
        <v>45778</v>
      </c>
      <c r="L1648" s="7" t="str">
        <f t="shared" si="5"/>
        <v/>
      </c>
      <c r="M1648" s="7" t="str">
        <f>IFERROR(__xludf.DUMMYFUNCTION("IFERROR(
  IF(
    F1648 &gt;
    3*AVERAGE(
       FILTER($F$2:$F10491,
         $G$2:$G10491=G1648,
         $A$2:$A10491&gt;=A1648-20,
         $A$2:$A10491&lt;=A1648
       )
    ),
    ""VOL_SPIKE_3X"",""""
  ),
"""")
"),"")</f>
        <v/>
      </c>
      <c r="N1648" s="7" t="str">
        <f t="shared" si="6"/>
        <v/>
      </c>
      <c r="O1648" s="7" t="str">
        <f t="shared" si="7"/>
        <v/>
      </c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>
      <c r="A1649" s="5">
        <f>IFERROR(__xludf.DUMMYFUNCTION("""COMPUTED_VALUE"""),45797.0)</f>
        <v>45797</v>
      </c>
      <c r="B1649" s="6">
        <f>IFERROR(__xludf.DUMMYFUNCTION("""COMPUTED_VALUE"""),304.4)</f>
        <v>304.4</v>
      </c>
      <c r="C1649" s="6">
        <f>IFERROR(__xludf.DUMMYFUNCTION("""COMPUTED_VALUE"""),305.3)</f>
        <v>305.3</v>
      </c>
      <c r="D1649" s="6">
        <f>IFERROR(__xludf.DUMMYFUNCTION("""COMPUTED_VALUE"""),297.1)</f>
        <v>297.1</v>
      </c>
      <c r="E1649" s="6">
        <f>IFERROR(__xludf.DUMMYFUNCTION("""COMPUTED_VALUE"""),297.9)</f>
        <v>297.9</v>
      </c>
      <c r="F1649" s="7">
        <f>IFERROR(__xludf.DUMMYFUNCTION("""COMPUTED_VALUE"""),2.1339095E7)</f>
        <v>21339095</v>
      </c>
      <c r="G1649" s="7" t="str">
        <f>IFERROR(__xludf.DUMMYFUNCTION("""COMPUTED_VALUE"""),"POWERGRID.NS")</f>
        <v>POWERGRID.NS</v>
      </c>
      <c r="H1649" s="8">
        <f t="shared" si="1"/>
        <v>-0.02135348226</v>
      </c>
      <c r="I1649" s="8">
        <f t="shared" si="2"/>
        <v>0.02135348226</v>
      </c>
      <c r="J1649" s="7" t="str">
        <f t="shared" si="3"/>
        <v>May-2025</v>
      </c>
      <c r="K1649" s="9">
        <f t="shared" si="4"/>
        <v>45778</v>
      </c>
      <c r="L1649" s="7" t="str">
        <f t="shared" si="5"/>
        <v/>
      </c>
      <c r="M1649" s="7" t="str">
        <f>IFERROR(__xludf.DUMMYFUNCTION("IFERROR(
  IF(
    F1649 &gt;
    3*AVERAGE(
       FILTER($F$2:$F10491,
         $G$2:$G10491=G1649,
         $A$2:$A10491&gt;=A1649-20,
         $A$2:$A10491&lt;=A1649
       )
    ),
    ""VOL_SPIKE_3X"",""""
  ),
"""")
"),"")</f>
        <v/>
      </c>
      <c r="N1649" s="7" t="str">
        <f t="shared" si="6"/>
        <v/>
      </c>
      <c r="O1649" s="7" t="str">
        <f t="shared" si="7"/>
        <v/>
      </c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>
      <c r="A1650" s="5">
        <f>IFERROR(__xludf.DUMMYFUNCTION("""COMPUTED_VALUE"""),45797.0)</f>
        <v>45797</v>
      </c>
      <c r="B1650" s="6">
        <f>IFERROR(__xludf.DUMMYFUNCTION("""COMPUTED_VALUE"""),1438.2)</f>
        <v>1438.2</v>
      </c>
      <c r="C1650" s="6">
        <f>IFERROR(__xludf.DUMMYFUNCTION("""COMPUTED_VALUE"""),1445.0)</f>
        <v>1445</v>
      </c>
      <c r="D1650" s="6">
        <f>IFERROR(__xludf.DUMMYFUNCTION("""COMPUTED_VALUE"""),1421.8)</f>
        <v>1421.8</v>
      </c>
      <c r="E1650" s="6">
        <f>IFERROR(__xludf.DUMMYFUNCTION("""COMPUTED_VALUE"""),1424.6)</f>
        <v>1424.6</v>
      </c>
      <c r="F1650" s="7">
        <f>IFERROR(__xludf.DUMMYFUNCTION("""COMPUTED_VALUE"""),1.127056E7)</f>
        <v>11270560</v>
      </c>
      <c r="G1650" s="7" t="str">
        <f>IFERROR(__xludf.DUMMYFUNCTION("""COMPUTED_VALUE"""),"RELIANCE.NS")</f>
        <v>RELIANCE.NS</v>
      </c>
      <c r="H1650" s="8">
        <f t="shared" si="1"/>
        <v>-0.009456264775</v>
      </c>
      <c r="I1650" s="8">
        <f t="shared" si="2"/>
        <v>0.009456264775</v>
      </c>
      <c r="J1650" s="7" t="str">
        <f t="shared" si="3"/>
        <v>May-2025</v>
      </c>
      <c r="K1650" s="9">
        <f t="shared" si="4"/>
        <v>45778</v>
      </c>
      <c r="L1650" s="7" t="str">
        <f t="shared" si="5"/>
        <v/>
      </c>
      <c r="M1650" s="7" t="str">
        <f>IFERROR(__xludf.DUMMYFUNCTION("IFERROR(
  IF(
    F1650 &gt;
    3*AVERAGE(
       FILTER($F$2:$F10491,
         $G$2:$G10491=G1650,
         $A$2:$A10491&gt;=A1650-20,
         $A$2:$A10491&lt;=A1650
       )
    ),
    ""VOL_SPIKE_3X"",""""
  ),
"""")
"),"")</f>
        <v/>
      </c>
      <c r="N1650" s="7" t="str">
        <f t="shared" si="6"/>
        <v/>
      </c>
      <c r="O1650" s="7" t="str">
        <f t="shared" si="7"/>
        <v/>
      </c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>
      <c r="A1651" s="5">
        <f>IFERROR(__xludf.DUMMYFUNCTION("""COMPUTED_VALUE"""),45798.0)</f>
        <v>45798</v>
      </c>
      <c r="B1651" s="6">
        <f>IFERROR(__xludf.DUMMYFUNCTION("""COMPUTED_VALUE"""),869.9)</f>
        <v>869.9</v>
      </c>
      <c r="C1651" s="6">
        <f>IFERROR(__xludf.DUMMYFUNCTION("""COMPUTED_VALUE"""),881.0)</f>
        <v>881</v>
      </c>
      <c r="D1651" s="6">
        <f>IFERROR(__xludf.DUMMYFUNCTION("""COMPUTED_VALUE"""),860.5)</f>
        <v>860.5</v>
      </c>
      <c r="E1651" s="6">
        <f>IFERROR(__xludf.DUMMYFUNCTION("""COMPUTED_VALUE"""),872.15)</f>
        <v>872.15</v>
      </c>
      <c r="F1651" s="7">
        <f>IFERROR(__xludf.DUMMYFUNCTION("""COMPUTED_VALUE"""),1239047.0)</f>
        <v>1239047</v>
      </c>
      <c r="G1651" s="7" t="str">
        <f>IFERROR(__xludf.DUMMYFUNCTION("""COMPUTED_VALUE"""),"ADANIENSOL.NS")</f>
        <v>ADANIENSOL.NS</v>
      </c>
      <c r="H1651" s="8">
        <f t="shared" si="1"/>
        <v>0.002586504196</v>
      </c>
      <c r="I1651" s="8">
        <f t="shared" si="2"/>
        <v>0.002586504196</v>
      </c>
      <c r="J1651" s="7" t="str">
        <f t="shared" si="3"/>
        <v>May-2025</v>
      </c>
      <c r="K1651" s="9">
        <f t="shared" si="4"/>
        <v>45778</v>
      </c>
      <c r="L1651" s="7" t="str">
        <f t="shared" si="5"/>
        <v/>
      </c>
      <c r="M1651" s="7" t="str">
        <f>IFERROR(__xludf.DUMMYFUNCTION("IFERROR(
  IF(
    F1651 &gt;
    3*AVERAGE(
       FILTER($F$2:$F10491,
         $G$2:$G10491=G1651,
         $A$2:$A10491&gt;=A1651-20,
         $A$2:$A10491&lt;=A1651
       )
    ),
    ""VOL_SPIKE_3X"",""""
  ),
"""")
"),"")</f>
        <v/>
      </c>
      <c r="N1651" s="7" t="str">
        <f t="shared" si="6"/>
        <v/>
      </c>
      <c r="O1651" s="7" t="str">
        <f t="shared" si="7"/>
        <v/>
      </c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>
      <c r="A1652" s="5">
        <f>IFERROR(__xludf.DUMMYFUNCTION("""COMPUTED_VALUE"""),45798.0)</f>
        <v>45798</v>
      </c>
      <c r="B1652" s="6">
        <f>IFERROR(__xludf.DUMMYFUNCTION("""COMPUTED_VALUE"""),985.0)</f>
        <v>985</v>
      </c>
      <c r="C1652" s="6">
        <f>IFERROR(__xludf.DUMMYFUNCTION("""COMPUTED_VALUE"""),1003.0)</f>
        <v>1003</v>
      </c>
      <c r="D1652" s="6">
        <f>IFERROR(__xludf.DUMMYFUNCTION("""COMPUTED_VALUE"""),977.2)</f>
        <v>977.2</v>
      </c>
      <c r="E1652" s="6">
        <f>IFERROR(__xludf.DUMMYFUNCTION("""COMPUTED_VALUE"""),996.5)</f>
        <v>996.5</v>
      </c>
      <c r="F1652" s="7">
        <f>IFERROR(__xludf.DUMMYFUNCTION("""COMPUTED_VALUE"""),2228757.0)</f>
        <v>2228757</v>
      </c>
      <c r="G1652" s="7" t="str">
        <f>IFERROR(__xludf.DUMMYFUNCTION("""COMPUTED_VALUE"""),"ADANIGREEN.NS")</f>
        <v>ADANIGREEN.NS</v>
      </c>
      <c r="H1652" s="8">
        <f t="shared" si="1"/>
        <v>0.0116751269</v>
      </c>
      <c r="I1652" s="8">
        <f t="shared" si="2"/>
        <v>0.0116751269</v>
      </c>
      <c r="J1652" s="7" t="str">
        <f t="shared" si="3"/>
        <v>May-2025</v>
      </c>
      <c r="K1652" s="9">
        <f t="shared" si="4"/>
        <v>45778</v>
      </c>
      <c r="L1652" s="7" t="str">
        <f t="shared" si="5"/>
        <v/>
      </c>
      <c r="M1652" s="7" t="str">
        <f>IFERROR(__xludf.DUMMYFUNCTION("IFERROR(
  IF(
    F1652 &gt;
    3*AVERAGE(
       FILTER($F$2:$F10491,
         $G$2:$G10491=G1652,
         $A$2:$A10491&gt;=A1652-20,
         $A$2:$A10491&lt;=A1652
       )
    ),
    ""VOL_SPIKE_3X"",""""
  ),
"""")
"),"")</f>
        <v/>
      </c>
      <c r="N1652" s="7" t="str">
        <f t="shared" si="6"/>
        <v/>
      </c>
      <c r="O1652" s="7" t="str">
        <f t="shared" si="7"/>
        <v/>
      </c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>
      <c r="A1653" s="5">
        <f>IFERROR(__xludf.DUMMYFUNCTION("""COMPUTED_VALUE"""),45798.0)</f>
        <v>45798</v>
      </c>
      <c r="B1653" s="6">
        <f>IFERROR(__xludf.DUMMYFUNCTION("""COMPUTED_VALUE"""),312.3)</f>
        <v>312.3</v>
      </c>
      <c r="C1653" s="6">
        <f>IFERROR(__xludf.DUMMYFUNCTION("""COMPUTED_VALUE"""),316.75)</f>
        <v>316.75</v>
      </c>
      <c r="D1653" s="6">
        <f>IFERROR(__xludf.DUMMYFUNCTION("""COMPUTED_VALUE"""),309.35)</f>
        <v>309.35</v>
      </c>
      <c r="E1653" s="6">
        <f>IFERROR(__xludf.DUMMYFUNCTION("""COMPUTED_VALUE"""),315.85)</f>
        <v>315.85</v>
      </c>
      <c r="F1653" s="7">
        <f>IFERROR(__xludf.DUMMYFUNCTION("""COMPUTED_VALUE"""),5232094.0)</f>
        <v>5232094</v>
      </c>
      <c r="G1653" s="7" t="str">
        <f>IFERROR(__xludf.DUMMYFUNCTION("""COMPUTED_VALUE"""),"BPCL.NS")</f>
        <v>BPCL.NS</v>
      </c>
      <c r="H1653" s="8">
        <f t="shared" si="1"/>
        <v>0.01136727506</v>
      </c>
      <c r="I1653" s="8">
        <f t="shared" si="2"/>
        <v>0.01136727506</v>
      </c>
      <c r="J1653" s="7" t="str">
        <f t="shared" si="3"/>
        <v>May-2025</v>
      </c>
      <c r="K1653" s="9">
        <f t="shared" si="4"/>
        <v>45778</v>
      </c>
      <c r="L1653" s="7" t="str">
        <f t="shared" si="5"/>
        <v/>
      </c>
      <c r="M1653" s="7" t="str">
        <f>IFERROR(__xludf.DUMMYFUNCTION("IFERROR(
  IF(
    F1653 &gt;
    3*AVERAGE(
       FILTER($F$2:$F10491,
         $G$2:$G10491=G1653,
         $A$2:$A10491&gt;=A1653-20,
         $A$2:$A10491&lt;=A1653
       )
    ),
    ""VOL_SPIKE_3X"",""""
  ),
"""")
"),"")</f>
        <v/>
      </c>
      <c r="N1653" s="7" t="str">
        <f t="shared" si="6"/>
        <v/>
      </c>
      <c r="O1653" s="7" t="str">
        <f t="shared" si="7"/>
        <v/>
      </c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>
      <c r="A1654" s="5">
        <f>IFERROR(__xludf.DUMMYFUNCTION("""COMPUTED_VALUE"""),45798.0)</f>
        <v>45798</v>
      </c>
      <c r="B1654" s="6">
        <f>IFERROR(__xludf.DUMMYFUNCTION("""COMPUTED_VALUE"""),411.65)</f>
        <v>411.65</v>
      </c>
      <c r="C1654" s="6">
        <f>IFERROR(__xludf.DUMMYFUNCTION("""COMPUTED_VALUE"""),413.55)</f>
        <v>413.55</v>
      </c>
      <c r="D1654" s="6">
        <f>IFERROR(__xludf.DUMMYFUNCTION("""COMPUTED_VALUE"""),404.25)</f>
        <v>404.25</v>
      </c>
      <c r="E1654" s="6">
        <f>IFERROR(__xludf.DUMMYFUNCTION("""COMPUTED_VALUE"""),405.35)</f>
        <v>405.35</v>
      </c>
      <c r="F1654" s="7">
        <f>IFERROR(__xludf.DUMMYFUNCTION("""COMPUTED_VALUE"""),7393102.0)</f>
        <v>7393102</v>
      </c>
      <c r="G1654" s="7" t="str">
        <f>IFERROR(__xludf.DUMMYFUNCTION("""COMPUTED_VALUE"""),"COALINDIA.NS")</f>
        <v>COALINDIA.NS</v>
      </c>
      <c r="H1654" s="8">
        <f t="shared" si="1"/>
        <v>-0.01530426333</v>
      </c>
      <c r="I1654" s="8">
        <f t="shared" si="2"/>
        <v>0.01530426333</v>
      </c>
      <c r="J1654" s="7" t="str">
        <f t="shared" si="3"/>
        <v>May-2025</v>
      </c>
      <c r="K1654" s="9">
        <f t="shared" si="4"/>
        <v>45778</v>
      </c>
      <c r="L1654" s="7" t="str">
        <f t="shared" si="5"/>
        <v/>
      </c>
      <c r="M1654" s="7" t="str">
        <f>IFERROR(__xludf.DUMMYFUNCTION("IFERROR(
  IF(
    F1654 &gt;
    3*AVERAGE(
       FILTER($F$2:$F10491,
         $G$2:$G10491=G1654,
         $A$2:$A10491&gt;=A1654-20,
         $A$2:$A10491&lt;=A1654
       )
    ),
    ""VOL_SPIKE_3X"",""""
  ),
"""")
"),"")</f>
        <v/>
      </c>
      <c r="N1654" s="7" t="str">
        <f t="shared" si="6"/>
        <v/>
      </c>
      <c r="O1654" s="7" t="str">
        <f t="shared" si="7"/>
        <v/>
      </c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>
      <c r="A1655" s="5">
        <f>IFERROR(__xludf.DUMMYFUNCTION("""COMPUTED_VALUE"""),45798.0)</f>
        <v>45798</v>
      </c>
      <c r="B1655" s="6">
        <f>IFERROR(__xludf.DUMMYFUNCTION("""COMPUTED_VALUE"""),395.5)</f>
        <v>395.5</v>
      </c>
      <c r="C1655" s="6">
        <f>IFERROR(__xludf.DUMMYFUNCTION("""COMPUTED_VALUE"""),405.9)</f>
        <v>405.9</v>
      </c>
      <c r="D1655" s="6">
        <f>IFERROR(__xludf.DUMMYFUNCTION("""COMPUTED_VALUE"""),390.55)</f>
        <v>390.55</v>
      </c>
      <c r="E1655" s="6">
        <f>IFERROR(__xludf.DUMMYFUNCTION("""COMPUTED_VALUE"""),404.9)</f>
        <v>404.9</v>
      </c>
      <c r="F1655" s="7">
        <f>IFERROR(__xludf.DUMMYFUNCTION("""COMPUTED_VALUE"""),3723167.0)</f>
        <v>3723167</v>
      </c>
      <c r="G1655" s="7" t="str">
        <f>IFERROR(__xludf.DUMMYFUNCTION("""COMPUTED_VALUE"""),"HINDPETRO.NS")</f>
        <v>HINDPETRO.NS</v>
      </c>
      <c r="H1655" s="8">
        <f t="shared" si="1"/>
        <v>0.02376738306</v>
      </c>
      <c r="I1655" s="8">
        <f t="shared" si="2"/>
        <v>0.02376738306</v>
      </c>
      <c r="J1655" s="7" t="str">
        <f t="shared" si="3"/>
        <v>May-2025</v>
      </c>
      <c r="K1655" s="9">
        <f t="shared" si="4"/>
        <v>45778</v>
      </c>
      <c r="L1655" s="7" t="str">
        <f t="shared" si="5"/>
        <v/>
      </c>
      <c r="M1655" s="7" t="str">
        <f>IFERROR(__xludf.DUMMYFUNCTION("IFERROR(
  IF(
    F1655 &gt;
    3*AVERAGE(
       FILTER($F$2:$F10491,
         $G$2:$G10491=G1655,
         $A$2:$A10491&gt;=A1655-20,
         $A$2:$A10491&lt;=A1655
       )
    ),
    ""VOL_SPIKE_3X"",""""
  ),
"""")
"),"")</f>
        <v/>
      </c>
      <c r="N1655" s="7" t="str">
        <f t="shared" si="6"/>
        <v/>
      </c>
      <c r="O1655" s="7" t="str">
        <f t="shared" si="7"/>
        <v/>
      </c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>
      <c r="A1656" s="5">
        <f>IFERROR(__xludf.DUMMYFUNCTION("""COMPUTED_VALUE"""),45798.0)</f>
        <v>45798</v>
      </c>
      <c r="B1656" s="6">
        <f>IFERROR(__xludf.DUMMYFUNCTION("""COMPUTED_VALUE"""),141.6)</f>
        <v>141.6</v>
      </c>
      <c r="C1656" s="6">
        <f>IFERROR(__xludf.DUMMYFUNCTION("""COMPUTED_VALUE"""),143.63)</f>
        <v>143.63</v>
      </c>
      <c r="D1656" s="6">
        <f>IFERROR(__xludf.DUMMYFUNCTION("""COMPUTED_VALUE"""),140.55)</f>
        <v>140.55</v>
      </c>
      <c r="E1656" s="6">
        <f>IFERROR(__xludf.DUMMYFUNCTION("""COMPUTED_VALUE"""),143.39)</f>
        <v>143.39</v>
      </c>
      <c r="F1656" s="7">
        <f>IFERROR(__xludf.DUMMYFUNCTION("""COMPUTED_VALUE"""),8705960.0)</f>
        <v>8705960</v>
      </c>
      <c r="G1656" s="7" t="str">
        <f>IFERROR(__xludf.DUMMYFUNCTION("""COMPUTED_VALUE"""),"IOC.NS")</f>
        <v>IOC.NS</v>
      </c>
      <c r="H1656" s="8">
        <f t="shared" si="1"/>
        <v>0.01264124294</v>
      </c>
      <c r="I1656" s="8">
        <f t="shared" si="2"/>
        <v>0.01264124294</v>
      </c>
      <c r="J1656" s="7" t="str">
        <f t="shared" si="3"/>
        <v>May-2025</v>
      </c>
      <c r="K1656" s="9">
        <f t="shared" si="4"/>
        <v>45778</v>
      </c>
      <c r="L1656" s="7" t="str">
        <f t="shared" si="5"/>
        <v/>
      </c>
      <c r="M1656" s="7" t="str">
        <f>IFERROR(__xludf.DUMMYFUNCTION("IFERROR(
  IF(
    F1656 &gt;
    3*AVERAGE(
       FILTER($F$2:$F10491,
         $G$2:$G10491=G1656,
         $A$2:$A10491&gt;=A1656-20,
         $A$2:$A10491&lt;=A1656
       )
    ),
    ""VOL_SPIKE_3X"",""""
  ),
"""")
"),"")</f>
        <v/>
      </c>
      <c r="N1656" s="7" t="str">
        <f t="shared" si="6"/>
        <v/>
      </c>
      <c r="O1656" s="7" t="str">
        <f t="shared" si="7"/>
        <v/>
      </c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>
      <c r="A1657" s="5">
        <f>IFERROR(__xludf.DUMMYFUNCTION("""COMPUTED_VALUE"""),45798.0)</f>
        <v>45798</v>
      </c>
      <c r="B1657" s="6">
        <f>IFERROR(__xludf.DUMMYFUNCTION("""COMPUTED_VALUE"""),342.55)</f>
        <v>342.55</v>
      </c>
      <c r="C1657" s="6">
        <f>IFERROR(__xludf.DUMMYFUNCTION("""COMPUTED_VALUE"""),347.4)</f>
        <v>347.4</v>
      </c>
      <c r="D1657" s="6">
        <f>IFERROR(__xludf.DUMMYFUNCTION("""COMPUTED_VALUE"""),339.85)</f>
        <v>339.85</v>
      </c>
      <c r="E1657" s="6">
        <f>IFERROR(__xludf.DUMMYFUNCTION("""COMPUTED_VALUE"""),346.15)</f>
        <v>346.15</v>
      </c>
      <c r="F1657" s="7">
        <f>IFERROR(__xludf.DUMMYFUNCTION("""COMPUTED_VALUE"""),5930972.0)</f>
        <v>5930972</v>
      </c>
      <c r="G1657" s="7" t="str">
        <f>IFERROR(__xludf.DUMMYFUNCTION("""COMPUTED_VALUE"""),"NTPC.NS")</f>
        <v>NTPC.NS</v>
      </c>
      <c r="H1657" s="8">
        <f t="shared" si="1"/>
        <v>0.01050941468</v>
      </c>
      <c r="I1657" s="8">
        <f t="shared" si="2"/>
        <v>0.01050941468</v>
      </c>
      <c r="J1657" s="7" t="str">
        <f t="shared" si="3"/>
        <v>May-2025</v>
      </c>
      <c r="K1657" s="9">
        <f t="shared" si="4"/>
        <v>45778</v>
      </c>
      <c r="L1657" s="7" t="str">
        <f t="shared" si="5"/>
        <v/>
      </c>
      <c r="M1657" s="7" t="str">
        <f>IFERROR(__xludf.DUMMYFUNCTION("IFERROR(
  IF(
    F1657 &gt;
    3*AVERAGE(
       FILTER($F$2:$F10491,
         $G$2:$G10491=G1657,
         $A$2:$A10491&gt;=A1657-20,
         $A$2:$A10491&lt;=A1657
       )
    ),
    ""VOL_SPIKE_3X"",""""
  ),
"""")
"),"")</f>
        <v/>
      </c>
      <c r="N1657" s="7" t="str">
        <f t="shared" si="6"/>
        <v/>
      </c>
      <c r="O1657" s="7" t="str">
        <f t="shared" si="7"/>
        <v/>
      </c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>
      <c r="A1658" s="5">
        <f>IFERROR(__xludf.DUMMYFUNCTION("""COMPUTED_VALUE"""),45798.0)</f>
        <v>45798</v>
      </c>
      <c r="B1658" s="6">
        <f>IFERROR(__xludf.DUMMYFUNCTION("""COMPUTED_VALUE"""),251.5)</f>
        <v>251.5</v>
      </c>
      <c r="C1658" s="6">
        <f>IFERROR(__xludf.DUMMYFUNCTION("""COMPUTED_VALUE"""),251.95)</f>
        <v>251.95</v>
      </c>
      <c r="D1658" s="6">
        <f>IFERROR(__xludf.DUMMYFUNCTION("""COMPUTED_VALUE"""),247.76)</f>
        <v>247.76</v>
      </c>
      <c r="E1658" s="6">
        <f>IFERROR(__xludf.DUMMYFUNCTION("""COMPUTED_VALUE"""),248.68)</f>
        <v>248.68</v>
      </c>
      <c r="F1658" s="7">
        <f>IFERROR(__xludf.DUMMYFUNCTION("""COMPUTED_VALUE"""),7158307.0)</f>
        <v>7158307</v>
      </c>
      <c r="G1658" s="7" t="str">
        <f>IFERROR(__xludf.DUMMYFUNCTION("""COMPUTED_VALUE"""),"ONGC.NS")</f>
        <v>ONGC.NS</v>
      </c>
      <c r="H1658" s="8">
        <f t="shared" si="1"/>
        <v>-0.01121272366</v>
      </c>
      <c r="I1658" s="8">
        <f t="shared" si="2"/>
        <v>0.01121272366</v>
      </c>
      <c r="J1658" s="7" t="str">
        <f t="shared" si="3"/>
        <v>May-2025</v>
      </c>
      <c r="K1658" s="9">
        <f t="shared" si="4"/>
        <v>45778</v>
      </c>
      <c r="L1658" s="7" t="str">
        <f t="shared" si="5"/>
        <v/>
      </c>
      <c r="M1658" s="7" t="str">
        <f>IFERROR(__xludf.DUMMYFUNCTION("IFERROR(
  IF(
    F1658 &gt;
    3*AVERAGE(
       FILTER($F$2:$F10491,
         $G$2:$G10491=G1658,
         $A$2:$A10491&gt;=A1658-20,
         $A$2:$A10491&lt;=A1658
       )
    ),
    ""VOL_SPIKE_3X"",""""
  ),
"""")
"),"")</f>
        <v/>
      </c>
      <c r="N1658" s="7" t="str">
        <f t="shared" si="6"/>
        <v/>
      </c>
      <c r="O1658" s="7" t="str">
        <f t="shared" si="7"/>
        <v/>
      </c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>
      <c r="A1659" s="5">
        <f>IFERROR(__xludf.DUMMYFUNCTION("""COMPUTED_VALUE"""),45798.0)</f>
        <v>45798</v>
      </c>
      <c r="B1659" s="6">
        <f>IFERROR(__xludf.DUMMYFUNCTION("""COMPUTED_VALUE"""),297.75)</f>
        <v>297.75</v>
      </c>
      <c r="C1659" s="6">
        <f>IFERROR(__xludf.DUMMYFUNCTION("""COMPUTED_VALUE"""),302.25)</f>
        <v>302.25</v>
      </c>
      <c r="D1659" s="6">
        <f>IFERROR(__xludf.DUMMYFUNCTION("""COMPUTED_VALUE"""),295.65)</f>
        <v>295.65</v>
      </c>
      <c r="E1659" s="6">
        <f>IFERROR(__xludf.DUMMYFUNCTION("""COMPUTED_VALUE"""),296.15)</f>
        <v>296.15</v>
      </c>
      <c r="F1659" s="7">
        <f>IFERROR(__xludf.DUMMYFUNCTION("""COMPUTED_VALUE"""),1.1997632E7)</f>
        <v>11997632</v>
      </c>
      <c r="G1659" s="7" t="str">
        <f>IFERROR(__xludf.DUMMYFUNCTION("""COMPUTED_VALUE"""),"POWERGRID.NS")</f>
        <v>POWERGRID.NS</v>
      </c>
      <c r="H1659" s="8">
        <f t="shared" si="1"/>
        <v>-0.0053736356</v>
      </c>
      <c r="I1659" s="8">
        <f t="shared" si="2"/>
        <v>0.0053736356</v>
      </c>
      <c r="J1659" s="7" t="str">
        <f t="shared" si="3"/>
        <v>May-2025</v>
      </c>
      <c r="K1659" s="9">
        <f t="shared" si="4"/>
        <v>45778</v>
      </c>
      <c r="L1659" s="7" t="str">
        <f t="shared" si="5"/>
        <v/>
      </c>
      <c r="M1659" s="7" t="str">
        <f>IFERROR(__xludf.DUMMYFUNCTION("IFERROR(
  IF(
    F1659 &gt;
    3*AVERAGE(
       FILTER($F$2:$F10491,
         $G$2:$G10491=G1659,
         $A$2:$A10491&gt;=A1659-20,
         $A$2:$A10491&lt;=A1659
       )
    ),
    ""VOL_SPIKE_3X"",""""
  ),
"""")
"),"")</f>
        <v/>
      </c>
      <c r="N1659" s="7" t="str">
        <f t="shared" si="6"/>
        <v/>
      </c>
      <c r="O1659" s="7" t="str">
        <f t="shared" si="7"/>
        <v/>
      </c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>
      <c r="A1660" s="5">
        <f>IFERROR(__xludf.DUMMYFUNCTION("""COMPUTED_VALUE"""),45798.0)</f>
        <v>45798</v>
      </c>
      <c r="B1660" s="6">
        <f>IFERROR(__xludf.DUMMYFUNCTION("""COMPUTED_VALUE"""),1423.9)</f>
        <v>1423.9</v>
      </c>
      <c r="C1660" s="6">
        <f>IFERROR(__xludf.DUMMYFUNCTION("""COMPUTED_VALUE"""),1436.2)</f>
        <v>1436.2</v>
      </c>
      <c r="D1660" s="6">
        <f>IFERROR(__xludf.DUMMYFUNCTION("""COMPUTED_VALUE"""),1418.1)</f>
        <v>1418.1</v>
      </c>
      <c r="E1660" s="6">
        <f>IFERROR(__xludf.DUMMYFUNCTION("""COMPUTED_VALUE"""),1429.2)</f>
        <v>1429.2</v>
      </c>
      <c r="F1660" s="7">
        <f>IFERROR(__xludf.DUMMYFUNCTION("""COMPUTED_VALUE"""),6136364.0)</f>
        <v>6136364</v>
      </c>
      <c r="G1660" s="7" t="str">
        <f>IFERROR(__xludf.DUMMYFUNCTION("""COMPUTED_VALUE"""),"RELIANCE.NS")</f>
        <v>RELIANCE.NS</v>
      </c>
      <c r="H1660" s="8">
        <f t="shared" si="1"/>
        <v>0.003722171501</v>
      </c>
      <c r="I1660" s="8">
        <f t="shared" si="2"/>
        <v>0.003722171501</v>
      </c>
      <c r="J1660" s="7" t="str">
        <f t="shared" si="3"/>
        <v>May-2025</v>
      </c>
      <c r="K1660" s="9">
        <f t="shared" si="4"/>
        <v>45778</v>
      </c>
      <c r="L1660" s="7" t="str">
        <f t="shared" si="5"/>
        <v/>
      </c>
      <c r="M1660" s="7" t="str">
        <f>IFERROR(__xludf.DUMMYFUNCTION("IFERROR(
  IF(
    F1660 &gt;
    3*AVERAGE(
       FILTER($F$2:$F10491,
         $G$2:$G10491=G1660,
         $A$2:$A10491&gt;=A1660-20,
         $A$2:$A10491&lt;=A1660
       )
    ),
    ""VOL_SPIKE_3X"",""""
  ),
"""")
"),"")</f>
        <v/>
      </c>
      <c r="N1660" s="7" t="str">
        <f t="shared" si="6"/>
        <v/>
      </c>
      <c r="O1660" s="7" t="str">
        <f t="shared" si="7"/>
        <v/>
      </c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>
      <c r="A1661" s="5">
        <f>IFERROR(__xludf.DUMMYFUNCTION("""COMPUTED_VALUE"""),45799.0)</f>
        <v>45799</v>
      </c>
      <c r="B1661" s="6">
        <f>IFERROR(__xludf.DUMMYFUNCTION("""COMPUTED_VALUE"""),869.0)</f>
        <v>869</v>
      </c>
      <c r="C1661" s="6">
        <f>IFERROR(__xludf.DUMMYFUNCTION("""COMPUTED_VALUE"""),886.4)</f>
        <v>886.4</v>
      </c>
      <c r="D1661" s="6">
        <f>IFERROR(__xludf.DUMMYFUNCTION("""COMPUTED_VALUE"""),864.35)</f>
        <v>864.35</v>
      </c>
      <c r="E1661" s="6">
        <f>IFERROR(__xludf.DUMMYFUNCTION("""COMPUTED_VALUE"""),879.0)</f>
        <v>879</v>
      </c>
      <c r="F1661" s="7">
        <f>IFERROR(__xludf.DUMMYFUNCTION("""COMPUTED_VALUE"""),1121955.0)</f>
        <v>1121955</v>
      </c>
      <c r="G1661" s="7" t="str">
        <f>IFERROR(__xludf.DUMMYFUNCTION("""COMPUTED_VALUE"""),"ADANIENSOL.NS")</f>
        <v>ADANIENSOL.NS</v>
      </c>
      <c r="H1661" s="8">
        <f t="shared" si="1"/>
        <v>0.01150747986</v>
      </c>
      <c r="I1661" s="8">
        <f t="shared" si="2"/>
        <v>0.01150747986</v>
      </c>
      <c r="J1661" s="7" t="str">
        <f t="shared" si="3"/>
        <v>May-2025</v>
      </c>
      <c r="K1661" s="9">
        <f t="shared" si="4"/>
        <v>45778</v>
      </c>
      <c r="L1661" s="7" t="str">
        <f t="shared" si="5"/>
        <v/>
      </c>
      <c r="M1661" s="7" t="str">
        <f>IFERROR(__xludf.DUMMYFUNCTION("IFERROR(
  IF(
    F1661 &gt;
    3*AVERAGE(
       FILTER($F$2:$F10491,
         $G$2:$G10491=G1661,
         $A$2:$A10491&gt;=A1661-20,
         $A$2:$A10491&lt;=A1661
       )
    ),
    ""VOL_SPIKE_3X"",""""
  ),
"""")
"),"")</f>
        <v/>
      </c>
      <c r="N1661" s="7" t="str">
        <f t="shared" si="6"/>
        <v/>
      </c>
      <c r="O1661" s="7" t="str">
        <f t="shared" si="7"/>
        <v/>
      </c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>
      <c r="A1662" s="5">
        <f>IFERROR(__xludf.DUMMYFUNCTION("""COMPUTED_VALUE"""),45799.0)</f>
        <v>45799</v>
      </c>
      <c r="B1662" s="6">
        <f>IFERROR(__xludf.DUMMYFUNCTION("""COMPUTED_VALUE"""),996.1)</f>
        <v>996.1</v>
      </c>
      <c r="C1662" s="6">
        <f>IFERROR(__xludf.DUMMYFUNCTION("""COMPUTED_VALUE"""),1006.0)</f>
        <v>1006</v>
      </c>
      <c r="D1662" s="6">
        <f>IFERROR(__xludf.DUMMYFUNCTION("""COMPUTED_VALUE"""),977.0)</f>
        <v>977</v>
      </c>
      <c r="E1662" s="6">
        <f>IFERROR(__xludf.DUMMYFUNCTION("""COMPUTED_VALUE"""),985.85)</f>
        <v>985.85</v>
      </c>
      <c r="F1662" s="7">
        <f>IFERROR(__xludf.DUMMYFUNCTION("""COMPUTED_VALUE"""),2233560.0)</f>
        <v>2233560</v>
      </c>
      <c r="G1662" s="7" t="str">
        <f>IFERROR(__xludf.DUMMYFUNCTION("""COMPUTED_VALUE"""),"ADANIGREEN.NS")</f>
        <v>ADANIGREEN.NS</v>
      </c>
      <c r="H1662" s="8">
        <f t="shared" si="1"/>
        <v>-0.01029013151</v>
      </c>
      <c r="I1662" s="8">
        <f t="shared" si="2"/>
        <v>0.01029013151</v>
      </c>
      <c r="J1662" s="7" t="str">
        <f t="shared" si="3"/>
        <v>May-2025</v>
      </c>
      <c r="K1662" s="9">
        <f t="shared" si="4"/>
        <v>45778</v>
      </c>
      <c r="L1662" s="7" t="str">
        <f t="shared" si="5"/>
        <v/>
      </c>
      <c r="M1662" s="7" t="str">
        <f>IFERROR(__xludf.DUMMYFUNCTION("IFERROR(
  IF(
    F1662 &gt;
    3*AVERAGE(
       FILTER($F$2:$F10491,
         $G$2:$G10491=G1662,
         $A$2:$A10491&gt;=A1662-20,
         $A$2:$A10491&lt;=A1662
       )
    ),
    ""VOL_SPIKE_3X"",""""
  ),
"""")
"),"")</f>
        <v/>
      </c>
      <c r="N1662" s="7" t="str">
        <f t="shared" si="6"/>
        <v/>
      </c>
      <c r="O1662" s="7" t="str">
        <f t="shared" si="7"/>
        <v/>
      </c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>
      <c r="A1663" s="5">
        <f>IFERROR(__xludf.DUMMYFUNCTION("""COMPUTED_VALUE"""),45799.0)</f>
        <v>45799</v>
      </c>
      <c r="B1663" s="6">
        <f>IFERROR(__xludf.DUMMYFUNCTION("""COMPUTED_VALUE"""),314.9)</f>
        <v>314.9</v>
      </c>
      <c r="C1663" s="6">
        <f>IFERROR(__xludf.DUMMYFUNCTION("""COMPUTED_VALUE"""),318.9)</f>
        <v>318.9</v>
      </c>
      <c r="D1663" s="6">
        <f>IFERROR(__xludf.DUMMYFUNCTION("""COMPUTED_VALUE"""),308.7)</f>
        <v>308.7</v>
      </c>
      <c r="E1663" s="6">
        <f>IFERROR(__xludf.DUMMYFUNCTION("""COMPUTED_VALUE"""),313.05)</f>
        <v>313.05</v>
      </c>
      <c r="F1663" s="7">
        <f>IFERROR(__xludf.DUMMYFUNCTION("""COMPUTED_VALUE"""),4876801.0)</f>
        <v>4876801</v>
      </c>
      <c r="G1663" s="7" t="str">
        <f>IFERROR(__xludf.DUMMYFUNCTION("""COMPUTED_VALUE"""),"BPCL.NS")</f>
        <v>BPCL.NS</v>
      </c>
      <c r="H1663" s="8">
        <f t="shared" si="1"/>
        <v>-0.005874880915</v>
      </c>
      <c r="I1663" s="8">
        <f t="shared" si="2"/>
        <v>0.005874880915</v>
      </c>
      <c r="J1663" s="7" t="str">
        <f t="shared" si="3"/>
        <v>May-2025</v>
      </c>
      <c r="K1663" s="9">
        <f t="shared" si="4"/>
        <v>45778</v>
      </c>
      <c r="L1663" s="7" t="str">
        <f t="shared" si="5"/>
        <v/>
      </c>
      <c r="M1663" s="7" t="str">
        <f>IFERROR(__xludf.DUMMYFUNCTION("IFERROR(
  IF(
    F1663 &gt;
    3*AVERAGE(
       FILTER($F$2:$F10491,
         $G$2:$G10491=G1663,
         $A$2:$A10491&gt;=A1663-20,
         $A$2:$A10491&lt;=A1663
       )
    ),
    ""VOL_SPIKE_3X"",""""
  ),
"""")
"),"")</f>
        <v/>
      </c>
      <c r="N1663" s="7" t="str">
        <f t="shared" si="6"/>
        <v/>
      </c>
      <c r="O1663" s="7" t="str">
        <f t="shared" si="7"/>
        <v/>
      </c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>
      <c r="A1664" s="5">
        <f>IFERROR(__xludf.DUMMYFUNCTION("""COMPUTED_VALUE"""),45799.0)</f>
        <v>45799</v>
      </c>
      <c r="B1664" s="6">
        <f>IFERROR(__xludf.DUMMYFUNCTION("""COMPUTED_VALUE"""),405.0)</f>
        <v>405</v>
      </c>
      <c r="C1664" s="6">
        <f>IFERROR(__xludf.DUMMYFUNCTION("""COMPUTED_VALUE"""),406.65)</f>
        <v>406.65</v>
      </c>
      <c r="D1664" s="6">
        <f>IFERROR(__xludf.DUMMYFUNCTION("""COMPUTED_VALUE"""),393.2)</f>
        <v>393.2</v>
      </c>
      <c r="E1664" s="6">
        <f>IFERROR(__xludf.DUMMYFUNCTION("""COMPUTED_VALUE"""),398.85)</f>
        <v>398.85</v>
      </c>
      <c r="F1664" s="7">
        <f>IFERROR(__xludf.DUMMYFUNCTION("""COMPUTED_VALUE"""),7936875.0)</f>
        <v>7936875</v>
      </c>
      <c r="G1664" s="7" t="str">
        <f>IFERROR(__xludf.DUMMYFUNCTION("""COMPUTED_VALUE"""),"COALINDIA.NS")</f>
        <v>COALINDIA.NS</v>
      </c>
      <c r="H1664" s="8">
        <f t="shared" si="1"/>
        <v>-0.01518518519</v>
      </c>
      <c r="I1664" s="8">
        <f t="shared" si="2"/>
        <v>0.01518518519</v>
      </c>
      <c r="J1664" s="7" t="str">
        <f t="shared" si="3"/>
        <v>May-2025</v>
      </c>
      <c r="K1664" s="9">
        <f t="shared" si="4"/>
        <v>45778</v>
      </c>
      <c r="L1664" s="7" t="str">
        <f t="shared" si="5"/>
        <v/>
      </c>
      <c r="M1664" s="7" t="str">
        <f>IFERROR(__xludf.DUMMYFUNCTION("IFERROR(
  IF(
    F1664 &gt;
    3*AVERAGE(
       FILTER($F$2:$F10491,
         $G$2:$G10491=G1664,
         $A$2:$A10491&gt;=A1664-20,
         $A$2:$A10491&lt;=A1664
       )
    ),
    ""VOL_SPIKE_3X"",""""
  ),
"""")
"),"")</f>
        <v/>
      </c>
      <c r="N1664" s="7" t="str">
        <f t="shared" si="6"/>
        <v/>
      </c>
      <c r="O1664" s="7" t="str">
        <f t="shared" si="7"/>
        <v/>
      </c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>
      <c r="A1665" s="5">
        <f>IFERROR(__xludf.DUMMYFUNCTION("""COMPUTED_VALUE"""),45799.0)</f>
        <v>45799</v>
      </c>
      <c r="B1665" s="6">
        <f>IFERROR(__xludf.DUMMYFUNCTION("""COMPUTED_VALUE"""),405.0)</f>
        <v>405</v>
      </c>
      <c r="C1665" s="6">
        <f>IFERROR(__xludf.DUMMYFUNCTION("""COMPUTED_VALUE"""),406.95)</f>
        <v>406.95</v>
      </c>
      <c r="D1665" s="6">
        <f>IFERROR(__xludf.DUMMYFUNCTION("""COMPUTED_VALUE"""),397.8)</f>
        <v>397.8</v>
      </c>
      <c r="E1665" s="6">
        <f>IFERROR(__xludf.DUMMYFUNCTION("""COMPUTED_VALUE"""),401.25)</f>
        <v>401.25</v>
      </c>
      <c r="F1665" s="7">
        <f>IFERROR(__xludf.DUMMYFUNCTION("""COMPUTED_VALUE"""),1971376.0)</f>
        <v>1971376</v>
      </c>
      <c r="G1665" s="7" t="str">
        <f>IFERROR(__xludf.DUMMYFUNCTION("""COMPUTED_VALUE"""),"HINDPETRO.NS")</f>
        <v>HINDPETRO.NS</v>
      </c>
      <c r="H1665" s="8">
        <f t="shared" si="1"/>
        <v>-0.009259259259</v>
      </c>
      <c r="I1665" s="8">
        <f t="shared" si="2"/>
        <v>0.009259259259</v>
      </c>
      <c r="J1665" s="7" t="str">
        <f t="shared" si="3"/>
        <v>May-2025</v>
      </c>
      <c r="K1665" s="9">
        <f t="shared" si="4"/>
        <v>45778</v>
      </c>
      <c r="L1665" s="7" t="str">
        <f t="shared" si="5"/>
        <v/>
      </c>
      <c r="M1665" s="7" t="str">
        <f>IFERROR(__xludf.DUMMYFUNCTION("IFERROR(
  IF(
    F1665 &gt;
    3*AVERAGE(
       FILTER($F$2:$F10491,
         $G$2:$G10491=G1665,
         $A$2:$A10491&gt;=A1665-20,
         $A$2:$A10491&lt;=A1665
       )
    ),
    ""VOL_SPIKE_3X"",""""
  ),
"""")
"),"")</f>
        <v/>
      </c>
      <c r="N1665" s="7" t="str">
        <f t="shared" si="6"/>
        <v/>
      </c>
      <c r="O1665" s="7" t="str">
        <f t="shared" si="7"/>
        <v/>
      </c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>
      <c r="A1666" s="5">
        <f>IFERROR(__xludf.DUMMYFUNCTION("""COMPUTED_VALUE"""),45799.0)</f>
        <v>45799</v>
      </c>
      <c r="B1666" s="6">
        <f>IFERROR(__xludf.DUMMYFUNCTION("""COMPUTED_VALUE"""),142.59)</f>
        <v>142.59</v>
      </c>
      <c r="C1666" s="6">
        <f>IFERROR(__xludf.DUMMYFUNCTION("""COMPUTED_VALUE"""),144.2)</f>
        <v>144.2</v>
      </c>
      <c r="D1666" s="6">
        <f>IFERROR(__xludf.DUMMYFUNCTION("""COMPUTED_VALUE"""),141.87)</f>
        <v>141.87</v>
      </c>
      <c r="E1666" s="6">
        <f>IFERROR(__xludf.DUMMYFUNCTION("""COMPUTED_VALUE"""),143.29)</f>
        <v>143.29</v>
      </c>
      <c r="F1666" s="7">
        <f>IFERROR(__xludf.DUMMYFUNCTION("""COMPUTED_VALUE"""),7157328.0)</f>
        <v>7157328</v>
      </c>
      <c r="G1666" s="7" t="str">
        <f>IFERROR(__xludf.DUMMYFUNCTION("""COMPUTED_VALUE"""),"IOC.NS")</f>
        <v>IOC.NS</v>
      </c>
      <c r="H1666" s="8">
        <f t="shared" si="1"/>
        <v>0.004909180167</v>
      </c>
      <c r="I1666" s="8">
        <f t="shared" si="2"/>
        <v>0.004909180167</v>
      </c>
      <c r="J1666" s="7" t="str">
        <f t="shared" si="3"/>
        <v>May-2025</v>
      </c>
      <c r="K1666" s="9">
        <f t="shared" si="4"/>
        <v>45778</v>
      </c>
      <c r="L1666" s="7" t="str">
        <f t="shared" si="5"/>
        <v/>
      </c>
      <c r="M1666" s="7" t="str">
        <f>IFERROR(__xludf.DUMMYFUNCTION("IFERROR(
  IF(
    F1666 &gt;
    3*AVERAGE(
       FILTER($F$2:$F10491,
         $G$2:$G10491=G1666,
         $A$2:$A10491&gt;=A1666-20,
         $A$2:$A10491&lt;=A1666
       )
    ),
    ""VOL_SPIKE_3X"",""""
  ),
"""")
"),"")</f>
        <v/>
      </c>
      <c r="N1666" s="7" t="str">
        <f t="shared" si="6"/>
        <v/>
      </c>
      <c r="O1666" s="7" t="str">
        <f t="shared" si="7"/>
        <v/>
      </c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>
      <c r="A1667" s="5">
        <f>IFERROR(__xludf.DUMMYFUNCTION("""COMPUTED_VALUE"""),45799.0)</f>
        <v>45799</v>
      </c>
      <c r="B1667" s="6">
        <f>IFERROR(__xludf.DUMMYFUNCTION("""COMPUTED_VALUE"""),346.15)</f>
        <v>346.15</v>
      </c>
      <c r="C1667" s="6">
        <f>IFERROR(__xludf.DUMMYFUNCTION("""COMPUTED_VALUE"""),347.0)</f>
        <v>347</v>
      </c>
      <c r="D1667" s="6">
        <f>IFERROR(__xludf.DUMMYFUNCTION("""COMPUTED_VALUE"""),338.25)</f>
        <v>338.25</v>
      </c>
      <c r="E1667" s="6">
        <f>IFERROR(__xludf.DUMMYFUNCTION("""COMPUTED_VALUE"""),341.4)</f>
        <v>341.4</v>
      </c>
      <c r="F1667" s="7">
        <f>IFERROR(__xludf.DUMMYFUNCTION("""COMPUTED_VALUE"""),8717514.0)</f>
        <v>8717514</v>
      </c>
      <c r="G1667" s="7" t="str">
        <f>IFERROR(__xludf.DUMMYFUNCTION("""COMPUTED_VALUE"""),"NTPC.NS")</f>
        <v>NTPC.NS</v>
      </c>
      <c r="H1667" s="8">
        <f t="shared" si="1"/>
        <v>-0.01372237469</v>
      </c>
      <c r="I1667" s="8">
        <f t="shared" si="2"/>
        <v>0.01372237469</v>
      </c>
      <c r="J1667" s="7" t="str">
        <f t="shared" si="3"/>
        <v>May-2025</v>
      </c>
      <c r="K1667" s="9">
        <f t="shared" si="4"/>
        <v>45778</v>
      </c>
      <c r="L1667" s="7" t="str">
        <f t="shared" si="5"/>
        <v/>
      </c>
      <c r="M1667" s="7" t="str">
        <f>IFERROR(__xludf.DUMMYFUNCTION("IFERROR(
  IF(
    F1667 &gt;
    3*AVERAGE(
       FILTER($F$2:$F10491,
         $G$2:$G10491=G1667,
         $A$2:$A10491&gt;=A1667-20,
         $A$2:$A10491&lt;=A1667
       )
    ),
    ""VOL_SPIKE_3X"",""""
  ),
"""")
"),"")</f>
        <v/>
      </c>
      <c r="N1667" s="7" t="str">
        <f t="shared" si="6"/>
        <v/>
      </c>
      <c r="O1667" s="7" t="str">
        <f t="shared" si="7"/>
        <v/>
      </c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>
      <c r="A1668" s="5">
        <f>IFERROR(__xludf.DUMMYFUNCTION("""COMPUTED_VALUE"""),45799.0)</f>
        <v>45799</v>
      </c>
      <c r="B1668" s="6">
        <f>IFERROR(__xludf.DUMMYFUNCTION("""COMPUTED_VALUE"""),248.68)</f>
        <v>248.68</v>
      </c>
      <c r="C1668" s="6">
        <f>IFERROR(__xludf.DUMMYFUNCTION("""COMPUTED_VALUE"""),250.48)</f>
        <v>250.48</v>
      </c>
      <c r="D1668" s="6">
        <f>IFERROR(__xludf.DUMMYFUNCTION("""COMPUTED_VALUE"""),239.61)</f>
        <v>239.61</v>
      </c>
      <c r="E1668" s="6">
        <f>IFERROR(__xludf.DUMMYFUNCTION("""COMPUTED_VALUE"""),241.67)</f>
        <v>241.67</v>
      </c>
      <c r="F1668" s="7">
        <f>IFERROR(__xludf.DUMMYFUNCTION("""COMPUTED_VALUE"""),1.8502235E7)</f>
        <v>18502235</v>
      </c>
      <c r="G1668" s="7" t="str">
        <f>IFERROR(__xludf.DUMMYFUNCTION("""COMPUTED_VALUE"""),"ONGC.NS")</f>
        <v>ONGC.NS</v>
      </c>
      <c r="H1668" s="8">
        <f t="shared" si="1"/>
        <v>-0.02818883706</v>
      </c>
      <c r="I1668" s="8">
        <f t="shared" si="2"/>
        <v>0.02818883706</v>
      </c>
      <c r="J1668" s="7" t="str">
        <f t="shared" si="3"/>
        <v>May-2025</v>
      </c>
      <c r="K1668" s="9">
        <f t="shared" si="4"/>
        <v>45778</v>
      </c>
      <c r="L1668" s="7" t="str">
        <f t="shared" si="5"/>
        <v/>
      </c>
      <c r="M1668" s="7" t="str">
        <f>IFERROR(__xludf.DUMMYFUNCTION("IFERROR(
  IF(
    F1668 &gt;
    3*AVERAGE(
       FILTER($F$2:$F10491,
         $G$2:$G10491=G1668,
         $A$2:$A10491&gt;=A1668-20,
         $A$2:$A10491&lt;=A1668
       )
    ),
    ""VOL_SPIKE_3X"",""""
  ),
"""")
"),"")</f>
        <v/>
      </c>
      <c r="N1668" s="7" t="str">
        <f t="shared" si="6"/>
        <v/>
      </c>
      <c r="O1668" s="7" t="str">
        <f t="shared" si="7"/>
        <v/>
      </c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>
      <c r="A1669" s="5">
        <f>IFERROR(__xludf.DUMMYFUNCTION("""COMPUTED_VALUE"""),45799.0)</f>
        <v>45799</v>
      </c>
      <c r="B1669" s="6">
        <f>IFERROR(__xludf.DUMMYFUNCTION("""COMPUTED_VALUE"""),295.9)</f>
        <v>295.9</v>
      </c>
      <c r="C1669" s="6">
        <f>IFERROR(__xludf.DUMMYFUNCTION("""COMPUTED_VALUE"""),296.35)</f>
        <v>296.35</v>
      </c>
      <c r="D1669" s="6">
        <f>IFERROR(__xludf.DUMMYFUNCTION("""COMPUTED_VALUE"""),286.55)</f>
        <v>286.55</v>
      </c>
      <c r="E1669" s="6">
        <f>IFERROR(__xludf.DUMMYFUNCTION("""COMPUTED_VALUE"""),290.9)</f>
        <v>290.9</v>
      </c>
      <c r="F1669" s="7">
        <f>IFERROR(__xludf.DUMMYFUNCTION("""COMPUTED_VALUE"""),2.6158839E7)</f>
        <v>26158839</v>
      </c>
      <c r="G1669" s="7" t="str">
        <f>IFERROR(__xludf.DUMMYFUNCTION("""COMPUTED_VALUE"""),"POWERGRID.NS")</f>
        <v>POWERGRID.NS</v>
      </c>
      <c r="H1669" s="8">
        <f t="shared" si="1"/>
        <v>-0.01689760054</v>
      </c>
      <c r="I1669" s="8">
        <f t="shared" si="2"/>
        <v>0.01689760054</v>
      </c>
      <c r="J1669" s="7" t="str">
        <f t="shared" si="3"/>
        <v>May-2025</v>
      </c>
      <c r="K1669" s="9">
        <f t="shared" si="4"/>
        <v>45778</v>
      </c>
      <c r="L1669" s="7" t="str">
        <f t="shared" si="5"/>
        <v/>
      </c>
      <c r="M1669" s="7" t="str">
        <f>IFERROR(__xludf.DUMMYFUNCTION("IFERROR(
  IF(
    F1669 &gt;
    3*AVERAGE(
       FILTER($F$2:$F10491,
         $G$2:$G10491=G1669,
         $A$2:$A10491&gt;=A1669-20,
         $A$2:$A10491&lt;=A1669
       )
    ),
    ""VOL_SPIKE_3X"",""""
  ),
"""")
"),"")</f>
        <v/>
      </c>
      <c r="N1669" s="7" t="str">
        <f t="shared" si="6"/>
        <v/>
      </c>
      <c r="O1669" s="7" t="str">
        <f t="shared" si="7"/>
        <v/>
      </c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>
      <c r="A1670" s="5">
        <f>IFERROR(__xludf.DUMMYFUNCTION("""COMPUTED_VALUE"""),45799.0)</f>
        <v>45799</v>
      </c>
      <c r="B1670" s="6">
        <f>IFERROR(__xludf.DUMMYFUNCTION("""COMPUTED_VALUE"""),1421.2)</f>
        <v>1421.2</v>
      </c>
      <c r="C1670" s="6">
        <f>IFERROR(__xludf.DUMMYFUNCTION("""COMPUTED_VALUE"""),1423.8)</f>
        <v>1423.8</v>
      </c>
      <c r="D1670" s="6">
        <f>IFERROR(__xludf.DUMMYFUNCTION("""COMPUTED_VALUE"""),1396.9)</f>
        <v>1396.9</v>
      </c>
      <c r="E1670" s="6">
        <f>IFERROR(__xludf.DUMMYFUNCTION("""COMPUTED_VALUE"""),1409.4)</f>
        <v>1409.4</v>
      </c>
      <c r="F1670" s="7">
        <f>IFERROR(__xludf.DUMMYFUNCTION("""COMPUTED_VALUE"""),1.2134466E7)</f>
        <v>12134466</v>
      </c>
      <c r="G1670" s="7" t="str">
        <f>IFERROR(__xludf.DUMMYFUNCTION("""COMPUTED_VALUE"""),"RELIANCE.NS")</f>
        <v>RELIANCE.NS</v>
      </c>
      <c r="H1670" s="8">
        <f t="shared" si="1"/>
        <v>-0.008302842668</v>
      </c>
      <c r="I1670" s="8">
        <f t="shared" si="2"/>
        <v>0.008302842668</v>
      </c>
      <c r="J1670" s="7" t="str">
        <f t="shared" si="3"/>
        <v>May-2025</v>
      </c>
      <c r="K1670" s="9">
        <f t="shared" si="4"/>
        <v>45778</v>
      </c>
      <c r="L1670" s="7" t="str">
        <f t="shared" si="5"/>
        <v/>
      </c>
      <c r="M1670" s="7" t="str">
        <f>IFERROR(__xludf.DUMMYFUNCTION("IFERROR(
  IF(
    F1670 &gt;
    3*AVERAGE(
       FILTER($F$2:$F10491,
         $G$2:$G10491=G1670,
         $A$2:$A10491&gt;=A1670-20,
         $A$2:$A10491&lt;=A1670
       )
    ),
    ""VOL_SPIKE_3X"",""""
  ),
"""")
"),"")</f>
        <v/>
      </c>
      <c r="N1670" s="7" t="str">
        <f t="shared" si="6"/>
        <v/>
      </c>
      <c r="O1670" s="7" t="str">
        <f t="shared" si="7"/>
        <v/>
      </c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>
      <c r="A1671" s="5">
        <f>IFERROR(__xludf.DUMMYFUNCTION("""COMPUTED_VALUE"""),45800.0)</f>
        <v>45800</v>
      </c>
      <c r="B1671" s="6">
        <f>IFERROR(__xludf.DUMMYFUNCTION("""COMPUTED_VALUE"""),884.5)</f>
        <v>884.5</v>
      </c>
      <c r="C1671" s="6">
        <f>IFERROR(__xludf.DUMMYFUNCTION("""COMPUTED_VALUE"""),884.5)</f>
        <v>884.5</v>
      </c>
      <c r="D1671" s="6">
        <f>IFERROR(__xludf.DUMMYFUNCTION("""COMPUTED_VALUE"""),871.1)</f>
        <v>871.1</v>
      </c>
      <c r="E1671" s="6">
        <f>IFERROR(__xludf.DUMMYFUNCTION("""COMPUTED_VALUE"""),876.55)</f>
        <v>876.55</v>
      </c>
      <c r="F1671" s="7">
        <f>IFERROR(__xludf.DUMMYFUNCTION("""COMPUTED_VALUE"""),816889.0)</f>
        <v>816889</v>
      </c>
      <c r="G1671" s="7" t="str">
        <f>IFERROR(__xludf.DUMMYFUNCTION("""COMPUTED_VALUE"""),"ADANIENSOL.NS")</f>
        <v>ADANIENSOL.NS</v>
      </c>
      <c r="H1671" s="8">
        <f t="shared" si="1"/>
        <v>-0.008988128886</v>
      </c>
      <c r="I1671" s="8">
        <f t="shared" si="2"/>
        <v>0.008988128886</v>
      </c>
      <c r="J1671" s="7" t="str">
        <f t="shared" si="3"/>
        <v>May-2025</v>
      </c>
      <c r="K1671" s="9">
        <f t="shared" si="4"/>
        <v>45778</v>
      </c>
      <c r="L1671" s="7" t="str">
        <f t="shared" si="5"/>
        <v/>
      </c>
      <c r="M1671" s="7" t="str">
        <f>IFERROR(__xludf.DUMMYFUNCTION("IFERROR(
  IF(
    F1671 &gt;
    3*AVERAGE(
       FILTER($F$2:$F10491,
         $G$2:$G10491=G1671,
         $A$2:$A10491&gt;=A1671-20,
         $A$2:$A10491&lt;=A1671
       )
    ),
    ""VOL_SPIKE_3X"",""""
  ),
"""")
"),"")</f>
        <v/>
      </c>
      <c r="N1671" s="7" t="str">
        <f t="shared" si="6"/>
        <v/>
      </c>
      <c r="O1671" s="7" t="str">
        <f t="shared" si="7"/>
        <v/>
      </c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>
      <c r="A1672" s="5">
        <f>IFERROR(__xludf.DUMMYFUNCTION("""COMPUTED_VALUE"""),45800.0)</f>
        <v>45800</v>
      </c>
      <c r="B1672" s="6">
        <f>IFERROR(__xludf.DUMMYFUNCTION("""COMPUTED_VALUE"""),987.0)</f>
        <v>987</v>
      </c>
      <c r="C1672" s="6">
        <f>IFERROR(__xludf.DUMMYFUNCTION("""COMPUTED_VALUE"""),999.05)</f>
        <v>999.05</v>
      </c>
      <c r="D1672" s="6">
        <f>IFERROR(__xludf.DUMMYFUNCTION("""COMPUTED_VALUE"""),976.0)</f>
        <v>976</v>
      </c>
      <c r="E1672" s="6">
        <f>IFERROR(__xludf.DUMMYFUNCTION("""COMPUTED_VALUE"""),986.95)</f>
        <v>986.95</v>
      </c>
      <c r="F1672" s="7">
        <f>IFERROR(__xludf.DUMMYFUNCTION("""COMPUTED_VALUE"""),2538927.0)</f>
        <v>2538927</v>
      </c>
      <c r="G1672" s="7" t="str">
        <f>IFERROR(__xludf.DUMMYFUNCTION("""COMPUTED_VALUE"""),"ADANIGREEN.NS")</f>
        <v>ADANIGREEN.NS</v>
      </c>
      <c r="H1672" s="8">
        <f t="shared" si="1"/>
        <v>-0.0000506585613</v>
      </c>
      <c r="I1672" s="8">
        <f t="shared" si="2"/>
        <v>0.0000506585613</v>
      </c>
      <c r="J1672" s="7" t="str">
        <f t="shared" si="3"/>
        <v>May-2025</v>
      </c>
      <c r="K1672" s="9">
        <f t="shared" si="4"/>
        <v>45778</v>
      </c>
      <c r="L1672" s="7" t="str">
        <f t="shared" si="5"/>
        <v/>
      </c>
      <c r="M1672" s="7" t="str">
        <f>IFERROR(__xludf.DUMMYFUNCTION("IFERROR(
  IF(
    F1672 &gt;
    3*AVERAGE(
       FILTER($F$2:$F10491,
         $G$2:$G10491=G1672,
         $A$2:$A10491&gt;=A1672-20,
         $A$2:$A10491&lt;=A1672
       )
    ),
    ""VOL_SPIKE_3X"",""""
  ),
"""")
"),"")</f>
        <v/>
      </c>
      <c r="N1672" s="7" t="str">
        <f t="shared" si="6"/>
        <v/>
      </c>
      <c r="O1672" s="7" t="str">
        <f t="shared" si="7"/>
        <v/>
      </c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>
      <c r="A1673" s="5">
        <f>IFERROR(__xludf.DUMMYFUNCTION("""COMPUTED_VALUE"""),45800.0)</f>
        <v>45800</v>
      </c>
      <c r="B1673" s="6">
        <f>IFERROR(__xludf.DUMMYFUNCTION("""COMPUTED_VALUE"""),312.0)</f>
        <v>312</v>
      </c>
      <c r="C1673" s="6">
        <f>IFERROR(__xludf.DUMMYFUNCTION("""COMPUTED_VALUE"""),320.0)</f>
        <v>320</v>
      </c>
      <c r="D1673" s="6">
        <f>IFERROR(__xludf.DUMMYFUNCTION("""COMPUTED_VALUE"""),312.0)</f>
        <v>312</v>
      </c>
      <c r="E1673" s="6">
        <f>IFERROR(__xludf.DUMMYFUNCTION("""COMPUTED_VALUE"""),318.9)</f>
        <v>318.9</v>
      </c>
      <c r="F1673" s="7">
        <f>IFERROR(__xludf.DUMMYFUNCTION("""COMPUTED_VALUE"""),4257721.0)</f>
        <v>4257721</v>
      </c>
      <c r="G1673" s="7" t="str">
        <f>IFERROR(__xludf.DUMMYFUNCTION("""COMPUTED_VALUE"""),"BPCL.NS")</f>
        <v>BPCL.NS</v>
      </c>
      <c r="H1673" s="8">
        <f t="shared" si="1"/>
        <v>0.02211538462</v>
      </c>
      <c r="I1673" s="8">
        <f t="shared" si="2"/>
        <v>0.02211538462</v>
      </c>
      <c r="J1673" s="7" t="str">
        <f t="shared" si="3"/>
        <v>May-2025</v>
      </c>
      <c r="K1673" s="9">
        <f t="shared" si="4"/>
        <v>45778</v>
      </c>
      <c r="L1673" s="7" t="str">
        <f t="shared" si="5"/>
        <v/>
      </c>
      <c r="M1673" s="7" t="str">
        <f>IFERROR(__xludf.DUMMYFUNCTION("IFERROR(
  IF(
    F1673 &gt;
    3*AVERAGE(
       FILTER($F$2:$F10491,
         $G$2:$G10491=G1673,
         $A$2:$A10491&gt;=A1673-20,
         $A$2:$A10491&lt;=A1673
       )
    ),
    ""VOL_SPIKE_3X"",""""
  ),
"""")
"),"")</f>
        <v/>
      </c>
      <c r="N1673" s="7" t="str">
        <f t="shared" si="6"/>
        <v/>
      </c>
      <c r="O1673" s="7" t="str">
        <f t="shared" si="7"/>
        <v/>
      </c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>
      <c r="A1674" s="5">
        <f>IFERROR(__xludf.DUMMYFUNCTION("""COMPUTED_VALUE"""),45800.0)</f>
        <v>45800</v>
      </c>
      <c r="B1674" s="6">
        <f>IFERROR(__xludf.DUMMYFUNCTION("""COMPUTED_VALUE"""),400.2)</f>
        <v>400.2</v>
      </c>
      <c r="C1674" s="6">
        <f>IFERROR(__xludf.DUMMYFUNCTION("""COMPUTED_VALUE"""),403.0)</f>
        <v>403</v>
      </c>
      <c r="D1674" s="6">
        <f>IFERROR(__xludf.DUMMYFUNCTION("""COMPUTED_VALUE"""),399.0)</f>
        <v>399</v>
      </c>
      <c r="E1674" s="6">
        <f>IFERROR(__xludf.DUMMYFUNCTION("""COMPUTED_VALUE"""),401.5)</f>
        <v>401.5</v>
      </c>
      <c r="F1674" s="7">
        <f>IFERROR(__xludf.DUMMYFUNCTION("""COMPUTED_VALUE"""),4178408.0)</f>
        <v>4178408</v>
      </c>
      <c r="G1674" s="7" t="str">
        <f>IFERROR(__xludf.DUMMYFUNCTION("""COMPUTED_VALUE"""),"COALINDIA.NS")</f>
        <v>COALINDIA.NS</v>
      </c>
      <c r="H1674" s="8">
        <f t="shared" si="1"/>
        <v>0.003248375812</v>
      </c>
      <c r="I1674" s="8">
        <f t="shared" si="2"/>
        <v>0.003248375812</v>
      </c>
      <c r="J1674" s="7" t="str">
        <f t="shared" si="3"/>
        <v>May-2025</v>
      </c>
      <c r="K1674" s="9">
        <f t="shared" si="4"/>
        <v>45778</v>
      </c>
      <c r="L1674" s="7" t="str">
        <f t="shared" si="5"/>
        <v/>
      </c>
      <c r="M1674" s="7" t="str">
        <f>IFERROR(__xludf.DUMMYFUNCTION("IFERROR(
  IF(
    F1674 &gt;
    3*AVERAGE(
       FILTER($F$2:$F10491,
         $G$2:$G10491=G1674,
         $A$2:$A10491&gt;=A1674-20,
         $A$2:$A10491&lt;=A1674
       )
    ),
    ""VOL_SPIKE_3X"",""""
  ),
"""")
"),"")</f>
        <v/>
      </c>
      <c r="N1674" s="7" t="str">
        <f t="shared" si="6"/>
        <v/>
      </c>
      <c r="O1674" s="7" t="str">
        <f t="shared" si="7"/>
        <v/>
      </c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>
      <c r="A1675" s="5">
        <f>IFERROR(__xludf.DUMMYFUNCTION("""COMPUTED_VALUE"""),45800.0)</f>
        <v>45800</v>
      </c>
      <c r="B1675" s="6">
        <f>IFERROR(__xludf.DUMMYFUNCTION("""COMPUTED_VALUE"""),404.0)</f>
        <v>404</v>
      </c>
      <c r="C1675" s="6">
        <f>IFERROR(__xludf.DUMMYFUNCTION("""COMPUTED_VALUE"""),411.75)</f>
        <v>411.75</v>
      </c>
      <c r="D1675" s="6">
        <f>IFERROR(__xludf.DUMMYFUNCTION("""COMPUTED_VALUE"""),404.0)</f>
        <v>404</v>
      </c>
      <c r="E1675" s="6">
        <f>IFERROR(__xludf.DUMMYFUNCTION("""COMPUTED_VALUE"""),408.1)</f>
        <v>408.1</v>
      </c>
      <c r="F1675" s="7">
        <f>IFERROR(__xludf.DUMMYFUNCTION("""COMPUTED_VALUE"""),5540517.0)</f>
        <v>5540517</v>
      </c>
      <c r="G1675" s="7" t="str">
        <f>IFERROR(__xludf.DUMMYFUNCTION("""COMPUTED_VALUE"""),"HINDPETRO.NS")</f>
        <v>HINDPETRO.NS</v>
      </c>
      <c r="H1675" s="8">
        <f t="shared" si="1"/>
        <v>0.01014851485</v>
      </c>
      <c r="I1675" s="8">
        <f t="shared" si="2"/>
        <v>0.01014851485</v>
      </c>
      <c r="J1675" s="7" t="str">
        <f t="shared" si="3"/>
        <v>May-2025</v>
      </c>
      <c r="K1675" s="9">
        <f t="shared" si="4"/>
        <v>45778</v>
      </c>
      <c r="L1675" s="7" t="str">
        <f t="shared" si="5"/>
        <v/>
      </c>
      <c r="M1675" s="7" t="str">
        <f>IFERROR(__xludf.DUMMYFUNCTION("IFERROR(
  IF(
    F1675 &gt;
    3*AVERAGE(
       FILTER($F$2:$F10491,
         $G$2:$G10491=G1675,
         $A$2:$A10491&gt;=A1675-20,
         $A$2:$A10491&lt;=A1675
       )
    ),
    ""VOL_SPIKE_3X"",""""
  ),
"""")
"),"")</f>
        <v/>
      </c>
      <c r="N1675" s="7" t="str">
        <f t="shared" si="6"/>
        <v/>
      </c>
      <c r="O1675" s="7" t="str">
        <f t="shared" si="7"/>
        <v/>
      </c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>
      <c r="A1676" s="5">
        <f>IFERROR(__xludf.DUMMYFUNCTION("""COMPUTED_VALUE"""),45800.0)</f>
        <v>45800</v>
      </c>
      <c r="B1676" s="6">
        <f>IFERROR(__xludf.DUMMYFUNCTION("""COMPUTED_VALUE"""),143.28)</f>
        <v>143.28</v>
      </c>
      <c r="C1676" s="6">
        <f>IFERROR(__xludf.DUMMYFUNCTION("""COMPUTED_VALUE"""),145.43)</f>
        <v>145.43</v>
      </c>
      <c r="D1676" s="6">
        <f>IFERROR(__xludf.DUMMYFUNCTION("""COMPUTED_VALUE"""),143.0)</f>
        <v>143</v>
      </c>
      <c r="E1676" s="6">
        <f>IFERROR(__xludf.DUMMYFUNCTION("""COMPUTED_VALUE"""),144.06)</f>
        <v>144.06</v>
      </c>
      <c r="F1676" s="7">
        <f>IFERROR(__xludf.DUMMYFUNCTION("""COMPUTED_VALUE"""),9699995.0)</f>
        <v>9699995</v>
      </c>
      <c r="G1676" s="7" t="str">
        <f>IFERROR(__xludf.DUMMYFUNCTION("""COMPUTED_VALUE"""),"IOC.NS")</f>
        <v>IOC.NS</v>
      </c>
      <c r="H1676" s="8">
        <f t="shared" si="1"/>
        <v>0.005443886097</v>
      </c>
      <c r="I1676" s="8">
        <f t="shared" si="2"/>
        <v>0.005443886097</v>
      </c>
      <c r="J1676" s="7" t="str">
        <f t="shared" si="3"/>
        <v>May-2025</v>
      </c>
      <c r="K1676" s="9">
        <f t="shared" si="4"/>
        <v>45778</v>
      </c>
      <c r="L1676" s="7" t="str">
        <f t="shared" si="5"/>
        <v/>
      </c>
      <c r="M1676" s="7" t="str">
        <f>IFERROR(__xludf.DUMMYFUNCTION("IFERROR(
  IF(
    F1676 &gt;
    3*AVERAGE(
       FILTER($F$2:$F10491,
         $G$2:$G10491=G1676,
         $A$2:$A10491&gt;=A1676-20,
         $A$2:$A10491&lt;=A1676
       )
    ),
    ""VOL_SPIKE_3X"",""""
  ),
"""")
"),"")</f>
        <v/>
      </c>
      <c r="N1676" s="7" t="str">
        <f t="shared" si="6"/>
        <v/>
      </c>
      <c r="O1676" s="7" t="str">
        <f t="shared" si="7"/>
        <v/>
      </c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>
      <c r="A1677" s="5">
        <f>IFERROR(__xludf.DUMMYFUNCTION("""COMPUTED_VALUE"""),45800.0)</f>
        <v>45800</v>
      </c>
      <c r="B1677" s="6">
        <f>IFERROR(__xludf.DUMMYFUNCTION("""COMPUTED_VALUE"""),342.0)</f>
        <v>342</v>
      </c>
      <c r="C1677" s="6">
        <f>IFERROR(__xludf.DUMMYFUNCTION("""COMPUTED_VALUE"""),344.95)</f>
        <v>344.95</v>
      </c>
      <c r="D1677" s="6">
        <f>IFERROR(__xludf.DUMMYFUNCTION("""COMPUTED_VALUE"""),340.15)</f>
        <v>340.15</v>
      </c>
      <c r="E1677" s="6">
        <f>IFERROR(__xludf.DUMMYFUNCTION("""COMPUTED_VALUE"""),344.6)</f>
        <v>344.6</v>
      </c>
      <c r="F1677" s="7">
        <f>IFERROR(__xludf.DUMMYFUNCTION("""COMPUTED_VALUE"""),4045937.0)</f>
        <v>4045937</v>
      </c>
      <c r="G1677" s="7" t="str">
        <f>IFERROR(__xludf.DUMMYFUNCTION("""COMPUTED_VALUE"""),"NTPC.NS")</f>
        <v>NTPC.NS</v>
      </c>
      <c r="H1677" s="8">
        <f t="shared" si="1"/>
        <v>0.007602339181</v>
      </c>
      <c r="I1677" s="8">
        <f t="shared" si="2"/>
        <v>0.007602339181</v>
      </c>
      <c r="J1677" s="7" t="str">
        <f t="shared" si="3"/>
        <v>May-2025</v>
      </c>
      <c r="K1677" s="9">
        <f t="shared" si="4"/>
        <v>45778</v>
      </c>
      <c r="L1677" s="7" t="str">
        <f t="shared" si="5"/>
        <v/>
      </c>
      <c r="M1677" s="7" t="str">
        <f>IFERROR(__xludf.DUMMYFUNCTION("IFERROR(
  IF(
    F1677 &gt;
    3*AVERAGE(
       FILTER($F$2:$F10491,
         $G$2:$G10491=G1677,
         $A$2:$A10491&gt;=A1677-20,
         $A$2:$A10491&lt;=A1677
       )
    ),
    ""VOL_SPIKE_3X"",""""
  ),
"""")
"),"")</f>
        <v/>
      </c>
      <c r="N1677" s="7" t="str">
        <f t="shared" si="6"/>
        <v/>
      </c>
      <c r="O1677" s="7" t="str">
        <f t="shared" si="7"/>
        <v/>
      </c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>
      <c r="A1678" s="5">
        <f>IFERROR(__xludf.DUMMYFUNCTION("""COMPUTED_VALUE"""),45800.0)</f>
        <v>45800</v>
      </c>
      <c r="B1678" s="6">
        <f>IFERROR(__xludf.DUMMYFUNCTION("""COMPUTED_VALUE"""),242.5)</f>
        <v>242.5</v>
      </c>
      <c r="C1678" s="6">
        <f>IFERROR(__xludf.DUMMYFUNCTION("""COMPUTED_VALUE"""),244.68)</f>
        <v>244.68</v>
      </c>
      <c r="D1678" s="6">
        <f>IFERROR(__xludf.DUMMYFUNCTION("""COMPUTED_VALUE"""),240.15)</f>
        <v>240.15</v>
      </c>
      <c r="E1678" s="6">
        <f>IFERROR(__xludf.DUMMYFUNCTION("""COMPUTED_VALUE"""),244.24)</f>
        <v>244.24</v>
      </c>
      <c r="F1678" s="7">
        <f>IFERROR(__xludf.DUMMYFUNCTION("""COMPUTED_VALUE"""),8725218.0)</f>
        <v>8725218</v>
      </c>
      <c r="G1678" s="7" t="str">
        <f>IFERROR(__xludf.DUMMYFUNCTION("""COMPUTED_VALUE"""),"ONGC.NS")</f>
        <v>ONGC.NS</v>
      </c>
      <c r="H1678" s="8">
        <f t="shared" si="1"/>
        <v>0.007175257732</v>
      </c>
      <c r="I1678" s="8">
        <f t="shared" si="2"/>
        <v>0.007175257732</v>
      </c>
      <c r="J1678" s="7" t="str">
        <f t="shared" si="3"/>
        <v>May-2025</v>
      </c>
      <c r="K1678" s="9">
        <f t="shared" si="4"/>
        <v>45778</v>
      </c>
      <c r="L1678" s="7" t="str">
        <f t="shared" si="5"/>
        <v/>
      </c>
      <c r="M1678" s="7" t="str">
        <f>IFERROR(__xludf.DUMMYFUNCTION("IFERROR(
  IF(
    F1678 &gt;
    3*AVERAGE(
       FILTER($F$2:$F10491,
         $G$2:$G10491=G1678,
         $A$2:$A10491&gt;=A1678-20,
         $A$2:$A10491&lt;=A1678
       )
    ),
    ""VOL_SPIKE_3X"",""""
  ),
"""")
"),"")</f>
        <v/>
      </c>
      <c r="N1678" s="7" t="str">
        <f t="shared" si="6"/>
        <v/>
      </c>
      <c r="O1678" s="7" t="str">
        <f t="shared" si="7"/>
        <v/>
      </c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>
      <c r="A1679" s="5">
        <f>IFERROR(__xludf.DUMMYFUNCTION("""COMPUTED_VALUE"""),45800.0)</f>
        <v>45800</v>
      </c>
      <c r="B1679" s="6">
        <f>IFERROR(__xludf.DUMMYFUNCTION("""COMPUTED_VALUE"""),292.0)</f>
        <v>292</v>
      </c>
      <c r="C1679" s="6">
        <f>IFERROR(__xludf.DUMMYFUNCTION("""COMPUTED_VALUE"""),298.75)</f>
        <v>298.75</v>
      </c>
      <c r="D1679" s="6">
        <f>IFERROR(__xludf.DUMMYFUNCTION("""COMPUTED_VALUE"""),291.75)</f>
        <v>291.75</v>
      </c>
      <c r="E1679" s="6">
        <f>IFERROR(__xludf.DUMMYFUNCTION("""COMPUTED_VALUE"""),298.1)</f>
        <v>298.1</v>
      </c>
      <c r="F1679" s="7">
        <f>IFERROR(__xludf.DUMMYFUNCTION("""COMPUTED_VALUE"""),9872024.0)</f>
        <v>9872024</v>
      </c>
      <c r="G1679" s="7" t="str">
        <f>IFERROR(__xludf.DUMMYFUNCTION("""COMPUTED_VALUE"""),"POWERGRID.NS")</f>
        <v>POWERGRID.NS</v>
      </c>
      <c r="H1679" s="8">
        <f t="shared" si="1"/>
        <v>0.02089041096</v>
      </c>
      <c r="I1679" s="8">
        <f t="shared" si="2"/>
        <v>0.02089041096</v>
      </c>
      <c r="J1679" s="7" t="str">
        <f t="shared" si="3"/>
        <v>May-2025</v>
      </c>
      <c r="K1679" s="9">
        <f t="shared" si="4"/>
        <v>45778</v>
      </c>
      <c r="L1679" s="7" t="str">
        <f t="shared" si="5"/>
        <v/>
      </c>
      <c r="M1679" s="7" t="str">
        <f>IFERROR(__xludf.DUMMYFUNCTION("IFERROR(
  IF(
    F1679 &gt;
    3*AVERAGE(
       FILTER($F$2:$F10491,
         $G$2:$G10491=G1679,
         $A$2:$A10491&gt;=A1679-20,
         $A$2:$A10491&lt;=A1679
       )
    ),
    ""VOL_SPIKE_3X"",""""
  ),
"""")
"),"")</f>
        <v/>
      </c>
      <c r="N1679" s="7" t="str">
        <f t="shared" si="6"/>
        <v/>
      </c>
      <c r="O1679" s="7" t="str">
        <f t="shared" si="7"/>
        <v/>
      </c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>
      <c r="A1680" s="5">
        <f>IFERROR(__xludf.DUMMYFUNCTION("""COMPUTED_VALUE"""),45800.0)</f>
        <v>45800</v>
      </c>
      <c r="B1680" s="6">
        <f>IFERROR(__xludf.DUMMYFUNCTION("""COMPUTED_VALUE"""),1406.6)</f>
        <v>1406.6</v>
      </c>
      <c r="C1680" s="6">
        <f>IFERROR(__xludf.DUMMYFUNCTION("""COMPUTED_VALUE"""),1433.8)</f>
        <v>1433.8</v>
      </c>
      <c r="D1680" s="6">
        <f>IFERROR(__xludf.DUMMYFUNCTION("""COMPUTED_VALUE"""),1406.6)</f>
        <v>1406.6</v>
      </c>
      <c r="E1680" s="6">
        <f>IFERROR(__xludf.DUMMYFUNCTION("""COMPUTED_VALUE"""),1426.8)</f>
        <v>1426.8</v>
      </c>
      <c r="F1680" s="7">
        <f>IFERROR(__xludf.DUMMYFUNCTION("""COMPUTED_VALUE"""),6474883.0)</f>
        <v>6474883</v>
      </c>
      <c r="G1680" s="7" t="str">
        <f>IFERROR(__xludf.DUMMYFUNCTION("""COMPUTED_VALUE"""),"RELIANCE.NS")</f>
        <v>RELIANCE.NS</v>
      </c>
      <c r="H1680" s="8">
        <f t="shared" si="1"/>
        <v>0.01436087018</v>
      </c>
      <c r="I1680" s="8">
        <f t="shared" si="2"/>
        <v>0.01436087018</v>
      </c>
      <c r="J1680" s="7" t="str">
        <f t="shared" si="3"/>
        <v>May-2025</v>
      </c>
      <c r="K1680" s="9">
        <f t="shared" si="4"/>
        <v>45778</v>
      </c>
      <c r="L1680" s="7" t="str">
        <f t="shared" si="5"/>
        <v/>
      </c>
      <c r="M1680" s="7" t="str">
        <f>IFERROR(__xludf.DUMMYFUNCTION("IFERROR(
  IF(
    F1680 &gt;
    3*AVERAGE(
       FILTER($F$2:$F10491,
         $G$2:$G10491=G1680,
         $A$2:$A10491&gt;=A1680-20,
         $A$2:$A10491&lt;=A1680
       )
    ),
    ""VOL_SPIKE_3X"",""""
  ),
"""")
"),"")</f>
        <v/>
      </c>
      <c r="N1680" s="7" t="str">
        <f t="shared" si="6"/>
        <v/>
      </c>
      <c r="O1680" s="7" t="str">
        <f t="shared" si="7"/>
        <v/>
      </c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>
      <c r="A1681" s="5">
        <f>IFERROR(__xludf.DUMMYFUNCTION("""COMPUTED_VALUE"""),45803.0)</f>
        <v>45803</v>
      </c>
      <c r="B1681" s="6">
        <f>IFERROR(__xludf.DUMMYFUNCTION("""COMPUTED_VALUE"""),877.95)</f>
        <v>877.95</v>
      </c>
      <c r="C1681" s="6">
        <f>IFERROR(__xludf.DUMMYFUNCTION("""COMPUTED_VALUE"""),891.0)</f>
        <v>891</v>
      </c>
      <c r="D1681" s="6">
        <f>IFERROR(__xludf.DUMMYFUNCTION("""COMPUTED_VALUE"""),875.9)</f>
        <v>875.9</v>
      </c>
      <c r="E1681" s="6">
        <f>IFERROR(__xludf.DUMMYFUNCTION("""COMPUTED_VALUE"""),878.7)</f>
        <v>878.7</v>
      </c>
      <c r="F1681" s="7">
        <f>IFERROR(__xludf.DUMMYFUNCTION("""COMPUTED_VALUE"""),966027.0)</f>
        <v>966027</v>
      </c>
      <c r="G1681" s="7" t="str">
        <f>IFERROR(__xludf.DUMMYFUNCTION("""COMPUTED_VALUE"""),"ADANIENSOL.NS")</f>
        <v>ADANIENSOL.NS</v>
      </c>
      <c r="H1681" s="8">
        <f t="shared" si="1"/>
        <v>0.0008542627712</v>
      </c>
      <c r="I1681" s="8">
        <f t="shared" si="2"/>
        <v>0.0008542627712</v>
      </c>
      <c r="J1681" s="7" t="str">
        <f t="shared" si="3"/>
        <v>May-2025</v>
      </c>
      <c r="K1681" s="9">
        <f t="shared" si="4"/>
        <v>45778</v>
      </c>
      <c r="L1681" s="7" t="str">
        <f t="shared" si="5"/>
        <v/>
      </c>
      <c r="M1681" s="7" t="str">
        <f>IFERROR(__xludf.DUMMYFUNCTION("IFERROR(
  IF(
    F1681 &gt;
    3*AVERAGE(
       FILTER($F$2:$F10491,
         $G$2:$G10491=G1681,
         $A$2:$A10491&gt;=A1681-20,
         $A$2:$A10491&lt;=A1681
       )
    ),
    ""VOL_SPIKE_3X"",""""
  ),
"""")
"),"")</f>
        <v/>
      </c>
      <c r="N1681" s="7" t="str">
        <f t="shared" si="6"/>
        <v/>
      </c>
      <c r="O1681" s="7" t="str">
        <f t="shared" si="7"/>
        <v/>
      </c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>
      <c r="A1682" s="5">
        <f>IFERROR(__xludf.DUMMYFUNCTION("""COMPUTED_VALUE"""),45803.0)</f>
        <v>45803</v>
      </c>
      <c r="B1682" s="6">
        <f>IFERROR(__xludf.DUMMYFUNCTION("""COMPUTED_VALUE"""),997.0)</f>
        <v>997</v>
      </c>
      <c r="C1682" s="6">
        <f>IFERROR(__xludf.DUMMYFUNCTION("""COMPUTED_VALUE"""),1021.4)</f>
        <v>1021.4</v>
      </c>
      <c r="D1682" s="6">
        <f>IFERROR(__xludf.DUMMYFUNCTION("""COMPUTED_VALUE"""),993.3)</f>
        <v>993.3</v>
      </c>
      <c r="E1682" s="6">
        <f>IFERROR(__xludf.DUMMYFUNCTION("""COMPUTED_VALUE"""),1011.85)</f>
        <v>1011.85</v>
      </c>
      <c r="F1682" s="7">
        <f>IFERROR(__xludf.DUMMYFUNCTION("""COMPUTED_VALUE"""),3403161.0)</f>
        <v>3403161</v>
      </c>
      <c r="G1682" s="7" t="str">
        <f>IFERROR(__xludf.DUMMYFUNCTION("""COMPUTED_VALUE"""),"ADANIGREEN.NS")</f>
        <v>ADANIGREEN.NS</v>
      </c>
      <c r="H1682" s="8">
        <f t="shared" si="1"/>
        <v>0.01489468405</v>
      </c>
      <c r="I1682" s="8">
        <f t="shared" si="2"/>
        <v>0.01489468405</v>
      </c>
      <c r="J1682" s="7" t="str">
        <f t="shared" si="3"/>
        <v>May-2025</v>
      </c>
      <c r="K1682" s="9">
        <f t="shared" si="4"/>
        <v>45778</v>
      </c>
      <c r="L1682" s="7" t="str">
        <f t="shared" si="5"/>
        <v/>
      </c>
      <c r="M1682" s="7" t="str">
        <f>IFERROR(__xludf.DUMMYFUNCTION("IFERROR(
  IF(
    F1682 &gt;
    3*AVERAGE(
       FILTER($F$2:$F10491,
         $G$2:$G10491=G1682,
         $A$2:$A10491&gt;=A1682-20,
         $A$2:$A10491&lt;=A1682
       )
    ),
    ""VOL_SPIKE_3X"",""""
  ),
"""")
"),"")</f>
        <v/>
      </c>
      <c r="N1682" s="7" t="str">
        <f t="shared" si="6"/>
        <v/>
      </c>
      <c r="O1682" s="7" t="str">
        <f t="shared" si="7"/>
        <v/>
      </c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>
      <c r="A1683" s="5">
        <f>IFERROR(__xludf.DUMMYFUNCTION("""COMPUTED_VALUE"""),45803.0)</f>
        <v>45803</v>
      </c>
      <c r="B1683" s="6">
        <f>IFERROR(__xludf.DUMMYFUNCTION("""COMPUTED_VALUE"""),319.0)</f>
        <v>319</v>
      </c>
      <c r="C1683" s="6">
        <f>IFERROR(__xludf.DUMMYFUNCTION("""COMPUTED_VALUE"""),323.95)</f>
        <v>323.95</v>
      </c>
      <c r="D1683" s="6">
        <f>IFERROR(__xludf.DUMMYFUNCTION("""COMPUTED_VALUE"""),319.0)</f>
        <v>319</v>
      </c>
      <c r="E1683" s="6">
        <f>IFERROR(__xludf.DUMMYFUNCTION("""COMPUTED_VALUE"""),322.95)</f>
        <v>322.95</v>
      </c>
      <c r="F1683" s="7">
        <f>IFERROR(__xludf.DUMMYFUNCTION("""COMPUTED_VALUE"""),5050848.0)</f>
        <v>5050848</v>
      </c>
      <c r="G1683" s="7" t="str">
        <f>IFERROR(__xludf.DUMMYFUNCTION("""COMPUTED_VALUE"""),"BPCL.NS")</f>
        <v>BPCL.NS</v>
      </c>
      <c r="H1683" s="8">
        <f t="shared" si="1"/>
        <v>0.01238244514</v>
      </c>
      <c r="I1683" s="8">
        <f t="shared" si="2"/>
        <v>0.01238244514</v>
      </c>
      <c r="J1683" s="7" t="str">
        <f t="shared" si="3"/>
        <v>May-2025</v>
      </c>
      <c r="K1683" s="9">
        <f t="shared" si="4"/>
        <v>45778</v>
      </c>
      <c r="L1683" s="7" t="str">
        <f t="shared" si="5"/>
        <v/>
      </c>
      <c r="M1683" s="7" t="str">
        <f>IFERROR(__xludf.DUMMYFUNCTION("IFERROR(
  IF(
    F1683 &gt;
    3*AVERAGE(
       FILTER($F$2:$F10491,
         $G$2:$G10491=G1683,
         $A$2:$A10491&gt;=A1683-20,
         $A$2:$A10491&lt;=A1683
       )
    ),
    ""VOL_SPIKE_3X"",""""
  ),
"""")
"),"")</f>
        <v/>
      </c>
      <c r="N1683" s="7" t="str">
        <f t="shared" si="6"/>
        <v/>
      </c>
      <c r="O1683" s="7" t="str">
        <f t="shared" si="7"/>
        <v/>
      </c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>
      <c r="A1684" s="5">
        <f>IFERROR(__xludf.DUMMYFUNCTION("""COMPUTED_VALUE"""),45803.0)</f>
        <v>45803</v>
      </c>
      <c r="B1684" s="6">
        <f>IFERROR(__xludf.DUMMYFUNCTION("""COMPUTED_VALUE"""),402.55)</f>
        <v>402.55</v>
      </c>
      <c r="C1684" s="6">
        <f>IFERROR(__xludf.DUMMYFUNCTION("""COMPUTED_VALUE"""),405.8)</f>
        <v>405.8</v>
      </c>
      <c r="D1684" s="6">
        <f>IFERROR(__xludf.DUMMYFUNCTION("""COMPUTED_VALUE"""),401.75)</f>
        <v>401.75</v>
      </c>
      <c r="E1684" s="6">
        <f>IFERROR(__xludf.DUMMYFUNCTION("""COMPUTED_VALUE"""),402.7)</f>
        <v>402.7</v>
      </c>
      <c r="F1684" s="7">
        <f>IFERROR(__xludf.DUMMYFUNCTION("""COMPUTED_VALUE"""),6067873.0)</f>
        <v>6067873</v>
      </c>
      <c r="G1684" s="7" t="str">
        <f>IFERROR(__xludf.DUMMYFUNCTION("""COMPUTED_VALUE"""),"COALINDIA.NS")</f>
        <v>COALINDIA.NS</v>
      </c>
      <c r="H1684" s="8">
        <f t="shared" si="1"/>
        <v>0.0003726245187</v>
      </c>
      <c r="I1684" s="8">
        <f t="shared" si="2"/>
        <v>0.0003726245187</v>
      </c>
      <c r="J1684" s="7" t="str">
        <f t="shared" si="3"/>
        <v>May-2025</v>
      </c>
      <c r="K1684" s="9">
        <f t="shared" si="4"/>
        <v>45778</v>
      </c>
      <c r="L1684" s="7" t="str">
        <f t="shared" si="5"/>
        <v/>
      </c>
      <c r="M1684" s="7" t="str">
        <f>IFERROR(__xludf.DUMMYFUNCTION("IFERROR(
  IF(
    F1684 &gt;
    3*AVERAGE(
       FILTER($F$2:$F10491,
         $G$2:$G10491=G1684,
         $A$2:$A10491&gt;=A1684-20,
         $A$2:$A10491&lt;=A1684
       )
    ),
    ""VOL_SPIKE_3X"",""""
  ),
"""")
"),"")</f>
        <v/>
      </c>
      <c r="N1684" s="7" t="str">
        <f t="shared" si="6"/>
        <v/>
      </c>
      <c r="O1684" s="7" t="str">
        <f t="shared" si="7"/>
        <v/>
      </c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>
      <c r="A1685" s="5">
        <f>IFERROR(__xludf.DUMMYFUNCTION("""COMPUTED_VALUE"""),45803.0)</f>
        <v>45803</v>
      </c>
      <c r="B1685" s="6">
        <f>IFERROR(__xludf.DUMMYFUNCTION("""COMPUTED_VALUE"""),408.8)</f>
        <v>408.8</v>
      </c>
      <c r="C1685" s="6">
        <f>IFERROR(__xludf.DUMMYFUNCTION("""COMPUTED_VALUE"""),417.45)</f>
        <v>417.45</v>
      </c>
      <c r="D1685" s="6">
        <f>IFERROR(__xludf.DUMMYFUNCTION("""COMPUTED_VALUE"""),408.45)</f>
        <v>408.45</v>
      </c>
      <c r="E1685" s="6">
        <f>IFERROR(__xludf.DUMMYFUNCTION("""COMPUTED_VALUE"""),414.6)</f>
        <v>414.6</v>
      </c>
      <c r="F1685" s="7">
        <f>IFERROR(__xludf.DUMMYFUNCTION("""COMPUTED_VALUE"""),2976520.0)</f>
        <v>2976520</v>
      </c>
      <c r="G1685" s="7" t="str">
        <f>IFERROR(__xludf.DUMMYFUNCTION("""COMPUTED_VALUE"""),"HINDPETRO.NS")</f>
        <v>HINDPETRO.NS</v>
      </c>
      <c r="H1685" s="8">
        <f t="shared" si="1"/>
        <v>0.01418786693</v>
      </c>
      <c r="I1685" s="8">
        <f t="shared" si="2"/>
        <v>0.01418786693</v>
      </c>
      <c r="J1685" s="7" t="str">
        <f t="shared" si="3"/>
        <v>May-2025</v>
      </c>
      <c r="K1685" s="9">
        <f t="shared" si="4"/>
        <v>45778</v>
      </c>
      <c r="L1685" s="7" t="str">
        <f t="shared" si="5"/>
        <v/>
      </c>
      <c r="M1685" s="7" t="str">
        <f>IFERROR(__xludf.DUMMYFUNCTION("IFERROR(
  IF(
    F1685 &gt;
    3*AVERAGE(
       FILTER($F$2:$F10491,
         $G$2:$G10491=G1685,
         $A$2:$A10491&gt;=A1685-20,
         $A$2:$A10491&lt;=A1685
       )
    ),
    ""VOL_SPIKE_3X"",""""
  ),
"""")
"),"")</f>
        <v/>
      </c>
      <c r="N1685" s="7" t="str">
        <f t="shared" si="6"/>
        <v/>
      </c>
      <c r="O1685" s="7" t="str">
        <f t="shared" si="7"/>
        <v/>
      </c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>
      <c r="A1686" s="5">
        <f>IFERROR(__xludf.DUMMYFUNCTION("""COMPUTED_VALUE"""),45803.0)</f>
        <v>45803</v>
      </c>
      <c r="B1686" s="6">
        <f>IFERROR(__xludf.DUMMYFUNCTION("""COMPUTED_VALUE"""),144.06)</f>
        <v>144.06</v>
      </c>
      <c r="C1686" s="6">
        <f>IFERROR(__xludf.DUMMYFUNCTION("""COMPUTED_VALUE"""),144.72)</f>
        <v>144.72</v>
      </c>
      <c r="D1686" s="6">
        <f>IFERROR(__xludf.DUMMYFUNCTION("""COMPUTED_VALUE"""),142.9)</f>
        <v>142.9</v>
      </c>
      <c r="E1686" s="6">
        <f>IFERROR(__xludf.DUMMYFUNCTION("""COMPUTED_VALUE"""),143.58)</f>
        <v>143.58</v>
      </c>
      <c r="F1686" s="7">
        <f>IFERROR(__xludf.DUMMYFUNCTION("""COMPUTED_VALUE"""),5996548.0)</f>
        <v>5996548</v>
      </c>
      <c r="G1686" s="7" t="str">
        <f>IFERROR(__xludf.DUMMYFUNCTION("""COMPUTED_VALUE"""),"IOC.NS")</f>
        <v>IOC.NS</v>
      </c>
      <c r="H1686" s="8">
        <f t="shared" si="1"/>
        <v>-0.003331945023</v>
      </c>
      <c r="I1686" s="8">
        <f t="shared" si="2"/>
        <v>0.003331945023</v>
      </c>
      <c r="J1686" s="7" t="str">
        <f t="shared" si="3"/>
        <v>May-2025</v>
      </c>
      <c r="K1686" s="9">
        <f t="shared" si="4"/>
        <v>45778</v>
      </c>
      <c r="L1686" s="7" t="str">
        <f t="shared" si="5"/>
        <v/>
      </c>
      <c r="M1686" s="7" t="str">
        <f>IFERROR(__xludf.DUMMYFUNCTION("IFERROR(
  IF(
    F1686 &gt;
    3*AVERAGE(
       FILTER($F$2:$F10491,
         $G$2:$G10491=G1686,
         $A$2:$A10491&gt;=A1686-20,
         $A$2:$A10491&lt;=A1686
       )
    ),
    ""VOL_SPIKE_3X"",""""
  ),
"""")
"),"")</f>
        <v/>
      </c>
      <c r="N1686" s="7" t="str">
        <f t="shared" si="6"/>
        <v/>
      </c>
      <c r="O1686" s="7" t="str">
        <f t="shared" si="7"/>
        <v/>
      </c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>
      <c r="A1687" s="5">
        <f>IFERROR(__xludf.DUMMYFUNCTION("""COMPUTED_VALUE"""),45803.0)</f>
        <v>45803</v>
      </c>
      <c r="B1687" s="6">
        <f>IFERROR(__xludf.DUMMYFUNCTION("""COMPUTED_VALUE"""),351.0)</f>
        <v>351</v>
      </c>
      <c r="C1687" s="6">
        <f>IFERROR(__xludf.DUMMYFUNCTION("""COMPUTED_VALUE"""),351.2)</f>
        <v>351.2</v>
      </c>
      <c r="D1687" s="6">
        <f>IFERROR(__xludf.DUMMYFUNCTION("""COMPUTED_VALUE"""),342.55)</f>
        <v>342.55</v>
      </c>
      <c r="E1687" s="6">
        <f>IFERROR(__xludf.DUMMYFUNCTION("""COMPUTED_VALUE"""),343.5)</f>
        <v>343.5</v>
      </c>
      <c r="F1687" s="7">
        <f>IFERROR(__xludf.DUMMYFUNCTION("""COMPUTED_VALUE"""),1.6655082E7)</f>
        <v>16655082</v>
      </c>
      <c r="G1687" s="7" t="str">
        <f>IFERROR(__xludf.DUMMYFUNCTION("""COMPUTED_VALUE"""),"NTPC.NS")</f>
        <v>NTPC.NS</v>
      </c>
      <c r="H1687" s="8">
        <f t="shared" si="1"/>
        <v>-0.02136752137</v>
      </c>
      <c r="I1687" s="8">
        <f t="shared" si="2"/>
        <v>0.02136752137</v>
      </c>
      <c r="J1687" s="7" t="str">
        <f t="shared" si="3"/>
        <v>May-2025</v>
      </c>
      <c r="K1687" s="9">
        <f t="shared" si="4"/>
        <v>45778</v>
      </c>
      <c r="L1687" s="7" t="str">
        <f t="shared" si="5"/>
        <v/>
      </c>
      <c r="M1687" s="7" t="str">
        <f>IFERROR(__xludf.DUMMYFUNCTION("IFERROR(
  IF(
    F1687 &gt;
    3*AVERAGE(
       FILTER($F$2:$F10491,
         $G$2:$G10491=G1687,
         $A$2:$A10491&gt;=A1687-20,
         $A$2:$A10491&lt;=A1687
       )
    ),
    ""VOL_SPIKE_3X"",""""
  ),
"""")
"),"")</f>
        <v/>
      </c>
      <c r="N1687" s="7" t="str">
        <f t="shared" si="6"/>
        <v/>
      </c>
      <c r="O1687" s="7" t="str">
        <f t="shared" si="7"/>
        <v/>
      </c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>
      <c r="A1688" s="5">
        <f>IFERROR(__xludf.DUMMYFUNCTION("""COMPUTED_VALUE"""),45803.0)</f>
        <v>45803</v>
      </c>
      <c r="B1688" s="6">
        <f>IFERROR(__xludf.DUMMYFUNCTION("""COMPUTED_VALUE"""),245.3)</f>
        <v>245.3</v>
      </c>
      <c r="C1688" s="6">
        <f>IFERROR(__xludf.DUMMYFUNCTION("""COMPUTED_VALUE"""),247.13)</f>
        <v>247.13</v>
      </c>
      <c r="D1688" s="6">
        <f>IFERROR(__xludf.DUMMYFUNCTION("""COMPUTED_VALUE"""),244.81)</f>
        <v>244.81</v>
      </c>
      <c r="E1688" s="6">
        <f>IFERROR(__xludf.DUMMYFUNCTION("""COMPUTED_VALUE"""),245.94)</f>
        <v>245.94</v>
      </c>
      <c r="F1688" s="7">
        <f>IFERROR(__xludf.DUMMYFUNCTION("""COMPUTED_VALUE"""),7159571.0)</f>
        <v>7159571</v>
      </c>
      <c r="G1688" s="7" t="str">
        <f>IFERROR(__xludf.DUMMYFUNCTION("""COMPUTED_VALUE"""),"ONGC.NS")</f>
        <v>ONGC.NS</v>
      </c>
      <c r="H1688" s="8">
        <f t="shared" si="1"/>
        <v>0.002609050143</v>
      </c>
      <c r="I1688" s="8">
        <f t="shared" si="2"/>
        <v>0.002609050143</v>
      </c>
      <c r="J1688" s="7" t="str">
        <f t="shared" si="3"/>
        <v>May-2025</v>
      </c>
      <c r="K1688" s="9">
        <f t="shared" si="4"/>
        <v>45778</v>
      </c>
      <c r="L1688" s="7" t="str">
        <f t="shared" si="5"/>
        <v/>
      </c>
      <c r="M1688" s="7" t="str">
        <f>IFERROR(__xludf.DUMMYFUNCTION("IFERROR(
  IF(
    F1688 &gt;
    3*AVERAGE(
       FILTER($F$2:$F10491,
         $G$2:$G10491=G1688,
         $A$2:$A10491&gt;=A1688-20,
         $A$2:$A10491&lt;=A1688
       )
    ),
    ""VOL_SPIKE_3X"",""""
  ),
"""")
"),"")</f>
        <v/>
      </c>
      <c r="N1688" s="7" t="str">
        <f t="shared" si="6"/>
        <v/>
      </c>
      <c r="O1688" s="7" t="str">
        <f t="shared" si="7"/>
        <v/>
      </c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>
      <c r="A1689" s="5">
        <f>IFERROR(__xludf.DUMMYFUNCTION("""COMPUTED_VALUE"""),45803.0)</f>
        <v>45803</v>
      </c>
      <c r="B1689" s="6">
        <f>IFERROR(__xludf.DUMMYFUNCTION("""COMPUTED_VALUE"""),300.05)</f>
        <v>300.05</v>
      </c>
      <c r="C1689" s="6">
        <f>IFERROR(__xludf.DUMMYFUNCTION("""COMPUTED_VALUE"""),303.8)</f>
        <v>303.8</v>
      </c>
      <c r="D1689" s="6">
        <f>IFERROR(__xludf.DUMMYFUNCTION("""COMPUTED_VALUE"""),295.75)</f>
        <v>295.75</v>
      </c>
      <c r="E1689" s="6">
        <f>IFERROR(__xludf.DUMMYFUNCTION("""COMPUTED_VALUE"""),296.7)</f>
        <v>296.7</v>
      </c>
      <c r="F1689" s="7">
        <f>IFERROR(__xludf.DUMMYFUNCTION("""COMPUTED_VALUE"""),1.646913E7)</f>
        <v>16469130</v>
      </c>
      <c r="G1689" s="7" t="str">
        <f>IFERROR(__xludf.DUMMYFUNCTION("""COMPUTED_VALUE"""),"POWERGRID.NS")</f>
        <v>POWERGRID.NS</v>
      </c>
      <c r="H1689" s="8">
        <f t="shared" si="1"/>
        <v>-0.01116480587</v>
      </c>
      <c r="I1689" s="8">
        <f t="shared" si="2"/>
        <v>0.01116480587</v>
      </c>
      <c r="J1689" s="7" t="str">
        <f t="shared" si="3"/>
        <v>May-2025</v>
      </c>
      <c r="K1689" s="9">
        <f t="shared" si="4"/>
        <v>45778</v>
      </c>
      <c r="L1689" s="7" t="str">
        <f t="shared" si="5"/>
        <v/>
      </c>
      <c r="M1689" s="7" t="str">
        <f>IFERROR(__xludf.DUMMYFUNCTION("IFERROR(
  IF(
    F1689 &gt;
    3*AVERAGE(
       FILTER($F$2:$F10491,
         $G$2:$G10491=G1689,
         $A$2:$A10491&gt;=A1689-20,
         $A$2:$A10491&lt;=A1689
       )
    ),
    ""VOL_SPIKE_3X"",""""
  ),
"""")
"),"")</f>
        <v/>
      </c>
      <c r="N1689" s="7" t="str">
        <f t="shared" si="6"/>
        <v/>
      </c>
      <c r="O1689" s="7" t="str">
        <f t="shared" si="7"/>
        <v/>
      </c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>
      <c r="A1690" s="5">
        <f>IFERROR(__xludf.DUMMYFUNCTION("""COMPUTED_VALUE"""),45803.0)</f>
        <v>45803</v>
      </c>
      <c r="B1690" s="6">
        <f>IFERROR(__xludf.DUMMYFUNCTION("""COMPUTED_VALUE"""),1432.0)</f>
        <v>1432</v>
      </c>
      <c r="C1690" s="6">
        <f>IFERROR(__xludf.DUMMYFUNCTION("""COMPUTED_VALUE"""),1441.0)</f>
        <v>1441</v>
      </c>
      <c r="D1690" s="6">
        <f>IFERROR(__xludf.DUMMYFUNCTION("""COMPUTED_VALUE"""),1425.1)</f>
        <v>1425.1</v>
      </c>
      <c r="E1690" s="6">
        <f>IFERROR(__xludf.DUMMYFUNCTION("""COMPUTED_VALUE"""),1434.8)</f>
        <v>1434.8</v>
      </c>
      <c r="F1690" s="7">
        <f>IFERROR(__xludf.DUMMYFUNCTION("""COMPUTED_VALUE"""),4842944.0)</f>
        <v>4842944</v>
      </c>
      <c r="G1690" s="7" t="str">
        <f>IFERROR(__xludf.DUMMYFUNCTION("""COMPUTED_VALUE"""),"RELIANCE.NS")</f>
        <v>RELIANCE.NS</v>
      </c>
      <c r="H1690" s="8">
        <f t="shared" si="1"/>
        <v>0.001955307263</v>
      </c>
      <c r="I1690" s="8">
        <f t="shared" si="2"/>
        <v>0.001955307263</v>
      </c>
      <c r="J1690" s="7" t="str">
        <f t="shared" si="3"/>
        <v>May-2025</v>
      </c>
      <c r="K1690" s="9">
        <f t="shared" si="4"/>
        <v>45778</v>
      </c>
      <c r="L1690" s="7" t="str">
        <f t="shared" si="5"/>
        <v/>
      </c>
      <c r="M1690" s="7" t="str">
        <f>IFERROR(__xludf.DUMMYFUNCTION("IFERROR(
  IF(
    F1690 &gt;
    3*AVERAGE(
       FILTER($F$2:$F10491,
         $G$2:$G10491=G1690,
         $A$2:$A10491&gt;=A1690-20,
         $A$2:$A10491&lt;=A1690
       )
    ),
    ""VOL_SPIKE_3X"",""""
  ),
"""")
"),"")</f>
        <v/>
      </c>
      <c r="N1690" s="7" t="str">
        <f t="shared" si="6"/>
        <v/>
      </c>
      <c r="O1690" s="7" t="str">
        <f t="shared" si="7"/>
        <v/>
      </c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>
      <c r="A1691" s="5">
        <f>IFERROR(__xludf.DUMMYFUNCTION("""COMPUTED_VALUE"""),45804.0)</f>
        <v>45804</v>
      </c>
      <c r="B1691" s="6">
        <f>IFERROR(__xludf.DUMMYFUNCTION("""COMPUTED_VALUE"""),880.0)</f>
        <v>880</v>
      </c>
      <c r="C1691" s="6">
        <f>IFERROR(__xludf.DUMMYFUNCTION("""COMPUTED_VALUE"""),890.4)</f>
        <v>890.4</v>
      </c>
      <c r="D1691" s="6">
        <f>IFERROR(__xludf.DUMMYFUNCTION("""COMPUTED_VALUE"""),874.25)</f>
        <v>874.25</v>
      </c>
      <c r="E1691" s="6">
        <f>IFERROR(__xludf.DUMMYFUNCTION("""COMPUTED_VALUE"""),879.15)</f>
        <v>879.15</v>
      </c>
      <c r="F1691" s="7">
        <f>IFERROR(__xludf.DUMMYFUNCTION("""COMPUTED_VALUE"""),1772369.0)</f>
        <v>1772369</v>
      </c>
      <c r="G1691" s="7" t="str">
        <f>IFERROR(__xludf.DUMMYFUNCTION("""COMPUTED_VALUE"""),"ADANIENSOL.NS")</f>
        <v>ADANIENSOL.NS</v>
      </c>
      <c r="H1691" s="8">
        <f t="shared" si="1"/>
        <v>-0.0009659090909</v>
      </c>
      <c r="I1691" s="8">
        <f t="shared" si="2"/>
        <v>0.0009659090909</v>
      </c>
      <c r="J1691" s="7" t="str">
        <f t="shared" si="3"/>
        <v>May-2025</v>
      </c>
      <c r="K1691" s="9">
        <f t="shared" si="4"/>
        <v>45778</v>
      </c>
      <c r="L1691" s="7" t="str">
        <f t="shared" si="5"/>
        <v/>
      </c>
      <c r="M1691" s="7" t="str">
        <f>IFERROR(__xludf.DUMMYFUNCTION("IFERROR(
  IF(
    F1691 &gt;
    3*AVERAGE(
       FILTER($F$2:$F10491,
         $G$2:$G10491=G1691,
         $A$2:$A10491&gt;=A1691-20,
         $A$2:$A10491&lt;=A1691
       )
    ),
    ""VOL_SPIKE_3X"",""""
  ),
"""")
"),"")</f>
        <v/>
      </c>
      <c r="N1691" s="7" t="str">
        <f t="shared" si="6"/>
        <v/>
      </c>
      <c r="O1691" s="7" t="str">
        <f t="shared" si="7"/>
        <v/>
      </c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>
      <c r="A1692" s="5">
        <f>IFERROR(__xludf.DUMMYFUNCTION("""COMPUTED_VALUE"""),45804.0)</f>
        <v>45804</v>
      </c>
      <c r="B1692" s="6">
        <f>IFERROR(__xludf.DUMMYFUNCTION("""COMPUTED_VALUE"""),1011.5)</f>
        <v>1011.5</v>
      </c>
      <c r="C1692" s="6">
        <f>IFERROR(__xludf.DUMMYFUNCTION("""COMPUTED_VALUE"""),1022.5)</f>
        <v>1022.5</v>
      </c>
      <c r="D1692" s="6">
        <f>IFERROR(__xludf.DUMMYFUNCTION("""COMPUTED_VALUE"""),1001.0)</f>
        <v>1001</v>
      </c>
      <c r="E1692" s="6">
        <f>IFERROR(__xludf.DUMMYFUNCTION("""COMPUTED_VALUE"""),1013.0)</f>
        <v>1013</v>
      </c>
      <c r="F1692" s="7">
        <f>IFERROR(__xludf.DUMMYFUNCTION("""COMPUTED_VALUE"""),1740741.0)</f>
        <v>1740741</v>
      </c>
      <c r="G1692" s="7" t="str">
        <f>IFERROR(__xludf.DUMMYFUNCTION("""COMPUTED_VALUE"""),"ADANIGREEN.NS")</f>
        <v>ADANIGREEN.NS</v>
      </c>
      <c r="H1692" s="8">
        <f t="shared" si="1"/>
        <v>0.00148294612</v>
      </c>
      <c r="I1692" s="8">
        <f t="shared" si="2"/>
        <v>0.00148294612</v>
      </c>
      <c r="J1692" s="7" t="str">
        <f t="shared" si="3"/>
        <v>May-2025</v>
      </c>
      <c r="K1692" s="9">
        <f t="shared" si="4"/>
        <v>45778</v>
      </c>
      <c r="L1692" s="7" t="str">
        <f t="shared" si="5"/>
        <v/>
      </c>
      <c r="M1692" s="7" t="str">
        <f>IFERROR(__xludf.DUMMYFUNCTION("IFERROR(
  IF(
    F1692 &gt;
    3*AVERAGE(
       FILTER($F$2:$F10491,
         $G$2:$G10491=G1692,
         $A$2:$A10491&gt;=A1692-20,
         $A$2:$A10491&lt;=A1692
       )
    ),
    ""VOL_SPIKE_3X"",""""
  ),
"""")
"),"")</f>
        <v/>
      </c>
      <c r="N1692" s="7" t="str">
        <f t="shared" si="6"/>
        <v/>
      </c>
      <c r="O1692" s="7" t="str">
        <f t="shared" si="7"/>
        <v/>
      </c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>
      <c r="A1693" s="5">
        <f>IFERROR(__xludf.DUMMYFUNCTION("""COMPUTED_VALUE"""),45804.0)</f>
        <v>45804</v>
      </c>
      <c r="B1693" s="6">
        <f>IFERROR(__xludf.DUMMYFUNCTION("""COMPUTED_VALUE"""),322.9)</f>
        <v>322.9</v>
      </c>
      <c r="C1693" s="6">
        <f>IFERROR(__xludf.DUMMYFUNCTION("""COMPUTED_VALUE"""),322.9)</f>
        <v>322.9</v>
      </c>
      <c r="D1693" s="6">
        <f>IFERROR(__xludf.DUMMYFUNCTION("""COMPUTED_VALUE"""),315.5)</f>
        <v>315.5</v>
      </c>
      <c r="E1693" s="6">
        <f>IFERROR(__xludf.DUMMYFUNCTION("""COMPUTED_VALUE"""),317.0)</f>
        <v>317</v>
      </c>
      <c r="F1693" s="7">
        <f>IFERROR(__xludf.DUMMYFUNCTION("""COMPUTED_VALUE"""),4716473.0)</f>
        <v>4716473</v>
      </c>
      <c r="G1693" s="7" t="str">
        <f>IFERROR(__xludf.DUMMYFUNCTION("""COMPUTED_VALUE"""),"BPCL.NS")</f>
        <v>BPCL.NS</v>
      </c>
      <c r="H1693" s="8">
        <f t="shared" si="1"/>
        <v>-0.01827191081</v>
      </c>
      <c r="I1693" s="8">
        <f t="shared" si="2"/>
        <v>0.01827191081</v>
      </c>
      <c r="J1693" s="7" t="str">
        <f t="shared" si="3"/>
        <v>May-2025</v>
      </c>
      <c r="K1693" s="9">
        <f t="shared" si="4"/>
        <v>45778</v>
      </c>
      <c r="L1693" s="7" t="str">
        <f t="shared" si="5"/>
        <v/>
      </c>
      <c r="M1693" s="7" t="str">
        <f>IFERROR(__xludf.DUMMYFUNCTION("IFERROR(
  IF(
    F1693 &gt;
    3*AVERAGE(
       FILTER($F$2:$F10491,
         $G$2:$G10491=G1693,
         $A$2:$A10491&gt;=A1693-20,
         $A$2:$A10491&lt;=A1693
       )
    ),
    ""VOL_SPIKE_3X"",""""
  ),
"""")
"),"")</f>
        <v/>
      </c>
      <c r="N1693" s="7" t="str">
        <f t="shared" si="6"/>
        <v/>
      </c>
      <c r="O1693" s="7" t="str">
        <f t="shared" si="7"/>
        <v/>
      </c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>
      <c r="A1694" s="5">
        <f>IFERROR(__xludf.DUMMYFUNCTION("""COMPUTED_VALUE"""),45804.0)</f>
        <v>45804</v>
      </c>
      <c r="B1694" s="6">
        <f>IFERROR(__xludf.DUMMYFUNCTION("""COMPUTED_VALUE"""),402.5)</f>
        <v>402.5</v>
      </c>
      <c r="C1694" s="6">
        <f>IFERROR(__xludf.DUMMYFUNCTION("""COMPUTED_VALUE"""),403.55)</f>
        <v>403.55</v>
      </c>
      <c r="D1694" s="6">
        <f>IFERROR(__xludf.DUMMYFUNCTION("""COMPUTED_VALUE"""),398.3)</f>
        <v>398.3</v>
      </c>
      <c r="E1694" s="6">
        <f>IFERROR(__xludf.DUMMYFUNCTION("""COMPUTED_VALUE"""),399.95)</f>
        <v>399.95</v>
      </c>
      <c r="F1694" s="7">
        <f>IFERROR(__xludf.DUMMYFUNCTION("""COMPUTED_VALUE"""),6553758.0)</f>
        <v>6553758</v>
      </c>
      <c r="G1694" s="7" t="str">
        <f>IFERROR(__xludf.DUMMYFUNCTION("""COMPUTED_VALUE"""),"COALINDIA.NS")</f>
        <v>COALINDIA.NS</v>
      </c>
      <c r="H1694" s="8">
        <f t="shared" si="1"/>
        <v>-0.006335403727</v>
      </c>
      <c r="I1694" s="8">
        <f t="shared" si="2"/>
        <v>0.006335403727</v>
      </c>
      <c r="J1694" s="7" t="str">
        <f t="shared" si="3"/>
        <v>May-2025</v>
      </c>
      <c r="K1694" s="9">
        <f t="shared" si="4"/>
        <v>45778</v>
      </c>
      <c r="L1694" s="7" t="str">
        <f t="shared" si="5"/>
        <v/>
      </c>
      <c r="M1694" s="7" t="str">
        <f>IFERROR(__xludf.DUMMYFUNCTION("IFERROR(
  IF(
    F1694 &gt;
    3*AVERAGE(
       FILTER($F$2:$F10491,
         $G$2:$G10491=G1694,
         $A$2:$A10491&gt;=A1694-20,
         $A$2:$A10491&lt;=A1694
       )
    ),
    ""VOL_SPIKE_3X"",""""
  ),
"""")
"),"")</f>
        <v/>
      </c>
      <c r="N1694" s="7" t="str">
        <f t="shared" si="6"/>
        <v/>
      </c>
      <c r="O1694" s="7" t="str">
        <f t="shared" si="7"/>
        <v/>
      </c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>
      <c r="A1695" s="5">
        <f>IFERROR(__xludf.DUMMYFUNCTION("""COMPUTED_VALUE"""),45804.0)</f>
        <v>45804</v>
      </c>
      <c r="B1695" s="6">
        <f>IFERROR(__xludf.DUMMYFUNCTION("""COMPUTED_VALUE"""),414.95)</f>
        <v>414.95</v>
      </c>
      <c r="C1695" s="6">
        <f>IFERROR(__xludf.DUMMYFUNCTION("""COMPUTED_VALUE"""),415.55)</f>
        <v>415.55</v>
      </c>
      <c r="D1695" s="6">
        <f>IFERROR(__xludf.DUMMYFUNCTION("""COMPUTED_VALUE"""),406.3)</f>
        <v>406.3</v>
      </c>
      <c r="E1695" s="6">
        <f>IFERROR(__xludf.DUMMYFUNCTION("""COMPUTED_VALUE"""),412.15)</f>
        <v>412.15</v>
      </c>
      <c r="F1695" s="7">
        <f>IFERROR(__xludf.DUMMYFUNCTION("""COMPUTED_VALUE"""),4849935.0)</f>
        <v>4849935</v>
      </c>
      <c r="G1695" s="7" t="str">
        <f>IFERROR(__xludf.DUMMYFUNCTION("""COMPUTED_VALUE"""),"HINDPETRO.NS")</f>
        <v>HINDPETRO.NS</v>
      </c>
      <c r="H1695" s="8">
        <f t="shared" si="1"/>
        <v>-0.00674780094</v>
      </c>
      <c r="I1695" s="8">
        <f t="shared" si="2"/>
        <v>0.00674780094</v>
      </c>
      <c r="J1695" s="7" t="str">
        <f t="shared" si="3"/>
        <v>May-2025</v>
      </c>
      <c r="K1695" s="9">
        <f t="shared" si="4"/>
        <v>45778</v>
      </c>
      <c r="L1695" s="7" t="str">
        <f t="shared" si="5"/>
        <v/>
      </c>
      <c r="M1695" s="7" t="str">
        <f>IFERROR(__xludf.DUMMYFUNCTION("IFERROR(
  IF(
    F1695 &gt;
    3*AVERAGE(
       FILTER($F$2:$F10491,
         $G$2:$G10491=G1695,
         $A$2:$A10491&gt;=A1695-20,
         $A$2:$A10491&lt;=A1695
       )
    ),
    ""VOL_SPIKE_3X"",""""
  ),
"""")
"),"")</f>
        <v/>
      </c>
      <c r="N1695" s="7" t="str">
        <f t="shared" si="6"/>
        <v/>
      </c>
      <c r="O1695" s="7" t="str">
        <f t="shared" si="7"/>
        <v/>
      </c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>
      <c r="A1696" s="5">
        <f>IFERROR(__xludf.DUMMYFUNCTION("""COMPUTED_VALUE"""),45804.0)</f>
        <v>45804</v>
      </c>
      <c r="B1696" s="6">
        <f>IFERROR(__xludf.DUMMYFUNCTION("""COMPUTED_VALUE"""),143.58)</f>
        <v>143.58</v>
      </c>
      <c r="C1696" s="6">
        <f>IFERROR(__xludf.DUMMYFUNCTION("""COMPUTED_VALUE"""),144.12)</f>
        <v>144.12</v>
      </c>
      <c r="D1696" s="6">
        <f>IFERROR(__xludf.DUMMYFUNCTION("""COMPUTED_VALUE"""),142.5)</f>
        <v>142.5</v>
      </c>
      <c r="E1696" s="6">
        <f>IFERROR(__xludf.DUMMYFUNCTION("""COMPUTED_VALUE"""),143.41)</f>
        <v>143.41</v>
      </c>
      <c r="F1696" s="7">
        <f>IFERROR(__xludf.DUMMYFUNCTION("""COMPUTED_VALUE"""),4970656.0)</f>
        <v>4970656</v>
      </c>
      <c r="G1696" s="7" t="str">
        <f>IFERROR(__xludf.DUMMYFUNCTION("""COMPUTED_VALUE"""),"IOC.NS")</f>
        <v>IOC.NS</v>
      </c>
      <c r="H1696" s="8">
        <f t="shared" si="1"/>
        <v>-0.001184008915</v>
      </c>
      <c r="I1696" s="8">
        <f t="shared" si="2"/>
        <v>0.001184008915</v>
      </c>
      <c r="J1696" s="7" t="str">
        <f t="shared" si="3"/>
        <v>May-2025</v>
      </c>
      <c r="K1696" s="9">
        <f t="shared" si="4"/>
        <v>45778</v>
      </c>
      <c r="L1696" s="7" t="str">
        <f t="shared" si="5"/>
        <v/>
      </c>
      <c r="M1696" s="7" t="str">
        <f>IFERROR(__xludf.DUMMYFUNCTION("IFERROR(
  IF(
    F1696 &gt;
    3*AVERAGE(
       FILTER($F$2:$F10491,
         $G$2:$G10491=G1696,
         $A$2:$A10491&gt;=A1696-20,
         $A$2:$A10491&lt;=A1696
       )
    ),
    ""VOL_SPIKE_3X"",""""
  ),
"""")
"),"")</f>
        <v/>
      </c>
      <c r="N1696" s="7" t="str">
        <f t="shared" si="6"/>
        <v/>
      </c>
      <c r="O1696" s="7" t="str">
        <f t="shared" si="7"/>
        <v/>
      </c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>
      <c r="A1697" s="5">
        <f>IFERROR(__xludf.DUMMYFUNCTION("""COMPUTED_VALUE"""),45804.0)</f>
        <v>45804</v>
      </c>
      <c r="B1697" s="6">
        <f>IFERROR(__xludf.DUMMYFUNCTION("""COMPUTED_VALUE"""),344.0)</f>
        <v>344</v>
      </c>
      <c r="C1697" s="6">
        <f>IFERROR(__xludf.DUMMYFUNCTION("""COMPUTED_VALUE"""),344.5)</f>
        <v>344.5</v>
      </c>
      <c r="D1697" s="6">
        <f>IFERROR(__xludf.DUMMYFUNCTION("""COMPUTED_VALUE"""),336.8)</f>
        <v>336.8</v>
      </c>
      <c r="E1697" s="6">
        <f>IFERROR(__xludf.DUMMYFUNCTION("""COMPUTED_VALUE"""),338.55)</f>
        <v>338.55</v>
      </c>
      <c r="F1697" s="7">
        <f>IFERROR(__xludf.DUMMYFUNCTION("""COMPUTED_VALUE"""),2.493733E7)</f>
        <v>24937330</v>
      </c>
      <c r="G1697" s="7" t="str">
        <f>IFERROR(__xludf.DUMMYFUNCTION("""COMPUTED_VALUE"""),"NTPC.NS")</f>
        <v>NTPC.NS</v>
      </c>
      <c r="H1697" s="8">
        <f t="shared" si="1"/>
        <v>-0.01584302326</v>
      </c>
      <c r="I1697" s="8">
        <f t="shared" si="2"/>
        <v>0.01584302326</v>
      </c>
      <c r="J1697" s="7" t="str">
        <f t="shared" si="3"/>
        <v>May-2025</v>
      </c>
      <c r="K1697" s="9">
        <f t="shared" si="4"/>
        <v>45778</v>
      </c>
      <c r="L1697" s="7" t="str">
        <f t="shared" si="5"/>
        <v/>
      </c>
      <c r="M1697" s="7" t="str">
        <f>IFERROR(__xludf.DUMMYFUNCTION("IFERROR(
  IF(
    F1697 &gt;
    3*AVERAGE(
       FILTER($F$2:$F10491,
         $G$2:$G10491=G1697,
         $A$2:$A10491&gt;=A1697-20,
         $A$2:$A10491&lt;=A1697
       )
    ),
    ""VOL_SPIKE_3X"",""""
  ),
"""")
"),"")</f>
        <v/>
      </c>
      <c r="N1697" s="7" t="str">
        <f t="shared" si="6"/>
        <v/>
      </c>
      <c r="O1697" s="7" t="str">
        <f t="shared" si="7"/>
        <v/>
      </c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>
      <c r="A1698" s="5">
        <f>IFERROR(__xludf.DUMMYFUNCTION("""COMPUTED_VALUE"""),45804.0)</f>
        <v>45804</v>
      </c>
      <c r="B1698" s="6">
        <f>IFERROR(__xludf.DUMMYFUNCTION("""COMPUTED_VALUE"""),246.85)</f>
        <v>246.85</v>
      </c>
      <c r="C1698" s="6">
        <f>IFERROR(__xludf.DUMMYFUNCTION("""COMPUTED_VALUE"""),246.85)</f>
        <v>246.85</v>
      </c>
      <c r="D1698" s="6">
        <f>IFERROR(__xludf.DUMMYFUNCTION("""COMPUTED_VALUE"""),242.92)</f>
        <v>242.92</v>
      </c>
      <c r="E1698" s="6">
        <f>IFERROR(__xludf.DUMMYFUNCTION("""COMPUTED_VALUE"""),244.54)</f>
        <v>244.54</v>
      </c>
      <c r="F1698" s="7">
        <f>IFERROR(__xludf.DUMMYFUNCTION("""COMPUTED_VALUE"""),9712093.0)</f>
        <v>9712093</v>
      </c>
      <c r="G1698" s="7" t="str">
        <f>IFERROR(__xludf.DUMMYFUNCTION("""COMPUTED_VALUE"""),"ONGC.NS")</f>
        <v>ONGC.NS</v>
      </c>
      <c r="H1698" s="8">
        <f t="shared" si="1"/>
        <v>-0.009357909662</v>
      </c>
      <c r="I1698" s="8">
        <f t="shared" si="2"/>
        <v>0.009357909662</v>
      </c>
      <c r="J1698" s="7" t="str">
        <f t="shared" si="3"/>
        <v>May-2025</v>
      </c>
      <c r="K1698" s="9">
        <f t="shared" si="4"/>
        <v>45778</v>
      </c>
      <c r="L1698" s="7" t="str">
        <f t="shared" si="5"/>
        <v/>
      </c>
      <c r="M1698" s="7" t="str">
        <f>IFERROR(__xludf.DUMMYFUNCTION("IFERROR(
  IF(
    F1698 &gt;
    3*AVERAGE(
       FILTER($F$2:$F10491,
         $G$2:$G10491=G1698,
         $A$2:$A10491&gt;=A1698-20,
         $A$2:$A10491&lt;=A1698
       )
    ),
    ""VOL_SPIKE_3X"",""""
  ),
"""")
"),"")</f>
        <v/>
      </c>
      <c r="N1698" s="7" t="str">
        <f t="shared" si="6"/>
        <v/>
      </c>
      <c r="O1698" s="7" t="str">
        <f t="shared" si="7"/>
        <v/>
      </c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>
      <c r="A1699" s="5">
        <f>IFERROR(__xludf.DUMMYFUNCTION("""COMPUTED_VALUE"""),45804.0)</f>
        <v>45804</v>
      </c>
      <c r="B1699" s="6">
        <f>IFERROR(__xludf.DUMMYFUNCTION("""COMPUTED_VALUE"""),297.0)</f>
        <v>297</v>
      </c>
      <c r="C1699" s="6">
        <f>IFERROR(__xludf.DUMMYFUNCTION("""COMPUTED_VALUE"""),297.6)</f>
        <v>297.6</v>
      </c>
      <c r="D1699" s="6">
        <f>IFERROR(__xludf.DUMMYFUNCTION("""COMPUTED_VALUE"""),292.2)</f>
        <v>292.2</v>
      </c>
      <c r="E1699" s="6">
        <f>IFERROR(__xludf.DUMMYFUNCTION("""COMPUTED_VALUE"""),294.55)</f>
        <v>294.55</v>
      </c>
      <c r="F1699" s="7">
        <f>IFERROR(__xludf.DUMMYFUNCTION("""COMPUTED_VALUE"""),1.707471E7)</f>
        <v>17074710</v>
      </c>
      <c r="G1699" s="7" t="str">
        <f>IFERROR(__xludf.DUMMYFUNCTION("""COMPUTED_VALUE"""),"POWERGRID.NS")</f>
        <v>POWERGRID.NS</v>
      </c>
      <c r="H1699" s="8">
        <f t="shared" si="1"/>
        <v>-0.008249158249</v>
      </c>
      <c r="I1699" s="8">
        <f t="shared" si="2"/>
        <v>0.008249158249</v>
      </c>
      <c r="J1699" s="7" t="str">
        <f t="shared" si="3"/>
        <v>May-2025</v>
      </c>
      <c r="K1699" s="9">
        <f t="shared" si="4"/>
        <v>45778</v>
      </c>
      <c r="L1699" s="7" t="str">
        <f t="shared" si="5"/>
        <v/>
      </c>
      <c r="M1699" s="7" t="str">
        <f>IFERROR(__xludf.DUMMYFUNCTION("IFERROR(
  IF(
    F1699 &gt;
    3*AVERAGE(
       FILTER($F$2:$F10491,
         $G$2:$G10491=G1699,
         $A$2:$A10491&gt;=A1699-20,
         $A$2:$A10491&lt;=A1699
       )
    ),
    ""VOL_SPIKE_3X"",""""
  ),
"""")
"),"")</f>
        <v/>
      </c>
      <c r="N1699" s="7" t="str">
        <f t="shared" si="6"/>
        <v/>
      </c>
      <c r="O1699" s="7" t="str">
        <f t="shared" si="7"/>
        <v/>
      </c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>
      <c r="A1700" s="5">
        <f>IFERROR(__xludf.DUMMYFUNCTION("""COMPUTED_VALUE"""),45804.0)</f>
        <v>45804</v>
      </c>
      <c r="B1700" s="6">
        <f>IFERROR(__xludf.DUMMYFUNCTION("""COMPUTED_VALUE"""),1426.1)</f>
        <v>1426.1</v>
      </c>
      <c r="C1700" s="6">
        <f>IFERROR(__xludf.DUMMYFUNCTION("""COMPUTED_VALUE"""),1437.0)</f>
        <v>1437</v>
      </c>
      <c r="D1700" s="6">
        <f>IFERROR(__xludf.DUMMYFUNCTION("""COMPUTED_VALUE"""),1413.9)</f>
        <v>1413.9</v>
      </c>
      <c r="E1700" s="6">
        <f>IFERROR(__xludf.DUMMYFUNCTION("""COMPUTED_VALUE"""),1422.1)</f>
        <v>1422.1</v>
      </c>
      <c r="F1700" s="7">
        <f>IFERROR(__xludf.DUMMYFUNCTION("""COMPUTED_VALUE"""),1.2640414E7)</f>
        <v>12640414</v>
      </c>
      <c r="G1700" s="7" t="str">
        <f>IFERROR(__xludf.DUMMYFUNCTION("""COMPUTED_VALUE"""),"RELIANCE.NS")</f>
        <v>RELIANCE.NS</v>
      </c>
      <c r="H1700" s="8">
        <f t="shared" si="1"/>
        <v>-0.002804852395</v>
      </c>
      <c r="I1700" s="8">
        <f t="shared" si="2"/>
        <v>0.002804852395</v>
      </c>
      <c r="J1700" s="7" t="str">
        <f t="shared" si="3"/>
        <v>May-2025</v>
      </c>
      <c r="K1700" s="9">
        <f t="shared" si="4"/>
        <v>45778</v>
      </c>
      <c r="L1700" s="7" t="str">
        <f t="shared" si="5"/>
        <v/>
      </c>
      <c r="M1700" s="7" t="str">
        <f>IFERROR(__xludf.DUMMYFUNCTION("IFERROR(
  IF(
    F1700 &gt;
    3*AVERAGE(
       FILTER($F$2:$F10491,
         $G$2:$G10491=G1700,
         $A$2:$A10491&gt;=A1700-20,
         $A$2:$A10491&lt;=A1700
       )
    ),
    ""VOL_SPIKE_3X"",""""
  ),
"""")
"),"")</f>
        <v/>
      </c>
      <c r="N1700" s="7" t="str">
        <f t="shared" si="6"/>
        <v/>
      </c>
      <c r="O1700" s="7" t="str">
        <f t="shared" si="7"/>
        <v/>
      </c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>
      <c r="A1701" s="5">
        <f>IFERROR(__xludf.DUMMYFUNCTION("""COMPUTED_VALUE"""),45805.0)</f>
        <v>45805</v>
      </c>
      <c r="B1701" s="6">
        <f>IFERROR(__xludf.DUMMYFUNCTION("""COMPUTED_VALUE"""),881.8)</f>
        <v>881.8</v>
      </c>
      <c r="C1701" s="6">
        <f>IFERROR(__xludf.DUMMYFUNCTION("""COMPUTED_VALUE"""),890.85)</f>
        <v>890.85</v>
      </c>
      <c r="D1701" s="6">
        <f>IFERROR(__xludf.DUMMYFUNCTION("""COMPUTED_VALUE"""),865.75)</f>
        <v>865.75</v>
      </c>
      <c r="E1701" s="6">
        <f>IFERROR(__xludf.DUMMYFUNCTION("""COMPUTED_VALUE"""),869.0)</f>
        <v>869</v>
      </c>
      <c r="F1701" s="7">
        <f>IFERROR(__xludf.DUMMYFUNCTION("""COMPUTED_VALUE"""),990253.0)</f>
        <v>990253</v>
      </c>
      <c r="G1701" s="7" t="str">
        <f>IFERROR(__xludf.DUMMYFUNCTION("""COMPUTED_VALUE"""),"ADANIENSOL.NS")</f>
        <v>ADANIENSOL.NS</v>
      </c>
      <c r="H1701" s="8">
        <f t="shared" si="1"/>
        <v>-0.01451576321</v>
      </c>
      <c r="I1701" s="8">
        <f t="shared" si="2"/>
        <v>0.01451576321</v>
      </c>
      <c r="J1701" s="7" t="str">
        <f t="shared" si="3"/>
        <v>May-2025</v>
      </c>
      <c r="K1701" s="9">
        <f t="shared" si="4"/>
        <v>45778</v>
      </c>
      <c r="L1701" s="7" t="str">
        <f t="shared" si="5"/>
        <v/>
      </c>
      <c r="M1701" s="7" t="str">
        <f>IFERROR(__xludf.DUMMYFUNCTION("IFERROR(
  IF(
    F1701 &gt;
    3*AVERAGE(
       FILTER($F$2:$F10491,
         $G$2:$G10491=G1701,
         $A$2:$A10491&gt;=A1701-20,
         $A$2:$A10491&lt;=A1701
       )
    ),
    ""VOL_SPIKE_3X"",""""
  ),
"""")
"),"")</f>
        <v/>
      </c>
      <c r="N1701" s="7" t="str">
        <f t="shared" si="6"/>
        <v/>
      </c>
      <c r="O1701" s="7" t="str">
        <f t="shared" si="7"/>
        <v/>
      </c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>
      <c r="A1702" s="5">
        <f>IFERROR(__xludf.DUMMYFUNCTION("""COMPUTED_VALUE"""),45805.0)</f>
        <v>45805</v>
      </c>
      <c r="B1702" s="6">
        <f>IFERROR(__xludf.DUMMYFUNCTION("""COMPUTED_VALUE"""),1013.2)</f>
        <v>1013.2</v>
      </c>
      <c r="C1702" s="6">
        <f>IFERROR(__xludf.DUMMYFUNCTION("""COMPUTED_VALUE"""),1025.45)</f>
        <v>1025.45</v>
      </c>
      <c r="D1702" s="6">
        <f>IFERROR(__xludf.DUMMYFUNCTION("""COMPUTED_VALUE"""),999.6)</f>
        <v>999.6</v>
      </c>
      <c r="E1702" s="6">
        <f>IFERROR(__xludf.DUMMYFUNCTION("""COMPUTED_VALUE"""),1001.85)</f>
        <v>1001.85</v>
      </c>
      <c r="F1702" s="7">
        <f>IFERROR(__xludf.DUMMYFUNCTION("""COMPUTED_VALUE"""),2099725.0)</f>
        <v>2099725</v>
      </c>
      <c r="G1702" s="7" t="str">
        <f>IFERROR(__xludf.DUMMYFUNCTION("""COMPUTED_VALUE"""),"ADANIGREEN.NS")</f>
        <v>ADANIGREEN.NS</v>
      </c>
      <c r="H1702" s="8">
        <f t="shared" si="1"/>
        <v>-0.01120213186</v>
      </c>
      <c r="I1702" s="8">
        <f t="shared" si="2"/>
        <v>0.01120213186</v>
      </c>
      <c r="J1702" s="7" t="str">
        <f t="shared" si="3"/>
        <v>May-2025</v>
      </c>
      <c r="K1702" s="9">
        <f t="shared" si="4"/>
        <v>45778</v>
      </c>
      <c r="L1702" s="7" t="str">
        <f t="shared" si="5"/>
        <v/>
      </c>
      <c r="M1702" s="7" t="str">
        <f>IFERROR(__xludf.DUMMYFUNCTION("IFERROR(
  IF(
    F1702 &gt;
    3*AVERAGE(
       FILTER($F$2:$F10491,
         $G$2:$G10491=G1702,
         $A$2:$A10491&gt;=A1702-20,
         $A$2:$A10491&lt;=A1702
       )
    ),
    ""VOL_SPIKE_3X"",""""
  ),
"""")
"),"")</f>
        <v/>
      </c>
      <c r="N1702" s="7" t="str">
        <f t="shared" si="6"/>
        <v/>
      </c>
      <c r="O1702" s="7" t="str">
        <f t="shared" si="7"/>
        <v/>
      </c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>
      <c r="A1703" s="5">
        <f>IFERROR(__xludf.DUMMYFUNCTION("""COMPUTED_VALUE"""),45805.0)</f>
        <v>45805</v>
      </c>
      <c r="B1703" s="6">
        <f>IFERROR(__xludf.DUMMYFUNCTION("""COMPUTED_VALUE"""),317.0)</f>
        <v>317</v>
      </c>
      <c r="C1703" s="6">
        <f>IFERROR(__xludf.DUMMYFUNCTION("""COMPUTED_VALUE"""),322.6)</f>
        <v>322.6</v>
      </c>
      <c r="D1703" s="6">
        <f>IFERROR(__xludf.DUMMYFUNCTION("""COMPUTED_VALUE"""),313.75)</f>
        <v>313.75</v>
      </c>
      <c r="E1703" s="6">
        <f>IFERROR(__xludf.DUMMYFUNCTION("""COMPUTED_VALUE"""),321.7)</f>
        <v>321.7</v>
      </c>
      <c r="F1703" s="7">
        <f>IFERROR(__xludf.DUMMYFUNCTION("""COMPUTED_VALUE"""),7112876.0)</f>
        <v>7112876</v>
      </c>
      <c r="G1703" s="7" t="str">
        <f>IFERROR(__xludf.DUMMYFUNCTION("""COMPUTED_VALUE"""),"BPCL.NS")</f>
        <v>BPCL.NS</v>
      </c>
      <c r="H1703" s="8">
        <f t="shared" si="1"/>
        <v>0.01482649842</v>
      </c>
      <c r="I1703" s="8">
        <f t="shared" si="2"/>
        <v>0.01482649842</v>
      </c>
      <c r="J1703" s="7" t="str">
        <f t="shared" si="3"/>
        <v>May-2025</v>
      </c>
      <c r="K1703" s="9">
        <f t="shared" si="4"/>
        <v>45778</v>
      </c>
      <c r="L1703" s="7" t="str">
        <f t="shared" si="5"/>
        <v/>
      </c>
      <c r="M1703" s="7" t="str">
        <f>IFERROR(__xludf.DUMMYFUNCTION("IFERROR(
  IF(
    F1703 &gt;
    3*AVERAGE(
       FILTER($F$2:$F10491,
         $G$2:$G10491=G1703,
         $A$2:$A10491&gt;=A1703-20,
         $A$2:$A10491&lt;=A1703
       )
    ),
    ""VOL_SPIKE_3X"",""""
  ),
"""")
"),"")</f>
        <v/>
      </c>
      <c r="N1703" s="7" t="str">
        <f t="shared" si="6"/>
        <v/>
      </c>
      <c r="O1703" s="7" t="str">
        <f t="shared" si="7"/>
        <v/>
      </c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>
      <c r="A1704" s="5">
        <f>IFERROR(__xludf.DUMMYFUNCTION("""COMPUTED_VALUE"""),45805.0)</f>
        <v>45805</v>
      </c>
      <c r="B1704" s="6">
        <f>IFERROR(__xludf.DUMMYFUNCTION("""COMPUTED_VALUE"""),401.0)</f>
        <v>401</v>
      </c>
      <c r="C1704" s="6">
        <f>IFERROR(__xludf.DUMMYFUNCTION("""COMPUTED_VALUE"""),401.85)</f>
        <v>401.85</v>
      </c>
      <c r="D1704" s="6">
        <f>IFERROR(__xludf.DUMMYFUNCTION("""COMPUTED_VALUE"""),396.5)</f>
        <v>396.5</v>
      </c>
      <c r="E1704" s="6">
        <f>IFERROR(__xludf.DUMMYFUNCTION("""COMPUTED_VALUE"""),398.2)</f>
        <v>398.2</v>
      </c>
      <c r="F1704" s="7">
        <f>IFERROR(__xludf.DUMMYFUNCTION("""COMPUTED_VALUE"""),6002200.0)</f>
        <v>6002200</v>
      </c>
      <c r="G1704" s="7" t="str">
        <f>IFERROR(__xludf.DUMMYFUNCTION("""COMPUTED_VALUE"""),"COALINDIA.NS")</f>
        <v>COALINDIA.NS</v>
      </c>
      <c r="H1704" s="8">
        <f t="shared" si="1"/>
        <v>-0.006982543641</v>
      </c>
      <c r="I1704" s="8">
        <f t="shared" si="2"/>
        <v>0.006982543641</v>
      </c>
      <c r="J1704" s="7" t="str">
        <f t="shared" si="3"/>
        <v>May-2025</v>
      </c>
      <c r="K1704" s="9">
        <f t="shared" si="4"/>
        <v>45778</v>
      </c>
      <c r="L1704" s="7" t="str">
        <f t="shared" si="5"/>
        <v/>
      </c>
      <c r="M1704" s="7" t="str">
        <f>IFERROR(__xludf.DUMMYFUNCTION("IFERROR(
  IF(
    F1704 &gt;
    3*AVERAGE(
       FILTER($F$2:$F10491,
         $G$2:$G10491=G1704,
         $A$2:$A10491&gt;=A1704-20,
         $A$2:$A10491&lt;=A1704
       )
    ),
    ""VOL_SPIKE_3X"",""""
  ),
"""")
"),"")</f>
        <v/>
      </c>
      <c r="N1704" s="7" t="str">
        <f t="shared" si="6"/>
        <v/>
      </c>
      <c r="O1704" s="7" t="str">
        <f t="shared" si="7"/>
        <v/>
      </c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>
      <c r="A1705" s="5">
        <f>IFERROR(__xludf.DUMMYFUNCTION("""COMPUTED_VALUE"""),45805.0)</f>
        <v>45805</v>
      </c>
      <c r="B1705" s="6">
        <f>IFERROR(__xludf.DUMMYFUNCTION("""COMPUTED_VALUE"""),412.15)</f>
        <v>412.15</v>
      </c>
      <c r="C1705" s="6">
        <f>IFERROR(__xludf.DUMMYFUNCTION("""COMPUTED_VALUE"""),420.5)</f>
        <v>420.5</v>
      </c>
      <c r="D1705" s="6">
        <f>IFERROR(__xludf.DUMMYFUNCTION("""COMPUTED_VALUE"""),409.05)</f>
        <v>409.05</v>
      </c>
      <c r="E1705" s="6">
        <f>IFERROR(__xludf.DUMMYFUNCTION("""COMPUTED_VALUE"""),418.1)</f>
        <v>418.1</v>
      </c>
      <c r="F1705" s="7">
        <f>IFERROR(__xludf.DUMMYFUNCTION("""COMPUTED_VALUE"""),5630546.0)</f>
        <v>5630546</v>
      </c>
      <c r="G1705" s="7" t="str">
        <f>IFERROR(__xludf.DUMMYFUNCTION("""COMPUTED_VALUE"""),"HINDPETRO.NS")</f>
        <v>HINDPETRO.NS</v>
      </c>
      <c r="H1705" s="8">
        <f t="shared" si="1"/>
        <v>0.01443649157</v>
      </c>
      <c r="I1705" s="8">
        <f t="shared" si="2"/>
        <v>0.01443649157</v>
      </c>
      <c r="J1705" s="7" t="str">
        <f t="shared" si="3"/>
        <v>May-2025</v>
      </c>
      <c r="K1705" s="9">
        <f t="shared" si="4"/>
        <v>45778</v>
      </c>
      <c r="L1705" s="7" t="str">
        <f t="shared" si="5"/>
        <v/>
      </c>
      <c r="M1705" s="7" t="str">
        <f>IFERROR(__xludf.DUMMYFUNCTION("IFERROR(
  IF(
    F1705 &gt;
    3*AVERAGE(
       FILTER($F$2:$F10491,
         $G$2:$G10491=G1705,
         $A$2:$A10491&gt;=A1705-20,
         $A$2:$A10491&lt;=A1705
       )
    ),
    ""VOL_SPIKE_3X"",""""
  ),
"""")
"),"")</f>
        <v/>
      </c>
      <c r="N1705" s="7" t="str">
        <f t="shared" si="6"/>
        <v/>
      </c>
      <c r="O1705" s="7" t="str">
        <f t="shared" si="7"/>
        <v/>
      </c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>
      <c r="A1706" s="5">
        <f>IFERROR(__xludf.DUMMYFUNCTION("""COMPUTED_VALUE"""),45805.0)</f>
        <v>45805</v>
      </c>
      <c r="B1706" s="6">
        <f>IFERROR(__xludf.DUMMYFUNCTION("""COMPUTED_VALUE"""),143.39)</f>
        <v>143.39</v>
      </c>
      <c r="C1706" s="6">
        <f>IFERROR(__xludf.DUMMYFUNCTION("""COMPUTED_VALUE"""),144.45)</f>
        <v>144.45</v>
      </c>
      <c r="D1706" s="6">
        <f>IFERROR(__xludf.DUMMYFUNCTION("""COMPUTED_VALUE"""),142.71)</f>
        <v>142.71</v>
      </c>
      <c r="E1706" s="6">
        <f>IFERROR(__xludf.DUMMYFUNCTION("""COMPUTED_VALUE"""),144.2)</f>
        <v>144.2</v>
      </c>
      <c r="F1706" s="7">
        <f>IFERROR(__xludf.DUMMYFUNCTION("""COMPUTED_VALUE"""),6390053.0)</f>
        <v>6390053</v>
      </c>
      <c r="G1706" s="7" t="str">
        <f>IFERROR(__xludf.DUMMYFUNCTION("""COMPUTED_VALUE"""),"IOC.NS")</f>
        <v>IOC.NS</v>
      </c>
      <c r="H1706" s="8">
        <f t="shared" si="1"/>
        <v>0.005648929493</v>
      </c>
      <c r="I1706" s="8">
        <f t="shared" si="2"/>
        <v>0.005648929493</v>
      </c>
      <c r="J1706" s="7" t="str">
        <f t="shared" si="3"/>
        <v>May-2025</v>
      </c>
      <c r="K1706" s="9">
        <f t="shared" si="4"/>
        <v>45778</v>
      </c>
      <c r="L1706" s="7" t="str">
        <f t="shared" si="5"/>
        <v/>
      </c>
      <c r="M1706" s="7" t="str">
        <f>IFERROR(__xludf.DUMMYFUNCTION("IFERROR(
  IF(
    F1706 &gt;
    3*AVERAGE(
       FILTER($F$2:$F10491,
         $G$2:$G10491=G1706,
         $A$2:$A10491&gt;=A1706-20,
         $A$2:$A10491&lt;=A1706
       )
    ),
    ""VOL_SPIKE_3X"",""""
  ),
"""")
"),"")</f>
        <v/>
      </c>
      <c r="N1706" s="7" t="str">
        <f t="shared" si="6"/>
        <v/>
      </c>
      <c r="O1706" s="7" t="str">
        <f t="shared" si="7"/>
        <v/>
      </c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>
      <c r="A1707" s="5">
        <f>IFERROR(__xludf.DUMMYFUNCTION("""COMPUTED_VALUE"""),45805.0)</f>
        <v>45805</v>
      </c>
      <c r="B1707" s="6">
        <f>IFERROR(__xludf.DUMMYFUNCTION("""COMPUTED_VALUE"""),338.6)</f>
        <v>338.6</v>
      </c>
      <c r="C1707" s="6">
        <f>IFERROR(__xludf.DUMMYFUNCTION("""COMPUTED_VALUE"""),340.7)</f>
        <v>340.7</v>
      </c>
      <c r="D1707" s="6">
        <f>IFERROR(__xludf.DUMMYFUNCTION("""COMPUTED_VALUE"""),337.1)</f>
        <v>337.1</v>
      </c>
      <c r="E1707" s="6">
        <f>IFERROR(__xludf.DUMMYFUNCTION("""COMPUTED_VALUE"""),340.05)</f>
        <v>340.05</v>
      </c>
      <c r="F1707" s="7">
        <f>IFERROR(__xludf.DUMMYFUNCTION("""COMPUTED_VALUE"""),1.0985957E7)</f>
        <v>10985957</v>
      </c>
      <c r="G1707" s="7" t="str">
        <f>IFERROR(__xludf.DUMMYFUNCTION("""COMPUTED_VALUE"""),"NTPC.NS")</f>
        <v>NTPC.NS</v>
      </c>
      <c r="H1707" s="8">
        <f t="shared" si="1"/>
        <v>0.004282339043</v>
      </c>
      <c r="I1707" s="8">
        <f t="shared" si="2"/>
        <v>0.004282339043</v>
      </c>
      <c r="J1707" s="7" t="str">
        <f t="shared" si="3"/>
        <v>May-2025</v>
      </c>
      <c r="K1707" s="9">
        <f t="shared" si="4"/>
        <v>45778</v>
      </c>
      <c r="L1707" s="7" t="str">
        <f t="shared" si="5"/>
        <v/>
      </c>
      <c r="M1707" s="7" t="str">
        <f>IFERROR(__xludf.DUMMYFUNCTION("IFERROR(
  IF(
    F1707 &gt;
    3*AVERAGE(
       FILTER($F$2:$F10491,
         $G$2:$G10491=G1707,
         $A$2:$A10491&gt;=A1707-20,
         $A$2:$A10491&lt;=A1707
       )
    ),
    ""VOL_SPIKE_3X"",""""
  ),
"""")
"),"")</f>
        <v/>
      </c>
      <c r="N1707" s="7" t="str">
        <f t="shared" si="6"/>
        <v/>
      </c>
      <c r="O1707" s="7" t="str">
        <f t="shared" si="7"/>
        <v/>
      </c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>
      <c r="A1708" s="5">
        <f>IFERROR(__xludf.DUMMYFUNCTION("""COMPUTED_VALUE"""),45805.0)</f>
        <v>45805</v>
      </c>
      <c r="B1708" s="6">
        <f>IFERROR(__xludf.DUMMYFUNCTION("""COMPUTED_VALUE"""),244.64)</f>
        <v>244.64</v>
      </c>
      <c r="C1708" s="6">
        <f>IFERROR(__xludf.DUMMYFUNCTION("""COMPUTED_VALUE"""),245.34)</f>
        <v>245.34</v>
      </c>
      <c r="D1708" s="6">
        <f>IFERROR(__xludf.DUMMYFUNCTION("""COMPUTED_VALUE"""),241.3)</f>
        <v>241.3</v>
      </c>
      <c r="E1708" s="6">
        <f>IFERROR(__xludf.DUMMYFUNCTION("""COMPUTED_VALUE"""),242.67)</f>
        <v>242.67</v>
      </c>
      <c r="F1708" s="7">
        <f>IFERROR(__xludf.DUMMYFUNCTION("""COMPUTED_VALUE"""),7385958.0)</f>
        <v>7385958</v>
      </c>
      <c r="G1708" s="7" t="str">
        <f>IFERROR(__xludf.DUMMYFUNCTION("""COMPUTED_VALUE"""),"ONGC.NS")</f>
        <v>ONGC.NS</v>
      </c>
      <c r="H1708" s="8">
        <f t="shared" si="1"/>
        <v>-0.00805264879</v>
      </c>
      <c r="I1708" s="8">
        <f t="shared" si="2"/>
        <v>0.00805264879</v>
      </c>
      <c r="J1708" s="7" t="str">
        <f t="shared" si="3"/>
        <v>May-2025</v>
      </c>
      <c r="K1708" s="9">
        <f t="shared" si="4"/>
        <v>45778</v>
      </c>
      <c r="L1708" s="7" t="str">
        <f t="shared" si="5"/>
        <v/>
      </c>
      <c r="M1708" s="7" t="str">
        <f>IFERROR(__xludf.DUMMYFUNCTION("IFERROR(
  IF(
    F1708 &gt;
    3*AVERAGE(
       FILTER($F$2:$F10491,
         $G$2:$G10491=G1708,
         $A$2:$A10491&gt;=A1708-20,
         $A$2:$A10491&lt;=A1708
       )
    ),
    ""VOL_SPIKE_3X"",""""
  ),
"""")
"),"")</f>
        <v/>
      </c>
      <c r="N1708" s="7" t="str">
        <f t="shared" si="6"/>
        <v/>
      </c>
      <c r="O1708" s="7" t="str">
        <f t="shared" si="7"/>
        <v/>
      </c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>
      <c r="A1709" s="5">
        <f>IFERROR(__xludf.DUMMYFUNCTION("""COMPUTED_VALUE"""),45805.0)</f>
        <v>45805</v>
      </c>
      <c r="B1709" s="6">
        <f>IFERROR(__xludf.DUMMYFUNCTION("""COMPUTED_VALUE"""),294.55)</f>
        <v>294.55</v>
      </c>
      <c r="C1709" s="6">
        <f>IFERROR(__xludf.DUMMYFUNCTION("""COMPUTED_VALUE"""),295.65)</f>
        <v>295.65</v>
      </c>
      <c r="D1709" s="6">
        <f>IFERROR(__xludf.DUMMYFUNCTION("""COMPUTED_VALUE"""),290.5)</f>
        <v>290.5</v>
      </c>
      <c r="E1709" s="6">
        <f>IFERROR(__xludf.DUMMYFUNCTION("""COMPUTED_VALUE"""),291.15)</f>
        <v>291.15</v>
      </c>
      <c r="F1709" s="7">
        <f>IFERROR(__xludf.DUMMYFUNCTION("""COMPUTED_VALUE"""),1.0099453E7)</f>
        <v>10099453</v>
      </c>
      <c r="G1709" s="7" t="str">
        <f>IFERROR(__xludf.DUMMYFUNCTION("""COMPUTED_VALUE"""),"POWERGRID.NS")</f>
        <v>POWERGRID.NS</v>
      </c>
      <c r="H1709" s="8">
        <f t="shared" si="1"/>
        <v>-0.01154303174</v>
      </c>
      <c r="I1709" s="8">
        <f t="shared" si="2"/>
        <v>0.01154303174</v>
      </c>
      <c r="J1709" s="7" t="str">
        <f t="shared" si="3"/>
        <v>May-2025</v>
      </c>
      <c r="K1709" s="9">
        <f t="shared" si="4"/>
        <v>45778</v>
      </c>
      <c r="L1709" s="7" t="str">
        <f t="shared" si="5"/>
        <v/>
      </c>
      <c r="M1709" s="7" t="str">
        <f>IFERROR(__xludf.DUMMYFUNCTION("IFERROR(
  IF(
    F1709 &gt;
    3*AVERAGE(
       FILTER($F$2:$F10491,
         $G$2:$G10491=G1709,
         $A$2:$A10491&gt;=A1709-20,
         $A$2:$A10491&lt;=A1709
       )
    ),
    ""VOL_SPIKE_3X"",""""
  ),
"""")
"),"")</f>
        <v/>
      </c>
      <c r="N1709" s="7" t="str">
        <f t="shared" si="6"/>
        <v/>
      </c>
      <c r="O1709" s="7" t="str">
        <f t="shared" si="7"/>
        <v/>
      </c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>
      <c r="A1710" s="5">
        <f>IFERROR(__xludf.DUMMYFUNCTION("""COMPUTED_VALUE"""),45805.0)</f>
        <v>45805</v>
      </c>
      <c r="B1710" s="6">
        <f>IFERROR(__xludf.DUMMYFUNCTION("""COMPUTED_VALUE"""),1420.1)</f>
        <v>1420.1</v>
      </c>
      <c r="C1710" s="6">
        <f>IFERROR(__xludf.DUMMYFUNCTION("""COMPUTED_VALUE"""),1422.6)</f>
        <v>1422.6</v>
      </c>
      <c r="D1710" s="6">
        <f>IFERROR(__xludf.DUMMYFUNCTION("""COMPUTED_VALUE"""),1410.7)</f>
        <v>1410.7</v>
      </c>
      <c r="E1710" s="6">
        <f>IFERROR(__xludf.DUMMYFUNCTION("""COMPUTED_VALUE"""),1412.9)</f>
        <v>1412.9</v>
      </c>
      <c r="F1710" s="7">
        <f>IFERROR(__xludf.DUMMYFUNCTION("""COMPUTED_VALUE"""),5944611.0)</f>
        <v>5944611</v>
      </c>
      <c r="G1710" s="7" t="str">
        <f>IFERROR(__xludf.DUMMYFUNCTION("""COMPUTED_VALUE"""),"RELIANCE.NS")</f>
        <v>RELIANCE.NS</v>
      </c>
      <c r="H1710" s="8">
        <f t="shared" si="1"/>
        <v>-0.005070065488</v>
      </c>
      <c r="I1710" s="8">
        <f t="shared" si="2"/>
        <v>0.005070065488</v>
      </c>
      <c r="J1710" s="7" t="str">
        <f t="shared" si="3"/>
        <v>May-2025</v>
      </c>
      <c r="K1710" s="9">
        <f t="shared" si="4"/>
        <v>45778</v>
      </c>
      <c r="L1710" s="7" t="str">
        <f t="shared" si="5"/>
        <v/>
      </c>
      <c r="M1710" s="7" t="str">
        <f>IFERROR(__xludf.DUMMYFUNCTION("IFERROR(
  IF(
    F1710 &gt;
    3*AVERAGE(
       FILTER($F$2:$F10491,
         $G$2:$G10491=G1710,
         $A$2:$A10491&gt;=A1710-20,
         $A$2:$A10491&lt;=A1710
       )
    ),
    ""VOL_SPIKE_3X"",""""
  ),
"""")
"),"")</f>
        <v/>
      </c>
      <c r="N1710" s="7" t="str">
        <f t="shared" si="6"/>
        <v/>
      </c>
      <c r="O1710" s="7" t="str">
        <f t="shared" si="7"/>
        <v/>
      </c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>
      <c r="A1711" s="5">
        <f>IFERROR(__xludf.DUMMYFUNCTION("""COMPUTED_VALUE"""),45806.0)</f>
        <v>45806</v>
      </c>
      <c r="B1711" s="6">
        <f>IFERROR(__xludf.DUMMYFUNCTION("""COMPUTED_VALUE"""),877.7)</f>
        <v>877.7</v>
      </c>
      <c r="C1711" s="6">
        <f>IFERROR(__xludf.DUMMYFUNCTION("""COMPUTED_VALUE"""),898.2)</f>
        <v>898.2</v>
      </c>
      <c r="D1711" s="6">
        <f>IFERROR(__xludf.DUMMYFUNCTION("""COMPUTED_VALUE"""),869.4)</f>
        <v>869.4</v>
      </c>
      <c r="E1711" s="6">
        <f>IFERROR(__xludf.DUMMYFUNCTION("""COMPUTED_VALUE"""),880.95)</f>
        <v>880.95</v>
      </c>
      <c r="F1711" s="7">
        <f>IFERROR(__xludf.DUMMYFUNCTION("""COMPUTED_VALUE"""),2045238.0)</f>
        <v>2045238</v>
      </c>
      <c r="G1711" s="7" t="str">
        <f>IFERROR(__xludf.DUMMYFUNCTION("""COMPUTED_VALUE"""),"ADANIENSOL.NS")</f>
        <v>ADANIENSOL.NS</v>
      </c>
      <c r="H1711" s="8">
        <f t="shared" si="1"/>
        <v>0.003702859747</v>
      </c>
      <c r="I1711" s="8">
        <f t="shared" si="2"/>
        <v>0.003702859747</v>
      </c>
      <c r="J1711" s="7" t="str">
        <f t="shared" si="3"/>
        <v>May-2025</v>
      </c>
      <c r="K1711" s="9">
        <f t="shared" si="4"/>
        <v>45778</v>
      </c>
      <c r="L1711" s="7" t="str">
        <f t="shared" si="5"/>
        <v/>
      </c>
      <c r="M1711" s="7" t="str">
        <f>IFERROR(__xludf.DUMMYFUNCTION("IFERROR(
  IF(
    F1711 &gt;
    3*AVERAGE(
       FILTER($F$2:$F10491,
         $G$2:$G10491=G1711,
         $A$2:$A10491&gt;=A1711-20,
         $A$2:$A10491&lt;=A1711
       )
    ),
    ""VOL_SPIKE_3X"",""""
  ),
"""")
"),"")</f>
        <v/>
      </c>
      <c r="N1711" s="7" t="str">
        <f t="shared" si="6"/>
        <v/>
      </c>
      <c r="O1711" s="7" t="str">
        <f t="shared" si="7"/>
        <v/>
      </c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>
      <c r="A1712" s="5">
        <f>IFERROR(__xludf.DUMMYFUNCTION("""COMPUTED_VALUE"""),45806.0)</f>
        <v>45806</v>
      </c>
      <c r="B1712" s="6">
        <f>IFERROR(__xludf.DUMMYFUNCTION("""COMPUTED_VALUE"""),1009.2)</f>
        <v>1009.2</v>
      </c>
      <c r="C1712" s="6">
        <f>IFERROR(__xludf.DUMMYFUNCTION("""COMPUTED_VALUE"""),1027.0)</f>
        <v>1027</v>
      </c>
      <c r="D1712" s="6">
        <f>IFERROR(__xludf.DUMMYFUNCTION("""COMPUTED_VALUE"""),1000.55)</f>
        <v>1000.55</v>
      </c>
      <c r="E1712" s="6">
        <f>IFERROR(__xludf.DUMMYFUNCTION("""COMPUTED_VALUE"""),1019.05)</f>
        <v>1019.05</v>
      </c>
      <c r="F1712" s="7">
        <f>IFERROR(__xludf.DUMMYFUNCTION("""COMPUTED_VALUE"""),2700851.0)</f>
        <v>2700851</v>
      </c>
      <c r="G1712" s="7" t="str">
        <f>IFERROR(__xludf.DUMMYFUNCTION("""COMPUTED_VALUE"""),"ADANIGREEN.NS")</f>
        <v>ADANIGREEN.NS</v>
      </c>
      <c r="H1712" s="8">
        <f t="shared" si="1"/>
        <v>0.009760206104</v>
      </c>
      <c r="I1712" s="8">
        <f t="shared" si="2"/>
        <v>0.009760206104</v>
      </c>
      <c r="J1712" s="7" t="str">
        <f t="shared" si="3"/>
        <v>May-2025</v>
      </c>
      <c r="K1712" s="9">
        <f t="shared" si="4"/>
        <v>45778</v>
      </c>
      <c r="L1712" s="7" t="str">
        <f t="shared" si="5"/>
        <v/>
      </c>
      <c r="M1712" s="7" t="str">
        <f>IFERROR(__xludf.DUMMYFUNCTION("IFERROR(
  IF(
    F1712 &gt;
    3*AVERAGE(
       FILTER($F$2:$F10491,
         $G$2:$G10491=G1712,
         $A$2:$A10491&gt;=A1712-20,
         $A$2:$A10491&lt;=A1712
       )
    ),
    ""VOL_SPIKE_3X"",""""
  ),
"""")
"),"")</f>
        <v/>
      </c>
      <c r="N1712" s="7" t="str">
        <f t="shared" si="6"/>
        <v/>
      </c>
      <c r="O1712" s="7" t="str">
        <f t="shared" si="7"/>
        <v/>
      </c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>
      <c r="A1713" s="5">
        <f>IFERROR(__xludf.DUMMYFUNCTION("""COMPUTED_VALUE"""),45806.0)</f>
        <v>45806</v>
      </c>
      <c r="B1713" s="6">
        <f>IFERROR(__xludf.DUMMYFUNCTION("""COMPUTED_VALUE"""),321.2)</f>
        <v>321.2</v>
      </c>
      <c r="C1713" s="6">
        <f>IFERROR(__xludf.DUMMYFUNCTION("""COMPUTED_VALUE"""),322.55)</f>
        <v>322.55</v>
      </c>
      <c r="D1713" s="6">
        <f>IFERROR(__xludf.DUMMYFUNCTION("""COMPUTED_VALUE"""),317.6)</f>
        <v>317.6</v>
      </c>
      <c r="E1713" s="6">
        <f>IFERROR(__xludf.DUMMYFUNCTION("""COMPUTED_VALUE"""),319.15)</f>
        <v>319.15</v>
      </c>
      <c r="F1713" s="7">
        <f>IFERROR(__xludf.DUMMYFUNCTION("""COMPUTED_VALUE"""),4000772.0)</f>
        <v>4000772</v>
      </c>
      <c r="G1713" s="7" t="str">
        <f>IFERROR(__xludf.DUMMYFUNCTION("""COMPUTED_VALUE"""),"BPCL.NS")</f>
        <v>BPCL.NS</v>
      </c>
      <c r="H1713" s="8">
        <f t="shared" si="1"/>
        <v>-0.006382316314</v>
      </c>
      <c r="I1713" s="8">
        <f t="shared" si="2"/>
        <v>0.006382316314</v>
      </c>
      <c r="J1713" s="7" t="str">
        <f t="shared" si="3"/>
        <v>May-2025</v>
      </c>
      <c r="K1713" s="9">
        <f t="shared" si="4"/>
        <v>45778</v>
      </c>
      <c r="L1713" s="7" t="str">
        <f t="shared" si="5"/>
        <v/>
      </c>
      <c r="M1713" s="7" t="str">
        <f>IFERROR(__xludf.DUMMYFUNCTION("IFERROR(
  IF(
    F1713 &gt;
    3*AVERAGE(
       FILTER($F$2:$F10491,
         $G$2:$G10491=G1713,
         $A$2:$A10491&gt;=A1713-20,
         $A$2:$A10491&lt;=A1713
       )
    ),
    ""VOL_SPIKE_3X"",""""
  ),
"""")
"),"")</f>
        <v/>
      </c>
      <c r="N1713" s="7" t="str">
        <f t="shared" si="6"/>
        <v/>
      </c>
      <c r="O1713" s="7" t="str">
        <f t="shared" si="7"/>
        <v/>
      </c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>
      <c r="A1714" s="5">
        <f>IFERROR(__xludf.DUMMYFUNCTION("""COMPUTED_VALUE"""),45806.0)</f>
        <v>45806</v>
      </c>
      <c r="B1714" s="6">
        <f>IFERROR(__xludf.DUMMYFUNCTION("""COMPUTED_VALUE"""),400.0)</f>
        <v>400</v>
      </c>
      <c r="C1714" s="6">
        <f>IFERROR(__xludf.DUMMYFUNCTION("""COMPUTED_VALUE"""),401.2)</f>
        <v>401.2</v>
      </c>
      <c r="D1714" s="6">
        <f>IFERROR(__xludf.DUMMYFUNCTION("""COMPUTED_VALUE"""),397.0)</f>
        <v>397</v>
      </c>
      <c r="E1714" s="6">
        <f>IFERROR(__xludf.DUMMYFUNCTION("""COMPUTED_VALUE"""),398.2)</f>
        <v>398.2</v>
      </c>
      <c r="F1714" s="7">
        <f>IFERROR(__xludf.DUMMYFUNCTION("""COMPUTED_VALUE"""),7724668.0)</f>
        <v>7724668</v>
      </c>
      <c r="G1714" s="7" t="str">
        <f>IFERROR(__xludf.DUMMYFUNCTION("""COMPUTED_VALUE"""),"COALINDIA.NS")</f>
        <v>COALINDIA.NS</v>
      </c>
      <c r="H1714" s="8">
        <f t="shared" si="1"/>
        <v>-0.0045</v>
      </c>
      <c r="I1714" s="8">
        <f t="shared" si="2"/>
        <v>0.0045</v>
      </c>
      <c r="J1714" s="7" t="str">
        <f t="shared" si="3"/>
        <v>May-2025</v>
      </c>
      <c r="K1714" s="9">
        <f t="shared" si="4"/>
        <v>45778</v>
      </c>
      <c r="L1714" s="7" t="str">
        <f t="shared" si="5"/>
        <v/>
      </c>
      <c r="M1714" s="7" t="str">
        <f>IFERROR(__xludf.DUMMYFUNCTION("IFERROR(
  IF(
    F1714 &gt;
    3*AVERAGE(
       FILTER($F$2:$F10491,
         $G$2:$G10491=G1714,
         $A$2:$A10491&gt;=A1714-20,
         $A$2:$A10491&lt;=A1714
       )
    ),
    ""VOL_SPIKE_3X"",""""
  ),
"""")
"),"")</f>
        <v/>
      </c>
      <c r="N1714" s="7" t="str">
        <f t="shared" si="6"/>
        <v/>
      </c>
      <c r="O1714" s="7" t="str">
        <f t="shared" si="7"/>
        <v/>
      </c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>
      <c r="A1715" s="5">
        <f>IFERROR(__xludf.DUMMYFUNCTION("""COMPUTED_VALUE"""),45806.0)</f>
        <v>45806</v>
      </c>
      <c r="B1715" s="6">
        <f>IFERROR(__xludf.DUMMYFUNCTION("""COMPUTED_VALUE"""),418.85)</f>
        <v>418.85</v>
      </c>
      <c r="C1715" s="6">
        <f>IFERROR(__xludf.DUMMYFUNCTION("""COMPUTED_VALUE"""),419.15)</f>
        <v>419.15</v>
      </c>
      <c r="D1715" s="6">
        <f>IFERROR(__xludf.DUMMYFUNCTION("""COMPUTED_VALUE"""),412.6)</f>
        <v>412.6</v>
      </c>
      <c r="E1715" s="6">
        <f>IFERROR(__xludf.DUMMYFUNCTION("""COMPUTED_VALUE"""),414.75)</f>
        <v>414.75</v>
      </c>
      <c r="F1715" s="7">
        <f>IFERROR(__xludf.DUMMYFUNCTION("""COMPUTED_VALUE"""),3108847.0)</f>
        <v>3108847</v>
      </c>
      <c r="G1715" s="7" t="str">
        <f>IFERROR(__xludf.DUMMYFUNCTION("""COMPUTED_VALUE"""),"HINDPETRO.NS")</f>
        <v>HINDPETRO.NS</v>
      </c>
      <c r="H1715" s="8">
        <f t="shared" si="1"/>
        <v>-0.009788707174</v>
      </c>
      <c r="I1715" s="8">
        <f t="shared" si="2"/>
        <v>0.009788707174</v>
      </c>
      <c r="J1715" s="7" t="str">
        <f t="shared" si="3"/>
        <v>May-2025</v>
      </c>
      <c r="K1715" s="9">
        <f t="shared" si="4"/>
        <v>45778</v>
      </c>
      <c r="L1715" s="7" t="str">
        <f t="shared" si="5"/>
        <v/>
      </c>
      <c r="M1715" s="7" t="str">
        <f>IFERROR(__xludf.DUMMYFUNCTION("IFERROR(
  IF(
    F1715 &gt;
    3*AVERAGE(
       FILTER($F$2:$F10491,
         $G$2:$G10491=G1715,
         $A$2:$A10491&gt;=A1715-20,
         $A$2:$A10491&lt;=A1715
       )
    ),
    ""VOL_SPIKE_3X"",""""
  ),
"""")
"),"")</f>
        <v/>
      </c>
      <c r="N1715" s="7" t="str">
        <f t="shared" si="6"/>
        <v/>
      </c>
      <c r="O1715" s="7" t="str">
        <f t="shared" si="7"/>
        <v/>
      </c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>
      <c r="A1716" s="5">
        <f>IFERROR(__xludf.DUMMYFUNCTION("""COMPUTED_VALUE"""),45806.0)</f>
        <v>45806</v>
      </c>
      <c r="B1716" s="6">
        <f>IFERROR(__xludf.DUMMYFUNCTION("""COMPUTED_VALUE"""),144.25)</f>
        <v>144.25</v>
      </c>
      <c r="C1716" s="6">
        <f>IFERROR(__xludf.DUMMYFUNCTION("""COMPUTED_VALUE"""),144.83)</f>
        <v>144.83</v>
      </c>
      <c r="D1716" s="6">
        <f>IFERROR(__xludf.DUMMYFUNCTION("""COMPUTED_VALUE"""),142.62)</f>
        <v>142.62</v>
      </c>
      <c r="E1716" s="6">
        <f>IFERROR(__xludf.DUMMYFUNCTION("""COMPUTED_VALUE"""),143.7)</f>
        <v>143.7</v>
      </c>
      <c r="F1716" s="7">
        <f>IFERROR(__xludf.DUMMYFUNCTION("""COMPUTED_VALUE"""),7054326.0)</f>
        <v>7054326</v>
      </c>
      <c r="G1716" s="7" t="str">
        <f>IFERROR(__xludf.DUMMYFUNCTION("""COMPUTED_VALUE"""),"IOC.NS")</f>
        <v>IOC.NS</v>
      </c>
      <c r="H1716" s="8">
        <f t="shared" si="1"/>
        <v>-0.003812824957</v>
      </c>
      <c r="I1716" s="8">
        <f t="shared" si="2"/>
        <v>0.003812824957</v>
      </c>
      <c r="J1716" s="7" t="str">
        <f t="shared" si="3"/>
        <v>May-2025</v>
      </c>
      <c r="K1716" s="9">
        <f t="shared" si="4"/>
        <v>45778</v>
      </c>
      <c r="L1716" s="7" t="str">
        <f t="shared" si="5"/>
        <v/>
      </c>
      <c r="M1716" s="7" t="str">
        <f>IFERROR(__xludf.DUMMYFUNCTION("IFERROR(
  IF(
    F1716 &gt;
    3*AVERAGE(
       FILTER($F$2:$F10491,
         $G$2:$G10491=G1716,
         $A$2:$A10491&gt;=A1716-20,
         $A$2:$A10491&lt;=A1716
       )
    ),
    ""VOL_SPIKE_3X"",""""
  ),
"""")
"),"")</f>
        <v/>
      </c>
      <c r="N1716" s="7" t="str">
        <f t="shared" si="6"/>
        <v/>
      </c>
      <c r="O1716" s="7" t="str">
        <f t="shared" si="7"/>
        <v/>
      </c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>
      <c r="A1717" s="5">
        <f>IFERROR(__xludf.DUMMYFUNCTION("""COMPUTED_VALUE"""),45806.0)</f>
        <v>45806</v>
      </c>
      <c r="B1717" s="6">
        <f>IFERROR(__xludf.DUMMYFUNCTION("""COMPUTED_VALUE"""),341.0)</f>
        <v>341</v>
      </c>
      <c r="C1717" s="6">
        <f>IFERROR(__xludf.DUMMYFUNCTION("""COMPUTED_VALUE"""),342.25)</f>
        <v>342.25</v>
      </c>
      <c r="D1717" s="6">
        <f>IFERROR(__xludf.DUMMYFUNCTION("""COMPUTED_VALUE"""),338.05)</f>
        <v>338.05</v>
      </c>
      <c r="E1717" s="6">
        <f>IFERROR(__xludf.DUMMYFUNCTION("""COMPUTED_VALUE"""),339.35)</f>
        <v>339.35</v>
      </c>
      <c r="F1717" s="7">
        <f>IFERROR(__xludf.DUMMYFUNCTION("""COMPUTED_VALUE"""),1.5884093E7)</f>
        <v>15884093</v>
      </c>
      <c r="G1717" s="7" t="str">
        <f>IFERROR(__xludf.DUMMYFUNCTION("""COMPUTED_VALUE"""),"NTPC.NS")</f>
        <v>NTPC.NS</v>
      </c>
      <c r="H1717" s="8">
        <f t="shared" si="1"/>
        <v>-0.004838709677</v>
      </c>
      <c r="I1717" s="8">
        <f t="shared" si="2"/>
        <v>0.004838709677</v>
      </c>
      <c r="J1717" s="7" t="str">
        <f t="shared" si="3"/>
        <v>May-2025</v>
      </c>
      <c r="K1717" s="9">
        <f t="shared" si="4"/>
        <v>45778</v>
      </c>
      <c r="L1717" s="7" t="str">
        <f t="shared" si="5"/>
        <v/>
      </c>
      <c r="M1717" s="7" t="str">
        <f>IFERROR(__xludf.DUMMYFUNCTION("IFERROR(
  IF(
    F1717 &gt;
    3*AVERAGE(
       FILTER($F$2:$F10491,
         $G$2:$G10491=G1717,
         $A$2:$A10491&gt;=A1717-20,
         $A$2:$A10491&lt;=A1717
       )
    ),
    ""VOL_SPIKE_3X"",""""
  ),
"""")
"),"")</f>
        <v/>
      </c>
      <c r="N1717" s="7" t="str">
        <f t="shared" si="6"/>
        <v/>
      </c>
      <c r="O1717" s="7" t="str">
        <f t="shared" si="7"/>
        <v/>
      </c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>
      <c r="A1718" s="5">
        <f>IFERROR(__xludf.DUMMYFUNCTION("""COMPUTED_VALUE"""),45806.0)</f>
        <v>45806</v>
      </c>
      <c r="B1718" s="6">
        <f>IFERROR(__xludf.DUMMYFUNCTION("""COMPUTED_VALUE"""),243.6)</f>
        <v>243.6</v>
      </c>
      <c r="C1718" s="6">
        <f>IFERROR(__xludf.DUMMYFUNCTION("""COMPUTED_VALUE"""),244.6)</f>
        <v>244.6</v>
      </c>
      <c r="D1718" s="6">
        <f>IFERROR(__xludf.DUMMYFUNCTION("""COMPUTED_VALUE"""),241.35)</f>
        <v>241.35</v>
      </c>
      <c r="E1718" s="6">
        <f>IFERROR(__xludf.DUMMYFUNCTION("""COMPUTED_VALUE"""),243.04)</f>
        <v>243.04</v>
      </c>
      <c r="F1718" s="7">
        <f>IFERROR(__xludf.DUMMYFUNCTION("""COMPUTED_VALUE"""),1.2938112E7)</f>
        <v>12938112</v>
      </c>
      <c r="G1718" s="7" t="str">
        <f>IFERROR(__xludf.DUMMYFUNCTION("""COMPUTED_VALUE"""),"ONGC.NS")</f>
        <v>ONGC.NS</v>
      </c>
      <c r="H1718" s="8">
        <f t="shared" si="1"/>
        <v>-0.002298850575</v>
      </c>
      <c r="I1718" s="8">
        <f t="shared" si="2"/>
        <v>0.002298850575</v>
      </c>
      <c r="J1718" s="7" t="str">
        <f t="shared" si="3"/>
        <v>May-2025</v>
      </c>
      <c r="K1718" s="9">
        <f t="shared" si="4"/>
        <v>45778</v>
      </c>
      <c r="L1718" s="7" t="str">
        <f t="shared" si="5"/>
        <v/>
      </c>
      <c r="M1718" s="7" t="str">
        <f>IFERROR(__xludf.DUMMYFUNCTION("IFERROR(
  IF(
    F1718 &gt;
    3*AVERAGE(
       FILTER($F$2:$F10491,
         $G$2:$G10491=G1718,
         $A$2:$A10491&gt;=A1718-20,
         $A$2:$A10491&lt;=A1718
       )
    ),
    ""VOL_SPIKE_3X"",""""
  ),
"""")
"),"")</f>
        <v/>
      </c>
      <c r="N1718" s="7" t="str">
        <f t="shared" si="6"/>
        <v/>
      </c>
      <c r="O1718" s="7" t="str">
        <f t="shared" si="7"/>
        <v/>
      </c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>
      <c r="A1719" s="5">
        <f>IFERROR(__xludf.DUMMYFUNCTION("""COMPUTED_VALUE"""),45806.0)</f>
        <v>45806</v>
      </c>
      <c r="B1719" s="6">
        <f>IFERROR(__xludf.DUMMYFUNCTION("""COMPUTED_VALUE"""),291.35)</f>
        <v>291.35</v>
      </c>
      <c r="C1719" s="6">
        <f>IFERROR(__xludf.DUMMYFUNCTION("""COMPUTED_VALUE"""),293.9)</f>
        <v>293.9</v>
      </c>
      <c r="D1719" s="6">
        <f>IFERROR(__xludf.DUMMYFUNCTION("""COMPUTED_VALUE"""),291.35)</f>
        <v>291.35</v>
      </c>
      <c r="E1719" s="6">
        <f>IFERROR(__xludf.DUMMYFUNCTION("""COMPUTED_VALUE"""),293.1)</f>
        <v>293.1</v>
      </c>
      <c r="F1719" s="7">
        <f>IFERROR(__xludf.DUMMYFUNCTION("""COMPUTED_VALUE"""),9773818.0)</f>
        <v>9773818</v>
      </c>
      <c r="G1719" s="7" t="str">
        <f>IFERROR(__xludf.DUMMYFUNCTION("""COMPUTED_VALUE"""),"POWERGRID.NS")</f>
        <v>POWERGRID.NS</v>
      </c>
      <c r="H1719" s="8">
        <f t="shared" si="1"/>
        <v>0.006006521366</v>
      </c>
      <c r="I1719" s="8">
        <f t="shared" si="2"/>
        <v>0.006006521366</v>
      </c>
      <c r="J1719" s="7" t="str">
        <f t="shared" si="3"/>
        <v>May-2025</v>
      </c>
      <c r="K1719" s="9">
        <f t="shared" si="4"/>
        <v>45778</v>
      </c>
      <c r="L1719" s="7" t="str">
        <f t="shared" si="5"/>
        <v/>
      </c>
      <c r="M1719" s="7" t="str">
        <f>IFERROR(__xludf.DUMMYFUNCTION("IFERROR(
  IF(
    F1719 &gt;
    3*AVERAGE(
       FILTER($F$2:$F10491,
         $G$2:$G10491=G1719,
         $A$2:$A10491&gt;=A1719-20,
         $A$2:$A10491&lt;=A1719
       )
    ),
    ""VOL_SPIKE_3X"",""""
  ),
"""")
"),"")</f>
        <v/>
      </c>
      <c r="N1719" s="7" t="str">
        <f t="shared" si="6"/>
        <v/>
      </c>
      <c r="O1719" s="7" t="str">
        <f t="shared" si="7"/>
        <v/>
      </c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>
      <c r="A1720" s="5">
        <f>IFERROR(__xludf.DUMMYFUNCTION("""COMPUTED_VALUE"""),45806.0)</f>
        <v>45806</v>
      </c>
      <c r="B1720" s="6">
        <f>IFERROR(__xludf.DUMMYFUNCTION("""COMPUTED_VALUE"""),1412.1)</f>
        <v>1412.1</v>
      </c>
      <c r="C1720" s="6">
        <f>IFERROR(__xludf.DUMMYFUNCTION("""COMPUTED_VALUE"""),1420.0)</f>
        <v>1420</v>
      </c>
      <c r="D1720" s="6">
        <f>IFERROR(__xludf.DUMMYFUNCTION("""COMPUTED_VALUE"""),1408.6)</f>
        <v>1408.6</v>
      </c>
      <c r="E1720" s="6">
        <f>IFERROR(__xludf.DUMMYFUNCTION("""COMPUTED_VALUE"""),1417.8)</f>
        <v>1417.8</v>
      </c>
      <c r="F1720" s="7">
        <f>IFERROR(__xludf.DUMMYFUNCTION("""COMPUTED_VALUE"""),1.3771917E7)</f>
        <v>13771917</v>
      </c>
      <c r="G1720" s="7" t="str">
        <f>IFERROR(__xludf.DUMMYFUNCTION("""COMPUTED_VALUE"""),"RELIANCE.NS")</f>
        <v>RELIANCE.NS</v>
      </c>
      <c r="H1720" s="8">
        <f t="shared" si="1"/>
        <v>0.004036541321</v>
      </c>
      <c r="I1720" s="8">
        <f t="shared" si="2"/>
        <v>0.004036541321</v>
      </c>
      <c r="J1720" s="7" t="str">
        <f t="shared" si="3"/>
        <v>May-2025</v>
      </c>
      <c r="K1720" s="9">
        <f t="shared" si="4"/>
        <v>45778</v>
      </c>
      <c r="L1720" s="7" t="str">
        <f t="shared" si="5"/>
        <v/>
      </c>
      <c r="M1720" s="7" t="str">
        <f>IFERROR(__xludf.DUMMYFUNCTION("IFERROR(
  IF(
    F1720 &gt;
    3*AVERAGE(
       FILTER($F$2:$F10491,
         $G$2:$G10491=G1720,
         $A$2:$A10491&gt;=A1720-20,
         $A$2:$A10491&lt;=A1720
       )
    ),
    ""VOL_SPIKE_3X"",""""
  ),
"""")
"),"")</f>
        <v/>
      </c>
      <c r="N1720" s="7" t="str">
        <f t="shared" si="6"/>
        <v/>
      </c>
      <c r="O1720" s="7" t="str">
        <f t="shared" si="7"/>
        <v/>
      </c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>
      <c r="A1721" s="5">
        <f>IFERROR(__xludf.DUMMYFUNCTION("""COMPUTED_VALUE"""),45807.0)</f>
        <v>45807</v>
      </c>
      <c r="B1721" s="6">
        <f>IFERROR(__xludf.DUMMYFUNCTION("""COMPUTED_VALUE"""),881.05)</f>
        <v>881.05</v>
      </c>
      <c r="C1721" s="6">
        <f>IFERROR(__xludf.DUMMYFUNCTION("""COMPUTED_VALUE"""),889.45)</f>
        <v>889.45</v>
      </c>
      <c r="D1721" s="6">
        <f>IFERROR(__xludf.DUMMYFUNCTION("""COMPUTED_VALUE"""),862.0)</f>
        <v>862</v>
      </c>
      <c r="E1721" s="6">
        <f>IFERROR(__xludf.DUMMYFUNCTION("""COMPUTED_VALUE"""),867.2)</f>
        <v>867.2</v>
      </c>
      <c r="F1721" s="7">
        <f>IFERROR(__xludf.DUMMYFUNCTION("""COMPUTED_VALUE"""),1258500.0)</f>
        <v>1258500</v>
      </c>
      <c r="G1721" s="7" t="str">
        <f>IFERROR(__xludf.DUMMYFUNCTION("""COMPUTED_VALUE"""),"ADANIENSOL.NS")</f>
        <v>ADANIENSOL.NS</v>
      </c>
      <c r="H1721" s="8">
        <f t="shared" si="1"/>
        <v>-0.01571987969</v>
      </c>
      <c r="I1721" s="8">
        <f t="shared" si="2"/>
        <v>0.01571987969</v>
      </c>
      <c r="J1721" s="7" t="str">
        <f t="shared" si="3"/>
        <v>May-2025</v>
      </c>
      <c r="K1721" s="9">
        <f t="shared" si="4"/>
        <v>45778</v>
      </c>
      <c r="L1721" s="7" t="str">
        <f t="shared" si="5"/>
        <v/>
      </c>
      <c r="M1721" s="7" t="str">
        <f>IFERROR(__xludf.DUMMYFUNCTION("IFERROR(
  IF(
    F1721 &gt;
    3*AVERAGE(
       FILTER($F$2:$F10491,
         $G$2:$G10491=G1721,
         $A$2:$A10491&gt;=A1721-20,
         $A$2:$A10491&lt;=A1721
       )
    ),
    ""VOL_SPIKE_3X"",""""
  ),
"""")
"),"")</f>
        <v/>
      </c>
      <c r="N1721" s="7" t="str">
        <f t="shared" si="6"/>
        <v/>
      </c>
      <c r="O1721" s="7" t="str">
        <f t="shared" si="7"/>
        <v/>
      </c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>
      <c r="A1722" s="5">
        <f>IFERROR(__xludf.DUMMYFUNCTION("""COMPUTED_VALUE"""),45807.0)</f>
        <v>45807</v>
      </c>
      <c r="B1722" s="6">
        <f>IFERROR(__xludf.DUMMYFUNCTION("""COMPUTED_VALUE"""),1019.5)</f>
        <v>1019.5</v>
      </c>
      <c r="C1722" s="6">
        <f>IFERROR(__xludf.DUMMYFUNCTION("""COMPUTED_VALUE"""),1028.0)</f>
        <v>1028</v>
      </c>
      <c r="D1722" s="6">
        <f>IFERROR(__xludf.DUMMYFUNCTION("""COMPUTED_VALUE"""),1004.2)</f>
        <v>1004.2</v>
      </c>
      <c r="E1722" s="6">
        <f>IFERROR(__xludf.DUMMYFUNCTION("""COMPUTED_VALUE"""),1014.35)</f>
        <v>1014.35</v>
      </c>
      <c r="F1722" s="7">
        <f>IFERROR(__xludf.DUMMYFUNCTION("""COMPUTED_VALUE"""),1669801.0)</f>
        <v>1669801</v>
      </c>
      <c r="G1722" s="7" t="str">
        <f>IFERROR(__xludf.DUMMYFUNCTION("""COMPUTED_VALUE"""),"ADANIGREEN.NS")</f>
        <v>ADANIGREEN.NS</v>
      </c>
      <c r="H1722" s="8">
        <f t="shared" si="1"/>
        <v>-0.005051495831</v>
      </c>
      <c r="I1722" s="8">
        <f t="shared" si="2"/>
        <v>0.005051495831</v>
      </c>
      <c r="J1722" s="7" t="str">
        <f t="shared" si="3"/>
        <v>May-2025</v>
      </c>
      <c r="K1722" s="9">
        <f t="shared" si="4"/>
        <v>45778</v>
      </c>
      <c r="L1722" s="7" t="str">
        <f t="shared" si="5"/>
        <v/>
      </c>
      <c r="M1722" s="7" t="str">
        <f>IFERROR(__xludf.DUMMYFUNCTION("IFERROR(
  IF(
    F1722 &gt;
    3*AVERAGE(
       FILTER($F$2:$F10491,
         $G$2:$G10491=G1722,
         $A$2:$A10491&gt;=A1722-20,
         $A$2:$A10491&lt;=A1722
       )
    ),
    ""VOL_SPIKE_3X"",""""
  ),
"""")
"),"")</f>
        <v/>
      </c>
      <c r="N1722" s="7" t="str">
        <f t="shared" si="6"/>
        <v/>
      </c>
      <c r="O1722" s="7" t="str">
        <f t="shared" si="7"/>
        <v/>
      </c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>
      <c r="A1723" s="5">
        <f>IFERROR(__xludf.DUMMYFUNCTION("""COMPUTED_VALUE"""),45807.0)</f>
        <v>45807</v>
      </c>
      <c r="B1723" s="6">
        <f>IFERROR(__xludf.DUMMYFUNCTION("""COMPUTED_VALUE"""),317.55)</f>
        <v>317.55</v>
      </c>
      <c r="C1723" s="6">
        <f>IFERROR(__xludf.DUMMYFUNCTION("""COMPUTED_VALUE"""),322.4)</f>
        <v>322.4</v>
      </c>
      <c r="D1723" s="6">
        <f>IFERROR(__xludf.DUMMYFUNCTION("""COMPUTED_VALUE"""),317.0)</f>
        <v>317</v>
      </c>
      <c r="E1723" s="6">
        <f>IFERROR(__xludf.DUMMYFUNCTION("""COMPUTED_VALUE"""),318.4)</f>
        <v>318.4</v>
      </c>
      <c r="F1723" s="7">
        <f>IFERROR(__xludf.DUMMYFUNCTION("""COMPUTED_VALUE"""),9148638.0)</f>
        <v>9148638</v>
      </c>
      <c r="G1723" s="7" t="str">
        <f>IFERROR(__xludf.DUMMYFUNCTION("""COMPUTED_VALUE"""),"BPCL.NS")</f>
        <v>BPCL.NS</v>
      </c>
      <c r="H1723" s="8">
        <f t="shared" si="1"/>
        <v>0.00267674382</v>
      </c>
      <c r="I1723" s="8">
        <f t="shared" si="2"/>
        <v>0.00267674382</v>
      </c>
      <c r="J1723" s="7" t="str">
        <f t="shared" si="3"/>
        <v>May-2025</v>
      </c>
      <c r="K1723" s="9">
        <f t="shared" si="4"/>
        <v>45778</v>
      </c>
      <c r="L1723" s="7" t="str">
        <f t="shared" si="5"/>
        <v/>
      </c>
      <c r="M1723" s="7" t="str">
        <f>IFERROR(__xludf.DUMMYFUNCTION("IFERROR(
  IF(
    F1723 &gt;
    3*AVERAGE(
       FILTER($F$2:$F10491,
         $G$2:$G10491=G1723,
         $A$2:$A10491&gt;=A1723-20,
         $A$2:$A10491&lt;=A1723
       )
    ),
    ""VOL_SPIKE_3X"",""""
  ),
"""")
"),"")</f>
        <v/>
      </c>
      <c r="N1723" s="7" t="str">
        <f t="shared" si="6"/>
        <v/>
      </c>
      <c r="O1723" s="7" t="str">
        <f t="shared" si="7"/>
        <v/>
      </c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>
      <c r="A1724" s="5">
        <f>IFERROR(__xludf.DUMMYFUNCTION("""COMPUTED_VALUE"""),45807.0)</f>
        <v>45807</v>
      </c>
      <c r="B1724" s="6">
        <f>IFERROR(__xludf.DUMMYFUNCTION("""COMPUTED_VALUE"""),398.95)</f>
        <v>398.95</v>
      </c>
      <c r="C1724" s="6">
        <f>IFERROR(__xludf.DUMMYFUNCTION("""COMPUTED_VALUE"""),404.75)</f>
        <v>404.75</v>
      </c>
      <c r="D1724" s="6">
        <f>IFERROR(__xludf.DUMMYFUNCTION("""COMPUTED_VALUE"""),396.35)</f>
        <v>396.35</v>
      </c>
      <c r="E1724" s="6">
        <f>IFERROR(__xludf.DUMMYFUNCTION("""COMPUTED_VALUE"""),397.3)</f>
        <v>397.3</v>
      </c>
      <c r="F1724" s="7">
        <f>IFERROR(__xludf.DUMMYFUNCTION("""COMPUTED_VALUE"""),6565658.0)</f>
        <v>6565658</v>
      </c>
      <c r="G1724" s="7" t="str">
        <f>IFERROR(__xludf.DUMMYFUNCTION("""COMPUTED_VALUE"""),"COALINDIA.NS")</f>
        <v>COALINDIA.NS</v>
      </c>
      <c r="H1724" s="8">
        <f t="shared" si="1"/>
        <v>-0.004135856624</v>
      </c>
      <c r="I1724" s="8">
        <f t="shared" si="2"/>
        <v>0.004135856624</v>
      </c>
      <c r="J1724" s="7" t="str">
        <f t="shared" si="3"/>
        <v>May-2025</v>
      </c>
      <c r="K1724" s="9">
        <f t="shared" si="4"/>
        <v>45778</v>
      </c>
      <c r="L1724" s="7" t="str">
        <f t="shared" si="5"/>
        <v/>
      </c>
      <c r="M1724" s="7" t="str">
        <f>IFERROR(__xludf.DUMMYFUNCTION("IFERROR(
  IF(
    F1724 &gt;
    3*AVERAGE(
       FILTER($F$2:$F10491,
         $G$2:$G10491=G1724,
         $A$2:$A10491&gt;=A1724-20,
         $A$2:$A10491&lt;=A1724
       )
    ),
    ""VOL_SPIKE_3X"",""""
  ),
"""")
"),"")</f>
        <v/>
      </c>
      <c r="N1724" s="7" t="str">
        <f t="shared" si="6"/>
        <v/>
      </c>
      <c r="O1724" s="7" t="str">
        <f t="shared" si="7"/>
        <v/>
      </c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>
      <c r="A1725" s="5">
        <f>IFERROR(__xludf.DUMMYFUNCTION("""COMPUTED_VALUE"""),45807.0)</f>
        <v>45807</v>
      </c>
      <c r="B1725" s="6">
        <f>IFERROR(__xludf.DUMMYFUNCTION("""COMPUTED_VALUE"""),414.75)</f>
        <v>414.75</v>
      </c>
      <c r="C1725" s="6">
        <f>IFERROR(__xludf.DUMMYFUNCTION("""COMPUTED_VALUE"""),418.9)</f>
        <v>418.9</v>
      </c>
      <c r="D1725" s="6">
        <f>IFERROR(__xludf.DUMMYFUNCTION("""COMPUTED_VALUE"""),408.9)</f>
        <v>408.9</v>
      </c>
      <c r="E1725" s="6">
        <f>IFERROR(__xludf.DUMMYFUNCTION("""COMPUTED_VALUE"""),411.05)</f>
        <v>411.05</v>
      </c>
      <c r="F1725" s="7">
        <f>IFERROR(__xludf.DUMMYFUNCTION("""COMPUTED_VALUE"""),6164496.0)</f>
        <v>6164496</v>
      </c>
      <c r="G1725" s="7" t="str">
        <f>IFERROR(__xludf.DUMMYFUNCTION("""COMPUTED_VALUE"""),"HINDPETRO.NS")</f>
        <v>HINDPETRO.NS</v>
      </c>
      <c r="H1725" s="8">
        <f t="shared" si="1"/>
        <v>-0.008921036769</v>
      </c>
      <c r="I1725" s="8">
        <f t="shared" si="2"/>
        <v>0.008921036769</v>
      </c>
      <c r="J1725" s="7" t="str">
        <f t="shared" si="3"/>
        <v>May-2025</v>
      </c>
      <c r="K1725" s="9">
        <f t="shared" si="4"/>
        <v>45778</v>
      </c>
      <c r="L1725" s="7" t="str">
        <f t="shared" si="5"/>
        <v/>
      </c>
      <c r="M1725" s="7" t="str">
        <f>IFERROR(__xludf.DUMMYFUNCTION("IFERROR(
  IF(
    F1725 &gt;
    3*AVERAGE(
       FILTER($F$2:$F10491,
         $G$2:$G10491=G1725,
         $A$2:$A10491&gt;=A1725-20,
         $A$2:$A10491&lt;=A1725
       )
    ),
    ""VOL_SPIKE_3X"",""""
  ),
"""")
"),"")</f>
        <v/>
      </c>
      <c r="N1725" s="7" t="str">
        <f t="shared" si="6"/>
        <v/>
      </c>
      <c r="O1725" s="7" t="str">
        <f t="shared" si="7"/>
        <v/>
      </c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>
      <c r="A1726" s="5">
        <f>IFERROR(__xludf.DUMMYFUNCTION("""COMPUTED_VALUE"""),45807.0)</f>
        <v>45807</v>
      </c>
      <c r="B1726" s="6">
        <f>IFERROR(__xludf.DUMMYFUNCTION("""COMPUTED_VALUE"""),143.7)</f>
        <v>143.7</v>
      </c>
      <c r="C1726" s="6">
        <f>IFERROR(__xludf.DUMMYFUNCTION("""COMPUTED_VALUE"""),144.4)</f>
        <v>144.4</v>
      </c>
      <c r="D1726" s="6">
        <f>IFERROR(__xludf.DUMMYFUNCTION("""COMPUTED_VALUE"""),141.21)</f>
        <v>141.21</v>
      </c>
      <c r="E1726" s="6">
        <f>IFERROR(__xludf.DUMMYFUNCTION("""COMPUTED_VALUE"""),141.97)</f>
        <v>141.97</v>
      </c>
      <c r="F1726" s="7">
        <f>IFERROR(__xludf.DUMMYFUNCTION("""COMPUTED_VALUE"""),2.8315951E7)</f>
        <v>28315951</v>
      </c>
      <c r="G1726" s="7" t="str">
        <f>IFERROR(__xludf.DUMMYFUNCTION("""COMPUTED_VALUE"""),"IOC.NS")</f>
        <v>IOC.NS</v>
      </c>
      <c r="H1726" s="8">
        <f t="shared" si="1"/>
        <v>-0.01203897008</v>
      </c>
      <c r="I1726" s="8">
        <f t="shared" si="2"/>
        <v>0.01203897008</v>
      </c>
      <c r="J1726" s="7" t="str">
        <f t="shared" si="3"/>
        <v>May-2025</v>
      </c>
      <c r="K1726" s="9">
        <f t="shared" si="4"/>
        <v>45778</v>
      </c>
      <c r="L1726" s="7" t="str">
        <f t="shared" si="5"/>
        <v/>
      </c>
      <c r="M1726" s="7" t="str">
        <f>IFERROR(__xludf.DUMMYFUNCTION("IFERROR(
  IF(
    F1726 &gt;
    3*AVERAGE(
       FILTER($F$2:$F10491,
         $G$2:$G10491=G1726,
         $A$2:$A10491&gt;=A1726-20,
         $A$2:$A10491&lt;=A1726
       )
    ),
    ""VOL_SPIKE_3X"",""""
  ),
"""")
"),"")</f>
        <v/>
      </c>
      <c r="N1726" s="7" t="str">
        <f t="shared" si="6"/>
        <v/>
      </c>
      <c r="O1726" s="7" t="str">
        <f t="shared" si="7"/>
        <v/>
      </c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>
      <c r="A1727" s="5">
        <f>IFERROR(__xludf.DUMMYFUNCTION("""COMPUTED_VALUE"""),45807.0)</f>
        <v>45807</v>
      </c>
      <c r="B1727" s="6">
        <f>IFERROR(__xludf.DUMMYFUNCTION("""COMPUTED_VALUE"""),337.5)</f>
        <v>337.5</v>
      </c>
      <c r="C1727" s="6">
        <f>IFERROR(__xludf.DUMMYFUNCTION("""COMPUTED_VALUE"""),340.75)</f>
        <v>340.75</v>
      </c>
      <c r="D1727" s="6">
        <f>IFERROR(__xludf.DUMMYFUNCTION("""COMPUTED_VALUE"""),332.85)</f>
        <v>332.85</v>
      </c>
      <c r="E1727" s="6">
        <f>IFERROR(__xludf.DUMMYFUNCTION("""COMPUTED_VALUE"""),333.9)</f>
        <v>333.9</v>
      </c>
      <c r="F1727" s="7">
        <f>IFERROR(__xludf.DUMMYFUNCTION("""COMPUTED_VALUE"""),1.914301E7)</f>
        <v>19143010</v>
      </c>
      <c r="G1727" s="7" t="str">
        <f>IFERROR(__xludf.DUMMYFUNCTION("""COMPUTED_VALUE"""),"NTPC.NS")</f>
        <v>NTPC.NS</v>
      </c>
      <c r="H1727" s="8">
        <f t="shared" si="1"/>
        <v>-0.01066666667</v>
      </c>
      <c r="I1727" s="8">
        <f t="shared" si="2"/>
        <v>0.01066666667</v>
      </c>
      <c r="J1727" s="7" t="str">
        <f t="shared" si="3"/>
        <v>May-2025</v>
      </c>
      <c r="K1727" s="9">
        <f t="shared" si="4"/>
        <v>45778</v>
      </c>
      <c r="L1727" s="7" t="str">
        <f t="shared" si="5"/>
        <v/>
      </c>
      <c r="M1727" s="7" t="str">
        <f>IFERROR(__xludf.DUMMYFUNCTION("IFERROR(
  IF(
    F1727 &gt;
    3*AVERAGE(
       FILTER($F$2:$F10491,
         $G$2:$G10491=G1727,
         $A$2:$A10491&gt;=A1727-20,
         $A$2:$A10491&lt;=A1727
       )
    ),
    ""VOL_SPIKE_3X"",""""
  ),
"""")
"),"")</f>
        <v/>
      </c>
      <c r="N1727" s="7" t="str">
        <f t="shared" si="6"/>
        <v/>
      </c>
      <c r="O1727" s="7" t="str">
        <f t="shared" si="7"/>
        <v/>
      </c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>
      <c r="A1728" s="5">
        <f>IFERROR(__xludf.DUMMYFUNCTION("""COMPUTED_VALUE"""),45807.0)</f>
        <v>45807</v>
      </c>
      <c r="B1728" s="6">
        <f>IFERROR(__xludf.DUMMYFUNCTION("""COMPUTED_VALUE"""),243.04)</f>
        <v>243.04</v>
      </c>
      <c r="C1728" s="6">
        <f>IFERROR(__xludf.DUMMYFUNCTION("""COMPUTED_VALUE"""),245.19)</f>
        <v>245.19</v>
      </c>
      <c r="D1728" s="6">
        <f>IFERROR(__xludf.DUMMYFUNCTION("""COMPUTED_VALUE"""),238.89)</f>
        <v>238.89</v>
      </c>
      <c r="E1728" s="6">
        <f>IFERROR(__xludf.DUMMYFUNCTION("""COMPUTED_VALUE"""),239.4)</f>
        <v>239.4</v>
      </c>
      <c r="F1728" s="7">
        <f>IFERROR(__xludf.DUMMYFUNCTION("""COMPUTED_VALUE"""),1.010884E7)</f>
        <v>10108840</v>
      </c>
      <c r="G1728" s="7" t="str">
        <f>IFERROR(__xludf.DUMMYFUNCTION("""COMPUTED_VALUE"""),"ONGC.NS")</f>
        <v>ONGC.NS</v>
      </c>
      <c r="H1728" s="8">
        <f t="shared" si="1"/>
        <v>-0.01497695853</v>
      </c>
      <c r="I1728" s="8">
        <f t="shared" si="2"/>
        <v>0.01497695853</v>
      </c>
      <c r="J1728" s="7" t="str">
        <f t="shared" si="3"/>
        <v>May-2025</v>
      </c>
      <c r="K1728" s="9">
        <f t="shared" si="4"/>
        <v>45778</v>
      </c>
      <c r="L1728" s="7" t="str">
        <f t="shared" si="5"/>
        <v/>
      </c>
      <c r="M1728" s="7" t="str">
        <f>IFERROR(__xludf.DUMMYFUNCTION("IFERROR(
  IF(
    F1728 &gt;
    3*AVERAGE(
       FILTER($F$2:$F10491,
         $G$2:$G10491=G1728,
         $A$2:$A10491&gt;=A1728-20,
         $A$2:$A10491&lt;=A1728
       )
    ),
    ""VOL_SPIKE_3X"",""""
  ),
"""")
"),"")</f>
        <v/>
      </c>
      <c r="N1728" s="7" t="str">
        <f t="shared" si="6"/>
        <v/>
      </c>
      <c r="O1728" s="7" t="str">
        <f t="shared" si="7"/>
        <v/>
      </c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>
      <c r="A1729" s="5">
        <f>IFERROR(__xludf.DUMMYFUNCTION("""COMPUTED_VALUE"""),45807.0)</f>
        <v>45807</v>
      </c>
      <c r="B1729" s="6">
        <f>IFERROR(__xludf.DUMMYFUNCTION("""COMPUTED_VALUE"""),292.0)</f>
        <v>292</v>
      </c>
      <c r="C1729" s="6">
        <f>IFERROR(__xludf.DUMMYFUNCTION("""COMPUTED_VALUE"""),294.65)</f>
        <v>294.65</v>
      </c>
      <c r="D1729" s="6">
        <f>IFERROR(__xludf.DUMMYFUNCTION("""COMPUTED_VALUE"""),288.25)</f>
        <v>288.25</v>
      </c>
      <c r="E1729" s="6">
        <f>IFERROR(__xludf.DUMMYFUNCTION("""COMPUTED_VALUE"""),289.75)</f>
        <v>289.75</v>
      </c>
      <c r="F1729" s="7">
        <f>IFERROR(__xludf.DUMMYFUNCTION("""COMPUTED_VALUE"""),2.1788566E7)</f>
        <v>21788566</v>
      </c>
      <c r="G1729" s="7" t="str">
        <f>IFERROR(__xludf.DUMMYFUNCTION("""COMPUTED_VALUE"""),"POWERGRID.NS")</f>
        <v>POWERGRID.NS</v>
      </c>
      <c r="H1729" s="8">
        <f t="shared" si="1"/>
        <v>-0.007705479452</v>
      </c>
      <c r="I1729" s="8">
        <f t="shared" si="2"/>
        <v>0.007705479452</v>
      </c>
      <c r="J1729" s="7" t="str">
        <f t="shared" si="3"/>
        <v>May-2025</v>
      </c>
      <c r="K1729" s="9">
        <f t="shared" si="4"/>
        <v>45778</v>
      </c>
      <c r="L1729" s="7" t="str">
        <f t="shared" si="5"/>
        <v/>
      </c>
      <c r="M1729" s="7" t="str">
        <f>IFERROR(__xludf.DUMMYFUNCTION("IFERROR(
  IF(
    F1729 &gt;
    3*AVERAGE(
       FILTER($F$2:$F10491,
         $G$2:$G10491=G1729,
         $A$2:$A10491&gt;=A1729-20,
         $A$2:$A10491&lt;=A1729
       )
    ),
    ""VOL_SPIKE_3X"",""""
  ),
"""")
"),"")</f>
        <v/>
      </c>
      <c r="N1729" s="7" t="str">
        <f t="shared" si="6"/>
        <v/>
      </c>
      <c r="O1729" s="7" t="str">
        <f t="shared" si="7"/>
        <v/>
      </c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>
      <c r="A1730" s="5">
        <f>IFERROR(__xludf.DUMMYFUNCTION("""COMPUTED_VALUE"""),45807.0)</f>
        <v>45807</v>
      </c>
      <c r="B1730" s="6">
        <f>IFERROR(__xludf.DUMMYFUNCTION("""COMPUTED_VALUE"""),1418.0)</f>
        <v>1418</v>
      </c>
      <c r="C1730" s="6">
        <f>IFERROR(__xludf.DUMMYFUNCTION("""COMPUTED_VALUE"""),1430.6)</f>
        <v>1430.6</v>
      </c>
      <c r="D1730" s="6">
        <f>IFERROR(__xludf.DUMMYFUNCTION("""COMPUTED_VALUE"""),1409.7)</f>
        <v>1409.7</v>
      </c>
      <c r="E1730" s="6">
        <f>IFERROR(__xludf.DUMMYFUNCTION("""COMPUTED_VALUE"""),1420.9)</f>
        <v>1420.9</v>
      </c>
      <c r="F1730" s="7">
        <f>IFERROR(__xludf.DUMMYFUNCTION("""COMPUTED_VALUE"""),1.3788484E7)</f>
        <v>13788484</v>
      </c>
      <c r="G1730" s="7" t="str">
        <f>IFERROR(__xludf.DUMMYFUNCTION("""COMPUTED_VALUE"""),"RELIANCE.NS")</f>
        <v>RELIANCE.NS</v>
      </c>
      <c r="H1730" s="8">
        <f t="shared" si="1"/>
        <v>0.002045133992</v>
      </c>
      <c r="I1730" s="8">
        <f t="shared" si="2"/>
        <v>0.002045133992</v>
      </c>
      <c r="J1730" s="7" t="str">
        <f t="shared" si="3"/>
        <v>May-2025</v>
      </c>
      <c r="K1730" s="9">
        <f t="shared" si="4"/>
        <v>45778</v>
      </c>
      <c r="L1730" s="7" t="str">
        <f t="shared" si="5"/>
        <v/>
      </c>
      <c r="M1730" s="7" t="str">
        <f>IFERROR(__xludf.DUMMYFUNCTION("IFERROR(
  IF(
    F1730 &gt;
    3*AVERAGE(
       FILTER($F$2:$F10491,
         $G$2:$G10491=G1730,
         $A$2:$A10491&gt;=A1730-20,
         $A$2:$A10491&lt;=A1730
       )
    ),
    ""VOL_SPIKE_3X"",""""
  ),
"""")
"),"")</f>
        <v/>
      </c>
      <c r="N1730" s="7" t="str">
        <f t="shared" si="6"/>
        <v/>
      </c>
      <c r="O1730" s="7" t="str">
        <f t="shared" si="7"/>
        <v/>
      </c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>
      <c r="A1731" s="5">
        <f>IFERROR(__xludf.DUMMYFUNCTION("""COMPUTED_VALUE"""),45810.0)</f>
        <v>45810</v>
      </c>
      <c r="B1731" s="6">
        <f>IFERROR(__xludf.DUMMYFUNCTION("""COMPUTED_VALUE"""),874.8)</f>
        <v>874.8</v>
      </c>
      <c r="C1731" s="6">
        <f>IFERROR(__xludf.DUMMYFUNCTION("""COMPUTED_VALUE"""),888.2)</f>
        <v>888.2</v>
      </c>
      <c r="D1731" s="6">
        <f>IFERROR(__xludf.DUMMYFUNCTION("""COMPUTED_VALUE"""),872.05)</f>
        <v>872.05</v>
      </c>
      <c r="E1731" s="6">
        <f>IFERROR(__xludf.DUMMYFUNCTION("""COMPUTED_VALUE"""),874.85)</f>
        <v>874.85</v>
      </c>
      <c r="F1731" s="7">
        <f>IFERROR(__xludf.DUMMYFUNCTION("""COMPUTED_VALUE"""),1911879.0)</f>
        <v>1911879</v>
      </c>
      <c r="G1731" s="7" t="str">
        <f>IFERROR(__xludf.DUMMYFUNCTION("""COMPUTED_VALUE"""),"ADANIENSOL.NS")</f>
        <v>ADANIENSOL.NS</v>
      </c>
      <c r="H1731" s="8">
        <f t="shared" si="1"/>
        <v>0.00005715592135</v>
      </c>
      <c r="I1731" s="8">
        <f t="shared" si="2"/>
        <v>0.00005715592135</v>
      </c>
      <c r="J1731" s="7" t="str">
        <f t="shared" si="3"/>
        <v>Jun-2025</v>
      </c>
      <c r="K1731" s="9">
        <f t="shared" si="4"/>
        <v>45809</v>
      </c>
      <c r="L1731" s="7" t="str">
        <f t="shared" si="5"/>
        <v/>
      </c>
      <c r="M1731" s="7" t="str">
        <f>IFERROR(__xludf.DUMMYFUNCTION("IFERROR(
  IF(
    F1731 &gt;
    3*AVERAGE(
       FILTER($F$2:$F10491,
         $G$2:$G10491=G1731,
         $A$2:$A10491&gt;=A1731-20,
         $A$2:$A10491&lt;=A1731
       )
    ),
    ""VOL_SPIKE_3X"",""""
  ),
"""")
"),"")</f>
        <v/>
      </c>
      <c r="N1731" s="7" t="str">
        <f t="shared" si="6"/>
        <v/>
      </c>
      <c r="O1731" s="7" t="str">
        <f t="shared" si="7"/>
        <v/>
      </c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>
      <c r="A1732" s="5">
        <f>IFERROR(__xludf.DUMMYFUNCTION("""COMPUTED_VALUE"""),45810.0)</f>
        <v>45810</v>
      </c>
      <c r="B1732" s="6">
        <f>IFERROR(__xludf.DUMMYFUNCTION("""COMPUTED_VALUE"""),1018.5)</f>
        <v>1018.5</v>
      </c>
      <c r="C1732" s="6">
        <f>IFERROR(__xludf.DUMMYFUNCTION("""COMPUTED_VALUE"""),1024.7)</f>
        <v>1024.7</v>
      </c>
      <c r="D1732" s="6">
        <f>IFERROR(__xludf.DUMMYFUNCTION("""COMPUTED_VALUE"""),1007.0)</f>
        <v>1007</v>
      </c>
      <c r="E1732" s="6">
        <f>IFERROR(__xludf.DUMMYFUNCTION("""COMPUTED_VALUE"""),1009.1)</f>
        <v>1009.1</v>
      </c>
      <c r="F1732" s="7">
        <f>IFERROR(__xludf.DUMMYFUNCTION("""COMPUTED_VALUE"""),2230527.0)</f>
        <v>2230527</v>
      </c>
      <c r="G1732" s="7" t="str">
        <f>IFERROR(__xludf.DUMMYFUNCTION("""COMPUTED_VALUE"""),"ADANIGREEN.NS")</f>
        <v>ADANIGREEN.NS</v>
      </c>
      <c r="H1732" s="8">
        <f t="shared" si="1"/>
        <v>-0.009229258714</v>
      </c>
      <c r="I1732" s="8">
        <f t="shared" si="2"/>
        <v>0.009229258714</v>
      </c>
      <c r="J1732" s="7" t="str">
        <f t="shared" si="3"/>
        <v>Jun-2025</v>
      </c>
      <c r="K1732" s="9">
        <f t="shared" si="4"/>
        <v>45809</v>
      </c>
      <c r="L1732" s="7" t="str">
        <f t="shared" si="5"/>
        <v/>
      </c>
      <c r="M1732" s="7" t="str">
        <f>IFERROR(__xludf.DUMMYFUNCTION("IFERROR(
  IF(
    F1732 &gt;
    3*AVERAGE(
       FILTER($F$2:$F10491,
         $G$2:$G10491=G1732,
         $A$2:$A10491&gt;=A1732-20,
         $A$2:$A10491&lt;=A1732
       )
    ),
    ""VOL_SPIKE_3X"",""""
  ),
"""")
"),"")</f>
        <v/>
      </c>
      <c r="N1732" s="7" t="str">
        <f t="shared" si="6"/>
        <v/>
      </c>
      <c r="O1732" s="7" t="str">
        <f t="shared" si="7"/>
        <v/>
      </c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>
      <c r="A1733" s="5">
        <f>IFERROR(__xludf.DUMMYFUNCTION("""COMPUTED_VALUE"""),45810.0)</f>
        <v>45810</v>
      </c>
      <c r="B1733" s="6">
        <f>IFERROR(__xludf.DUMMYFUNCTION("""COMPUTED_VALUE"""),318.4)</f>
        <v>318.4</v>
      </c>
      <c r="C1733" s="6">
        <f>IFERROR(__xludf.DUMMYFUNCTION("""COMPUTED_VALUE"""),319.5)</f>
        <v>319.5</v>
      </c>
      <c r="D1733" s="6">
        <f>IFERROR(__xludf.DUMMYFUNCTION("""COMPUTED_VALUE"""),315.65)</f>
        <v>315.65</v>
      </c>
      <c r="E1733" s="6">
        <f>IFERROR(__xludf.DUMMYFUNCTION("""COMPUTED_VALUE"""),316.6)</f>
        <v>316.6</v>
      </c>
      <c r="F1733" s="7">
        <f>IFERROR(__xludf.DUMMYFUNCTION("""COMPUTED_VALUE"""),3086437.0)</f>
        <v>3086437</v>
      </c>
      <c r="G1733" s="7" t="str">
        <f>IFERROR(__xludf.DUMMYFUNCTION("""COMPUTED_VALUE"""),"BPCL.NS")</f>
        <v>BPCL.NS</v>
      </c>
      <c r="H1733" s="8">
        <f t="shared" si="1"/>
        <v>-0.005653266332</v>
      </c>
      <c r="I1733" s="8">
        <f t="shared" si="2"/>
        <v>0.005653266332</v>
      </c>
      <c r="J1733" s="7" t="str">
        <f t="shared" si="3"/>
        <v>Jun-2025</v>
      </c>
      <c r="K1733" s="9">
        <f t="shared" si="4"/>
        <v>45809</v>
      </c>
      <c r="L1733" s="7" t="str">
        <f t="shared" si="5"/>
        <v/>
      </c>
      <c r="M1733" s="7" t="str">
        <f>IFERROR(__xludf.DUMMYFUNCTION("IFERROR(
  IF(
    F1733 &gt;
    3*AVERAGE(
       FILTER($F$2:$F10491,
         $G$2:$G10491=G1733,
         $A$2:$A10491&gt;=A1733-20,
         $A$2:$A10491&lt;=A1733
       )
    ),
    ""VOL_SPIKE_3X"",""""
  ),
"""")
"),"")</f>
        <v/>
      </c>
      <c r="N1733" s="7" t="str">
        <f t="shared" si="6"/>
        <v/>
      </c>
      <c r="O1733" s="7" t="str">
        <f t="shared" si="7"/>
        <v/>
      </c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>
      <c r="A1734" s="5">
        <f>IFERROR(__xludf.DUMMYFUNCTION("""COMPUTED_VALUE"""),45810.0)</f>
        <v>45810</v>
      </c>
      <c r="B1734" s="6">
        <f>IFERROR(__xludf.DUMMYFUNCTION("""COMPUTED_VALUE"""),398.95)</f>
        <v>398.95</v>
      </c>
      <c r="C1734" s="6">
        <f>IFERROR(__xludf.DUMMYFUNCTION("""COMPUTED_VALUE"""),401.4)</f>
        <v>401.4</v>
      </c>
      <c r="D1734" s="6">
        <f>IFERROR(__xludf.DUMMYFUNCTION("""COMPUTED_VALUE"""),395.5)</f>
        <v>395.5</v>
      </c>
      <c r="E1734" s="6">
        <f>IFERROR(__xludf.DUMMYFUNCTION("""COMPUTED_VALUE"""),399.7)</f>
        <v>399.7</v>
      </c>
      <c r="F1734" s="7">
        <f>IFERROR(__xludf.DUMMYFUNCTION("""COMPUTED_VALUE"""),6119571.0)</f>
        <v>6119571</v>
      </c>
      <c r="G1734" s="7" t="str">
        <f>IFERROR(__xludf.DUMMYFUNCTION("""COMPUTED_VALUE"""),"COALINDIA.NS")</f>
        <v>COALINDIA.NS</v>
      </c>
      <c r="H1734" s="8">
        <f t="shared" si="1"/>
        <v>0.001879934829</v>
      </c>
      <c r="I1734" s="8">
        <f t="shared" si="2"/>
        <v>0.001879934829</v>
      </c>
      <c r="J1734" s="7" t="str">
        <f t="shared" si="3"/>
        <v>Jun-2025</v>
      </c>
      <c r="K1734" s="9">
        <f t="shared" si="4"/>
        <v>45809</v>
      </c>
      <c r="L1734" s="7" t="str">
        <f t="shared" si="5"/>
        <v/>
      </c>
      <c r="M1734" s="7" t="str">
        <f>IFERROR(__xludf.DUMMYFUNCTION("IFERROR(
  IF(
    F1734 &gt;
    3*AVERAGE(
       FILTER($F$2:$F10491,
         $G$2:$G10491=G1734,
         $A$2:$A10491&gt;=A1734-20,
         $A$2:$A10491&lt;=A1734
       )
    ),
    ""VOL_SPIKE_3X"",""""
  ),
"""")
"),"")</f>
        <v/>
      </c>
      <c r="N1734" s="7" t="str">
        <f t="shared" si="6"/>
        <v/>
      </c>
      <c r="O1734" s="7" t="str">
        <f t="shared" si="7"/>
        <v/>
      </c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>
      <c r="A1735" s="5">
        <f>IFERROR(__xludf.DUMMYFUNCTION("""COMPUTED_VALUE"""),45810.0)</f>
        <v>45810</v>
      </c>
      <c r="B1735" s="6">
        <f>IFERROR(__xludf.DUMMYFUNCTION("""COMPUTED_VALUE"""),409.6)</f>
        <v>409.6</v>
      </c>
      <c r="C1735" s="6">
        <f>IFERROR(__xludf.DUMMYFUNCTION("""COMPUTED_VALUE"""),412.7)</f>
        <v>412.7</v>
      </c>
      <c r="D1735" s="6">
        <f>IFERROR(__xludf.DUMMYFUNCTION("""COMPUTED_VALUE"""),407.0)</f>
        <v>407</v>
      </c>
      <c r="E1735" s="6">
        <f>IFERROR(__xludf.DUMMYFUNCTION("""COMPUTED_VALUE"""),408.2)</f>
        <v>408.2</v>
      </c>
      <c r="F1735" s="7">
        <f>IFERROR(__xludf.DUMMYFUNCTION("""COMPUTED_VALUE"""),2200493.0)</f>
        <v>2200493</v>
      </c>
      <c r="G1735" s="7" t="str">
        <f>IFERROR(__xludf.DUMMYFUNCTION("""COMPUTED_VALUE"""),"HINDPETRO.NS")</f>
        <v>HINDPETRO.NS</v>
      </c>
      <c r="H1735" s="8">
        <f t="shared" si="1"/>
        <v>-0.00341796875</v>
      </c>
      <c r="I1735" s="8">
        <f t="shared" si="2"/>
        <v>0.00341796875</v>
      </c>
      <c r="J1735" s="7" t="str">
        <f t="shared" si="3"/>
        <v>Jun-2025</v>
      </c>
      <c r="K1735" s="9">
        <f t="shared" si="4"/>
        <v>45809</v>
      </c>
      <c r="L1735" s="7" t="str">
        <f t="shared" si="5"/>
        <v/>
      </c>
      <c r="M1735" s="7" t="str">
        <f>IFERROR(__xludf.DUMMYFUNCTION("IFERROR(
  IF(
    F1735 &gt;
    3*AVERAGE(
       FILTER($F$2:$F10491,
         $G$2:$G10491=G1735,
         $A$2:$A10491&gt;=A1735-20,
         $A$2:$A10491&lt;=A1735
       )
    ),
    ""VOL_SPIKE_3X"",""""
  ),
"""")
"),"")</f>
        <v/>
      </c>
      <c r="N1735" s="7" t="str">
        <f t="shared" si="6"/>
        <v/>
      </c>
      <c r="O1735" s="7" t="str">
        <f t="shared" si="7"/>
        <v/>
      </c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>
      <c r="A1736" s="5">
        <f>IFERROR(__xludf.DUMMYFUNCTION("""COMPUTED_VALUE"""),45810.0)</f>
        <v>45810</v>
      </c>
      <c r="B1736" s="6">
        <f>IFERROR(__xludf.DUMMYFUNCTION("""COMPUTED_VALUE"""),141.97)</f>
        <v>141.97</v>
      </c>
      <c r="C1736" s="6">
        <f>IFERROR(__xludf.DUMMYFUNCTION("""COMPUTED_VALUE"""),143.5)</f>
        <v>143.5</v>
      </c>
      <c r="D1736" s="6">
        <f>IFERROR(__xludf.DUMMYFUNCTION("""COMPUTED_VALUE"""),141.46)</f>
        <v>141.46</v>
      </c>
      <c r="E1736" s="6">
        <f>IFERROR(__xludf.DUMMYFUNCTION("""COMPUTED_VALUE"""),143.38)</f>
        <v>143.38</v>
      </c>
      <c r="F1736" s="7">
        <f>IFERROR(__xludf.DUMMYFUNCTION("""COMPUTED_VALUE"""),7051525.0)</f>
        <v>7051525</v>
      </c>
      <c r="G1736" s="7" t="str">
        <f>IFERROR(__xludf.DUMMYFUNCTION("""COMPUTED_VALUE"""),"IOC.NS")</f>
        <v>IOC.NS</v>
      </c>
      <c r="H1736" s="8">
        <f t="shared" si="1"/>
        <v>0.009931675706</v>
      </c>
      <c r="I1736" s="8">
        <f t="shared" si="2"/>
        <v>0.009931675706</v>
      </c>
      <c r="J1736" s="7" t="str">
        <f t="shared" si="3"/>
        <v>Jun-2025</v>
      </c>
      <c r="K1736" s="9">
        <f t="shared" si="4"/>
        <v>45809</v>
      </c>
      <c r="L1736" s="7" t="str">
        <f t="shared" si="5"/>
        <v/>
      </c>
      <c r="M1736" s="7" t="str">
        <f>IFERROR(__xludf.DUMMYFUNCTION("IFERROR(
  IF(
    F1736 &gt;
    3*AVERAGE(
       FILTER($F$2:$F10491,
         $G$2:$G10491=G1736,
         $A$2:$A10491&gt;=A1736-20,
         $A$2:$A10491&lt;=A1736
       )
    ),
    ""VOL_SPIKE_3X"",""""
  ),
"""")
"),"")</f>
        <v/>
      </c>
      <c r="N1736" s="7" t="str">
        <f t="shared" si="6"/>
        <v/>
      </c>
      <c r="O1736" s="7" t="str">
        <f t="shared" si="7"/>
        <v/>
      </c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>
      <c r="A1737" s="5">
        <f>IFERROR(__xludf.DUMMYFUNCTION("""COMPUTED_VALUE"""),45810.0)</f>
        <v>45810</v>
      </c>
      <c r="B1737" s="6">
        <f>IFERROR(__xludf.DUMMYFUNCTION("""COMPUTED_VALUE"""),333.9)</f>
        <v>333.9</v>
      </c>
      <c r="C1737" s="6">
        <f>IFERROR(__xludf.DUMMYFUNCTION("""COMPUTED_VALUE"""),334.8)</f>
        <v>334.8</v>
      </c>
      <c r="D1737" s="6">
        <f>IFERROR(__xludf.DUMMYFUNCTION("""COMPUTED_VALUE"""),330.3)</f>
        <v>330.3</v>
      </c>
      <c r="E1737" s="6">
        <f>IFERROR(__xludf.DUMMYFUNCTION("""COMPUTED_VALUE"""),332.55)</f>
        <v>332.55</v>
      </c>
      <c r="F1737" s="7">
        <f>IFERROR(__xludf.DUMMYFUNCTION("""COMPUTED_VALUE"""),2.9479727E7)</f>
        <v>29479727</v>
      </c>
      <c r="G1737" s="7" t="str">
        <f>IFERROR(__xludf.DUMMYFUNCTION("""COMPUTED_VALUE"""),"NTPC.NS")</f>
        <v>NTPC.NS</v>
      </c>
      <c r="H1737" s="8">
        <f t="shared" si="1"/>
        <v>-0.004043126685</v>
      </c>
      <c r="I1737" s="8">
        <f t="shared" si="2"/>
        <v>0.004043126685</v>
      </c>
      <c r="J1737" s="7" t="str">
        <f t="shared" si="3"/>
        <v>Jun-2025</v>
      </c>
      <c r="K1737" s="9">
        <f t="shared" si="4"/>
        <v>45809</v>
      </c>
      <c r="L1737" s="7" t="str">
        <f t="shared" si="5"/>
        <v/>
      </c>
      <c r="M1737" s="7" t="str">
        <f>IFERROR(__xludf.DUMMYFUNCTION("IFERROR(
  IF(
    F1737 &gt;
    3*AVERAGE(
       FILTER($F$2:$F10491,
         $G$2:$G10491=G1737,
         $A$2:$A10491&gt;=A1737-20,
         $A$2:$A10491&lt;=A1737
       )
    ),
    ""VOL_SPIKE_3X"",""""
  ),
"""")
"),"")</f>
        <v/>
      </c>
      <c r="N1737" s="7" t="str">
        <f t="shared" si="6"/>
        <v/>
      </c>
      <c r="O1737" s="7" t="str">
        <f t="shared" si="7"/>
        <v/>
      </c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>
      <c r="A1738" s="5">
        <f>IFERROR(__xludf.DUMMYFUNCTION("""COMPUTED_VALUE"""),45810.0)</f>
        <v>45810</v>
      </c>
      <c r="B1738" s="6">
        <f>IFERROR(__xludf.DUMMYFUNCTION("""COMPUTED_VALUE"""),239.0)</f>
        <v>239</v>
      </c>
      <c r="C1738" s="6">
        <f>IFERROR(__xludf.DUMMYFUNCTION("""COMPUTED_VALUE"""),240.09)</f>
        <v>240.09</v>
      </c>
      <c r="D1738" s="6">
        <f>IFERROR(__xludf.DUMMYFUNCTION("""COMPUTED_VALUE"""),237.66)</f>
        <v>237.66</v>
      </c>
      <c r="E1738" s="6">
        <f>IFERROR(__xludf.DUMMYFUNCTION("""COMPUTED_VALUE"""),238.31)</f>
        <v>238.31</v>
      </c>
      <c r="F1738" s="7">
        <f>IFERROR(__xludf.DUMMYFUNCTION("""COMPUTED_VALUE"""),6278145.0)</f>
        <v>6278145</v>
      </c>
      <c r="G1738" s="7" t="str">
        <f>IFERROR(__xludf.DUMMYFUNCTION("""COMPUTED_VALUE"""),"ONGC.NS")</f>
        <v>ONGC.NS</v>
      </c>
      <c r="H1738" s="8">
        <f t="shared" si="1"/>
        <v>-0.002887029289</v>
      </c>
      <c r="I1738" s="8">
        <f t="shared" si="2"/>
        <v>0.002887029289</v>
      </c>
      <c r="J1738" s="7" t="str">
        <f t="shared" si="3"/>
        <v>Jun-2025</v>
      </c>
      <c r="K1738" s="9">
        <f t="shared" si="4"/>
        <v>45809</v>
      </c>
      <c r="L1738" s="7" t="str">
        <f t="shared" si="5"/>
        <v/>
      </c>
      <c r="M1738" s="7" t="str">
        <f>IFERROR(__xludf.DUMMYFUNCTION("IFERROR(
  IF(
    F1738 &gt;
    3*AVERAGE(
       FILTER($F$2:$F10491,
         $G$2:$G10491=G1738,
         $A$2:$A10491&gt;=A1738-20,
         $A$2:$A10491&lt;=A1738
       )
    ),
    ""VOL_SPIKE_3X"",""""
  ),
"""")
"),"")</f>
        <v/>
      </c>
      <c r="N1738" s="7" t="str">
        <f t="shared" si="6"/>
        <v/>
      </c>
      <c r="O1738" s="7" t="str">
        <f t="shared" si="7"/>
        <v/>
      </c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>
      <c r="A1739" s="5">
        <f>IFERROR(__xludf.DUMMYFUNCTION("""COMPUTED_VALUE"""),45810.0)</f>
        <v>45810</v>
      </c>
      <c r="B1739" s="6">
        <f>IFERROR(__xludf.DUMMYFUNCTION("""COMPUTED_VALUE"""),290.3)</f>
        <v>290.3</v>
      </c>
      <c r="C1739" s="6">
        <f>IFERROR(__xludf.DUMMYFUNCTION("""COMPUTED_VALUE"""),293.65)</f>
        <v>293.65</v>
      </c>
      <c r="D1739" s="6">
        <f>IFERROR(__xludf.DUMMYFUNCTION("""COMPUTED_VALUE"""),288.4)</f>
        <v>288.4</v>
      </c>
      <c r="E1739" s="6">
        <f>IFERROR(__xludf.DUMMYFUNCTION("""COMPUTED_VALUE"""),293.05)</f>
        <v>293.05</v>
      </c>
      <c r="F1739" s="7">
        <f>IFERROR(__xludf.DUMMYFUNCTION("""COMPUTED_VALUE"""),7255782.0)</f>
        <v>7255782</v>
      </c>
      <c r="G1739" s="7" t="str">
        <f>IFERROR(__xludf.DUMMYFUNCTION("""COMPUTED_VALUE"""),"POWERGRID.NS")</f>
        <v>POWERGRID.NS</v>
      </c>
      <c r="H1739" s="8">
        <f t="shared" si="1"/>
        <v>0.009472959008</v>
      </c>
      <c r="I1739" s="8">
        <f t="shared" si="2"/>
        <v>0.009472959008</v>
      </c>
      <c r="J1739" s="7" t="str">
        <f t="shared" si="3"/>
        <v>Jun-2025</v>
      </c>
      <c r="K1739" s="9">
        <f t="shared" si="4"/>
        <v>45809</v>
      </c>
      <c r="L1739" s="7" t="str">
        <f t="shared" si="5"/>
        <v/>
      </c>
      <c r="M1739" s="7" t="str">
        <f>IFERROR(__xludf.DUMMYFUNCTION("IFERROR(
  IF(
    F1739 &gt;
    3*AVERAGE(
       FILTER($F$2:$F10491,
         $G$2:$G10491=G1739,
         $A$2:$A10491&gt;=A1739-20,
         $A$2:$A10491&lt;=A1739
       )
    ),
    ""VOL_SPIKE_3X"",""""
  ),
"""")
"),"")</f>
        <v/>
      </c>
      <c r="N1739" s="7" t="str">
        <f t="shared" si="6"/>
        <v/>
      </c>
      <c r="O1739" s="7" t="str">
        <f t="shared" si="7"/>
        <v/>
      </c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>
      <c r="A1740" s="5">
        <f>IFERROR(__xludf.DUMMYFUNCTION("""COMPUTED_VALUE"""),45810.0)</f>
        <v>45810</v>
      </c>
      <c r="B1740" s="6">
        <f>IFERROR(__xludf.DUMMYFUNCTION("""COMPUTED_VALUE"""),1412.1)</f>
        <v>1412.1</v>
      </c>
      <c r="C1740" s="6">
        <f>IFERROR(__xludf.DUMMYFUNCTION("""COMPUTED_VALUE"""),1417.5)</f>
        <v>1417.5</v>
      </c>
      <c r="D1740" s="6">
        <f>IFERROR(__xludf.DUMMYFUNCTION("""COMPUTED_VALUE"""),1395.6)</f>
        <v>1395.6</v>
      </c>
      <c r="E1740" s="6">
        <f>IFERROR(__xludf.DUMMYFUNCTION("""COMPUTED_VALUE"""),1413.7)</f>
        <v>1413.7</v>
      </c>
      <c r="F1740" s="7">
        <f>IFERROR(__xludf.DUMMYFUNCTION("""COMPUTED_VALUE"""),8098668.0)</f>
        <v>8098668</v>
      </c>
      <c r="G1740" s="7" t="str">
        <f>IFERROR(__xludf.DUMMYFUNCTION("""COMPUTED_VALUE"""),"RELIANCE.NS")</f>
        <v>RELIANCE.NS</v>
      </c>
      <c r="H1740" s="8">
        <f t="shared" si="1"/>
        <v>0.001133064231</v>
      </c>
      <c r="I1740" s="8">
        <f t="shared" si="2"/>
        <v>0.001133064231</v>
      </c>
      <c r="J1740" s="7" t="str">
        <f t="shared" si="3"/>
        <v>Jun-2025</v>
      </c>
      <c r="K1740" s="9">
        <f t="shared" si="4"/>
        <v>45809</v>
      </c>
      <c r="L1740" s="7" t="str">
        <f t="shared" si="5"/>
        <v/>
      </c>
      <c r="M1740" s="7" t="str">
        <f>IFERROR(__xludf.DUMMYFUNCTION("IFERROR(
  IF(
    F1740 &gt;
    3*AVERAGE(
       FILTER($F$2:$F10491,
         $G$2:$G10491=G1740,
         $A$2:$A10491&gt;=A1740-20,
         $A$2:$A10491&lt;=A1740
       )
    ),
    ""VOL_SPIKE_3X"",""""
  ),
"""")
"),"")</f>
        <v/>
      </c>
      <c r="N1740" s="7" t="str">
        <f t="shared" si="6"/>
        <v/>
      </c>
      <c r="O1740" s="7" t="str">
        <f t="shared" si="7"/>
        <v/>
      </c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>
      <c r="A1741" s="5">
        <f>IFERROR(__xludf.DUMMYFUNCTION("""COMPUTED_VALUE"""),45811.0)</f>
        <v>45811</v>
      </c>
      <c r="B1741" s="6">
        <f>IFERROR(__xludf.DUMMYFUNCTION("""COMPUTED_VALUE"""),876.55)</f>
        <v>876.55</v>
      </c>
      <c r="C1741" s="6">
        <f>IFERROR(__xludf.DUMMYFUNCTION("""COMPUTED_VALUE"""),877.75)</f>
        <v>877.75</v>
      </c>
      <c r="D1741" s="6">
        <f>IFERROR(__xludf.DUMMYFUNCTION("""COMPUTED_VALUE"""),854.0)</f>
        <v>854</v>
      </c>
      <c r="E1741" s="6">
        <f>IFERROR(__xludf.DUMMYFUNCTION("""COMPUTED_VALUE"""),856.55)</f>
        <v>856.55</v>
      </c>
      <c r="F1741" s="7">
        <f>IFERROR(__xludf.DUMMYFUNCTION("""COMPUTED_VALUE"""),5811649.0)</f>
        <v>5811649</v>
      </c>
      <c r="G1741" s="7" t="str">
        <f>IFERROR(__xludf.DUMMYFUNCTION("""COMPUTED_VALUE"""),"ADANIENSOL.NS")</f>
        <v>ADANIENSOL.NS</v>
      </c>
      <c r="H1741" s="8">
        <f t="shared" si="1"/>
        <v>-0.02281672466</v>
      </c>
      <c r="I1741" s="8">
        <f t="shared" si="2"/>
        <v>0.02281672466</v>
      </c>
      <c r="J1741" s="7" t="str">
        <f t="shared" si="3"/>
        <v>Jun-2025</v>
      </c>
      <c r="K1741" s="9">
        <f t="shared" si="4"/>
        <v>45809</v>
      </c>
      <c r="L1741" s="7" t="str">
        <f t="shared" si="5"/>
        <v/>
      </c>
      <c r="M1741" s="7" t="str">
        <f>IFERROR(__xludf.DUMMYFUNCTION("IFERROR(
  IF(
    F1741 &gt;
    3*AVERAGE(
       FILTER($F$2:$F10491,
         $G$2:$G10491=G1741,
         $A$2:$A10491&gt;=A1741-20,
         $A$2:$A10491&lt;=A1741
       )
    ),
    ""VOL_SPIKE_3X"",""""
  ),
"""")
"),"VOL_SPIKE_3X")</f>
        <v>VOL_SPIKE_3X</v>
      </c>
      <c r="N1741" s="7" t="str">
        <f t="shared" si="6"/>
        <v>VOL_SPIKE_3X</v>
      </c>
      <c r="O1741" s="7" t="str">
        <f t="shared" si="7"/>
        <v/>
      </c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>
      <c r="A1742" s="5">
        <f>IFERROR(__xludf.DUMMYFUNCTION("""COMPUTED_VALUE"""),45811.0)</f>
        <v>45811</v>
      </c>
      <c r="B1742" s="6">
        <f>IFERROR(__xludf.DUMMYFUNCTION("""COMPUTED_VALUE"""),1009.1)</f>
        <v>1009.1</v>
      </c>
      <c r="C1742" s="6">
        <f>IFERROR(__xludf.DUMMYFUNCTION("""COMPUTED_VALUE"""),1018.0)</f>
        <v>1018</v>
      </c>
      <c r="D1742" s="6">
        <f>IFERROR(__xludf.DUMMYFUNCTION("""COMPUTED_VALUE"""),988.0)</f>
        <v>988</v>
      </c>
      <c r="E1742" s="6">
        <f>IFERROR(__xludf.DUMMYFUNCTION("""COMPUTED_VALUE"""),992.6)</f>
        <v>992.6</v>
      </c>
      <c r="F1742" s="7">
        <f>IFERROR(__xludf.DUMMYFUNCTION("""COMPUTED_VALUE"""),2438866.0)</f>
        <v>2438866</v>
      </c>
      <c r="G1742" s="7" t="str">
        <f>IFERROR(__xludf.DUMMYFUNCTION("""COMPUTED_VALUE"""),"ADANIGREEN.NS")</f>
        <v>ADANIGREEN.NS</v>
      </c>
      <c r="H1742" s="8">
        <f t="shared" si="1"/>
        <v>-0.01635120404</v>
      </c>
      <c r="I1742" s="8">
        <f t="shared" si="2"/>
        <v>0.01635120404</v>
      </c>
      <c r="J1742" s="7" t="str">
        <f t="shared" si="3"/>
        <v>Jun-2025</v>
      </c>
      <c r="K1742" s="9">
        <f t="shared" si="4"/>
        <v>45809</v>
      </c>
      <c r="L1742" s="7" t="str">
        <f t="shared" si="5"/>
        <v/>
      </c>
      <c r="M1742" s="7" t="str">
        <f>IFERROR(__xludf.DUMMYFUNCTION("IFERROR(
  IF(
    F1742 &gt;
    3*AVERAGE(
       FILTER($F$2:$F10491,
         $G$2:$G10491=G1742,
         $A$2:$A10491&gt;=A1742-20,
         $A$2:$A10491&lt;=A1742
       )
    ),
    ""VOL_SPIKE_3X"",""""
  ),
"""")
"),"")</f>
        <v/>
      </c>
      <c r="N1742" s="7" t="str">
        <f t="shared" si="6"/>
        <v/>
      </c>
      <c r="O1742" s="7" t="str">
        <f t="shared" si="7"/>
        <v/>
      </c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>
      <c r="A1743" s="5">
        <f>IFERROR(__xludf.DUMMYFUNCTION("""COMPUTED_VALUE"""),45811.0)</f>
        <v>45811</v>
      </c>
      <c r="B1743" s="6">
        <f>IFERROR(__xludf.DUMMYFUNCTION("""COMPUTED_VALUE"""),315.05)</f>
        <v>315.05</v>
      </c>
      <c r="C1743" s="6">
        <f>IFERROR(__xludf.DUMMYFUNCTION("""COMPUTED_VALUE"""),320.95)</f>
        <v>320.95</v>
      </c>
      <c r="D1743" s="6">
        <f>IFERROR(__xludf.DUMMYFUNCTION("""COMPUTED_VALUE"""),309.0)</f>
        <v>309</v>
      </c>
      <c r="E1743" s="6">
        <f>IFERROR(__xludf.DUMMYFUNCTION("""COMPUTED_VALUE"""),309.75)</f>
        <v>309.75</v>
      </c>
      <c r="F1743" s="7">
        <f>IFERROR(__xludf.DUMMYFUNCTION("""COMPUTED_VALUE"""),7853488.0)</f>
        <v>7853488</v>
      </c>
      <c r="G1743" s="7" t="str">
        <f>IFERROR(__xludf.DUMMYFUNCTION("""COMPUTED_VALUE"""),"BPCL.NS")</f>
        <v>BPCL.NS</v>
      </c>
      <c r="H1743" s="8">
        <f t="shared" si="1"/>
        <v>-0.01682272655</v>
      </c>
      <c r="I1743" s="8">
        <f t="shared" si="2"/>
        <v>0.01682272655</v>
      </c>
      <c r="J1743" s="7" t="str">
        <f t="shared" si="3"/>
        <v>Jun-2025</v>
      </c>
      <c r="K1743" s="9">
        <f t="shared" si="4"/>
        <v>45809</v>
      </c>
      <c r="L1743" s="7" t="str">
        <f t="shared" si="5"/>
        <v/>
      </c>
      <c r="M1743" s="7" t="str">
        <f>IFERROR(__xludf.DUMMYFUNCTION("IFERROR(
  IF(
    F1743 &gt;
    3*AVERAGE(
       FILTER($F$2:$F10491,
         $G$2:$G10491=G1743,
         $A$2:$A10491&gt;=A1743-20,
         $A$2:$A10491&lt;=A1743
       )
    ),
    ""VOL_SPIKE_3X"",""""
  ),
"""")
"),"")</f>
        <v/>
      </c>
      <c r="N1743" s="7" t="str">
        <f t="shared" si="6"/>
        <v/>
      </c>
      <c r="O1743" s="7" t="str">
        <f t="shared" si="7"/>
        <v/>
      </c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>
      <c r="A1744" s="5">
        <f>IFERROR(__xludf.DUMMYFUNCTION("""COMPUTED_VALUE"""),45811.0)</f>
        <v>45811</v>
      </c>
      <c r="B1744" s="6">
        <f>IFERROR(__xludf.DUMMYFUNCTION("""COMPUTED_VALUE"""),399.7)</f>
        <v>399.7</v>
      </c>
      <c r="C1744" s="6">
        <f>IFERROR(__xludf.DUMMYFUNCTION("""COMPUTED_VALUE"""),400.5)</f>
        <v>400.5</v>
      </c>
      <c r="D1744" s="6">
        <f>IFERROR(__xludf.DUMMYFUNCTION("""COMPUTED_VALUE"""),390.5)</f>
        <v>390.5</v>
      </c>
      <c r="E1744" s="6">
        <f>IFERROR(__xludf.DUMMYFUNCTION("""COMPUTED_VALUE"""),392.85)</f>
        <v>392.85</v>
      </c>
      <c r="F1744" s="7">
        <f>IFERROR(__xludf.DUMMYFUNCTION("""COMPUTED_VALUE"""),7360608.0)</f>
        <v>7360608</v>
      </c>
      <c r="G1744" s="7" t="str">
        <f>IFERROR(__xludf.DUMMYFUNCTION("""COMPUTED_VALUE"""),"COALINDIA.NS")</f>
        <v>COALINDIA.NS</v>
      </c>
      <c r="H1744" s="8">
        <f t="shared" si="1"/>
        <v>-0.01713785339</v>
      </c>
      <c r="I1744" s="8">
        <f t="shared" si="2"/>
        <v>0.01713785339</v>
      </c>
      <c r="J1744" s="7" t="str">
        <f t="shared" si="3"/>
        <v>Jun-2025</v>
      </c>
      <c r="K1744" s="9">
        <f t="shared" si="4"/>
        <v>45809</v>
      </c>
      <c r="L1744" s="7" t="str">
        <f t="shared" si="5"/>
        <v/>
      </c>
      <c r="M1744" s="7" t="str">
        <f>IFERROR(__xludf.DUMMYFUNCTION("IFERROR(
  IF(
    F1744 &gt;
    3*AVERAGE(
       FILTER($F$2:$F10491,
         $G$2:$G10491=G1744,
         $A$2:$A10491&gt;=A1744-20,
         $A$2:$A10491&lt;=A1744
       )
    ),
    ""VOL_SPIKE_3X"",""""
  ),
"""")
"),"")</f>
        <v/>
      </c>
      <c r="N1744" s="7" t="str">
        <f t="shared" si="6"/>
        <v/>
      </c>
      <c r="O1744" s="7" t="str">
        <f t="shared" si="7"/>
        <v/>
      </c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>
      <c r="A1745" s="5">
        <f>IFERROR(__xludf.DUMMYFUNCTION("""COMPUTED_VALUE"""),45811.0)</f>
        <v>45811</v>
      </c>
      <c r="B1745" s="6">
        <f>IFERROR(__xludf.DUMMYFUNCTION("""COMPUTED_VALUE"""),407.5)</f>
        <v>407.5</v>
      </c>
      <c r="C1745" s="6">
        <f>IFERROR(__xludf.DUMMYFUNCTION("""COMPUTED_VALUE"""),410.0)</f>
        <v>410</v>
      </c>
      <c r="D1745" s="6">
        <f>IFERROR(__xludf.DUMMYFUNCTION("""COMPUTED_VALUE"""),401.1)</f>
        <v>401.1</v>
      </c>
      <c r="E1745" s="6">
        <f>IFERROR(__xludf.DUMMYFUNCTION("""COMPUTED_VALUE"""),402.0)</f>
        <v>402</v>
      </c>
      <c r="F1745" s="7">
        <f>IFERROR(__xludf.DUMMYFUNCTION("""COMPUTED_VALUE"""),2570008.0)</f>
        <v>2570008</v>
      </c>
      <c r="G1745" s="7" t="str">
        <f>IFERROR(__xludf.DUMMYFUNCTION("""COMPUTED_VALUE"""),"HINDPETRO.NS")</f>
        <v>HINDPETRO.NS</v>
      </c>
      <c r="H1745" s="8">
        <f t="shared" si="1"/>
        <v>-0.01349693252</v>
      </c>
      <c r="I1745" s="8">
        <f t="shared" si="2"/>
        <v>0.01349693252</v>
      </c>
      <c r="J1745" s="7" t="str">
        <f t="shared" si="3"/>
        <v>Jun-2025</v>
      </c>
      <c r="K1745" s="9">
        <f t="shared" si="4"/>
        <v>45809</v>
      </c>
      <c r="L1745" s="7" t="str">
        <f t="shared" si="5"/>
        <v/>
      </c>
      <c r="M1745" s="7" t="str">
        <f>IFERROR(__xludf.DUMMYFUNCTION("IFERROR(
  IF(
    F1745 &gt;
    3*AVERAGE(
       FILTER($F$2:$F10491,
         $G$2:$G10491=G1745,
         $A$2:$A10491&gt;=A1745-20,
         $A$2:$A10491&lt;=A1745
       )
    ),
    ""VOL_SPIKE_3X"",""""
  ),
"""")
"),"")</f>
        <v/>
      </c>
      <c r="N1745" s="7" t="str">
        <f t="shared" si="6"/>
        <v/>
      </c>
      <c r="O1745" s="7" t="str">
        <f t="shared" si="7"/>
        <v/>
      </c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>
      <c r="A1746" s="5">
        <f>IFERROR(__xludf.DUMMYFUNCTION("""COMPUTED_VALUE"""),45811.0)</f>
        <v>45811</v>
      </c>
      <c r="B1746" s="6">
        <f>IFERROR(__xludf.DUMMYFUNCTION("""COMPUTED_VALUE"""),143.9)</f>
        <v>143.9</v>
      </c>
      <c r="C1746" s="6">
        <f>IFERROR(__xludf.DUMMYFUNCTION("""COMPUTED_VALUE"""),144.0)</f>
        <v>144</v>
      </c>
      <c r="D1746" s="6">
        <f>IFERROR(__xludf.DUMMYFUNCTION("""COMPUTED_VALUE"""),140.6)</f>
        <v>140.6</v>
      </c>
      <c r="E1746" s="6">
        <f>IFERROR(__xludf.DUMMYFUNCTION("""COMPUTED_VALUE"""),141.04)</f>
        <v>141.04</v>
      </c>
      <c r="F1746" s="7">
        <f>IFERROR(__xludf.DUMMYFUNCTION("""COMPUTED_VALUE"""),7002799.0)</f>
        <v>7002799</v>
      </c>
      <c r="G1746" s="7" t="str">
        <f>IFERROR(__xludf.DUMMYFUNCTION("""COMPUTED_VALUE"""),"IOC.NS")</f>
        <v>IOC.NS</v>
      </c>
      <c r="H1746" s="8">
        <f t="shared" si="1"/>
        <v>-0.01987491313</v>
      </c>
      <c r="I1746" s="8">
        <f t="shared" si="2"/>
        <v>0.01987491313</v>
      </c>
      <c r="J1746" s="7" t="str">
        <f t="shared" si="3"/>
        <v>Jun-2025</v>
      </c>
      <c r="K1746" s="9">
        <f t="shared" si="4"/>
        <v>45809</v>
      </c>
      <c r="L1746" s="7" t="str">
        <f t="shared" si="5"/>
        <v/>
      </c>
      <c r="M1746" s="7" t="str">
        <f>IFERROR(__xludf.DUMMYFUNCTION("IFERROR(
  IF(
    F1746 &gt;
    3*AVERAGE(
       FILTER($F$2:$F10491,
         $G$2:$G10491=G1746,
         $A$2:$A10491&gt;=A1746-20,
         $A$2:$A10491&lt;=A1746
       )
    ),
    ""VOL_SPIKE_3X"",""""
  ),
"""")
"),"")</f>
        <v/>
      </c>
      <c r="N1746" s="7" t="str">
        <f t="shared" si="6"/>
        <v/>
      </c>
      <c r="O1746" s="7" t="str">
        <f t="shared" si="7"/>
        <v/>
      </c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>
      <c r="A1747" s="5">
        <f>IFERROR(__xludf.DUMMYFUNCTION("""COMPUTED_VALUE"""),45811.0)</f>
        <v>45811</v>
      </c>
      <c r="B1747" s="6">
        <f>IFERROR(__xludf.DUMMYFUNCTION("""COMPUTED_VALUE"""),333.0)</f>
        <v>333</v>
      </c>
      <c r="C1747" s="6">
        <f>IFERROR(__xludf.DUMMYFUNCTION("""COMPUTED_VALUE"""),334.75)</f>
        <v>334.75</v>
      </c>
      <c r="D1747" s="6">
        <f>IFERROR(__xludf.DUMMYFUNCTION("""COMPUTED_VALUE"""),327.0)</f>
        <v>327</v>
      </c>
      <c r="E1747" s="6">
        <f>IFERROR(__xludf.DUMMYFUNCTION("""COMPUTED_VALUE"""),328.25)</f>
        <v>328.25</v>
      </c>
      <c r="F1747" s="7">
        <f>IFERROR(__xludf.DUMMYFUNCTION("""COMPUTED_VALUE"""),1.4081719E7)</f>
        <v>14081719</v>
      </c>
      <c r="G1747" s="7" t="str">
        <f>IFERROR(__xludf.DUMMYFUNCTION("""COMPUTED_VALUE"""),"NTPC.NS")</f>
        <v>NTPC.NS</v>
      </c>
      <c r="H1747" s="8">
        <f t="shared" si="1"/>
        <v>-0.01426426426</v>
      </c>
      <c r="I1747" s="8">
        <f t="shared" si="2"/>
        <v>0.01426426426</v>
      </c>
      <c r="J1747" s="7" t="str">
        <f t="shared" si="3"/>
        <v>Jun-2025</v>
      </c>
      <c r="K1747" s="9">
        <f t="shared" si="4"/>
        <v>45809</v>
      </c>
      <c r="L1747" s="7" t="str">
        <f t="shared" si="5"/>
        <v/>
      </c>
      <c r="M1747" s="7" t="str">
        <f>IFERROR(__xludf.DUMMYFUNCTION("IFERROR(
  IF(
    F1747 &gt;
    3*AVERAGE(
       FILTER($F$2:$F10491,
         $G$2:$G10491=G1747,
         $A$2:$A10491&gt;=A1747-20,
         $A$2:$A10491&lt;=A1747
       )
    ),
    ""VOL_SPIKE_3X"",""""
  ),
"""")
"),"")</f>
        <v/>
      </c>
      <c r="N1747" s="7" t="str">
        <f t="shared" si="6"/>
        <v/>
      </c>
      <c r="O1747" s="7" t="str">
        <f t="shared" si="7"/>
        <v/>
      </c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>
      <c r="A1748" s="5">
        <f>IFERROR(__xludf.DUMMYFUNCTION("""COMPUTED_VALUE"""),45811.0)</f>
        <v>45811</v>
      </c>
      <c r="B1748" s="6">
        <f>IFERROR(__xludf.DUMMYFUNCTION("""COMPUTED_VALUE"""),240.5)</f>
        <v>240.5</v>
      </c>
      <c r="C1748" s="6">
        <f>IFERROR(__xludf.DUMMYFUNCTION("""COMPUTED_VALUE"""),241.05)</f>
        <v>241.05</v>
      </c>
      <c r="D1748" s="6">
        <f>IFERROR(__xludf.DUMMYFUNCTION("""COMPUTED_VALUE"""),236.6)</f>
        <v>236.6</v>
      </c>
      <c r="E1748" s="6">
        <f>IFERROR(__xludf.DUMMYFUNCTION("""COMPUTED_VALUE"""),237.27)</f>
        <v>237.27</v>
      </c>
      <c r="F1748" s="7">
        <f>IFERROR(__xludf.DUMMYFUNCTION("""COMPUTED_VALUE"""),9515918.0)</f>
        <v>9515918</v>
      </c>
      <c r="G1748" s="7" t="str">
        <f>IFERROR(__xludf.DUMMYFUNCTION("""COMPUTED_VALUE"""),"ONGC.NS")</f>
        <v>ONGC.NS</v>
      </c>
      <c r="H1748" s="8">
        <f t="shared" si="1"/>
        <v>-0.01343035343</v>
      </c>
      <c r="I1748" s="8">
        <f t="shared" si="2"/>
        <v>0.01343035343</v>
      </c>
      <c r="J1748" s="7" t="str">
        <f t="shared" si="3"/>
        <v>Jun-2025</v>
      </c>
      <c r="K1748" s="9">
        <f t="shared" si="4"/>
        <v>45809</v>
      </c>
      <c r="L1748" s="7" t="str">
        <f t="shared" si="5"/>
        <v/>
      </c>
      <c r="M1748" s="7" t="str">
        <f>IFERROR(__xludf.DUMMYFUNCTION("IFERROR(
  IF(
    F1748 &gt;
    3*AVERAGE(
       FILTER($F$2:$F10491,
         $G$2:$G10491=G1748,
         $A$2:$A10491&gt;=A1748-20,
         $A$2:$A10491&lt;=A1748
       )
    ),
    ""VOL_SPIKE_3X"",""""
  ),
"""")
"),"")</f>
        <v/>
      </c>
      <c r="N1748" s="7" t="str">
        <f t="shared" si="6"/>
        <v/>
      </c>
      <c r="O1748" s="7" t="str">
        <f t="shared" si="7"/>
        <v/>
      </c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>
      <c r="A1749" s="5">
        <f>IFERROR(__xludf.DUMMYFUNCTION("""COMPUTED_VALUE"""),45811.0)</f>
        <v>45811</v>
      </c>
      <c r="B1749" s="6">
        <f>IFERROR(__xludf.DUMMYFUNCTION("""COMPUTED_VALUE"""),292.5)</f>
        <v>292.5</v>
      </c>
      <c r="C1749" s="6">
        <f>IFERROR(__xludf.DUMMYFUNCTION("""COMPUTED_VALUE"""),295.4)</f>
        <v>295.4</v>
      </c>
      <c r="D1749" s="6">
        <f>IFERROR(__xludf.DUMMYFUNCTION("""COMPUTED_VALUE"""),287.75)</f>
        <v>287.75</v>
      </c>
      <c r="E1749" s="6">
        <f>IFERROR(__xludf.DUMMYFUNCTION("""COMPUTED_VALUE"""),288.25)</f>
        <v>288.25</v>
      </c>
      <c r="F1749" s="7">
        <f>IFERROR(__xludf.DUMMYFUNCTION("""COMPUTED_VALUE"""),1.0989055E7)</f>
        <v>10989055</v>
      </c>
      <c r="G1749" s="7" t="str">
        <f>IFERROR(__xludf.DUMMYFUNCTION("""COMPUTED_VALUE"""),"POWERGRID.NS")</f>
        <v>POWERGRID.NS</v>
      </c>
      <c r="H1749" s="8">
        <f t="shared" si="1"/>
        <v>-0.01452991453</v>
      </c>
      <c r="I1749" s="8">
        <f t="shared" si="2"/>
        <v>0.01452991453</v>
      </c>
      <c r="J1749" s="7" t="str">
        <f t="shared" si="3"/>
        <v>Jun-2025</v>
      </c>
      <c r="K1749" s="9">
        <f t="shared" si="4"/>
        <v>45809</v>
      </c>
      <c r="L1749" s="7" t="str">
        <f t="shared" si="5"/>
        <v/>
      </c>
      <c r="M1749" s="7" t="str">
        <f>IFERROR(__xludf.DUMMYFUNCTION("IFERROR(
  IF(
    F1749 &gt;
    3*AVERAGE(
       FILTER($F$2:$F10491,
         $G$2:$G10491=G1749,
         $A$2:$A10491&gt;=A1749-20,
         $A$2:$A10491&lt;=A1749
       )
    ),
    ""VOL_SPIKE_3X"",""""
  ),
"""")
"),"")</f>
        <v/>
      </c>
      <c r="N1749" s="7" t="str">
        <f t="shared" si="6"/>
        <v/>
      </c>
      <c r="O1749" s="7" t="str">
        <f t="shared" si="7"/>
        <v/>
      </c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>
      <c r="A1750" s="5">
        <f>IFERROR(__xludf.DUMMYFUNCTION("""COMPUTED_VALUE"""),45811.0)</f>
        <v>45811</v>
      </c>
      <c r="B1750" s="6">
        <f>IFERROR(__xludf.DUMMYFUNCTION("""COMPUTED_VALUE"""),1422.3)</f>
        <v>1422.3</v>
      </c>
      <c r="C1750" s="6">
        <f>IFERROR(__xludf.DUMMYFUNCTION("""COMPUTED_VALUE"""),1426.5)</f>
        <v>1426.5</v>
      </c>
      <c r="D1750" s="6">
        <f>IFERROR(__xludf.DUMMYFUNCTION("""COMPUTED_VALUE"""),1403.4)</f>
        <v>1403.4</v>
      </c>
      <c r="E1750" s="6">
        <f>IFERROR(__xludf.DUMMYFUNCTION("""COMPUTED_VALUE"""),1405.5)</f>
        <v>1405.5</v>
      </c>
      <c r="F1750" s="7">
        <f>IFERROR(__xludf.DUMMYFUNCTION("""COMPUTED_VALUE"""),1.1252626E7)</f>
        <v>11252626</v>
      </c>
      <c r="G1750" s="7" t="str">
        <f>IFERROR(__xludf.DUMMYFUNCTION("""COMPUTED_VALUE"""),"RELIANCE.NS")</f>
        <v>RELIANCE.NS</v>
      </c>
      <c r="H1750" s="8">
        <f t="shared" si="1"/>
        <v>-0.01181185404</v>
      </c>
      <c r="I1750" s="8">
        <f t="shared" si="2"/>
        <v>0.01181185404</v>
      </c>
      <c r="J1750" s="7" t="str">
        <f t="shared" si="3"/>
        <v>Jun-2025</v>
      </c>
      <c r="K1750" s="9">
        <f t="shared" si="4"/>
        <v>45809</v>
      </c>
      <c r="L1750" s="7" t="str">
        <f t="shared" si="5"/>
        <v/>
      </c>
      <c r="M1750" s="7" t="str">
        <f>IFERROR(__xludf.DUMMYFUNCTION("IFERROR(
  IF(
    F1750 &gt;
    3*AVERAGE(
       FILTER($F$2:$F10491,
         $G$2:$G10491=G1750,
         $A$2:$A10491&gt;=A1750-20,
         $A$2:$A10491&lt;=A1750
       )
    ),
    ""VOL_SPIKE_3X"",""""
  ),
"""")
"),"")</f>
        <v/>
      </c>
      <c r="N1750" s="7" t="str">
        <f t="shared" si="6"/>
        <v/>
      </c>
      <c r="O1750" s="7" t="str">
        <f t="shared" si="7"/>
        <v/>
      </c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>
      <c r="A1751" s="5">
        <f>IFERROR(__xludf.DUMMYFUNCTION("""COMPUTED_VALUE"""),45812.0)</f>
        <v>45812</v>
      </c>
      <c r="B1751" s="6">
        <f>IFERROR(__xludf.DUMMYFUNCTION("""COMPUTED_VALUE"""),860.5)</f>
        <v>860.5</v>
      </c>
      <c r="C1751" s="6">
        <f>IFERROR(__xludf.DUMMYFUNCTION("""COMPUTED_VALUE"""),873.5)</f>
        <v>873.5</v>
      </c>
      <c r="D1751" s="6">
        <f>IFERROR(__xludf.DUMMYFUNCTION("""COMPUTED_VALUE"""),851.55)</f>
        <v>851.55</v>
      </c>
      <c r="E1751" s="6">
        <f>IFERROR(__xludf.DUMMYFUNCTION("""COMPUTED_VALUE"""),866.0)</f>
        <v>866</v>
      </c>
      <c r="F1751" s="7">
        <f>IFERROR(__xludf.DUMMYFUNCTION("""COMPUTED_VALUE"""),5947467.0)</f>
        <v>5947467</v>
      </c>
      <c r="G1751" s="7" t="str">
        <f>IFERROR(__xludf.DUMMYFUNCTION("""COMPUTED_VALUE"""),"ADANIENSOL.NS")</f>
        <v>ADANIENSOL.NS</v>
      </c>
      <c r="H1751" s="8">
        <f t="shared" si="1"/>
        <v>0.006391632772</v>
      </c>
      <c r="I1751" s="8">
        <f t="shared" si="2"/>
        <v>0.006391632772</v>
      </c>
      <c r="J1751" s="7" t="str">
        <f t="shared" si="3"/>
        <v>Jun-2025</v>
      </c>
      <c r="K1751" s="9">
        <f t="shared" si="4"/>
        <v>45809</v>
      </c>
      <c r="L1751" s="7" t="str">
        <f t="shared" si="5"/>
        <v/>
      </c>
      <c r="M1751" s="7" t="str">
        <f>IFERROR(__xludf.DUMMYFUNCTION("IFERROR(
  IF(
    F1751 &gt;
    3*AVERAGE(
       FILTER($F$2:$F10491,
         $G$2:$G10491=G1751,
         $A$2:$A10491&gt;=A1751-20,
         $A$2:$A10491&lt;=A1751
       )
    ),
    ""VOL_SPIKE_3X"",""""
  ),
"""")
"),"")</f>
        <v/>
      </c>
      <c r="N1751" s="7" t="str">
        <f t="shared" si="6"/>
        <v/>
      </c>
      <c r="O1751" s="7" t="str">
        <f t="shared" si="7"/>
        <v/>
      </c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>
      <c r="A1752" s="5">
        <f>IFERROR(__xludf.DUMMYFUNCTION("""COMPUTED_VALUE"""),45812.0)</f>
        <v>45812</v>
      </c>
      <c r="B1752" s="6">
        <f>IFERROR(__xludf.DUMMYFUNCTION("""COMPUTED_VALUE"""),997.5)</f>
        <v>997.5</v>
      </c>
      <c r="C1752" s="6">
        <f>IFERROR(__xludf.DUMMYFUNCTION("""COMPUTED_VALUE"""),1009.0)</f>
        <v>1009</v>
      </c>
      <c r="D1752" s="6">
        <f>IFERROR(__xludf.DUMMYFUNCTION("""COMPUTED_VALUE"""),983.7)</f>
        <v>983.7</v>
      </c>
      <c r="E1752" s="6">
        <f>IFERROR(__xludf.DUMMYFUNCTION("""COMPUTED_VALUE"""),1004.8)</f>
        <v>1004.8</v>
      </c>
      <c r="F1752" s="7">
        <f>IFERROR(__xludf.DUMMYFUNCTION("""COMPUTED_VALUE"""),1700483.0)</f>
        <v>1700483</v>
      </c>
      <c r="G1752" s="7" t="str">
        <f>IFERROR(__xludf.DUMMYFUNCTION("""COMPUTED_VALUE"""),"ADANIGREEN.NS")</f>
        <v>ADANIGREEN.NS</v>
      </c>
      <c r="H1752" s="8">
        <f t="shared" si="1"/>
        <v>0.007318295739</v>
      </c>
      <c r="I1752" s="8">
        <f t="shared" si="2"/>
        <v>0.007318295739</v>
      </c>
      <c r="J1752" s="7" t="str">
        <f t="shared" si="3"/>
        <v>Jun-2025</v>
      </c>
      <c r="K1752" s="9">
        <f t="shared" si="4"/>
        <v>45809</v>
      </c>
      <c r="L1752" s="7" t="str">
        <f t="shared" si="5"/>
        <v/>
      </c>
      <c r="M1752" s="7" t="str">
        <f>IFERROR(__xludf.DUMMYFUNCTION("IFERROR(
  IF(
    F1752 &gt;
    3*AVERAGE(
       FILTER($F$2:$F10491,
         $G$2:$G10491=G1752,
         $A$2:$A10491&gt;=A1752-20,
         $A$2:$A10491&lt;=A1752
       )
    ),
    ""VOL_SPIKE_3X"",""""
  ),
"""")
"),"")</f>
        <v/>
      </c>
      <c r="N1752" s="7" t="str">
        <f t="shared" si="6"/>
        <v/>
      </c>
      <c r="O1752" s="7" t="str">
        <f t="shared" si="7"/>
        <v/>
      </c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>
      <c r="A1753" s="5">
        <f>IFERROR(__xludf.DUMMYFUNCTION("""COMPUTED_VALUE"""),45812.0)</f>
        <v>45812</v>
      </c>
      <c r="B1753" s="6">
        <f>IFERROR(__xludf.DUMMYFUNCTION("""COMPUTED_VALUE"""),309.75)</f>
        <v>309.75</v>
      </c>
      <c r="C1753" s="6">
        <f>IFERROR(__xludf.DUMMYFUNCTION("""COMPUTED_VALUE"""),312.65)</f>
        <v>312.65</v>
      </c>
      <c r="D1753" s="6">
        <f>IFERROR(__xludf.DUMMYFUNCTION("""COMPUTED_VALUE"""),308.6)</f>
        <v>308.6</v>
      </c>
      <c r="E1753" s="6">
        <f>IFERROR(__xludf.DUMMYFUNCTION("""COMPUTED_VALUE"""),311.55)</f>
        <v>311.55</v>
      </c>
      <c r="F1753" s="7">
        <f>IFERROR(__xludf.DUMMYFUNCTION("""COMPUTED_VALUE"""),5925942.0)</f>
        <v>5925942</v>
      </c>
      <c r="G1753" s="7" t="str">
        <f>IFERROR(__xludf.DUMMYFUNCTION("""COMPUTED_VALUE"""),"BPCL.NS")</f>
        <v>BPCL.NS</v>
      </c>
      <c r="H1753" s="8">
        <f t="shared" si="1"/>
        <v>0.005811138015</v>
      </c>
      <c r="I1753" s="8">
        <f t="shared" si="2"/>
        <v>0.005811138015</v>
      </c>
      <c r="J1753" s="7" t="str">
        <f t="shared" si="3"/>
        <v>Jun-2025</v>
      </c>
      <c r="K1753" s="9">
        <f t="shared" si="4"/>
        <v>45809</v>
      </c>
      <c r="L1753" s="7" t="str">
        <f t="shared" si="5"/>
        <v/>
      </c>
      <c r="M1753" s="7" t="str">
        <f>IFERROR(__xludf.DUMMYFUNCTION("IFERROR(
  IF(
    F1753 &gt;
    3*AVERAGE(
       FILTER($F$2:$F10491,
         $G$2:$G10491=G1753,
         $A$2:$A10491&gt;=A1753-20,
         $A$2:$A10491&lt;=A1753
       )
    ),
    ""VOL_SPIKE_3X"",""""
  ),
"""")
"),"")</f>
        <v/>
      </c>
      <c r="N1753" s="7" t="str">
        <f t="shared" si="6"/>
        <v/>
      </c>
      <c r="O1753" s="7" t="str">
        <f t="shared" si="7"/>
        <v/>
      </c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>
      <c r="A1754" s="5">
        <f>IFERROR(__xludf.DUMMYFUNCTION("""COMPUTED_VALUE"""),45812.0)</f>
        <v>45812</v>
      </c>
      <c r="B1754" s="6">
        <f>IFERROR(__xludf.DUMMYFUNCTION("""COMPUTED_VALUE"""),392.85)</f>
        <v>392.85</v>
      </c>
      <c r="C1754" s="6">
        <f>IFERROR(__xludf.DUMMYFUNCTION("""COMPUTED_VALUE"""),395.0)</f>
        <v>395</v>
      </c>
      <c r="D1754" s="6">
        <f>IFERROR(__xludf.DUMMYFUNCTION("""COMPUTED_VALUE"""),389.6)</f>
        <v>389.6</v>
      </c>
      <c r="E1754" s="6">
        <f>IFERROR(__xludf.DUMMYFUNCTION("""COMPUTED_VALUE"""),394.6)</f>
        <v>394.6</v>
      </c>
      <c r="F1754" s="7">
        <f>IFERROR(__xludf.DUMMYFUNCTION("""COMPUTED_VALUE"""),3861957.0)</f>
        <v>3861957</v>
      </c>
      <c r="G1754" s="7" t="str">
        <f>IFERROR(__xludf.DUMMYFUNCTION("""COMPUTED_VALUE"""),"COALINDIA.NS")</f>
        <v>COALINDIA.NS</v>
      </c>
      <c r="H1754" s="8">
        <f t="shared" si="1"/>
        <v>0.004454626448</v>
      </c>
      <c r="I1754" s="8">
        <f t="shared" si="2"/>
        <v>0.004454626448</v>
      </c>
      <c r="J1754" s="7" t="str">
        <f t="shared" si="3"/>
        <v>Jun-2025</v>
      </c>
      <c r="K1754" s="9">
        <f t="shared" si="4"/>
        <v>45809</v>
      </c>
      <c r="L1754" s="7" t="str">
        <f t="shared" si="5"/>
        <v/>
      </c>
      <c r="M1754" s="7" t="str">
        <f>IFERROR(__xludf.DUMMYFUNCTION("IFERROR(
  IF(
    F1754 &gt;
    3*AVERAGE(
       FILTER($F$2:$F10491,
         $G$2:$G10491=G1754,
         $A$2:$A10491&gt;=A1754-20,
         $A$2:$A10491&lt;=A1754
       )
    ),
    ""VOL_SPIKE_3X"",""""
  ),
"""")
"),"")</f>
        <v/>
      </c>
      <c r="N1754" s="7" t="str">
        <f t="shared" si="6"/>
        <v/>
      </c>
      <c r="O1754" s="7" t="str">
        <f t="shared" si="7"/>
        <v/>
      </c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>
      <c r="A1755" s="5">
        <f>IFERROR(__xludf.DUMMYFUNCTION("""COMPUTED_VALUE"""),45812.0)</f>
        <v>45812</v>
      </c>
      <c r="B1755" s="6">
        <f>IFERROR(__xludf.DUMMYFUNCTION("""COMPUTED_VALUE"""),404.0)</f>
        <v>404</v>
      </c>
      <c r="C1755" s="6">
        <f>IFERROR(__xludf.DUMMYFUNCTION("""COMPUTED_VALUE"""),407.65)</f>
        <v>407.65</v>
      </c>
      <c r="D1755" s="6">
        <f>IFERROR(__xludf.DUMMYFUNCTION("""COMPUTED_VALUE"""),401.0)</f>
        <v>401</v>
      </c>
      <c r="E1755" s="6">
        <f>IFERROR(__xludf.DUMMYFUNCTION("""COMPUTED_VALUE"""),406.6)</f>
        <v>406.6</v>
      </c>
      <c r="F1755" s="7">
        <f>IFERROR(__xludf.DUMMYFUNCTION("""COMPUTED_VALUE"""),2415724.0)</f>
        <v>2415724</v>
      </c>
      <c r="G1755" s="7" t="str">
        <f>IFERROR(__xludf.DUMMYFUNCTION("""COMPUTED_VALUE"""),"HINDPETRO.NS")</f>
        <v>HINDPETRO.NS</v>
      </c>
      <c r="H1755" s="8">
        <f t="shared" si="1"/>
        <v>0.006435643564</v>
      </c>
      <c r="I1755" s="8">
        <f t="shared" si="2"/>
        <v>0.006435643564</v>
      </c>
      <c r="J1755" s="7" t="str">
        <f t="shared" si="3"/>
        <v>Jun-2025</v>
      </c>
      <c r="K1755" s="9">
        <f t="shared" si="4"/>
        <v>45809</v>
      </c>
      <c r="L1755" s="7" t="str">
        <f t="shared" si="5"/>
        <v/>
      </c>
      <c r="M1755" s="7" t="str">
        <f>IFERROR(__xludf.DUMMYFUNCTION("IFERROR(
  IF(
    F1755 &gt;
    3*AVERAGE(
       FILTER($F$2:$F10491,
         $G$2:$G10491=G1755,
         $A$2:$A10491&gt;=A1755-20,
         $A$2:$A10491&lt;=A1755
       )
    ),
    ""VOL_SPIKE_3X"",""""
  ),
"""")
"),"")</f>
        <v/>
      </c>
      <c r="N1755" s="7" t="str">
        <f t="shared" si="6"/>
        <v/>
      </c>
      <c r="O1755" s="7" t="str">
        <f t="shared" si="7"/>
        <v/>
      </c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>
      <c r="A1756" s="5">
        <f>IFERROR(__xludf.DUMMYFUNCTION("""COMPUTED_VALUE"""),45812.0)</f>
        <v>45812</v>
      </c>
      <c r="B1756" s="6">
        <f>IFERROR(__xludf.DUMMYFUNCTION("""COMPUTED_VALUE"""),141.0)</f>
        <v>141</v>
      </c>
      <c r="C1756" s="6">
        <f>IFERROR(__xludf.DUMMYFUNCTION("""COMPUTED_VALUE"""),141.4)</f>
        <v>141.4</v>
      </c>
      <c r="D1756" s="6">
        <f>IFERROR(__xludf.DUMMYFUNCTION("""COMPUTED_VALUE"""),139.1)</f>
        <v>139.1</v>
      </c>
      <c r="E1756" s="6">
        <f>IFERROR(__xludf.DUMMYFUNCTION("""COMPUTED_VALUE"""),140.67)</f>
        <v>140.67</v>
      </c>
      <c r="F1756" s="7">
        <f>IFERROR(__xludf.DUMMYFUNCTION("""COMPUTED_VALUE"""),1.1904779E7)</f>
        <v>11904779</v>
      </c>
      <c r="G1756" s="7" t="str">
        <f>IFERROR(__xludf.DUMMYFUNCTION("""COMPUTED_VALUE"""),"IOC.NS")</f>
        <v>IOC.NS</v>
      </c>
      <c r="H1756" s="8">
        <f t="shared" si="1"/>
        <v>-0.002340425532</v>
      </c>
      <c r="I1756" s="8">
        <f t="shared" si="2"/>
        <v>0.002340425532</v>
      </c>
      <c r="J1756" s="7" t="str">
        <f t="shared" si="3"/>
        <v>Jun-2025</v>
      </c>
      <c r="K1756" s="9">
        <f t="shared" si="4"/>
        <v>45809</v>
      </c>
      <c r="L1756" s="7" t="str">
        <f t="shared" si="5"/>
        <v/>
      </c>
      <c r="M1756" s="7" t="str">
        <f>IFERROR(__xludf.DUMMYFUNCTION("IFERROR(
  IF(
    F1756 &gt;
    3*AVERAGE(
       FILTER($F$2:$F10491,
         $G$2:$G10491=G1756,
         $A$2:$A10491&gt;=A1756-20,
         $A$2:$A10491&lt;=A1756
       )
    ),
    ""VOL_SPIKE_3X"",""""
  ),
"""")
"),"")</f>
        <v/>
      </c>
      <c r="N1756" s="7" t="str">
        <f t="shared" si="6"/>
        <v/>
      </c>
      <c r="O1756" s="7" t="str">
        <f t="shared" si="7"/>
        <v/>
      </c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>
      <c r="A1757" s="5">
        <f>IFERROR(__xludf.DUMMYFUNCTION("""COMPUTED_VALUE"""),45812.0)</f>
        <v>45812</v>
      </c>
      <c r="B1757" s="6">
        <f>IFERROR(__xludf.DUMMYFUNCTION("""COMPUTED_VALUE"""),329.0)</f>
        <v>329</v>
      </c>
      <c r="C1757" s="6">
        <f>IFERROR(__xludf.DUMMYFUNCTION("""COMPUTED_VALUE"""),329.95)</f>
        <v>329.95</v>
      </c>
      <c r="D1757" s="6">
        <f>IFERROR(__xludf.DUMMYFUNCTION("""COMPUTED_VALUE"""),324.85)</f>
        <v>324.85</v>
      </c>
      <c r="E1757" s="6">
        <f>IFERROR(__xludf.DUMMYFUNCTION("""COMPUTED_VALUE"""),329.25)</f>
        <v>329.25</v>
      </c>
      <c r="F1757" s="7">
        <f>IFERROR(__xludf.DUMMYFUNCTION("""COMPUTED_VALUE"""),1.5654279E7)</f>
        <v>15654279</v>
      </c>
      <c r="G1757" s="7" t="str">
        <f>IFERROR(__xludf.DUMMYFUNCTION("""COMPUTED_VALUE"""),"NTPC.NS")</f>
        <v>NTPC.NS</v>
      </c>
      <c r="H1757" s="8">
        <f t="shared" si="1"/>
        <v>0.0007598784195</v>
      </c>
      <c r="I1757" s="8">
        <f t="shared" si="2"/>
        <v>0.0007598784195</v>
      </c>
      <c r="J1757" s="7" t="str">
        <f t="shared" si="3"/>
        <v>Jun-2025</v>
      </c>
      <c r="K1757" s="9">
        <f t="shared" si="4"/>
        <v>45809</v>
      </c>
      <c r="L1757" s="7" t="str">
        <f t="shared" si="5"/>
        <v/>
      </c>
      <c r="M1757" s="7" t="str">
        <f>IFERROR(__xludf.DUMMYFUNCTION("IFERROR(
  IF(
    F1757 &gt;
    3*AVERAGE(
       FILTER($F$2:$F10491,
         $G$2:$G10491=G1757,
         $A$2:$A10491&gt;=A1757-20,
         $A$2:$A10491&lt;=A1757
       )
    ),
    ""VOL_SPIKE_3X"",""""
  ),
"""")
"),"")</f>
        <v/>
      </c>
      <c r="N1757" s="7" t="str">
        <f t="shared" si="6"/>
        <v/>
      </c>
      <c r="O1757" s="7" t="str">
        <f t="shared" si="7"/>
        <v/>
      </c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>
      <c r="A1758" s="5">
        <f>IFERROR(__xludf.DUMMYFUNCTION("""COMPUTED_VALUE"""),45812.0)</f>
        <v>45812</v>
      </c>
      <c r="B1758" s="6">
        <f>IFERROR(__xludf.DUMMYFUNCTION("""COMPUTED_VALUE"""),238.0)</f>
        <v>238</v>
      </c>
      <c r="C1758" s="6">
        <f>IFERROR(__xludf.DUMMYFUNCTION("""COMPUTED_VALUE"""),238.5)</f>
        <v>238.5</v>
      </c>
      <c r="D1758" s="6">
        <f>IFERROR(__xludf.DUMMYFUNCTION("""COMPUTED_VALUE"""),235.5)</f>
        <v>235.5</v>
      </c>
      <c r="E1758" s="6">
        <f>IFERROR(__xludf.DUMMYFUNCTION("""COMPUTED_VALUE"""),238.05)</f>
        <v>238.05</v>
      </c>
      <c r="F1758" s="7">
        <f>IFERROR(__xludf.DUMMYFUNCTION("""COMPUTED_VALUE"""),6733580.0)</f>
        <v>6733580</v>
      </c>
      <c r="G1758" s="7" t="str">
        <f>IFERROR(__xludf.DUMMYFUNCTION("""COMPUTED_VALUE"""),"ONGC.NS")</f>
        <v>ONGC.NS</v>
      </c>
      <c r="H1758" s="8">
        <f t="shared" si="1"/>
        <v>0.0002100840336</v>
      </c>
      <c r="I1758" s="8">
        <f t="shared" si="2"/>
        <v>0.0002100840336</v>
      </c>
      <c r="J1758" s="7" t="str">
        <f t="shared" si="3"/>
        <v>Jun-2025</v>
      </c>
      <c r="K1758" s="9">
        <f t="shared" si="4"/>
        <v>45809</v>
      </c>
      <c r="L1758" s="7" t="str">
        <f t="shared" si="5"/>
        <v/>
      </c>
      <c r="M1758" s="7" t="str">
        <f>IFERROR(__xludf.DUMMYFUNCTION("IFERROR(
  IF(
    F1758 &gt;
    3*AVERAGE(
       FILTER($F$2:$F10491,
         $G$2:$G10491=G1758,
         $A$2:$A10491&gt;=A1758-20,
         $A$2:$A10491&lt;=A1758
       )
    ),
    ""VOL_SPIKE_3X"",""""
  ),
"""")
"),"")</f>
        <v/>
      </c>
      <c r="N1758" s="7" t="str">
        <f t="shared" si="6"/>
        <v/>
      </c>
      <c r="O1758" s="7" t="str">
        <f t="shared" si="7"/>
        <v/>
      </c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>
      <c r="A1759" s="5">
        <f>IFERROR(__xludf.DUMMYFUNCTION("""COMPUTED_VALUE"""),45812.0)</f>
        <v>45812</v>
      </c>
      <c r="B1759" s="6">
        <f>IFERROR(__xludf.DUMMYFUNCTION("""COMPUTED_VALUE"""),288.25)</f>
        <v>288.25</v>
      </c>
      <c r="C1759" s="6">
        <f>IFERROR(__xludf.DUMMYFUNCTION("""COMPUTED_VALUE"""),289.8)</f>
        <v>289.8</v>
      </c>
      <c r="D1759" s="6">
        <f>IFERROR(__xludf.DUMMYFUNCTION("""COMPUTED_VALUE"""),287.05)</f>
        <v>287.05</v>
      </c>
      <c r="E1759" s="6">
        <f>IFERROR(__xludf.DUMMYFUNCTION("""COMPUTED_VALUE"""),288.55)</f>
        <v>288.55</v>
      </c>
      <c r="F1759" s="7">
        <f>IFERROR(__xludf.DUMMYFUNCTION("""COMPUTED_VALUE"""),8580196.0)</f>
        <v>8580196</v>
      </c>
      <c r="G1759" s="7" t="str">
        <f>IFERROR(__xludf.DUMMYFUNCTION("""COMPUTED_VALUE"""),"POWERGRID.NS")</f>
        <v>POWERGRID.NS</v>
      </c>
      <c r="H1759" s="8">
        <f t="shared" si="1"/>
        <v>0.001040763226</v>
      </c>
      <c r="I1759" s="8">
        <f t="shared" si="2"/>
        <v>0.001040763226</v>
      </c>
      <c r="J1759" s="7" t="str">
        <f t="shared" si="3"/>
        <v>Jun-2025</v>
      </c>
      <c r="K1759" s="9">
        <f t="shared" si="4"/>
        <v>45809</v>
      </c>
      <c r="L1759" s="7" t="str">
        <f t="shared" si="5"/>
        <v/>
      </c>
      <c r="M1759" s="7" t="str">
        <f>IFERROR(__xludf.DUMMYFUNCTION("IFERROR(
  IF(
    F1759 &gt;
    3*AVERAGE(
       FILTER($F$2:$F10491,
         $G$2:$G10491=G1759,
         $A$2:$A10491&gt;=A1759-20,
         $A$2:$A10491&lt;=A1759
       )
    ),
    ""VOL_SPIKE_3X"",""""
  ),
"""")
"),"")</f>
        <v/>
      </c>
      <c r="N1759" s="7" t="str">
        <f t="shared" si="6"/>
        <v/>
      </c>
      <c r="O1759" s="7" t="str">
        <f t="shared" si="7"/>
        <v/>
      </c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>
      <c r="A1760" s="5">
        <f>IFERROR(__xludf.DUMMYFUNCTION("""COMPUTED_VALUE"""),45812.0)</f>
        <v>45812</v>
      </c>
      <c r="B1760" s="6">
        <f>IFERROR(__xludf.DUMMYFUNCTION("""COMPUTED_VALUE"""),1414.7)</f>
        <v>1414.7</v>
      </c>
      <c r="C1760" s="6">
        <f>IFERROR(__xludf.DUMMYFUNCTION("""COMPUTED_VALUE"""),1425.7)</f>
        <v>1425.7</v>
      </c>
      <c r="D1760" s="6">
        <f>IFERROR(__xludf.DUMMYFUNCTION("""COMPUTED_VALUE"""),1406.1)</f>
        <v>1406.1</v>
      </c>
      <c r="E1760" s="6">
        <f>IFERROR(__xludf.DUMMYFUNCTION("""COMPUTED_VALUE"""),1423.5)</f>
        <v>1423.5</v>
      </c>
      <c r="F1760" s="7">
        <f>IFERROR(__xludf.DUMMYFUNCTION("""COMPUTED_VALUE"""),8126827.0)</f>
        <v>8126827</v>
      </c>
      <c r="G1760" s="7" t="str">
        <f>IFERROR(__xludf.DUMMYFUNCTION("""COMPUTED_VALUE"""),"RELIANCE.NS")</f>
        <v>RELIANCE.NS</v>
      </c>
      <c r="H1760" s="8">
        <f t="shared" si="1"/>
        <v>0.006220400085</v>
      </c>
      <c r="I1760" s="8">
        <f t="shared" si="2"/>
        <v>0.006220400085</v>
      </c>
      <c r="J1760" s="7" t="str">
        <f t="shared" si="3"/>
        <v>Jun-2025</v>
      </c>
      <c r="K1760" s="9">
        <f t="shared" si="4"/>
        <v>45809</v>
      </c>
      <c r="L1760" s="7" t="str">
        <f t="shared" si="5"/>
        <v/>
      </c>
      <c r="M1760" s="7" t="str">
        <f>IFERROR(__xludf.DUMMYFUNCTION("IFERROR(
  IF(
    F1760 &gt;
    3*AVERAGE(
       FILTER($F$2:$F10491,
         $G$2:$G10491=G1760,
         $A$2:$A10491&gt;=A1760-20,
         $A$2:$A10491&lt;=A1760
       )
    ),
    ""VOL_SPIKE_3X"",""""
  ),
"""")
"),"")</f>
        <v/>
      </c>
      <c r="N1760" s="7" t="str">
        <f t="shared" si="6"/>
        <v/>
      </c>
      <c r="O1760" s="7" t="str">
        <f t="shared" si="7"/>
        <v/>
      </c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>
      <c r="A1761" s="5">
        <f>IFERROR(__xludf.DUMMYFUNCTION("""COMPUTED_VALUE"""),45813.0)</f>
        <v>45813</v>
      </c>
      <c r="B1761" s="6">
        <f>IFERROR(__xludf.DUMMYFUNCTION("""COMPUTED_VALUE"""),869.95)</f>
        <v>869.95</v>
      </c>
      <c r="C1761" s="6">
        <f>IFERROR(__xludf.DUMMYFUNCTION("""COMPUTED_VALUE"""),883.0)</f>
        <v>883</v>
      </c>
      <c r="D1761" s="6">
        <f>IFERROR(__xludf.DUMMYFUNCTION("""COMPUTED_VALUE"""),864.05)</f>
        <v>864.05</v>
      </c>
      <c r="E1761" s="6">
        <f>IFERROR(__xludf.DUMMYFUNCTION("""COMPUTED_VALUE"""),872.2)</f>
        <v>872.2</v>
      </c>
      <c r="F1761" s="7">
        <f>IFERROR(__xludf.DUMMYFUNCTION("""COMPUTED_VALUE"""),5723306.0)</f>
        <v>5723306</v>
      </c>
      <c r="G1761" s="7" t="str">
        <f>IFERROR(__xludf.DUMMYFUNCTION("""COMPUTED_VALUE"""),"ADANIENSOL.NS")</f>
        <v>ADANIENSOL.NS</v>
      </c>
      <c r="H1761" s="8">
        <f t="shared" si="1"/>
        <v>0.002586355538</v>
      </c>
      <c r="I1761" s="8">
        <f t="shared" si="2"/>
        <v>0.002586355538</v>
      </c>
      <c r="J1761" s="7" t="str">
        <f t="shared" si="3"/>
        <v>Jun-2025</v>
      </c>
      <c r="K1761" s="9">
        <f t="shared" si="4"/>
        <v>45809</v>
      </c>
      <c r="L1761" s="7" t="str">
        <f t="shared" si="5"/>
        <v/>
      </c>
      <c r="M1761" s="7" t="str">
        <f>IFERROR(__xludf.DUMMYFUNCTION("IFERROR(
  IF(
    F1761 &gt;
    3*AVERAGE(
       FILTER($F$2:$F10491,
         $G$2:$G10491=G1761,
         $A$2:$A10491&gt;=A1761-20,
         $A$2:$A10491&lt;=A1761
       )
    ),
    ""VOL_SPIKE_3X"",""""
  ),
"""")
"),"")</f>
        <v/>
      </c>
      <c r="N1761" s="7" t="str">
        <f t="shared" si="6"/>
        <v/>
      </c>
      <c r="O1761" s="7" t="str">
        <f t="shared" si="7"/>
        <v/>
      </c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>
      <c r="A1762" s="5">
        <f>IFERROR(__xludf.DUMMYFUNCTION("""COMPUTED_VALUE"""),45813.0)</f>
        <v>45813</v>
      </c>
      <c r="B1762" s="6">
        <f>IFERROR(__xludf.DUMMYFUNCTION("""COMPUTED_VALUE"""),1006.0)</f>
        <v>1006</v>
      </c>
      <c r="C1762" s="6">
        <f>IFERROR(__xludf.DUMMYFUNCTION("""COMPUTED_VALUE"""),1019.0)</f>
        <v>1019</v>
      </c>
      <c r="D1762" s="6">
        <f>IFERROR(__xludf.DUMMYFUNCTION("""COMPUTED_VALUE"""),1002.0)</f>
        <v>1002</v>
      </c>
      <c r="E1762" s="6">
        <f>IFERROR(__xludf.DUMMYFUNCTION("""COMPUTED_VALUE"""),1003.6)</f>
        <v>1003.6</v>
      </c>
      <c r="F1762" s="7">
        <f>IFERROR(__xludf.DUMMYFUNCTION("""COMPUTED_VALUE"""),1454736.0)</f>
        <v>1454736</v>
      </c>
      <c r="G1762" s="7" t="str">
        <f>IFERROR(__xludf.DUMMYFUNCTION("""COMPUTED_VALUE"""),"ADANIGREEN.NS")</f>
        <v>ADANIGREEN.NS</v>
      </c>
      <c r="H1762" s="8">
        <f t="shared" si="1"/>
        <v>-0.002385685885</v>
      </c>
      <c r="I1762" s="8">
        <f t="shared" si="2"/>
        <v>0.002385685885</v>
      </c>
      <c r="J1762" s="7" t="str">
        <f t="shared" si="3"/>
        <v>Jun-2025</v>
      </c>
      <c r="K1762" s="9">
        <f t="shared" si="4"/>
        <v>45809</v>
      </c>
      <c r="L1762" s="7" t="str">
        <f t="shared" si="5"/>
        <v/>
      </c>
      <c r="M1762" s="7" t="str">
        <f>IFERROR(__xludf.DUMMYFUNCTION("IFERROR(
  IF(
    F1762 &gt;
    3*AVERAGE(
       FILTER($F$2:$F10491,
         $G$2:$G10491=G1762,
         $A$2:$A10491&gt;=A1762-20,
         $A$2:$A10491&lt;=A1762
       )
    ),
    ""VOL_SPIKE_3X"",""""
  ),
"""")
"),"")</f>
        <v/>
      </c>
      <c r="N1762" s="7" t="str">
        <f t="shared" si="6"/>
        <v/>
      </c>
      <c r="O1762" s="7" t="str">
        <f t="shared" si="7"/>
        <v/>
      </c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>
      <c r="A1763" s="5">
        <f>IFERROR(__xludf.DUMMYFUNCTION("""COMPUTED_VALUE"""),45813.0)</f>
        <v>45813</v>
      </c>
      <c r="B1763" s="6">
        <f>IFERROR(__xludf.DUMMYFUNCTION("""COMPUTED_VALUE"""),311.1)</f>
        <v>311.1</v>
      </c>
      <c r="C1763" s="6">
        <f>IFERROR(__xludf.DUMMYFUNCTION("""COMPUTED_VALUE"""),315.4)</f>
        <v>315.4</v>
      </c>
      <c r="D1763" s="6">
        <f>IFERROR(__xludf.DUMMYFUNCTION("""COMPUTED_VALUE"""),308.25)</f>
        <v>308.25</v>
      </c>
      <c r="E1763" s="6">
        <f>IFERROR(__xludf.DUMMYFUNCTION("""COMPUTED_VALUE"""),309.8)</f>
        <v>309.8</v>
      </c>
      <c r="F1763" s="7">
        <f>IFERROR(__xludf.DUMMYFUNCTION("""COMPUTED_VALUE"""),5900170.0)</f>
        <v>5900170</v>
      </c>
      <c r="G1763" s="7" t="str">
        <f>IFERROR(__xludf.DUMMYFUNCTION("""COMPUTED_VALUE"""),"BPCL.NS")</f>
        <v>BPCL.NS</v>
      </c>
      <c r="H1763" s="8">
        <f t="shared" si="1"/>
        <v>-0.004178720669</v>
      </c>
      <c r="I1763" s="8">
        <f t="shared" si="2"/>
        <v>0.004178720669</v>
      </c>
      <c r="J1763" s="7" t="str">
        <f t="shared" si="3"/>
        <v>Jun-2025</v>
      </c>
      <c r="K1763" s="9">
        <f t="shared" si="4"/>
        <v>45809</v>
      </c>
      <c r="L1763" s="7" t="str">
        <f t="shared" si="5"/>
        <v/>
      </c>
      <c r="M1763" s="7" t="str">
        <f>IFERROR(__xludf.DUMMYFUNCTION("IFERROR(
  IF(
    F1763 &gt;
    3*AVERAGE(
       FILTER($F$2:$F10491,
         $G$2:$G10491=G1763,
         $A$2:$A10491&gt;=A1763-20,
         $A$2:$A10491&lt;=A1763
       )
    ),
    ""VOL_SPIKE_3X"",""""
  ),
"""")
"),"")</f>
        <v/>
      </c>
      <c r="N1763" s="7" t="str">
        <f t="shared" si="6"/>
        <v/>
      </c>
      <c r="O1763" s="7" t="str">
        <f t="shared" si="7"/>
        <v/>
      </c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>
      <c r="A1764" s="5">
        <f>IFERROR(__xludf.DUMMYFUNCTION("""COMPUTED_VALUE"""),45813.0)</f>
        <v>45813</v>
      </c>
      <c r="B1764" s="6">
        <f>IFERROR(__xludf.DUMMYFUNCTION("""COMPUTED_VALUE"""),394.6)</f>
        <v>394.6</v>
      </c>
      <c r="C1764" s="6">
        <f>IFERROR(__xludf.DUMMYFUNCTION("""COMPUTED_VALUE"""),397.8)</f>
        <v>397.8</v>
      </c>
      <c r="D1764" s="6">
        <f>IFERROR(__xludf.DUMMYFUNCTION("""COMPUTED_VALUE"""),392.55)</f>
        <v>392.55</v>
      </c>
      <c r="E1764" s="6">
        <f>IFERROR(__xludf.DUMMYFUNCTION("""COMPUTED_VALUE"""),394.9)</f>
        <v>394.9</v>
      </c>
      <c r="F1764" s="7">
        <f>IFERROR(__xludf.DUMMYFUNCTION("""COMPUTED_VALUE"""),6097293.0)</f>
        <v>6097293</v>
      </c>
      <c r="G1764" s="7" t="str">
        <f>IFERROR(__xludf.DUMMYFUNCTION("""COMPUTED_VALUE"""),"COALINDIA.NS")</f>
        <v>COALINDIA.NS</v>
      </c>
      <c r="H1764" s="8">
        <f t="shared" si="1"/>
        <v>0.000760263558</v>
      </c>
      <c r="I1764" s="8">
        <f t="shared" si="2"/>
        <v>0.000760263558</v>
      </c>
      <c r="J1764" s="7" t="str">
        <f t="shared" si="3"/>
        <v>Jun-2025</v>
      </c>
      <c r="K1764" s="9">
        <f t="shared" si="4"/>
        <v>45809</v>
      </c>
      <c r="L1764" s="7" t="str">
        <f t="shared" si="5"/>
        <v/>
      </c>
      <c r="M1764" s="7" t="str">
        <f>IFERROR(__xludf.DUMMYFUNCTION("IFERROR(
  IF(
    F1764 &gt;
    3*AVERAGE(
       FILTER($F$2:$F10491,
         $G$2:$G10491=G1764,
         $A$2:$A10491&gt;=A1764-20,
         $A$2:$A10491&lt;=A1764
       )
    ),
    ""VOL_SPIKE_3X"",""""
  ),
"""")
"),"")</f>
        <v/>
      </c>
      <c r="N1764" s="7" t="str">
        <f t="shared" si="6"/>
        <v/>
      </c>
      <c r="O1764" s="7" t="str">
        <f t="shared" si="7"/>
        <v/>
      </c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>
      <c r="A1765" s="5">
        <f>IFERROR(__xludf.DUMMYFUNCTION("""COMPUTED_VALUE"""),45813.0)</f>
        <v>45813</v>
      </c>
      <c r="B1765" s="6">
        <f>IFERROR(__xludf.DUMMYFUNCTION("""COMPUTED_VALUE"""),408.5)</f>
        <v>408.5</v>
      </c>
      <c r="C1765" s="6">
        <f>IFERROR(__xludf.DUMMYFUNCTION("""COMPUTED_VALUE"""),409.4)</f>
        <v>409.4</v>
      </c>
      <c r="D1765" s="6">
        <f>IFERROR(__xludf.DUMMYFUNCTION("""COMPUTED_VALUE"""),399.9)</f>
        <v>399.9</v>
      </c>
      <c r="E1765" s="6">
        <f>IFERROR(__xludf.DUMMYFUNCTION("""COMPUTED_VALUE"""),401.0)</f>
        <v>401</v>
      </c>
      <c r="F1765" s="7">
        <f>IFERROR(__xludf.DUMMYFUNCTION("""COMPUTED_VALUE"""),2588378.0)</f>
        <v>2588378</v>
      </c>
      <c r="G1765" s="7" t="str">
        <f>IFERROR(__xludf.DUMMYFUNCTION("""COMPUTED_VALUE"""),"HINDPETRO.NS")</f>
        <v>HINDPETRO.NS</v>
      </c>
      <c r="H1765" s="8">
        <f t="shared" si="1"/>
        <v>-0.01835985312</v>
      </c>
      <c r="I1765" s="8">
        <f t="shared" si="2"/>
        <v>0.01835985312</v>
      </c>
      <c r="J1765" s="7" t="str">
        <f t="shared" si="3"/>
        <v>Jun-2025</v>
      </c>
      <c r="K1765" s="9">
        <f t="shared" si="4"/>
        <v>45809</v>
      </c>
      <c r="L1765" s="7" t="str">
        <f t="shared" si="5"/>
        <v/>
      </c>
      <c r="M1765" s="7" t="str">
        <f>IFERROR(__xludf.DUMMYFUNCTION("IFERROR(
  IF(
    F1765 &gt;
    3*AVERAGE(
       FILTER($F$2:$F10491,
         $G$2:$G10491=G1765,
         $A$2:$A10491&gt;=A1765-20,
         $A$2:$A10491&lt;=A1765
       )
    ),
    ""VOL_SPIKE_3X"",""""
  ),
"""")
"),"")</f>
        <v/>
      </c>
      <c r="N1765" s="7" t="str">
        <f t="shared" si="6"/>
        <v/>
      </c>
      <c r="O1765" s="7" t="str">
        <f t="shared" si="7"/>
        <v/>
      </c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>
      <c r="A1766" s="5">
        <f>IFERROR(__xludf.DUMMYFUNCTION("""COMPUTED_VALUE"""),45813.0)</f>
        <v>45813</v>
      </c>
      <c r="B1766" s="6">
        <f>IFERROR(__xludf.DUMMYFUNCTION("""COMPUTED_VALUE"""),140.66)</f>
        <v>140.66</v>
      </c>
      <c r="C1766" s="6">
        <f>IFERROR(__xludf.DUMMYFUNCTION("""COMPUTED_VALUE"""),141.66)</f>
        <v>141.66</v>
      </c>
      <c r="D1766" s="6">
        <f>IFERROR(__xludf.DUMMYFUNCTION("""COMPUTED_VALUE"""),139.03)</f>
        <v>139.03</v>
      </c>
      <c r="E1766" s="6">
        <f>IFERROR(__xludf.DUMMYFUNCTION("""COMPUTED_VALUE"""),139.24)</f>
        <v>139.24</v>
      </c>
      <c r="F1766" s="7">
        <f>IFERROR(__xludf.DUMMYFUNCTION("""COMPUTED_VALUE"""),9478214.0)</f>
        <v>9478214</v>
      </c>
      <c r="G1766" s="7" t="str">
        <f>IFERROR(__xludf.DUMMYFUNCTION("""COMPUTED_VALUE"""),"IOC.NS")</f>
        <v>IOC.NS</v>
      </c>
      <c r="H1766" s="8">
        <f t="shared" si="1"/>
        <v>-0.01009526518</v>
      </c>
      <c r="I1766" s="8">
        <f t="shared" si="2"/>
        <v>0.01009526518</v>
      </c>
      <c r="J1766" s="7" t="str">
        <f t="shared" si="3"/>
        <v>Jun-2025</v>
      </c>
      <c r="K1766" s="9">
        <f t="shared" si="4"/>
        <v>45809</v>
      </c>
      <c r="L1766" s="7" t="str">
        <f t="shared" si="5"/>
        <v/>
      </c>
      <c r="M1766" s="7" t="str">
        <f>IFERROR(__xludf.DUMMYFUNCTION("IFERROR(
  IF(
    F1766 &gt;
    3*AVERAGE(
       FILTER($F$2:$F10491,
         $G$2:$G10491=G1766,
         $A$2:$A10491&gt;=A1766-20,
         $A$2:$A10491&lt;=A1766
       )
    ),
    ""VOL_SPIKE_3X"",""""
  ),
"""")
"),"")</f>
        <v/>
      </c>
      <c r="N1766" s="7" t="str">
        <f t="shared" si="6"/>
        <v/>
      </c>
      <c r="O1766" s="7" t="str">
        <f t="shared" si="7"/>
        <v/>
      </c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>
      <c r="A1767" s="5">
        <f>IFERROR(__xludf.DUMMYFUNCTION("""COMPUTED_VALUE"""),45813.0)</f>
        <v>45813</v>
      </c>
      <c r="B1767" s="6">
        <f>IFERROR(__xludf.DUMMYFUNCTION("""COMPUTED_VALUE"""),329.2)</f>
        <v>329.2</v>
      </c>
      <c r="C1767" s="6">
        <f>IFERROR(__xludf.DUMMYFUNCTION("""COMPUTED_VALUE"""),331.6)</f>
        <v>331.6</v>
      </c>
      <c r="D1767" s="6">
        <f>IFERROR(__xludf.DUMMYFUNCTION("""COMPUTED_VALUE"""),327.6)</f>
        <v>327.6</v>
      </c>
      <c r="E1767" s="6">
        <f>IFERROR(__xludf.DUMMYFUNCTION("""COMPUTED_VALUE"""),328.65)</f>
        <v>328.65</v>
      </c>
      <c r="F1767" s="7">
        <f>IFERROR(__xludf.DUMMYFUNCTION("""COMPUTED_VALUE"""),1.627036E7)</f>
        <v>16270360</v>
      </c>
      <c r="G1767" s="7" t="str">
        <f>IFERROR(__xludf.DUMMYFUNCTION("""COMPUTED_VALUE"""),"NTPC.NS")</f>
        <v>NTPC.NS</v>
      </c>
      <c r="H1767" s="8">
        <f t="shared" si="1"/>
        <v>-0.001670716889</v>
      </c>
      <c r="I1767" s="8">
        <f t="shared" si="2"/>
        <v>0.001670716889</v>
      </c>
      <c r="J1767" s="7" t="str">
        <f t="shared" si="3"/>
        <v>Jun-2025</v>
      </c>
      <c r="K1767" s="9">
        <f t="shared" si="4"/>
        <v>45809</v>
      </c>
      <c r="L1767" s="7" t="str">
        <f t="shared" si="5"/>
        <v/>
      </c>
      <c r="M1767" s="7" t="str">
        <f>IFERROR(__xludf.DUMMYFUNCTION("IFERROR(
  IF(
    F1767 &gt;
    3*AVERAGE(
       FILTER($F$2:$F10491,
         $G$2:$G10491=G1767,
         $A$2:$A10491&gt;=A1767-20,
         $A$2:$A10491&lt;=A1767
       )
    ),
    ""VOL_SPIKE_3X"",""""
  ),
"""")
"),"")</f>
        <v/>
      </c>
      <c r="N1767" s="7" t="str">
        <f t="shared" si="6"/>
        <v/>
      </c>
      <c r="O1767" s="7" t="str">
        <f t="shared" si="7"/>
        <v/>
      </c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>
      <c r="A1768" s="5">
        <f>IFERROR(__xludf.DUMMYFUNCTION("""COMPUTED_VALUE"""),45813.0)</f>
        <v>45813</v>
      </c>
      <c r="B1768" s="6">
        <f>IFERROR(__xludf.DUMMYFUNCTION("""COMPUTED_VALUE"""),238.05)</f>
        <v>238.05</v>
      </c>
      <c r="C1768" s="6">
        <f>IFERROR(__xludf.DUMMYFUNCTION("""COMPUTED_VALUE"""),239.62)</f>
        <v>239.62</v>
      </c>
      <c r="D1768" s="6">
        <f>IFERROR(__xludf.DUMMYFUNCTION("""COMPUTED_VALUE"""),236.22)</f>
        <v>236.22</v>
      </c>
      <c r="E1768" s="6">
        <f>IFERROR(__xludf.DUMMYFUNCTION("""COMPUTED_VALUE"""),237.77)</f>
        <v>237.77</v>
      </c>
      <c r="F1768" s="7">
        <f>IFERROR(__xludf.DUMMYFUNCTION("""COMPUTED_VALUE"""),8941808.0)</f>
        <v>8941808</v>
      </c>
      <c r="G1768" s="7" t="str">
        <f>IFERROR(__xludf.DUMMYFUNCTION("""COMPUTED_VALUE"""),"ONGC.NS")</f>
        <v>ONGC.NS</v>
      </c>
      <c r="H1768" s="8">
        <f t="shared" si="1"/>
        <v>-0.001176223482</v>
      </c>
      <c r="I1768" s="8">
        <f t="shared" si="2"/>
        <v>0.001176223482</v>
      </c>
      <c r="J1768" s="7" t="str">
        <f t="shared" si="3"/>
        <v>Jun-2025</v>
      </c>
      <c r="K1768" s="9">
        <f t="shared" si="4"/>
        <v>45809</v>
      </c>
      <c r="L1768" s="7" t="str">
        <f t="shared" si="5"/>
        <v/>
      </c>
      <c r="M1768" s="7" t="str">
        <f>IFERROR(__xludf.DUMMYFUNCTION("IFERROR(
  IF(
    F1768 &gt;
    3*AVERAGE(
       FILTER($F$2:$F10491,
         $G$2:$G10491=G1768,
         $A$2:$A10491&gt;=A1768-20,
         $A$2:$A10491&lt;=A1768
       )
    ),
    ""VOL_SPIKE_3X"",""""
  ),
"""")
"),"")</f>
        <v/>
      </c>
      <c r="N1768" s="7" t="str">
        <f t="shared" si="6"/>
        <v/>
      </c>
      <c r="O1768" s="7" t="str">
        <f t="shared" si="7"/>
        <v/>
      </c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>
      <c r="A1769" s="5">
        <f>IFERROR(__xludf.DUMMYFUNCTION("""COMPUTED_VALUE"""),45813.0)</f>
        <v>45813</v>
      </c>
      <c r="B1769" s="6">
        <f>IFERROR(__xludf.DUMMYFUNCTION("""COMPUTED_VALUE"""),291.0)</f>
        <v>291</v>
      </c>
      <c r="C1769" s="6">
        <f>IFERROR(__xludf.DUMMYFUNCTION("""COMPUTED_VALUE"""),295.25)</f>
        <v>295.25</v>
      </c>
      <c r="D1769" s="6">
        <f>IFERROR(__xludf.DUMMYFUNCTION("""COMPUTED_VALUE"""),290.1)</f>
        <v>290.1</v>
      </c>
      <c r="E1769" s="6">
        <f>IFERROR(__xludf.DUMMYFUNCTION("""COMPUTED_VALUE"""),294.25)</f>
        <v>294.25</v>
      </c>
      <c r="F1769" s="7">
        <f>IFERROR(__xludf.DUMMYFUNCTION("""COMPUTED_VALUE"""),1.3110486E7)</f>
        <v>13110486</v>
      </c>
      <c r="G1769" s="7" t="str">
        <f>IFERROR(__xludf.DUMMYFUNCTION("""COMPUTED_VALUE"""),"POWERGRID.NS")</f>
        <v>POWERGRID.NS</v>
      </c>
      <c r="H1769" s="8">
        <f t="shared" si="1"/>
        <v>0.01116838488</v>
      </c>
      <c r="I1769" s="8">
        <f t="shared" si="2"/>
        <v>0.01116838488</v>
      </c>
      <c r="J1769" s="7" t="str">
        <f t="shared" si="3"/>
        <v>Jun-2025</v>
      </c>
      <c r="K1769" s="9">
        <f t="shared" si="4"/>
        <v>45809</v>
      </c>
      <c r="L1769" s="7" t="str">
        <f t="shared" si="5"/>
        <v/>
      </c>
      <c r="M1769" s="7" t="str">
        <f>IFERROR(__xludf.DUMMYFUNCTION("IFERROR(
  IF(
    F1769 &gt;
    3*AVERAGE(
       FILTER($F$2:$F10491,
         $G$2:$G10491=G1769,
         $A$2:$A10491&gt;=A1769-20,
         $A$2:$A10491&lt;=A1769
       )
    ),
    ""VOL_SPIKE_3X"",""""
  ),
"""")
"),"")</f>
        <v/>
      </c>
      <c r="N1769" s="7" t="str">
        <f t="shared" si="6"/>
        <v/>
      </c>
      <c r="O1769" s="7" t="str">
        <f t="shared" si="7"/>
        <v/>
      </c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>
      <c r="A1770" s="5">
        <f>IFERROR(__xludf.DUMMYFUNCTION("""COMPUTED_VALUE"""),45813.0)</f>
        <v>45813</v>
      </c>
      <c r="B1770" s="6">
        <f>IFERROR(__xludf.DUMMYFUNCTION("""COMPUTED_VALUE"""),1428.0)</f>
        <v>1428</v>
      </c>
      <c r="C1770" s="6">
        <f>IFERROR(__xludf.DUMMYFUNCTION("""COMPUTED_VALUE"""),1454.7)</f>
        <v>1454.7</v>
      </c>
      <c r="D1770" s="6">
        <f>IFERROR(__xludf.DUMMYFUNCTION("""COMPUTED_VALUE"""),1423.6)</f>
        <v>1423.6</v>
      </c>
      <c r="E1770" s="6">
        <f>IFERROR(__xludf.DUMMYFUNCTION("""COMPUTED_VALUE"""),1442.4)</f>
        <v>1442.4</v>
      </c>
      <c r="F1770" s="7">
        <f>IFERROR(__xludf.DUMMYFUNCTION("""COMPUTED_VALUE"""),1.3716817E7)</f>
        <v>13716817</v>
      </c>
      <c r="G1770" s="7" t="str">
        <f>IFERROR(__xludf.DUMMYFUNCTION("""COMPUTED_VALUE"""),"RELIANCE.NS")</f>
        <v>RELIANCE.NS</v>
      </c>
      <c r="H1770" s="8">
        <f t="shared" si="1"/>
        <v>0.01008403361</v>
      </c>
      <c r="I1770" s="8">
        <f t="shared" si="2"/>
        <v>0.01008403361</v>
      </c>
      <c r="J1770" s="7" t="str">
        <f t="shared" si="3"/>
        <v>Jun-2025</v>
      </c>
      <c r="K1770" s="9">
        <f t="shared" si="4"/>
        <v>45809</v>
      </c>
      <c r="L1770" s="7" t="str">
        <f t="shared" si="5"/>
        <v/>
      </c>
      <c r="M1770" s="7" t="str">
        <f>IFERROR(__xludf.DUMMYFUNCTION("IFERROR(
  IF(
    F1770 &gt;
    3*AVERAGE(
       FILTER($F$2:$F10491,
         $G$2:$G10491=G1770,
         $A$2:$A10491&gt;=A1770-20,
         $A$2:$A10491&lt;=A1770
       )
    ),
    ""VOL_SPIKE_3X"",""""
  ),
"""")
"),"")</f>
        <v/>
      </c>
      <c r="N1770" s="7" t="str">
        <f t="shared" si="6"/>
        <v/>
      </c>
      <c r="O1770" s="7" t="str">
        <f t="shared" si="7"/>
        <v/>
      </c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>
      <c r="A1771" s="5">
        <f>IFERROR(__xludf.DUMMYFUNCTION("""COMPUTED_VALUE"""),45814.0)</f>
        <v>45814</v>
      </c>
      <c r="B1771" s="6">
        <f>IFERROR(__xludf.DUMMYFUNCTION("""COMPUTED_VALUE"""),875.65)</f>
        <v>875.65</v>
      </c>
      <c r="C1771" s="6">
        <f>IFERROR(__xludf.DUMMYFUNCTION("""COMPUTED_VALUE"""),892.5)</f>
        <v>892.5</v>
      </c>
      <c r="D1771" s="6">
        <f>IFERROR(__xludf.DUMMYFUNCTION("""COMPUTED_VALUE"""),872.45)</f>
        <v>872.45</v>
      </c>
      <c r="E1771" s="6">
        <f>IFERROR(__xludf.DUMMYFUNCTION("""COMPUTED_VALUE"""),884.1)</f>
        <v>884.1</v>
      </c>
      <c r="F1771" s="7">
        <f>IFERROR(__xludf.DUMMYFUNCTION("""COMPUTED_VALUE"""),6679702.0)</f>
        <v>6679702</v>
      </c>
      <c r="G1771" s="7" t="str">
        <f>IFERROR(__xludf.DUMMYFUNCTION("""COMPUTED_VALUE"""),"ADANIENSOL.NS")</f>
        <v>ADANIENSOL.NS</v>
      </c>
      <c r="H1771" s="8">
        <f t="shared" si="1"/>
        <v>0.009649974305</v>
      </c>
      <c r="I1771" s="8">
        <f t="shared" si="2"/>
        <v>0.009649974305</v>
      </c>
      <c r="J1771" s="7" t="str">
        <f t="shared" si="3"/>
        <v>Jun-2025</v>
      </c>
      <c r="K1771" s="9">
        <f t="shared" si="4"/>
        <v>45809</v>
      </c>
      <c r="L1771" s="7" t="str">
        <f t="shared" si="5"/>
        <v/>
      </c>
      <c r="M1771" s="7" t="str">
        <f>IFERROR(__xludf.DUMMYFUNCTION("IFERROR(
  IF(
    F1771 &gt;
    3*AVERAGE(
       FILTER($F$2:$F10491,
         $G$2:$G10491=G1771,
         $A$2:$A10491&gt;=A1771-20,
         $A$2:$A10491&lt;=A1771
       )
    ),
    ""VOL_SPIKE_3X"",""""
  ),
"""")
"),"")</f>
        <v/>
      </c>
      <c r="N1771" s="7" t="str">
        <f t="shared" si="6"/>
        <v/>
      </c>
      <c r="O1771" s="7" t="str">
        <f t="shared" si="7"/>
        <v/>
      </c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>
      <c r="A1772" s="5">
        <f>IFERROR(__xludf.DUMMYFUNCTION("""COMPUTED_VALUE"""),45814.0)</f>
        <v>45814</v>
      </c>
      <c r="B1772" s="6">
        <f>IFERROR(__xludf.DUMMYFUNCTION("""COMPUTED_VALUE"""),1008.0)</f>
        <v>1008</v>
      </c>
      <c r="C1772" s="6">
        <f>IFERROR(__xludf.DUMMYFUNCTION("""COMPUTED_VALUE"""),1024.2)</f>
        <v>1024.2</v>
      </c>
      <c r="D1772" s="6">
        <f>IFERROR(__xludf.DUMMYFUNCTION("""COMPUTED_VALUE"""),1004.8)</f>
        <v>1004.8</v>
      </c>
      <c r="E1772" s="6">
        <f>IFERROR(__xludf.DUMMYFUNCTION("""COMPUTED_VALUE"""),1018.8)</f>
        <v>1018.8</v>
      </c>
      <c r="F1772" s="7">
        <f>IFERROR(__xludf.DUMMYFUNCTION("""COMPUTED_VALUE"""),2617425.0)</f>
        <v>2617425</v>
      </c>
      <c r="G1772" s="7" t="str">
        <f>IFERROR(__xludf.DUMMYFUNCTION("""COMPUTED_VALUE"""),"ADANIGREEN.NS")</f>
        <v>ADANIGREEN.NS</v>
      </c>
      <c r="H1772" s="8">
        <f t="shared" si="1"/>
        <v>0.01071428571</v>
      </c>
      <c r="I1772" s="8">
        <f t="shared" si="2"/>
        <v>0.01071428571</v>
      </c>
      <c r="J1772" s="7" t="str">
        <f t="shared" si="3"/>
        <v>Jun-2025</v>
      </c>
      <c r="K1772" s="9">
        <f t="shared" si="4"/>
        <v>45809</v>
      </c>
      <c r="L1772" s="7" t="str">
        <f t="shared" si="5"/>
        <v/>
      </c>
      <c r="M1772" s="7" t="str">
        <f>IFERROR(__xludf.DUMMYFUNCTION("IFERROR(
  IF(
    F1772 &gt;
    3*AVERAGE(
       FILTER($F$2:$F10491,
         $G$2:$G10491=G1772,
         $A$2:$A10491&gt;=A1772-20,
         $A$2:$A10491&lt;=A1772
       )
    ),
    ""VOL_SPIKE_3X"",""""
  ),
"""")
"),"")</f>
        <v/>
      </c>
      <c r="N1772" s="7" t="str">
        <f t="shared" si="6"/>
        <v/>
      </c>
      <c r="O1772" s="7" t="str">
        <f t="shared" si="7"/>
        <v/>
      </c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>
      <c r="A1773" s="5">
        <f>IFERROR(__xludf.DUMMYFUNCTION("""COMPUTED_VALUE"""),45814.0)</f>
        <v>45814</v>
      </c>
      <c r="B1773" s="6">
        <f>IFERROR(__xludf.DUMMYFUNCTION("""COMPUTED_VALUE"""),309.0)</f>
        <v>309</v>
      </c>
      <c r="C1773" s="6">
        <f>IFERROR(__xludf.DUMMYFUNCTION("""COMPUTED_VALUE"""),317.85)</f>
        <v>317.85</v>
      </c>
      <c r="D1773" s="6">
        <f>IFERROR(__xludf.DUMMYFUNCTION("""COMPUTED_VALUE"""),309.0)</f>
        <v>309</v>
      </c>
      <c r="E1773" s="6">
        <f>IFERROR(__xludf.DUMMYFUNCTION("""COMPUTED_VALUE"""),316.7)</f>
        <v>316.7</v>
      </c>
      <c r="F1773" s="7">
        <f>IFERROR(__xludf.DUMMYFUNCTION("""COMPUTED_VALUE"""),5825337.0)</f>
        <v>5825337</v>
      </c>
      <c r="G1773" s="7" t="str">
        <f>IFERROR(__xludf.DUMMYFUNCTION("""COMPUTED_VALUE"""),"BPCL.NS")</f>
        <v>BPCL.NS</v>
      </c>
      <c r="H1773" s="8">
        <f t="shared" si="1"/>
        <v>0.02491909385</v>
      </c>
      <c r="I1773" s="8">
        <f t="shared" si="2"/>
        <v>0.02491909385</v>
      </c>
      <c r="J1773" s="7" t="str">
        <f t="shared" si="3"/>
        <v>Jun-2025</v>
      </c>
      <c r="K1773" s="9">
        <f t="shared" si="4"/>
        <v>45809</v>
      </c>
      <c r="L1773" s="7" t="str">
        <f t="shared" si="5"/>
        <v/>
      </c>
      <c r="M1773" s="7" t="str">
        <f>IFERROR(__xludf.DUMMYFUNCTION("IFERROR(
  IF(
    F1773 &gt;
    3*AVERAGE(
       FILTER($F$2:$F10491,
         $G$2:$G10491=G1773,
         $A$2:$A10491&gt;=A1773-20,
         $A$2:$A10491&lt;=A1773
       )
    ),
    ""VOL_SPIKE_3X"",""""
  ),
"""")
"),"")</f>
        <v/>
      </c>
      <c r="N1773" s="7" t="str">
        <f t="shared" si="6"/>
        <v/>
      </c>
      <c r="O1773" s="7" t="str">
        <f t="shared" si="7"/>
        <v/>
      </c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>
      <c r="A1774" s="5">
        <f>IFERROR(__xludf.DUMMYFUNCTION("""COMPUTED_VALUE"""),45814.0)</f>
        <v>45814</v>
      </c>
      <c r="B1774" s="6">
        <f>IFERROR(__xludf.DUMMYFUNCTION("""COMPUTED_VALUE"""),397.85)</f>
        <v>397.85</v>
      </c>
      <c r="C1774" s="6">
        <f>IFERROR(__xludf.DUMMYFUNCTION("""COMPUTED_VALUE"""),400.6)</f>
        <v>400.6</v>
      </c>
      <c r="D1774" s="6">
        <f>IFERROR(__xludf.DUMMYFUNCTION("""COMPUTED_VALUE"""),396.05)</f>
        <v>396.05</v>
      </c>
      <c r="E1774" s="6">
        <f>IFERROR(__xludf.DUMMYFUNCTION("""COMPUTED_VALUE"""),398.95)</f>
        <v>398.95</v>
      </c>
      <c r="F1774" s="7">
        <f>IFERROR(__xludf.DUMMYFUNCTION("""COMPUTED_VALUE"""),7633919.0)</f>
        <v>7633919</v>
      </c>
      <c r="G1774" s="7" t="str">
        <f>IFERROR(__xludf.DUMMYFUNCTION("""COMPUTED_VALUE"""),"COALINDIA.NS")</f>
        <v>COALINDIA.NS</v>
      </c>
      <c r="H1774" s="8">
        <f t="shared" si="1"/>
        <v>0.002764861129</v>
      </c>
      <c r="I1774" s="8">
        <f t="shared" si="2"/>
        <v>0.002764861129</v>
      </c>
      <c r="J1774" s="7" t="str">
        <f t="shared" si="3"/>
        <v>Jun-2025</v>
      </c>
      <c r="K1774" s="9">
        <f t="shared" si="4"/>
        <v>45809</v>
      </c>
      <c r="L1774" s="7" t="str">
        <f t="shared" si="5"/>
        <v/>
      </c>
      <c r="M1774" s="7" t="str">
        <f>IFERROR(__xludf.DUMMYFUNCTION("IFERROR(
  IF(
    F1774 &gt;
    3*AVERAGE(
       FILTER($F$2:$F10491,
         $G$2:$G10491=G1774,
         $A$2:$A10491&gt;=A1774-20,
         $A$2:$A10491&lt;=A1774
       )
    ),
    ""VOL_SPIKE_3X"",""""
  ),
"""")
"),"")</f>
        <v/>
      </c>
      <c r="N1774" s="7" t="str">
        <f t="shared" si="6"/>
        <v/>
      </c>
      <c r="O1774" s="7" t="str">
        <f t="shared" si="7"/>
        <v/>
      </c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>
      <c r="A1775" s="5">
        <f>IFERROR(__xludf.DUMMYFUNCTION("""COMPUTED_VALUE"""),45814.0)</f>
        <v>45814</v>
      </c>
      <c r="B1775" s="6">
        <f>IFERROR(__xludf.DUMMYFUNCTION("""COMPUTED_VALUE"""),402.25)</f>
        <v>402.25</v>
      </c>
      <c r="C1775" s="6">
        <f>IFERROR(__xludf.DUMMYFUNCTION("""COMPUTED_VALUE"""),407.75)</f>
        <v>407.75</v>
      </c>
      <c r="D1775" s="6">
        <f>IFERROR(__xludf.DUMMYFUNCTION("""COMPUTED_VALUE"""),402.25)</f>
        <v>402.25</v>
      </c>
      <c r="E1775" s="6">
        <f>IFERROR(__xludf.DUMMYFUNCTION("""COMPUTED_VALUE"""),407.05)</f>
        <v>407.05</v>
      </c>
      <c r="F1775" s="7">
        <f>IFERROR(__xludf.DUMMYFUNCTION("""COMPUTED_VALUE"""),1443804.0)</f>
        <v>1443804</v>
      </c>
      <c r="G1775" s="7" t="str">
        <f>IFERROR(__xludf.DUMMYFUNCTION("""COMPUTED_VALUE"""),"HINDPETRO.NS")</f>
        <v>HINDPETRO.NS</v>
      </c>
      <c r="H1775" s="8">
        <f t="shared" si="1"/>
        <v>0.01193287756</v>
      </c>
      <c r="I1775" s="8">
        <f t="shared" si="2"/>
        <v>0.01193287756</v>
      </c>
      <c r="J1775" s="7" t="str">
        <f t="shared" si="3"/>
        <v>Jun-2025</v>
      </c>
      <c r="K1775" s="9">
        <f t="shared" si="4"/>
        <v>45809</v>
      </c>
      <c r="L1775" s="7" t="str">
        <f t="shared" si="5"/>
        <v/>
      </c>
      <c r="M1775" s="7" t="str">
        <f>IFERROR(__xludf.DUMMYFUNCTION("IFERROR(
  IF(
    F1775 &gt;
    3*AVERAGE(
       FILTER($F$2:$F10491,
         $G$2:$G10491=G1775,
         $A$2:$A10491&gt;=A1775-20,
         $A$2:$A10491&lt;=A1775
       )
    ),
    ""VOL_SPIKE_3X"",""""
  ),
"""")
"),"")</f>
        <v/>
      </c>
      <c r="N1775" s="7" t="str">
        <f t="shared" si="6"/>
        <v/>
      </c>
      <c r="O1775" s="7" t="str">
        <f t="shared" si="7"/>
        <v/>
      </c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>
      <c r="A1776" s="5">
        <f>IFERROR(__xludf.DUMMYFUNCTION("""COMPUTED_VALUE"""),45814.0)</f>
        <v>45814</v>
      </c>
      <c r="B1776" s="6">
        <f>IFERROR(__xludf.DUMMYFUNCTION("""COMPUTED_VALUE"""),139.24)</f>
        <v>139.24</v>
      </c>
      <c r="C1776" s="6">
        <f>IFERROR(__xludf.DUMMYFUNCTION("""COMPUTED_VALUE"""),141.08)</f>
        <v>141.08</v>
      </c>
      <c r="D1776" s="6">
        <f>IFERROR(__xludf.DUMMYFUNCTION("""COMPUTED_VALUE"""),139.24)</f>
        <v>139.24</v>
      </c>
      <c r="E1776" s="6">
        <f>IFERROR(__xludf.DUMMYFUNCTION("""COMPUTED_VALUE"""),140.78)</f>
        <v>140.78</v>
      </c>
      <c r="F1776" s="7">
        <f>IFERROR(__xludf.DUMMYFUNCTION("""COMPUTED_VALUE"""),5702365.0)</f>
        <v>5702365</v>
      </c>
      <c r="G1776" s="7" t="str">
        <f>IFERROR(__xludf.DUMMYFUNCTION("""COMPUTED_VALUE"""),"IOC.NS")</f>
        <v>IOC.NS</v>
      </c>
      <c r="H1776" s="8">
        <f t="shared" si="1"/>
        <v>0.01106004022</v>
      </c>
      <c r="I1776" s="8">
        <f t="shared" si="2"/>
        <v>0.01106004022</v>
      </c>
      <c r="J1776" s="7" t="str">
        <f t="shared" si="3"/>
        <v>Jun-2025</v>
      </c>
      <c r="K1776" s="9">
        <f t="shared" si="4"/>
        <v>45809</v>
      </c>
      <c r="L1776" s="7" t="str">
        <f t="shared" si="5"/>
        <v/>
      </c>
      <c r="M1776" s="7" t="str">
        <f>IFERROR(__xludf.DUMMYFUNCTION("IFERROR(
  IF(
    F1776 &gt;
    3*AVERAGE(
       FILTER($F$2:$F10491,
         $G$2:$G10491=G1776,
         $A$2:$A10491&gt;=A1776-20,
         $A$2:$A10491&lt;=A1776
       )
    ),
    ""VOL_SPIKE_3X"",""""
  ),
"""")
"),"")</f>
        <v/>
      </c>
      <c r="N1776" s="7" t="str">
        <f t="shared" si="6"/>
        <v/>
      </c>
      <c r="O1776" s="7" t="str">
        <f t="shared" si="7"/>
        <v/>
      </c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>
      <c r="A1777" s="5">
        <f>IFERROR(__xludf.DUMMYFUNCTION("""COMPUTED_VALUE"""),45814.0)</f>
        <v>45814</v>
      </c>
      <c r="B1777" s="6">
        <f>IFERROR(__xludf.DUMMYFUNCTION("""COMPUTED_VALUE"""),329.65)</f>
        <v>329.65</v>
      </c>
      <c r="C1777" s="6">
        <f>IFERROR(__xludf.DUMMYFUNCTION("""COMPUTED_VALUE"""),333.5)</f>
        <v>333.5</v>
      </c>
      <c r="D1777" s="6">
        <f>IFERROR(__xludf.DUMMYFUNCTION("""COMPUTED_VALUE"""),329.05)</f>
        <v>329.05</v>
      </c>
      <c r="E1777" s="6">
        <f>IFERROR(__xludf.DUMMYFUNCTION("""COMPUTED_VALUE"""),332.85)</f>
        <v>332.85</v>
      </c>
      <c r="F1777" s="7">
        <f>IFERROR(__xludf.DUMMYFUNCTION("""COMPUTED_VALUE"""),1.1402511E7)</f>
        <v>11402511</v>
      </c>
      <c r="G1777" s="7" t="str">
        <f>IFERROR(__xludf.DUMMYFUNCTION("""COMPUTED_VALUE"""),"NTPC.NS")</f>
        <v>NTPC.NS</v>
      </c>
      <c r="H1777" s="8">
        <f t="shared" si="1"/>
        <v>0.009707265281</v>
      </c>
      <c r="I1777" s="8">
        <f t="shared" si="2"/>
        <v>0.009707265281</v>
      </c>
      <c r="J1777" s="7" t="str">
        <f t="shared" si="3"/>
        <v>Jun-2025</v>
      </c>
      <c r="K1777" s="9">
        <f t="shared" si="4"/>
        <v>45809</v>
      </c>
      <c r="L1777" s="7" t="str">
        <f t="shared" si="5"/>
        <v/>
      </c>
      <c r="M1777" s="7" t="str">
        <f>IFERROR(__xludf.DUMMYFUNCTION("IFERROR(
  IF(
    F1777 &gt;
    3*AVERAGE(
       FILTER($F$2:$F10491,
         $G$2:$G10491=G1777,
         $A$2:$A10491&gt;=A1777-20,
         $A$2:$A10491&lt;=A1777
       )
    ),
    ""VOL_SPIKE_3X"",""""
  ),
"""")
"),"")</f>
        <v/>
      </c>
      <c r="N1777" s="7" t="str">
        <f t="shared" si="6"/>
        <v/>
      </c>
      <c r="O1777" s="7" t="str">
        <f t="shared" si="7"/>
        <v/>
      </c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>
      <c r="A1778" s="5">
        <f>IFERROR(__xludf.DUMMYFUNCTION("""COMPUTED_VALUE"""),45814.0)</f>
        <v>45814</v>
      </c>
      <c r="B1778" s="6">
        <f>IFERROR(__xludf.DUMMYFUNCTION("""COMPUTED_VALUE"""),237.79)</f>
        <v>237.79</v>
      </c>
      <c r="C1778" s="6">
        <f>IFERROR(__xludf.DUMMYFUNCTION("""COMPUTED_VALUE"""),240.47)</f>
        <v>240.47</v>
      </c>
      <c r="D1778" s="6">
        <f>IFERROR(__xludf.DUMMYFUNCTION("""COMPUTED_VALUE"""),237.51)</f>
        <v>237.51</v>
      </c>
      <c r="E1778" s="6">
        <f>IFERROR(__xludf.DUMMYFUNCTION("""COMPUTED_VALUE"""),240.06)</f>
        <v>240.06</v>
      </c>
      <c r="F1778" s="7">
        <f>IFERROR(__xludf.DUMMYFUNCTION("""COMPUTED_VALUE"""),5985346.0)</f>
        <v>5985346</v>
      </c>
      <c r="G1778" s="7" t="str">
        <f>IFERROR(__xludf.DUMMYFUNCTION("""COMPUTED_VALUE"""),"ONGC.NS")</f>
        <v>ONGC.NS</v>
      </c>
      <c r="H1778" s="8">
        <f t="shared" si="1"/>
        <v>0.009546238277</v>
      </c>
      <c r="I1778" s="8">
        <f t="shared" si="2"/>
        <v>0.009546238277</v>
      </c>
      <c r="J1778" s="7" t="str">
        <f t="shared" si="3"/>
        <v>Jun-2025</v>
      </c>
      <c r="K1778" s="9">
        <f t="shared" si="4"/>
        <v>45809</v>
      </c>
      <c r="L1778" s="7" t="str">
        <f t="shared" si="5"/>
        <v/>
      </c>
      <c r="M1778" s="7" t="str">
        <f>IFERROR(__xludf.DUMMYFUNCTION("IFERROR(
  IF(
    F1778 &gt;
    3*AVERAGE(
       FILTER($F$2:$F10491,
         $G$2:$G10491=G1778,
         $A$2:$A10491&gt;=A1778-20,
         $A$2:$A10491&lt;=A1778
       )
    ),
    ""VOL_SPIKE_3X"",""""
  ),
"""")
"),"")</f>
        <v/>
      </c>
      <c r="N1778" s="7" t="str">
        <f t="shared" si="6"/>
        <v/>
      </c>
      <c r="O1778" s="7" t="str">
        <f t="shared" si="7"/>
        <v/>
      </c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>
      <c r="A1779" s="5">
        <f>IFERROR(__xludf.DUMMYFUNCTION("""COMPUTED_VALUE"""),45814.0)</f>
        <v>45814</v>
      </c>
      <c r="B1779" s="6">
        <f>IFERROR(__xludf.DUMMYFUNCTION("""COMPUTED_VALUE"""),293.55)</f>
        <v>293.55</v>
      </c>
      <c r="C1779" s="6">
        <f>IFERROR(__xludf.DUMMYFUNCTION("""COMPUTED_VALUE"""),297.0)</f>
        <v>297</v>
      </c>
      <c r="D1779" s="6">
        <f>IFERROR(__xludf.DUMMYFUNCTION("""COMPUTED_VALUE"""),292.95)</f>
        <v>292.95</v>
      </c>
      <c r="E1779" s="6">
        <f>IFERROR(__xludf.DUMMYFUNCTION("""COMPUTED_VALUE"""),295.8)</f>
        <v>295.8</v>
      </c>
      <c r="F1779" s="7">
        <f>IFERROR(__xludf.DUMMYFUNCTION("""COMPUTED_VALUE"""),7935393.0)</f>
        <v>7935393</v>
      </c>
      <c r="G1779" s="7" t="str">
        <f>IFERROR(__xludf.DUMMYFUNCTION("""COMPUTED_VALUE"""),"POWERGRID.NS")</f>
        <v>POWERGRID.NS</v>
      </c>
      <c r="H1779" s="8">
        <f t="shared" si="1"/>
        <v>0.007664793051</v>
      </c>
      <c r="I1779" s="8">
        <f t="shared" si="2"/>
        <v>0.007664793051</v>
      </c>
      <c r="J1779" s="7" t="str">
        <f t="shared" si="3"/>
        <v>Jun-2025</v>
      </c>
      <c r="K1779" s="9">
        <f t="shared" si="4"/>
        <v>45809</v>
      </c>
      <c r="L1779" s="7" t="str">
        <f t="shared" si="5"/>
        <v/>
      </c>
      <c r="M1779" s="7" t="str">
        <f>IFERROR(__xludf.DUMMYFUNCTION("IFERROR(
  IF(
    F1779 &gt;
    3*AVERAGE(
       FILTER($F$2:$F10491,
         $G$2:$G10491=G1779,
         $A$2:$A10491&gt;=A1779-20,
         $A$2:$A10491&lt;=A1779
       )
    ),
    ""VOL_SPIKE_3X"",""""
  ),
"""")
"),"")</f>
        <v/>
      </c>
      <c r="N1779" s="7" t="str">
        <f t="shared" si="6"/>
        <v/>
      </c>
      <c r="O1779" s="7" t="str">
        <f t="shared" si="7"/>
        <v/>
      </c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>
      <c r="A1780" s="5">
        <f>IFERROR(__xludf.DUMMYFUNCTION("""COMPUTED_VALUE"""),45814.0)</f>
        <v>45814</v>
      </c>
      <c r="B1780" s="6">
        <f>IFERROR(__xludf.DUMMYFUNCTION("""COMPUTED_VALUE"""),1441.0)</f>
        <v>1441</v>
      </c>
      <c r="C1780" s="6">
        <f>IFERROR(__xludf.DUMMYFUNCTION("""COMPUTED_VALUE"""),1451.5)</f>
        <v>1451.5</v>
      </c>
      <c r="D1780" s="6">
        <f>IFERROR(__xludf.DUMMYFUNCTION("""COMPUTED_VALUE"""),1437.0)</f>
        <v>1437</v>
      </c>
      <c r="E1780" s="6">
        <f>IFERROR(__xludf.DUMMYFUNCTION("""COMPUTED_VALUE"""),1443.5)</f>
        <v>1443.5</v>
      </c>
      <c r="F1780" s="7">
        <f>IFERROR(__xludf.DUMMYFUNCTION("""COMPUTED_VALUE"""),8182161.0)</f>
        <v>8182161</v>
      </c>
      <c r="G1780" s="7" t="str">
        <f>IFERROR(__xludf.DUMMYFUNCTION("""COMPUTED_VALUE"""),"RELIANCE.NS")</f>
        <v>RELIANCE.NS</v>
      </c>
      <c r="H1780" s="8">
        <f t="shared" si="1"/>
        <v>0.001734906315</v>
      </c>
      <c r="I1780" s="8">
        <f t="shared" si="2"/>
        <v>0.001734906315</v>
      </c>
      <c r="J1780" s="7" t="str">
        <f t="shared" si="3"/>
        <v>Jun-2025</v>
      </c>
      <c r="K1780" s="9">
        <f t="shared" si="4"/>
        <v>45809</v>
      </c>
      <c r="L1780" s="7" t="str">
        <f t="shared" si="5"/>
        <v/>
      </c>
      <c r="M1780" s="7" t="str">
        <f>IFERROR(__xludf.DUMMYFUNCTION("IFERROR(
  IF(
    F1780 &gt;
    3*AVERAGE(
       FILTER($F$2:$F10491,
         $G$2:$G10491=G1780,
         $A$2:$A10491&gt;=A1780-20,
         $A$2:$A10491&lt;=A1780
       )
    ),
    ""VOL_SPIKE_3X"",""""
  ),
"""")
"),"")</f>
        <v/>
      </c>
      <c r="N1780" s="7" t="str">
        <f t="shared" si="6"/>
        <v/>
      </c>
      <c r="O1780" s="7" t="str">
        <f t="shared" si="7"/>
        <v/>
      </c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>
      <c r="A1781" s="5">
        <f>IFERROR(__xludf.DUMMYFUNCTION("""COMPUTED_VALUE"""),45817.0)</f>
        <v>45817</v>
      </c>
      <c r="B1781" s="6">
        <f>IFERROR(__xludf.DUMMYFUNCTION("""COMPUTED_VALUE"""),888.5)</f>
        <v>888.5</v>
      </c>
      <c r="C1781" s="6">
        <f>IFERROR(__xludf.DUMMYFUNCTION("""COMPUTED_VALUE"""),908.4)</f>
        <v>908.4</v>
      </c>
      <c r="D1781" s="6">
        <f>IFERROR(__xludf.DUMMYFUNCTION("""COMPUTED_VALUE"""),876.0)</f>
        <v>876</v>
      </c>
      <c r="E1781" s="6">
        <f>IFERROR(__xludf.DUMMYFUNCTION("""COMPUTED_VALUE"""),901.4)</f>
        <v>901.4</v>
      </c>
      <c r="F1781" s="7">
        <f>IFERROR(__xludf.DUMMYFUNCTION("""COMPUTED_VALUE"""),6802393.0)</f>
        <v>6802393</v>
      </c>
      <c r="G1781" s="7" t="str">
        <f>IFERROR(__xludf.DUMMYFUNCTION("""COMPUTED_VALUE"""),"ADANIENSOL.NS")</f>
        <v>ADANIENSOL.NS</v>
      </c>
      <c r="H1781" s="8">
        <f t="shared" si="1"/>
        <v>0.014518852</v>
      </c>
      <c r="I1781" s="8">
        <f t="shared" si="2"/>
        <v>0.014518852</v>
      </c>
      <c r="J1781" s="7" t="str">
        <f t="shared" si="3"/>
        <v>Jun-2025</v>
      </c>
      <c r="K1781" s="9">
        <f t="shared" si="4"/>
        <v>45809</v>
      </c>
      <c r="L1781" s="7" t="str">
        <f t="shared" si="5"/>
        <v/>
      </c>
      <c r="M1781" s="7" t="str">
        <f>IFERROR(__xludf.DUMMYFUNCTION("IFERROR(
  IF(
    F1781 &gt;
    3*AVERAGE(
       FILTER($F$2:$F10491,
         $G$2:$G10491=G1781,
         $A$2:$A10491&gt;=A1781-20,
         $A$2:$A10491&lt;=A1781
       )
    ),
    ""VOL_SPIKE_3X"",""""
  ),
"""")
"),"")</f>
        <v/>
      </c>
      <c r="N1781" s="7" t="str">
        <f t="shared" si="6"/>
        <v/>
      </c>
      <c r="O1781" s="7" t="str">
        <f t="shared" si="7"/>
        <v/>
      </c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>
      <c r="A1782" s="5">
        <f>IFERROR(__xludf.DUMMYFUNCTION("""COMPUTED_VALUE"""),45817.0)</f>
        <v>45817</v>
      </c>
      <c r="B1782" s="6">
        <f>IFERROR(__xludf.DUMMYFUNCTION("""COMPUTED_VALUE"""),1024.2)</f>
        <v>1024.2</v>
      </c>
      <c r="C1782" s="6">
        <f>IFERROR(__xludf.DUMMYFUNCTION("""COMPUTED_VALUE"""),1044.4)</f>
        <v>1044.4</v>
      </c>
      <c r="D1782" s="6">
        <f>IFERROR(__xludf.DUMMYFUNCTION("""COMPUTED_VALUE"""),1020.0)</f>
        <v>1020</v>
      </c>
      <c r="E1782" s="6">
        <f>IFERROR(__xludf.DUMMYFUNCTION("""COMPUTED_VALUE"""),1034.3)</f>
        <v>1034.3</v>
      </c>
      <c r="F1782" s="7">
        <f>IFERROR(__xludf.DUMMYFUNCTION("""COMPUTED_VALUE"""),3700815.0)</f>
        <v>3700815</v>
      </c>
      <c r="G1782" s="7" t="str">
        <f>IFERROR(__xludf.DUMMYFUNCTION("""COMPUTED_VALUE"""),"ADANIGREEN.NS")</f>
        <v>ADANIGREEN.NS</v>
      </c>
      <c r="H1782" s="8">
        <f t="shared" si="1"/>
        <v>0.009861355204</v>
      </c>
      <c r="I1782" s="8">
        <f t="shared" si="2"/>
        <v>0.009861355204</v>
      </c>
      <c r="J1782" s="7" t="str">
        <f t="shared" si="3"/>
        <v>Jun-2025</v>
      </c>
      <c r="K1782" s="9">
        <f t="shared" si="4"/>
        <v>45809</v>
      </c>
      <c r="L1782" s="7" t="str">
        <f t="shared" si="5"/>
        <v/>
      </c>
      <c r="M1782" s="7" t="str">
        <f>IFERROR(__xludf.DUMMYFUNCTION("IFERROR(
  IF(
    F1782 &gt;
    3*AVERAGE(
       FILTER($F$2:$F10491,
         $G$2:$G10491=G1782,
         $A$2:$A10491&gt;=A1782-20,
         $A$2:$A10491&lt;=A1782
       )
    ),
    ""VOL_SPIKE_3X"",""""
  ),
"""")
"),"")</f>
        <v/>
      </c>
      <c r="N1782" s="7" t="str">
        <f t="shared" si="6"/>
        <v/>
      </c>
      <c r="O1782" s="7" t="str">
        <f t="shared" si="7"/>
        <v/>
      </c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>
      <c r="A1783" s="5">
        <f>IFERROR(__xludf.DUMMYFUNCTION("""COMPUTED_VALUE"""),45817.0)</f>
        <v>45817</v>
      </c>
      <c r="B1783" s="6">
        <f>IFERROR(__xludf.DUMMYFUNCTION("""COMPUTED_VALUE"""),317.8)</f>
        <v>317.8</v>
      </c>
      <c r="C1783" s="6">
        <f>IFERROR(__xludf.DUMMYFUNCTION("""COMPUTED_VALUE"""),321.45)</f>
        <v>321.45</v>
      </c>
      <c r="D1783" s="6">
        <f>IFERROR(__xludf.DUMMYFUNCTION("""COMPUTED_VALUE"""),315.0)</f>
        <v>315</v>
      </c>
      <c r="E1783" s="6">
        <f>IFERROR(__xludf.DUMMYFUNCTION("""COMPUTED_VALUE"""),320.4)</f>
        <v>320.4</v>
      </c>
      <c r="F1783" s="7">
        <f>IFERROR(__xludf.DUMMYFUNCTION("""COMPUTED_VALUE"""),3787426.0)</f>
        <v>3787426</v>
      </c>
      <c r="G1783" s="7" t="str">
        <f>IFERROR(__xludf.DUMMYFUNCTION("""COMPUTED_VALUE"""),"BPCL.NS")</f>
        <v>BPCL.NS</v>
      </c>
      <c r="H1783" s="8">
        <f t="shared" si="1"/>
        <v>0.008181246067</v>
      </c>
      <c r="I1783" s="8">
        <f t="shared" si="2"/>
        <v>0.008181246067</v>
      </c>
      <c r="J1783" s="7" t="str">
        <f t="shared" si="3"/>
        <v>Jun-2025</v>
      </c>
      <c r="K1783" s="9">
        <f t="shared" si="4"/>
        <v>45809</v>
      </c>
      <c r="L1783" s="7" t="str">
        <f t="shared" si="5"/>
        <v/>
      </c>
      <c r="M1783" s="7" t="str">
        <f>IFERROR(__xludf.DUMMYFUNCTION("IFERROR(
  IF(
    F1783 &gt;
    3*AVERAGE(
       FILTER($F$2:$F10491,
         $G$2:$G10491=G1783,
         $A$2:$A10491&gt;=A1783-20,
         $A$2:$A10491&lt;=A1783
       )
    ),
    ""VOL_SPIKE_3X"",""""
  ),
"""")
"),"")</f>
        <v/>
      </c>
      <c r="N1783" s="7" t="str">
        <f t="shared" si="6"/>
        <v/>
      </c>
      <c r="O1783" s="7" t="str">
        <f t="shared" si="7"/>
        <v/>
      </c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>
      <c r="A1784" s="5">
        <f>IFERROR(__xludf.DUMMYFUNCTION("""COMPUTED_VALUE"""),45817.0)</f>
        <v>45817</v>
      </c>
      <c r="B1784" s="6">
        <f>IFERROR(__xludf.DUMMYFUNCTION("""COMPUTED_VALUE"""),400.9)</f>
        <v>400.9</v>
      </c>
      <c r="C1784" s="6">
        <f>IFERROR(__xludf.DUMMYFUNCTION("""COMPUTED_VALUE"""),406.2)</f>
        <v>406.2</v>
      </c>
      <c r="D1784" s="6">
        <f>IFERROR(__xludf.DUMMYFUNCTION("""COMPUTED_VALUE"""),400.0)</f>
        <v>400</v>
      </c>
      <c r="E1784" s="6">
        <f>IFERROR(__xludf.DUMMYFUNCTION("""COMPUTED_VALUE"""),401.0)</f>
        <v>401</v>
      </c>
      <c r="F1784" s="7">
        <f>IFERROR(__xludf.DUMMYFUNCTION("""COMPUTED_VALUE"""),9626374.0)</f>
        <v>9626374</v>
      </c>
      <c r="G1784" s="7" t="str">
        <f>IFERROR(__xludf.DUMMYFUNCTION("""COMPUTED_VALUE"""),"COALINDIA.NS")</f>
        <v>COALINDIA.NS</v>
      </c>
      <c r="H1784" s="8">
        <f t="shared" si="1"/>
        <v>0.0002494387628</v>
      </c>
      <c r="I1784" s="8">
        <f t="shared" si="2"/>
        <v>0.0002494387628</v>
      </c>
      <c r="J1784" s="7" t="str">
        <f t="shared" si="3"/>
        <v>Jun-2025</v>
      </c>
      <c r="K1784" s="9">
        <f t="shared" si="4"/>
        <v>45809</v>
      </c>
      <c r="L1784" s="7" t="str">
        <f t="shared" si="5"/>
        <v/>
      </c>
      <c r="M1784" s="7" t="str">
        <f>IFERROR(__xludf.DUMMYFUNCTION("IFERROR(
  IF(
    F1784 &gt;
    3*AVERAGE(
       FILTER($F$2:$F10491,
         $G$2:$G10491=G1784,
         $A$2:$A10491&gt;=A1784-20,
         $A$2:$A10491&lt;=A1784
       )
    ),
    ""VOL_SPIKE_3X"",""""
  ),
"""")
"),"")</f>
        <v/>
      </c>
      <c r="N1784" s="7" t="str">
        <f t="shared" si="6"/>
        <v/>
      </c>
      <c r="O1784" s="7" t="str">
        <f t="shared" si="7"/>
        <v/>
      </c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>
      <c r="A1785" s="5">
        <f>IFERROR(__xludf.DUMMYFUNCTION("""COMPUTED_VALUE"""),45817.0)</f>
        <v>45817</v>
      </c>
      <c r="B1785" s="6">
        <f>IFERROR(__xludf.DUMMYFUNCTION("""COMPUTED_VALUE"""),407.05)</f>
        <v>407.05</v>
      </c>
      <c r="C1785" s="6">
        <f>IFERROR(__xludf.DUMMYFUNCTION("""COMPUTED_VALUE"""),409.6)</f>
        <v>409.6</v>
      </c>
      <c r="D1785" s="6">
        <f>IFERROR(__xludf.DUMMYFUNCTION("""COMPUTED_VALUE"""),404.85)</f>
        <v>404.85</v>
      </c>
      <c r="E1785" s="6">
        <f>IFERROR(__xludf.DUMMYFUNCTION("""COMPUTED_VALUE"""),408.45)</f>
        <v>408.45</v>
      </c>
      <c r="F1785" s="7">
        <f>IFERROR(__xludf.DUMMYFUNCTION("""COMPUTED_VALUE"""),1139355.0)</f>
        <v>1139355</v>
      </c>
      <c r="G1785" s="7" t="str">
        <f>IFERROR(__xludf.DUMMYFUNCTION("""COMPUTED_VALUE"""),"HINDPETRO.NS")</f>
        <v>HINDPETRO.NS</v>
      </c>
      <c r="H1785" s="8">
        <f t="shared" si="1"/>
        <v>0.003439380911</v>
      </c>
      <c r="I1785" s="8">
        <f t="shared" si="2"/>
        <v>0.003439380911</v>
      </c>
      <c r="J1785" s="7" t="str">
        <f t="shared" si="3"/>
        <v>Jun-2025</v>
      </c>
      <c r="K1785" s="9">
        <f t="shared" si="4"/>
        <v>45809</v>
      </c>
      <c r="L1785" s="7" t="str">
        <f t="shared" si="5"/>
        <v/>
      </c>
      <c r="M1785" s="7" t="str">
        <f>IFERROR(__xludf.DUMMYFUNCTION("IFERROR(
  IF(
    F1785 &gt;
    3*AVERAGE(
       FILTER($F$2:$F10491,
         $G$2:$G10491=G1785,
         $A$2:$A10491&gt;=A1785-20,
         $A$2:$A10491&lt;=A1785
       )
    ),
    ""VOL_SPIKE_3X"",""""
  ),
"""")
"),"")</f>
        <v/>
      </c>
      <c r="N1785" s="7" t="str">
        <f t="shared" si="6"/>
        <v/>
      </c>
      <c r="O1785" s="7" t="str">
        <f t="shared" si="7"/>
        <v/>
      </c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>
      <c r="A1786" s="5">
        <f>IFERROR(__xludf.DUMMYFUNCTION("""COMPUTED_VALUE"""),45817.0)</f>
        <v>45817</v>
      </c>
      <c r="B1786" s="6">
        <f>IFERROR(__xludf.DUMMYFUNCTION("""COMPUTED_VALUE"""),141.0)</f>
        <v>141</v>
      </c>
      <c r="C1786" s="6">
        <f>IFERROR(__xludf.DUMMYFUNCTION("""COMPUTED_VALUE"""),143.49)</f>
        <v>143.49</v>
      </c>
      <c r="D1786" s="6">
        <f>IFERROR(__xludf.DUMMYFUNCTION("""COMPUTED_VALUE"""),140.83)</f>
        <v>140.83</v>
      </c>
      <c r="E1786" s="6">
        <f>IFERROR(__xludf.DUMMYFUNCTION("""COMPUTED_VALUE"""),143.32)</f>
        <v>143.32</v>
      </c>
      <c r="F1786" s="7">
        <f>IFERROR(__xludf.DUMMYFUNCTION("""COMPUTED_VALUE"""),9972191.0)</f>
        <v>9972191</v>
      </c>
      <c r="G1786" s="7" t="str">
        <f>IFERROR(__xludf.DUMMYFUNCTION("""COMPUTED_VALUE"""),"IOC.NS")</f>
        <v>IOC.NS</v>
      </c>
      <c r="H1786" s="8">
        <f t="shared" si="1"/>
        <v>0.01645390071</v>
      </c>
      <c r="I1786" s="8">
        <f t="shared" si="2"/>
        <v>0.01645390071</v>
      </c>
      <c r="J1786" s="7" t="str">
        <f t="shared" si="3"/>
        <v>Jun-2025</v>
      </c>
      <c r="K1786" s="9">
        <f t="shared" si="4"/>
        <v>45809</v>
      </c>
      <c r="L1786" s="7" t="str">
        <f t="shared" si="5"/>
        <v/>
      </c>
      <c r="M1786" s="7" t="str">
        <f>IFERROR(__xludf.DUMMYFUNCTION("IFERROR(
  IF(
    F1786 &gt;
    3*AVERAGE(
       FILTER($F$2:$F10491,
         $G$2:$G10491=G1786,
         $A$2:$A10491&gt;=A1786-20,
         $A$2:$A10491&lt;=A1786
       )
    ),
    ""VOL_SPIKE_3X"",""""
  ),
"""")
"),"")</f>
        <v/>
      </c>
      <c r="N1786" s="7" t="str">
        <f t="shared" si="6"/>
        <v/>
      </c>
      <c r="O1786" s="7" t="str">
        <f t="shared" si="7"/>
        <v/>
      </c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>
      <c r="A1787" s="5">
        <f>IFERROR(__xludf.DUMMYFUNCTION("""COMPUTED_VALUE"""),45817.0)</f>
        <v>45817</v>
      </c>
      <c r="B1787" s="6">
        <f>IFERROR(__xludf.DUMMYFUNCTION("""COMPUTED_VALUE"""),333.9)</f>
        <v>333.9</v>
      </c>
      <c r="C1787" s="6">
        <f>IFERROR(__xludf.DUMMYFUNCTION("""COMPUTED_VALUE"""),337.55)</f>
        <v>337.55</v>
      </c>
      <c r="D1787" s="6">
        <f>IFERROR(__xludf.DUMMYFUNCTION("""COMPUTED_VALUE"""),332.75)</f>
        <v>332.75</v>
      </c>
      <c r="E1787" s="6">
        <f>IFERROR(__xludf.DUMMYFUNCTION("""COMPUTED_VALUE"""),337.1)</f>
        <v>337.1</v>
      </c>
      <c r="F1787" s="7">
        <f>IFERROR(__xludf.DUMMYFUNCTION("""COMPUTED_VALUE"""),1.9416373E7)</f>
        <v>19416373</v>
      </c>
      <c r="G1787" s="7" t="str">
        <f>IFERROR(__xludf.DUMMYFUNCTION("""COMPUTED_VALUE"""),"NTPC.NS")</f>
        <v>NTPC.NS</v>
      </c>
      <c r="H1787" s="8">
        <f t="shared" si="1"/>
        <v>0.009583707697</v>
      </c>
      <c r="I1787" s="8">
        <f t="shared" si="2"/>
        <v>0.009583707697</v>
      </c>
      <c r="J1787" s="7" t="str">
        <f t="shared" si="3"/>
        <v>Jun-2025</v>
      </c>
      <c r="K1787" s="9">
        <f t="shared" si="4"/>
        <v>45809</v>
      </c>
      <c r="L1787" s="7" t="str">
        <f t="shared" si="5"/>
        <v/>
      </c>
      <c r="M1787" s="7" t="str">
        <f>IFERROR(__xludf.DUMMYFUNCTION("IFERROR(
  IF(
    F1787 &gt;
    3*AVERAGE(
       FILTER($F$2:$F10491,
         $G$2:$G10491=G1787,
         $A$2:$A10491&gt;=A1787-20,
         $A$2:$A10491&lt;=A1787
       )
    ),
    ""VOL_SPIKE_3X"",""""
  ),
"""")
"),"")</f>
        <v/>
      </c>
      <c r="N1787" s="7" t="str">
        <f t="shared" si="6"/>
        <v/>
      </c>
      <c r="O1787" s="7" t="str">
        <f t="shared" si="7"/>
        <v/>
      </c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>
      <c r="A1788" s="5">
        <f>IFERROR(__xludf.DUMMYFUNCTION("""COMPUTED_VALUE"""),45817.0)</f>
        <v>45817</v>
      </c>
      <c r="B1788" s="6">
        <f>IFERROR(__xludf.DUMMYFUNCTION("""COMPUTED_VALUE"""),241.78)</f>
        <v>241.78</v>
      </c>
      <c r="C1788" s="6">
        <f>IFERROR(__xludf.DUMMYFUNCTION("""COMPUTED_VALUE"""),244.12)</f>
        <v>244.12</v>
      </c>
      <c r="D1788" s="6">
        <f>IFERROR(__xludf.DUMMYFUNCTION("""COMPUTED_VALUE"""),240.5)</f>
        <v>240.5</v>
      </c>
      <c r="E1788" s="6">
        <f>IFERROR(__xludf.DUMMYFUNCTION("""COMPUTED_VALUE"""),242.8)</f>
        <v>242.8</v>
      </c>
      <c r="F1788" s="7">
        <f>IFERROR(__xludf.DUMMYFUNCTION("""COMPUTED_VALUE"""),7719525.0)</f>
        <v>7719525</v>
      </c>
      <c r="G1788" s="7" t="str">
        <f>IFERROR(__xludf.DUMMYFUNCTION("""COMPUTED_VALUE"""),"ONGC.NS")</f>
        <v>ONGC.NS</v>
      </c>
      <c r="H1788" s="8">
        <f t="shared" si="1"/>
        <v>0.004218711225</v>
      </c>
      <c r="I1788" s="8">
        <f t="shared" si="2"/>
        <v>0.004218711225</v>
      </c>
      <c r="J1788" s="7" t="str">
        <f t="shared" si="3"/>
        <v>Jun-2025</v>
      </c>
      <c r="K1788" s="9">
        <f t="shared" si="4"/>
        <v>45809</v>
      </c>
      <c r="L1788" s="7" t="str">
        <f t="shared" si="5"/>
        <v/>
      </c>
      <c r="M1788" s="7" t="str">
        <f>IFERROR(__xludf.DUMMYFUNCTION("IFERROR(
  IF(
    F1788 &gt;
    3*AVERAGE(
       FILTER($F$2:$F10491,
         $G$2:$G10491=G1788,
         $A$2:$A10491&gt;=A1788-20,
         $A$2:$A10491&lt;=A1788
       )
    ),
    ""VOL_SPIKE_3X"",""""
  ),
"""")
"),"")</f>
        <v/>
      </c>
      <c r="N1788" s="7" t="str">
        <f t="shared" si="6"/>
        <v/>
      </c>
      <c r="O1788" s="7" t="str">
        <f t="shared" si="7"/>
        <v/>
      </c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>
      <c r="A1789" s="5">
        <f>IFERROR(__xludf.DUMMYFUNCTION("""COMPUTED_VALUE"""),45817.0)</f>
        <v>45817</v>
      </c>
      <c r="B1789" s="6">
        <f>IFERROR(__xludf.DUMMYFUNCTION("""COMPUTED_VALUE"""),298.0)</f>
        <v>298</v>
      </c>
      <c r="C1789" s="6">
        <f>IFERROR(__xludf.DUMMYFUNCTION("""COMPUTED_VALUE"""),301.15)</f>
        <v>301.15</v>
      </c>
      <c r="D1789" s="6">
        <f>IFERROR(__xludf.DUMMYFUNCTION("""COMPUTED_VALUE"""),296.15)</f>
        <v>296.15</v>
      </c>
      <c r="E1789" s="6">
        <f>IFERROR(__xludf.DUMMYFUNCTION("""COMPUTED_VALUE"""),300.5)</f>
        <v>300.5</v>
      </c>
      <c r="F1789" s="7">
        <f>IFERROR(__xludf.DUMMYFUNCTION("""COMPUTED_VALUE"""),8666186.0)</f>
        <v>8666186</v>
      </c>
      <c r="G1789" s="7" t="str">
        <f>IFERROR(__xludf.DUMMYFUNCTION("""COMPUTED_VALUE"""),"POWERGRID.NS")</f>
        <v>POWERGRID.NS</v>
      </c>
      <c r="H1789" s="8">
        <f t="shared" si="1"/>
        <v>0.008389261745</v>
      </c>
      <c r="I1789" s="8">
        <f t="shared" si="2"/>
        <v>0.008389261745</v>
      </c>
      <c r="J1789" s="7" t="str">
        <f t="shared" si="3"/>
        <v>Jun-2025</v>
      </c>
      <c r="K1789" s="9">
        <f t="shared" si="4"/>
        <v>45809</v>
      </c>
      <c r="L1789" s="7" t="str">
        <f t="shared" si="5"/>
        <v/>
      </c>
      <c r="M1789" s="7" t="str">
        <f>IFERROR(__xludf.DUMMYFUNCTION("IFERROR(
  IF(
    F1789 &gt;
    3*AVERAGE(
       FILTER($F$2:$F10491,
         $G$2:$G10491=G1789,
         $A$2:$A10491&gt;=A1789-20,
         $A$2:$A10491&lt;=A1789
       )
    ),
    ""VOL_SPIKE_3X"",""""
  ),
"""")
"),"")</f>
        <v/>
      </c>
      <c r="N1789" s="7" t="str">
        <f t="shared" si="6"/>
        <v/>
      </c>
      <c r="O1789" s="7" t="str">
        <f t="shared" si="7"/>
        <v/>
      </c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>
      <c r="A1790" s="5">
        <f>IFERROR(__xludf.DUMMYFUNCTION("""COMPUTED_VALUE"""),45817.0)</f>
        <v>45817</v>
      </c>
      <c r="B1790" s="6">
        <f>IFERROR(__xludf.DUMMYFUNCTION("""COMPUTED_VALUE"""),1457.0)</f>
        <v>1457</v>
      </c>
      <c r="C1790" s="6">
        <f>IFERROR(__xludf.DUMMYFUNCTION("""COMPUTED_VALUE"""),1457.5)</f>
        <v>1457.5</v>
      </c>
      <c r="D1790" s="6">
        <f>IFERROR(__xludf.DUMMYFUNCTION("""COMPUTED_VALUE"""),1445.3)</f>
        <v>1445.3</v>
      </c>
      <c r="E1790" s="6">
        <f>IFERROR(__xludf.DUMMYFUNCTION("""COMPUTED_VALUE"""),1448.8)</f>
        <v>1448.8</v>
      </c>
      <c r="F1790" s="7">
        <f>IFERROR(__xludf.DUMMYFUNCTION("""COMPUTED_VALUE"""),7885125.0)</f>
        <v>7885125</v>
      </c>
      <c r="G1790" s="7" t="str">
        <f>IFERROR(__xludf.DUMMYFUNCTION("""COMPUTED_VALUE"""),"RELIANCE.NS")</f>
        <v>RELIANCE.NS</v>
      </c>
      <c r="H1790" s="8">
        <f t="shared" si="1"/>
        <v>-0.005628002745</v>
      </c>
      <c r="I1790" s="8">
        <f t="shared" si="2"/>
        <v>0.005628002745</v>
      </c>
      <c r="J1790" s="7" t="str">
        <f t="shared" si="3"/>
        <v>Jun-2025</v>
      </c>
      <c r="K1790" s="9">
        <f t="shared" si="4"/>
        <v>45809</v>
      </c>
      <c r="L1790" s="7" t="str">
        <f t="shared" si="5"/>
        <v/>
      </c>
      <c r="M1790" s="7" t="str">
        <f>IFERROR(__xludf.DUMMYFUNCTION("IFERROR(
  IF(
    F1790 &gt;
    3*AVERAGE(
       FILTER($F$2:$F10491,
         $G$2:$G10491=G1790,
         $A$2:$A10491&gt;=A1790-20,
         $A$2:$A10491&lt;=A1790
       )
    ),
    ""VOL_SPIKE_3X"",""""
  ),
"""")
"),"")</f>
        <v/>
      </c>
      <c r="N1790" s="7" t="str">
        <f t="shared" si="6"/>
        <v/>
      </c>
      <c r="O1790" s="7" t="str">
        <f t="shared" si="7"/>
        <v/>
      </c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>
      <c r="A1791" s="5">
        <f>IFERROR(__xludf.DUMMYFUNCTION("""COMPUTED_VALUE"""),45818.0)</f>
        <v>45818</v>
      </c>
      <c r="B1791" s="6">
        <f>IFERROR(__xludf.DUMMYFUNCTION("""COMPUTED_VALUE"""),907.15)</f>
        <v>907.15</v>
      </c>
      <c r="C1791" s="6">
        <f>IFERROR(__xludf.DUMMYFUNCTION("""COMPUTED_VALUE"""),921.0)</f>
        <v>921</v>
      </c>
      <c r="D1791" s="6">
        <f>IFERROR(__xludf.DUMMYFUNCTION("""COMPUTED_VALUE"""),896.45)</f>
        <v>896.45</v>
      </c>
      <c r="E1791" s="6">
        <f>IFERROR(__xludf.DUMMYFUNCTION("""COMPUTED_VALUE"""),915.5)</f>
        <v>915.5</v>
      </c>
      <c r="F1791" s="7">
        <f>IFERROR(__xludf.DUMMYFUNCTION("""COMPUTED_VALUE"""),8134942.0)</f>
        <v>8134942</v>
      </c>
      <c r="G1791" s="7" t="str">
        <f>IFERROR(__xludf.DUMMYFUNCTION("""COMPUTED_VALUE"""),"ADANIENSOL.NS")</f>
        <v>ADANIENSOL.NS</v>
      </c>
      <c r="H1791" s="8">
        <f t="shared" si="1"/>
        <v>0.009204651932</v>
      </c>
      <c r="I1791" s="8">
        <f t="shared" si="2"/>
        <v>0.009204651932</v>
      </c>
      <c r="J1791" s="7" t="str">
        <f t="shared" si="3"/>
        <v>Jun-2025</v>
      </c>
      <c r="K1791" s="9">
        <f t="shared" si="4"/>
        <v>45809</v>
      </c>
      <c r="L1791" s="7" t="str">
        <f t="shared" si="5"/>
        <v/>
      </c>
      <c r="M1791" s="7" t="str">
        <f>IFERROR(__xludf.DUMMYFUNCTION("IFERROR(
  IF(
    F1791 &gt;
    3*AVERAGE(
       FILTER($F$2:$F10491,
         $G$2:$G10491=G1791,
         $A$2:$A10491&gt;=A1791-20,
         $A$2:$A10491&lt;=A1791
       )
    ),
    ""VOL_SPIKE_3X"",""""
  ),
"""")
"),"")</f>
        <v/>
      </c>
      <c r="N1791" s="7" t="str">
        <f t="shared" si="6"/>
        <v/>
      </c>
      <c r="O1791" s="7" t="str">
        <f t="shared" si="7"/>
        <v/>
      </c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>
      <c r="A1792" s="5">
        <f>IFERROR(__xludf.DUMMYFUNCTION("""COMPUTED_VALUE"""),45818.0)</f>
        <v>45818</v>
      </c>
      <c r="B1792" s="6">
        <f>IFERROR(__xludf.DUMMYFUNCTION("""COMPUTED_VALUE"""),1039.7)</f>
        <v>1039.7</v>
      </c>
      <c r="C1792" s="6">
        <f>IFERROR(__xludf.DUMMYFUNCTION("""COMPUTED_VALUE"""),1077.0)</f>
        <v>1077</v>
      </c>
      <c r="D1792" s="6">
        <f>IFERROR(__xludf.DUMMYFUNCTION("""COMPUTED_VALUE"""),1034.7)</f>
        <v>1034.7</v>
      </c>
      <c r="E1792" s="6">
        <f>IFERROR(__xludf.DUMMYFUNCTION("""COMPUTED_VALUE"""),1060.5)</f>
        <v>1060.5</v>
      </c>
      <c r="F1792" s="7">
        <f>IFERROR(__xludf.DUMMYFUNCTION("""COMPUTED_VALUE"""),5441911.0)</f>
        <v>5441911</v>
      </c>
      <c r="G1792" s="7" t="str">
        <f>IFERROR(__xludf.DUMMYFUNCTION("""COMPUTED_VALUE"""),"ADANIGREEN.NS")</f>
        <v>ADANIGREEN.NS</v>
      </c>
      <c r="H1792" s="8">
        <f t="shared" si="1"/>
        <v>0.0200057709</v>
      </c>
      <c r="I1792" s="8">
        <f t="shared" si="2"/>
        <v>0.0200057709</v>
      </c>
      <c r="J1792" s="7" t="str">
        <f t="shared" si="3"/>
        <v>Jun-2025</v>
      </c>
      <c r="K1792" s="9">
        <f t="shared" si="4"/>
        <v>45809</v>
      </c>
      <c r="L1792" s="7" t="str">
        <f t="shared" si="5"/>
        <v/>
      </c>
      <c r="M1792" s="7" t="str">
        <f>IFERROR(__xludf.DUMMYFUNCTION("IFERROR(
  IF(
    F1792 &gt;
    3*AVERAGE(
       FILTER($F$2:$F10491,
         $G$2:$G10491=G1792,
         $A$2:$A10491&gt;=A1792-20,
         $A$2:$A10491&lt;=A1792
       )
    ),
    ""VOL_SPIKE_3X"",""""
  ),
"""")
"),"")</f>
        <v/>
      </c>
      <c r="N1792" s="7" t="str">
        <f t="shared" si="6"/>
        <v/>
      </c>
      <c r="O1792" s="7" t="str">
        <f t="shared" si="7"/>
        <v/>
      </c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>
      <c r="A1793" s="5">
        <f>IFERROR(__xludf.DUMMYFUNCTION("""COMPUTED_VALUE"""),45818.0)</f>
        <v>45818</v>
      </c>
      <c r="B1793" s="6">
        <f>IFERROR(__xludf.DUMMYFUNCTION("""COMPUTED_VALUE"""),321.2)</f>
        <v>321.2</v>
      </c>
      <c r="C1793" s="6">
        <f>IFERROR(__xludf.DUMMYFUNCTION("""COMPUTED_VALUE"""),324.7)</f>
        <v>324.7</v>
      </c>
      <c r="D1793" s="6">
        <f>IFERROR(__xludf.DUMMYFUNCTION("""COMPUTED_VALUE"""),319.4)</f>
        <v>319.4</v>
      </c>
      <c r="E1793" s="6">
        <f>IFERROR(__xludf.DUMMYFUNCTION("""COMPUTED_VALUE"""),320.1)</f>
        <v>320.1</v>
      </c>
      <c r="F1793" s="7">
        <f>IFERROR(__xludf.DUMMYFUNCTION("""COMPUTED_VALUE"""),6489933.0)</f>
        <v>6489933</v>
      </c>
      <c r="G1793" s="7" t="str">
        <f>IFERROR(__xludf.DUMMYFUNCTION("""COMPUTED_VALUE"""),"BPCL.NS")</f>
        <v>BPCL.NS</v>
      </c>
      <c r="H1793" s="8">
        <f t="shared" si="1"/>
        <v>-0.003424657534</v>
      </c>
      <c r="I1793" s="8">
        <f t="shared" si="2"/>
        <v>0.003424657534</v>
      </c>
      <c r="J1793" s="7" t="str">
        <f t="shared" si="3"/>
        <v>Jun-2025</v>
      </c>
      <c r="K1793" s="9">
        <f t="shared" si="4"/>
        <v>45809</v>
      </c>
      <c r="L1793" s="7" t="str">
        <f t="shared" si="5"/>
        <v/>
      </c>
      <c r="M1793" s="7" t="str">
        <f>IFERROR(__xludf.DUMMYFUNCTION("IFERROR(
  IF(
    F1793 &gt;
    3*AVERAGE(
       FILTER($F$2:$F10491,
         $G$2:$G10491=G1793,
         $A$2:$A10491&gt;=A1793-20,
         $A$2:$A10491&lt;=A1793
       )
    ),
    ""VOL_SPIKE_3X"",""""
  ),
"""")
"),"")</f>
        <v/>
      </c>
      <c r="N1793" s="7" t="str">
        <f t="shared" si="6"/>
        <v/>
      </c>
      <c r="O1793" s="7" t="str">
        <f t="shared" si="7"/>
        <v/>
      </c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>
      <c r="A1794" s="5">
        <f>IFERROR(__xludf.DUMMYFUNCTION("""COMPUTED_VALUE"""),45818.0)</f>
        <v>45818</v>
      </c>
      <c r="B1794" s="6">
        <f>IFERROR(__xludf.DUMMYFUNCTION("""COMPUTED_VALUE"""),403.0)</f>
        <v>403</v>
      </c>
      <c r="C1794" s="6">
        <f>IFERROR(__xludf.DUMMYFUNCTION("""COMPUTED_VALUE"""),404.5)</f>
        <v>404.5</v>
      </c>
      <c r="D1794" s="6">
        <f>IFERROR(__xludf.DUMMYFUNCTION("""COMPUTED_VALUE"""),398.85)</f>
        <v>398.85</v>
      </c>
      <c r="E1794" s="6">
        <f>IFERROR(__xludf.DUMMYFUNCTION("""COMPUTED_VALUE"""),399.55)</f>
        <v>399.55</v>
      </c>
      <c r="F1794" s="7">
        <f>IFERROR(__xludf.DUMMYFUNCTION("""COMPUTED_VALUE"""),6362912.0)</f>
        <v>6362912</v>
      </c>
      <c r="G1794" s="7" t="str">
        <f>IFERROR(__xludf.DUMMYFUNCTION("""COMPUTED_VALUE"""),"COALINDIA.NS")</f>
        <v>COALINDIA.NS</v>
      </c>
      <c r="H1794" s="8">
        <f t="shared" si="1"/>
        <v>-0.008560794045</v>
      </c>
      <c r="I1794" s="8">
        <f t="shared" si="2"/>
        <v>0.008560794045</v>
      </c>
      <c r="J1794" s="7" t="str">
        <f t="shared" si="3"/>
        <v>Jun-2025</v>
      </c>
      <c r="K1794" s="9">
        <f t="shared" si="4"/>
        <v>45809</v>
      </c>
      <c r="L1794" s="7" t="str">
        <f t="shared" si="5"/>
        <v/>
      </c>
      <c r="M1794" s="7" t="str">
        <f>IFERROR(__xludf.DUMMYFUNCTION("IFERROR(
  IF(
    F1794 &gt;
    3*AVERAGE(
       FILTER($F$2:$F10491,
         $G$2:$G10491=G1794,
         $A$2:$A10491&gt;=A1794-20,
         $A$2:$A10491&lt;=A1794
       )
    ),
    ""VOL_SPIKE_3X"",""""
  ),
"""")
"),"")</f>
        <v/>
      </c>
      <c r="N1794" s="7" t="str">
        <f t="shared" si="6"/>
        <v/>
      </c>
      <c r="O1794" s="7" t="str">
        <f t="shared" si="7"/>
        <v/>
      </c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>
      <c r="A1795" s="5">
        <f>IFERROR(__xludf.DUMMYFUNCTION("""COMPUTED_VALUE"""),45818.0)</f>
        <v>45818</v>
      </c>
      <c r="B1795" s="6">
        <f>IFERROR(__xludf.DUMMYFUNCTION("""COMPUTED_VALUE"""),409.1)</f>
        <v>409.1</v>
      </c>
      <c r="C1795" s="6">
        <f>IFERROR(__xludf.DUMMYFUNCTION("""COMPUTED_VALUE"""),409.9)</f>
        <v>409.9</v>
      </c>
      <c r="D1795" s="6">
        <f>IFERROR(__xludf.DUMMYFUNCTION("""COMPUTED_VALUE"""),404.1)</f>
        <v>404.1</v>
      </c>
      <c r="E1795" s="6">
        <f>IFERROR(__xludf.DUMMYFUNCTION("""COMPUTED_VALUE"""),405.1)</f>
        <v>405.1</v>
      </c>
      <c r="F1795" s="7">
        <f>IFERROR(__xludf.DUMMYFUNCTION("""COMPUTED_VALUE"""),2079819.0)</f>
        <v>2079819</v>
      </c>
      <c r="G1795" s="7" t="str">
        <f>IFERROR(__xludf.DUMMYFUNCTION("""COMPUTED_VALUE"""),"HINDPETRO.NS")</f>
        <v>HINDPETRO.NS</v>
      </c>
      <c r="H1795" s="8">
        <f t="shared" si="1"/>
        <v>-0.009777560499</v>
      </c>
      <c r="I1795" s="8">
        <f t="shared" si="2"/>
        <v>0.009777560499</v>
      </c>
      <c r="J1795" s="7" t="str">
        <f t="shared" si="3"/>
        <v>Jun-2025</v>
      </c>
      <c r="K1795" s="9">
        <f t="shared" si="4"/>
        <v>45809</v>
      </c>
      <c r="L1795" s="7" t="str">
        <f t="shared" si="5"/>
        <v/>
      </c>
      <c r="M1795" s="7" t="str">
        <f>IFERROR(__xludf.DUMMYFUNCTION("IFERROR(
  IF(
    F1795 &gt;
    3*AVERAGE(
       FILTER($F$2:$F10491,
         $G$2:$G10491=G1795,
         $A$2:$A10491&gt;=A1795-20,
         $A$2:$A10491&lt;=A1795
       )
    ),
    ""VOL_SPIKE_3X"",""""
  ),
"""")
"),"")</f>
        <v/>
      </c>
      <c r="N1795" s="7" t="str">
        <f t="shared" si="6"/>
        <v/>
      </c>
      <c r="O1795" s="7" t="str">
        <f t="shared" si="7"/>
        <v/>
      </c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>
      <c r="A1796" s="5">
        <f>IFERROR(__xludf.DUMMYFUNCTION("""COMPUTED_VALUE"""),45818.0)</f>
        <v>45818</v>
      </c>
      <c r="B1796" s="6">
        <f>IFERROR(__xludf.DUMMYFUNCTION("""COMPUTED_VALUE"""),143.15)</f>
        <v>143.15</v>
      </c>
      <c r="C1796" s="6">
        <f>IFERROR(__xludf.DUMMYFUNCTION("""COMPUTED_VALUE"""),143.4)</f>
        <v>143.4</v>
      </c>
      <c r="D1796" s="6">
        <f>IFERROR(__xludf.DUMMYFUNCTION("""COMPUTED_VALUE"""),142.0)</f>
        <v>142</v>
      </c>
      <c r="E1796" s="6">
        <f>IFERROR(__xludf.DUMMYFUNCTION("""COMPUTED_VALUE"""),142.19)</f>
        <v>142.19</v>
      </c>
      <c r="F1796" s="7">
        <f>IFERROR(__xludf.DUMMYFUNCTION("""COMPUTED_VALUE"""),7906157.0)</f>
        <v>7906157</v>
      </c>
      <c r="G1796" s="7" t="str">
        <f>IFERROR(__xludf.DUMMYFUNCTION("""COMPUTED_VALUE"""),"IOC.NS")</f>
        <v>IOC.NS</v>
      </c>
      <c r="H1796" s="8">
        <f t="shared" si="1"/>
        <v>-0.006706252183</v>
      </c>
      <c r="I1796" s="8">
        <f t="shared" si="2"/>
        <v>0.006706252183</v>
      </c>
      <c r="J1796" s="7" t="str">
        <f t="shared" si="3"/>
        <v>Jun-2025</v>
      </c>
      <c r="K1796" s="9">
        <f t="shared" si="4"/>
        <v>45809</v>
      </c>
      <c r="L1796" s="7" t="str">
        <f t="shared" si="5"/>
        <v/>
      </c>
      <c r="M1796" s="7" t="str">
        <f>IFERROR(__xludf.DUMMYFUNCTION("IFERROR(
  IF(
    F1796 &gt;
    3*AVERAGE(
       FILTER($F$2:$F10491,
         $G$2:$G10491=G1796,
         $A$2:$A10491&gt;=A1796-20,
         $A$2:$A10491&lt;=A1796
       )
    ),
    ""VOL_SPIKE_3X"",""""
  ),
"""")
"),"")</f>
        <v/>
      </c>
      <c r="N1796" s="7" t="str">
        <f t="shared" si="6"/>
        <v/>
      </c>
      <c r="O1796" s="7" t="str">
        <f t="shared" si="7"/>
        <v/>
      </c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>
      <c r="A1797" s="5">
        <f>IFERROR(__xludf.DUMMYFUNCTION("""COMPUTED_VALUE"""),45818.0)</f>
        <v>45818</v>
      </c>
      <c r="B1797" s="6">
        <f>IFERROR(__xludf.DUMMYFUNCTION("""COMPUTED_VALUE"""),338.8)</f>
        <v>338.8</v>
      </c>
      <c r="C1797" s="6">
        <f>IFERROR(__xludf.DUMMYFUNCTION("""COMPUTED_VALUE"""),340.9)</f>
        <v>340.9</v>
      </c>
      <c r="D1797" s="6">
        <f>IFERROR(__xludf.DUMMYFUNCTION("""COMPUTED_VALUE"""),336.8)</f>
        <v>336.8</v>
      </c>
      <c r="E1797" s="6">
        <f>IFERROR(__xludf.DUMMYFUNCTION("""COMPUTED_VALUE"""),339.2)</f>
        <v>339.2</v>
      </c>
      <c r="F1797" s="7">
        <f>IFERROR(__xludf.DUMMYFUNCTION("""COMPUTED_VALUE"""),1.2061248E7)</f>
        <v>12061248</v>
      </c>
      <c r="G1797" s="7" t="str">
        <f>IFERROR(__xludf.DUMMYFUNCTION("""COMPUTED_VALUE"""),"NTPC.NS")</f>
        <v>NTPC.NS</v>
      </c>
      <c r="H1797" s="8">
        <f t="shared" si="1"/>
        <v>0.001180637544</v>
      </c>
      <c r="I1797" s="8">
        <f t="shared" si="2"/>
        <v>0.001180637544</v>
      </c>
      <c r="J1797" s="7" t="str">
        <f t="shared" si="3"/>
        <v>Jun-2025</v>
      </c>
      <c r="K1797" s="9">
        <f t="shared" si="4"/>
        <v>45809</v>
      </c>
      <c r="L1797" s="7" t="str">
        <f t="shared" si="5"/>
        <v/>
      </c>
      <c r="M1797" s="7" t="str">
        <f>IFERROR(__xludf.DUMMYFUNCTION("IFERROR(
  IF(
    F1797 &gt;
    3*AVERAGE(
       FILTER($F$2:$F10491,
         $G$2:$G10491=G1797,
         $A$2:$A10491&gt;=A1797-20,
         $A$2:$A10491&lt;=A1797
       )
    ),
    ""VOL_SPIKE_3X"",""""
  ),
"""")
"),"")</f>
        <v/>
      </c>
      <c r="N1797" s="7" t="str">
        <f t="shared" si="6"/>
        <v/>
      </c>
      <c r="O1797" s="7" t="str">
        <f t="shared" si="7"/>
        <v/>
      </c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>
      <c r="A1798" s="5">
        <f>IFERROR(__xludf.DUMMYFUNCTION("""COMPUTED_VALUE"""),45818.0)</f>
        <v>45818</v>
      </c>
      <c r="B1798" s="6">
        <f>IFERROR(__xludf.DUMMYFUNCTION("""COMPUTED_VALUE"""),244.25)</f>
        <v>244.25</v>
      </c>
      <c r="C1798" s="6">
        <f>IFERROR(__xludf.DUMMYFUNCTION("""COMPUTED_VALUE"""),245.0)</f>
        <v>245</v>
      </c>
      <c r="D1798" s="6">
        <f>IFERROR(__xludf.DUMMYFUNCTION("""COMPUTED_VALUE"""),242.59)</f>
        <v>242.59</v>
      </c>
      <c r="E1798" s="6">
        <f>IFERROR(__xludf.DUMMYFUNCTION("""COMPUTED_VALUE"""),244.68)</f>
        <v>244.68</v>
      </c>
      <c r="F1798" s="7">
        <f>IFERROR(__xludf.DUMMYFUNCTION("""COMPUTED_VALUE"""),7659657.0)</f>
        <v>7659657</v>
      </c>
      <c r="G1798" s="7" t="str">
        <f>IFERROR(__xludf.DUMMYFUNCTION("""COMPUTED_VALUE"""),"ONGC.NS")</f>
        <v>ONGC.NS</v>
      </c>
      <c r="H1798" s="8">
        <f t="shared" si="1"/>
        <v>0.0017604913</v>
      </c>
      <c r="I1798" s="8">
        <f t="shared" si="2"/>
        <v>0.0017604913</v>
      </c>
      <c r="J1798" s="7" t="str">
        <f t="shared" si="3"/>
        <v>Jun-2025</v>
      </c>
      <c r="K1798" s="9">
        <f t="shared" si="4"/>
        <v>45809</v>
      </c>
      <c r="L1798" s="7" t="str">
        <f t="shared" si="5"/>
        <v/>
      </c>
      <c r="M1798" s="7" t="str">
        <f>IFERROR(__xludf.DUMMYFUNCTION("IFERROR(
  IF(
    F1798 &gt;
    3*AVERAGE(
       FILTER($F$2:$F10491,
         $G$2:$G10491=G1798,
         $A$2:$A10491&gt;=A1798-20,
         $A$2:$A10491&lt;=A1798
       )
    ),
    ""VOL_SPIKE_3X"",""""
  ),
"""")
"),"")</f>
        <v/>
      </c>
      <c r="N1798" s="7" t="str">
        <f t="shared" si="6"/>
        <v/>
      </c>
      <c r="O1798" s="7" t="str">
        <f t="shared" si="7"/>
        <v/>
      </c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>
      <c r="A1799" s="5">
        <f>IFERROR(__xludf.DUMMYFUNCTION("""COMPUTED_VALUE"""),45818.0)</f>
        <v>45818</v>
      </c>
      <c r="B1799" s="6">
        <f>IFERROR(__xludf.DUMMYFUNCTION("""COMPUTED_VALUE"""),300.55)</f>
        <v>300.55</v>
      </c>
      <c r="C1799" s="6">
        <f>IFERROR(__xludf.DUMMYFUNCTION("""COMPUTED_VALUE"""),301.8)</f>
        <v>301.8</v>
      </c>
      <c r="D1799" s="6">
        <f>IFERROR(__xludf.DUMMYFUNCTION("""COMPUTED_VALUE"""),298.25)</f>
        <v>298.25</v>
      </c>
      <c r="E1799" s="6">
        <f>IFERROR(__xludf.DUMMYFUNCTION("""COMPUTED_VALUE"""),301.05)</f>
        <v>301.05</v>
      </c>
      <c r="F1799" s="7">
        <f>IFERROR(__xludf.DUMMYFUNCTION("""COMPUTED_VALUE"""),7273892.0)</f>
        <v>7273892</v>
      </c>
      <c r="G1799" s="7" t="str">
        <f>IFERROR(__xludf.DUMMYFUNCTION("""COMPUTED_VALUE"""),"POWERGRID.NS")</f>
        <v>POWERGRID.NS</v>
      </c>
      <c r="H1799" s="8">
        <f t="shared" si="1"/>
        <v>0.001663616703</v>
      </c>
      <c r="I1799" s="8">
        <f t="shared" si="2"/>
        <v>0.001663616703</v>
      </c>
      <c r="J1799" s="7" t="str">
        <f t="shared" si="3"/>
        <v>Jun-2025</v>
      </c>
      <c r="K1799" s="9">
        <f t="shared" si="4"/>
        <v>45809</v>
      </c>
      <c r="L1799" s="7" t="str">
        <f t="shared" si="5"/>
        <v/>
      </c>
      <c r="M1799" s="7" t="str">
        <f>IFERROR(__xludf.DUMMYFUNCTION("IFERROR(
  IF(
    F1799 &gt;
    3*AVERAGE(
       FILTER($F$2:$F10491,
         $G$2:$G10491=G1799,
         $A$2:$A10491&gt;=A1799-20,
         $A$2:$A10491&lt;=A1799
       )
    ),
    ""VOL_SPIKE_3X"",""""
  ),
"""")
"),"")</f>
        <v/>
      </c>
      <c r="N1799" s="7" t="str">
        <f t="shared" si="6"/>
        <v/>
      </c>
      <c r="O1799" s="7" t="str">
        <f t="shared" si="7"/>
        <v/>
      </c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>
      <c r="A1800" s="5">
        <f>IFERROR(__xludf.DUMMYFUNCTION("""COMPUTED_VALUE"""),45818.0)</f>
        <v>45818</v>
      </c>
      <c r="B1800" s="6">
        <f>IFERROR(__xludf.DUMMYFUNCTION("""COMPUTED_VALUE"""),1450.0)</f>
        <v>1450</v>
      </c>
      <c r="C1800" s="6">
        <f>IFERROR(__xludf.DUMMYFUNCTION("""COMPUTED_VALUE"""),1453.9)</f>
        <v>1453.9</v>
      </c>
      <c r="D1800" s="6">
        <f>IFERROR(__xludf.DUMMYFUNCTION("""COMPUTED_VALUE"""),1436.0)</f>
        <v>1436</v>
      </c>
      <c r="E1800" s="6">
        <f>IFERROR(__xludf.DUMMYFUNCTION("""COMPUTED_VALUE"""),1438.5)</f>
        <v>1438.5</v>
      </c>
      <c r="F1800" s="7">
        <f>IFERROR(__xludf.DUMMYFUNCTION("""COMPUTED_VALUE"""),7913181.0)</f>
        <v>7913181</v>
      </c>
      <c r="G1800" s="7" t="str">
        <f>IFERROR(__xludf.DUMMYFUNCTION("""COMPUTED_VALUE"""),"RELIANCE.NS")</f>
        <v>RELIANCE.NS</v>
      </c>
      <c r="H1800" s="8">
        <f t="shared" si="1"/>
        <v>-0.007931034483</v>
      </c>
      <c r="I1800" s="8">
        <f t="shared" si="2"/>
        <v>0.007931034483</v>
      </c>
      <c r="J1800" s="7" t="str">
        <f t="shared" si="3"/>
        <v>Jun-2025</v>
      </c>
      <c r="K1800" s="9">
        <f t="shared" si="4"/>
        <v>45809</v>
      </c>
      <c r="L1800" s="7" t="str">
        <f t="shared" si="5"/>
        <v/>
      </c>
      <c r="M1800" s="7" t="str">
        <f>IFERROR(__xludf.DUMMYFUNCTION("IFERROR(
  IF(
    F1800 &gt;
    3*AVERAGE(
       FILTER($F$2:$F10491,
         $G$2:$G10491=G1800,
         $A$2:$A10491&gt;=A1800-20,
         $A$2:$A10491&lt;=A1800
       )
    ),
    ""VOL_SPIKE_3X"",""""
  ),
"""")
"),"")</f>
        <v/>
      </c>
      <c r="N1800" s="7" t="str">
        <f t="shared" si="6"/>
        <v/>
      </c>
      <c r="O1800" s="7" t="str">
        <f t="shared" si="7"/>
        <v/>
      </c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>
      <c r="A1801" s="5">
        <f>IFERROR(__xludf.DUMMYFUNCTION("""COMPUTED_VALUE"""),45819.0)</f>
        <v>45819</v>
      </c>
      <c r="B1801" s="6">
        <f>IFERROR(__xludf.DUMMYFUNCTION("""COMPUTED_VALUE"""),919.85)</f>
        <v>919.85</v>
      </c>
      <c r="C1801" s="6">
        <f>IFERROR(__xludf.DUMMYFUNCTION("""COMPUTED_VALUE"""),924.35)</f>
        <v>924.35</v>
      </c>
      <c r="D1801" s="6">
        <f>IFERROR(__xludf.DUMMYFUNCTION("""COMPUTED_VALUE"""),895.0)</f>
        <v>895</v>
      </c>
      <c r="E1801" s="6">
        <f>IFERROR(__xludf.DUMMYFUNCTION("""COMPUTED_VALUE"""),904.5)</f>
        <v>904.5</v>
      </c>
      <c r="F1801" s="7">
        <f>IFERROR(__xludf.DUMMYFUNCTION("""COMPUTED_VALUE"""),5473555.0)</f>
        <v>5473555</v>
      </c>
      <c r="G1801" s="7" t="str">
        <f>IFERROR(__xludf.DUMMYFUNCTION("""COMPUTED_VALUE"""),"ADANIENSOL.NS")</f>
        <v>ADANIENSOL.NS</v>
      </c>
      <c r="H1801" s="8">
        <f t="shared" si="1"/>
        <v>-0.0166875034</v>
      </c>
      <c r="I1801" s="8">
        <f t="shared" si="2"/>
        <v>0.0166875034</v>
      </c>
      <c r="J1801" s="7" t="str">
        <f t="shared" si="3"/>
        <v>Jun-2025</v>
      </c>
      <c r="K1801" s="9">
        <f t="shared" si="4"/>
        <v>45809</v>
      </c>
      <c r="L1801" s="7" t="str">
        <f t="shared" si="5"/>
        <v/>
      </c>
      <c r="M1801" s="7" t="str">
        <f>IFERROR(__xludf.DUMMYFUNCTION("IFERROR(
  IF(
    F1801 &gt;
    3*AVERAGE(
       FILTER($F$2:$F10491,
         $G$2:$G10491=G1801,
         $A$2:$A10491&gt;=A1801-20,
         $A$2:$A10491&lt;=A1801
       )
    ),
    ""VOL_SPIKE_3X"",""""
  ),
"""")
"),"")</f>
        <v/>
      </c>
      <c r="N1801" s="7" t="str">
        <f t="shared" si="6"/>
        <v/>
      </c>
      <c r="O1801" s="7" t="str">
        <f t="shared" si="7"/>
        <v/>
      </c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>
      <c r="A1802" s="5">
        <f>IFERROR(__xludf.DUMMYFUNCTION("""COMPUTED_VALUE"""),45819.0)</f>
        <v>45819</v>
      </c>
      <c r="B1802" s="6">
        <f>IFERROR(__xludf.DUMMYFUNCTION("""COMPUTED_VALUE"""),1066.0)</f>
        <v>1066</v>
      </c>
      <c r="C1802" s="6">
        <f>IFERROR(__xludf.DUMMYFUNCTION("""COMPUTED_VALUE"""),1070.0)</f>
        <v>1070</v>
      </c>
      <c r="D1802" s="6">
        <f>IFERROR(__xludf.DUMMYFUNCTION("""COMPUTED_VALUE"""),1033.3)</f>
        <v>1033.3</v>
      </c>
      <c r="E1802" s="6">
        <f>IFERROR(__xludf.DUMMYFUNCTION("""COMPUTED_VALUE"""),1046.8)</f>
        <v>1046.8</v>
      </c>
      <c r="F1802" s="7">
        <f>IFERROR(__xludf.DUMMYFUNCTION("""COMPUTED_VALUE"""),2515373.0)</f>
        <v>2515373</v>
      </c>
      <c r="G1802" s="7" t="str">
        <f>IFERROR(__xludf.DUMMYFUNCTION("""COMPUTED_VALUE"""),"ADANIGREEN.NS")</f>
        <v>ADANIGREEN.NS</v>
      </c>
      <c r="H1802" s="8">
        <f t="shared" si="1"/>
        <v>-0.01801125704</v>
      </c>
      <c r="I1802" s="8">
        <f t="shared" si="2"/>
        <v>0.01801125704</v>
      </c>
      <c r="J1802" s="7" t="str">
        <f t="shared" si="3"/>
        <v>Jun-2025</v>
      </c>
      <c r="K1802" s="9">
        <f t="shared" si="4"/>
        <v>45809</v>
      </c>
      <c r="L1802" s="7" t="str">
        <f t="shared" si="5"/>
        <v/>
      </c>
      <c r="M1802" s="7" t="str">
        <f>IFERROR(__xludf.DUMMYFUNCTION("IFERROR(
  IF(
    F1802 &gt;
    3*AVERAGE(
       FILTER($F$2:$F10491,
         $G$2:$G10491=G1802,
         $A$2:$A10491&gt;=A1802-20,
         $A$2:$A10491&lt;=A1802
       )
    ),
    ""VOL_SPIKE_3X"",""""
  ),
"""")
"),"")</f>
        <v/>
      </c>
      <c r="N1802" s="7" t="str">
        <f t="shared" si="6"/>
        <v/>
      </c>
      <c r="O1802" s="7" t="str">
        <f t="shared" si="7"/>
        <v/>
      </c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>
      <c r="A1803" s="5">
        <f>IFERROR(__xludf.DUMMYFUNCTION("""COMPUTED_VALUE"""),45819.0)</f>
        <v>45819</v>
      </c>
      <c r="B1803" s="6">
        <f>IFERROR(__xludf.DUMMYFUNCTION("""COMPUTED_VALUE"""),320.3)</f>
        <v>320.3</v>
      </c>
      <c r="C1803" s="6">
        <f>IFERROR(__xludf.DUMMYFUNCTION("""COMPUTED_VALUE"""),334.5)</f>
        <v>334.5</v>
      </c>
      <c r="D1803" s="6">
        <f>IFERROR(__xludf.DUMMYFUNCTION("""COMPUTED_VALUE"""),320.3)</f>
        <v>320.3</v>
      </c>
      <c r="E1803" s="6">
        <f>IFERROR(__xludf.DUMMYFUNCTION("""COMPUTED_VALUE"""),333.85)</f>
        <v>333.85</v>
      </c>
      <c r="F1803" s="7">
        <f>IFERROR(__xludf.DUMMYFUNCTION("""COMPUTED_VALUE"""),2.1739121E7)</f>
        <v>21739121</v>
      </c>
      <c r="G1803" s="7" t="str">
        <f>IFERROR(__xludf.DUMMYFUNCTION("""COMPUTED_VALUE"""),"BPCL.NS")</f>
        <v>BPCL.NS</v>
      </c>
      <c r="H1803" s="8">
        <f t="shared" si="1"/>
        <v>0.04230408992</v>
      </c>
      <c r="I1803" s="8">
        <f t="shared" si="2"/>
        <v>0.04230408992</v>
      </c>
      <c r="J1803" s="7" t="str">
        <f t="shared" si="3"/>
        <v>Jun-2025</v>
      </c>
      <c r="K1803" s="9">
        <f t="shared" si="4"/>
        <v>45809</v>
      </c>
      <c r="L1803" s="7" t="str">
        <f t="shared" si="5"/>
        <v/>
      </c>
      <c r="M1803" s="7" t="str">
        <f>IFERROR(__xludf.DUMMYFUNCTION("IFERROR(
  IF(
    F1803 &gt;
    3*AVERAGE(
       FILTER($F$2:$F10491,
         $G$2:$G10491=G1803,
         $A$2:$A10491&gt;=A1803-20,
         $A$2:$A10491&lt;=A1803
       )
    ),
    ""VOL_SPIKE_3X"",""""
  ),
"""")
"),"VOL_SPIKE_3X")</f>
        <v>VOL_SPIKE_3X</v>
      </c>
      <c r="N1803" s="7" t="str">
        <f t="shared" si="6"/>
        <v>VOL_SPIKE_3X</v>
      </c>
      <c r="O1803" s="7" t="str">
        <f t="shared" si="7"/>
        <v/>
      </c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>
      <c r="A1804" s="5">
        <f>IFERROR(__xludf.DUMMYFUNCTION("""COMPUTED_VALUE"""),45819.0)</f>
        <v>45819</v>
      </c>
      <c r="B1804" s="6">
        <f>IFERROR(__xludf.DUMMYFUNCTION("""COMPUTED_VALUE"""),400.1)</f>
        <v>400.1</v>
      </c>
      <c r="C1804" s="6">
        <f>IFERROR(__xludf.DUMMYFUNCTION("""COMPUTED_VALUE"""),409.5)</f>
        <v>409.5</v>
      </c>
      <c r="D1804" s="6">
        <f>IFERROR(__xludf.DUMMYFUNCTION("""COMPUTED_VALUE"""),398.4)</f>
        <v>398.4</v>
      </c>
      <c r="E1804" s="6">
        <f>IFERROR(__xludf.DUMMYFUNCTION("""COMPUTED_VALUE"""),402.1)</f>
        <v>402.1</v>
      </c>
      <c r="F1804" s="7">
        <f>IFERROR(__xludf.DUMMYFUNCTION("""COMPUTED_VALUE"""),1.1946342E7)</f>
        <v>11946342</v>
      </c>
      <c r="G1804" s="7" t="str">
        <f>IFERROR(__xludf.DUMMYFUNCTION("""COMPUTED_VALUE"""),"COALINDIA.NS")</f>
        <v>COALINDIA.NS</v>
      </c>
      <c r="H1804" s="8">
        <f t="shared" si="1"/>
        <v>0.004998750312</v>
      </c>
      <c r="I1804" s="8">
        <f t="shared" si="2"/>
        <v>0.004998750312</v>
      </c>
      <c r="J1804" s="7" t="str">
        <f t="shared" si="3"/>
        <v>Jun-2025</v>
      </c>
      <c r="K1804" s="9">
        <f t="shared" si="4"/>
        <v>45809</v>
      </c>
      <c r="L1804" s="7" t="str">
        <f t="shared" si="5"/>
        <v/>
      </c>
      <c r="M1804" s="7" t="str">
        <f>IFERROR(__xludf.DUMMYFUNCTION("IFERROR(
  IF(
    F1804 &gt;
    3*AVERAGE(
       FILTER($F$2:$F10491,
         $G$2:$G10491=G1804,
         $A$2:$A10491&gt;=A1804-20,
         $A$2:$A10491&lt;=A1804
       )
    ),
    ""VOL_SPIKE_3X"",""""
  ),
"""")
"),"")</f>
        <v/>
      </c>
      <c r="N1804" s="7" t="str">
        <f t="shared" si="6"/>
        <v/>
      </c>
      <c r="O1804" s="7" t="str">
        <f t="shared" si="7"/>
        <v/>
      </c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>
      <c r="A1805" s="5">
        <f>IFERROR(__xludf.DUMMYFUNCTION("""COMPUTED_VALUE"""),45819.0)</f>
        <v>45819</v>
      </c>
      <c r="B1805" s="6">
        <f>IFERROR(__xludf.DUMMYFUNCTION("""COMPUTED_VALUE"""),406.65)</f>
        <v>406.65</v>
      </c>
      <c r="C1805" s="6">
        <f>IFERROR(__xludf.DUMMYFUNCTION("""COMPUTED_VALUE"""),423.0)</f>
        <v>423</v>
      </c>
      <c r="D1805" s="6">
        <f>IFERROR(__xludf.DUMMYFUNCTION("""COMPUTED_VALUE"""),406.05)</f>
        <v>406.05</v>
      </c>
      <c r="E1805" s="6">
        <f>IFERROR(__xludf.DUMMYFUNCTION("""COMPUTED_VALUE"""),414.85)</f>
        <v>414.85</v>
      </c>
      <c r="F1805" s="7">
        <f>IFERROR(__xludf.DUMMYFUNCTION("""COMPUTED_VALUE"""),8990781.0)</f>
        <v>8990781</v>
      </c>
      <c r="G1805" s="7" t="str">
        <f>IFERROR(__xludf.DUMMYFUNCTION("""COMPUTED_VALUE"""),"HINDPETRO.NS")</f>
        <v>HINDPETRO.NS</v>
      </c>
      <c r="H1805" s="8">
        <f t="shared" si="1"/>
        <v>0.02016476085</v>
      </c>
      <c r="I1805" s="8">
        <f t="shared" si="2"/>
        <v>0.02016476085</v>
      </c>
      <c r="J1805" s="7" t="str">
        <f t="shared" si="3"/>
        <v>Jun-2025</v>
      </c>
      <c r="K1805" s="9">
        <f t="shared" si="4"/>
        <v>45809</v>
      </c>
      <c r="L1805" s="7" t="str">
        <f t="shared" si="5"/>
        <v/>
      </c>
      <c r="M1805" s="7" t="str">
        <f>IFERROR(__xludf.DUMMYFUNCTION("IFERROR(
  IF(
    F1805 &gt;
    3*AVERAGE(
       FILTER($F$2:$F10491,
         $G$2:$G10491=G1805,
         $A$2:$A10491&gt;=A1805-20,
         $A$2:$A10491&lt;=A1805
       )
    ),
    ""VOL_SPIKE_3X"",""""
  ),
"""")
"),"")</f>
        <v/>
      </c>
      <c r="N1805" s="7" t="str">
        <f t="shared" si="6"/>
        <v/>
      </c>
      <c r="O1805" s="7" t="str">
        <f t="shared" si="7"/>
        <v/>
      </c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>
      <c r="A1806" s="5">
        <f>IFERROR(__xludf.DUMMYFUNCTION("""COMPUTED_VALUE"""),45819.0)</f>
        <v>45819</v>
      </c>
      <c r="B1806" s="6">
        <f>IFERROR(__xludf.DUMMYFUNCTION("""COMPUTED_VALUE"""),142.4)</f>
        <v>142.4</v>
      </c>
      <c r="C1806" s="6">
        <f>IFERROR(__xludf.DUMMYFUNCTION("""COMPUTED_VALUE"""),147.2)</f>
        <v>147.2</v>
      </c>
      <c r="D1806" s="6">
        <f>IFERROR(__xludf.DUMMYFUNCTION("""COMPUTED_VALUE"""),142.19)</f>
        <v>142.19</v>
      </c>
      <c r="E1806" s="6">
        <f>IFERROR(__xludf.DUMMYFUNCTION("""COMPUTED_VALUE"""),145.15)</f>
        <v>145.15</v>
      </c>
      <c r="F1806" s="7">
        <f>IFERROR(__xludf.DUMMYFUNCTION("""COMPUTED_VALUE"""),2.865244E7)</f>
        <v>28652440</v>
      </c>
      <c r="G1806" s="7" t="str">
        <f>IFERROR(__xludf.DUMMYFUNCTION("""COMPUTED_VALUE"""),"IOC.NS")</f>
        <v>IOC.NS</v>
      </c>
      <c r="H1806" s="8">
        <f t="shared" si="1"/>
        <v>0.01931179775</v>
      </c>
      <c r="I1806" s="8">
        <f t="shared" si="2"/>
        <v>0.01931179775</v>
      </c>
      <c r="J1806" s="7" t="str">
        <f t="shared" si="3"/>
        <v>Jun-2025</v>
      </c>
      <c r="K1806" s="9">
        <f t="shared" si="4"/>
        <v>45809</v>
      </c>
      <c r="L1806" s="7" t="str">
        <f t="shared" si="5"/>
        <v/>
      </c>
      <c r="M1806" s="7" t="str">
        <f>IFERROR(__xludf.DUMMYFUNCTION("IFERROR(
  IF(
    F1806 &gt;
    3*AVERAGE(
       FILTER($F$2:$F10491,
         $G$2:$G10491=G1806,
         $A$2:$A10491&gt;=A1806-20,
         $A$2:$A10491&lt;=A1806
       )
    ),
    ""VOL_SPIKE_3X"",""""
  ),
"""")
"),"")</f>
        <v/>
      </c>
      <c r="N1806" s="7" t="str">
        <f t="shared" si="6"/>
        <v/>
      </c>
      <c r="O1806" s="7" t="str">
        <f t="shared" si="7"/>
        <v/>
      </c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>
      <c r="A1807" s="5">
        <f>IFERROR(__xludf.DUMMYFUNCTION("""COMPUTED_VALUE"""),45819.0)</f>
        <v>45819</v>
      </c>
      <c r="B1807" s="6">
        <f>IFERROR(__xludf.DUMMYFUNCTION("""COMPUTED_VALUE"""),341.0)</f>
        <v>341</v>
      </c>
      <c r="C1807" s="6">
        <f>IFERROR(__xludf.DUMMYFUNCTION("""COMPUTED_VALUE"""),342.6)</f>
        <v>342.6</v>
      </c>
      <c r="D1807" s="6">
        <f>IFERROR(__xludf.DUMMYFUNCTION("""COMPUTED_VALUE"""),337.45)</f>
        <v>337.45</v>
      </c>
      <c r="E1807" s="6">
        <f>IFERROR(__xludf.DUMMYFUNCTION("""COMPUTED_VALUE"""),338.1)</f>
        <v>338.1</v>
      </c>
      <c r="F1807" s="7">
        <f>IFERROR(__xludf.DUMMYFUNCTION("""COMPUTED_VALUE"""),1.0807496E7)</f>
        <v>10807496</v>
      </c>
      <c r="G1807" s="7" t="str">
        <f>IFERROR(__xludf.DUMMYFUNCTION("""COMPUTED_VALUE"""),"NTPC.NS")</f>
        <v>NTPC.NS</v>
      </c>
      <c r="H1807" s="8">
        <f t="shared" si="1"/>
        <v>-0.008504398827</v>
      </c>
      <c r="I1807" s="8">
        <f t="shared" si="2"/>
        <v>0.008504398827</v>
      </c>
      <c r="J1807" s="7" t="str">
        <f t="shared" si="3"/>
        <v>Jun-2025</v>
      </c>
      <c r="K1807" s="9">
        <f t="shared" si="4"/>
        <v>45809</v>
      </c>
      <c r="L1807" s="7" t="str">
        <f t="shared" si="5"/>
        <v/>
      </c>
      <c r="M1807" s="7" t="str">
        <f>IFERROR(__xludf.DUMMYFUNCTION("IFERROR(
  IF(
    F1807 &gt;
    3*AVERAGE(
       FILTER($F$2:$F10491,
         $G$2:$G10491=G1807,
         $A$2:$A10491&gt;=A1807-20,
         $A$2:$A10491&lt;=A1807
       )
    ),
    ""VOL_SPIKE_3X"",""""
  ),
"""")
"),"")</f>
        <v/>
      </c>
      <c r="N1807" s="7" t="str">
        <f t="shared" si="6"/>
        <v/>
      </c>
      <c r="O1807" s="7" t="str">
        <f t="shared" si="7"/>
        <v/>
      </c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>
      <c r="A1808" s="5">
        <f>IFERROR(__xludf.DUMMYFUNCTION("""COMPUTED_VALUE"""),45819.0)</f>
        <v>45819</v>
      </c>
      <c r="B1808" s="6">
        <f>IFERROR(__xludf.DUMMYFUNCTION("""COMPUTED_VALUE"""),244.5)</f>
        <v>244.5</v>
      </c>
      <c r="C1808" s="6">
        <f>IFERROR(__xludf.DUMMYFUNCTION("""COMPUTED_VALUE"""),250.4)</f>
        <v>250.4</v>
      </c>
      <c r="D1808" s="6">
        <f>IFERROR(__xludf.DUMMYFUNCTION("""COMPUTED_VALUE"""),243.55)</f>
        <v>243.55</v>
      </c>
      <c r="E1808" s="6">
        <f>IFERROR(__xludf.DUMMYFUNCTION("""COMPUTED_VALUE"""),247.32)</f>
        <v>247.32</v>
      </c>
      <c r="F1808" s="7">
        <f>IFERROR(__xludf.DUMMYFUNCTION("""COMPUTED_VALUE"""),2.0842417E7)</f>
        <v>20842417</v>
      </c>
      <c r="G1808" s="7" t="str">
        <f>IFERROR(__xludf.DUMMYFUNCTION("""COMPUTED_VALUE"""),"ONGC.NS")</f>
        <v>ONGC.NS</v>
      </c>
      <c r="H1808" s="8">
        <f t="shared" si="1"/>
        <v>0.01153374233</v>
      </c>
      <c r="I1808" s="8">
        <f t="shared" si="2"/>
        <v>0.01153374233</v>
      </c>
      <c r="J1808" s="7" t="str">
        <f t="shared" si="3"/>
        <v>Jun-2025</v>
      </c>
      <c r="K1808" s="9">
        <f t="shared" si="4"/>
        <v>45809</v>
      </c>
      <c r="L1808" s="7" t="str">
        <f t="shared" si="5"/>
        <v/>
      </c>
      <c r="M1808" s="7" t="str">
        <f>IFERROR(__xludf.DUMMYFUNCTION("IFERROR(
  IF(
    F1808 &gt;
    3*AVERAGE(
       FILTER($F$2:$F10491,
         $G$2:$G10491=G1808,
         $A$2:$A10491&gt;=A1808-20,
         $A$2:$A10491&lt;=A1808
       )
    ),
    ""VOL_SPIKE_3X"",""""
  ),
"""")
"),"")</f>
        <v/>
      </c>
      <c r="N1808" s="7" t="str">
        <f t="shared" si="6"/>
        <v/>
      </c>
      <c r="O1808" s="7" t="str">
        <f t="shared" si="7"/>
        <v/>
      </c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>
      <c r="A1809" s="5">
        <f>IFERROR(__xludf.DUMMYFUNCTION("""COMPUTED_VALUE"""),45819.0)</f>
        <v>45819</v>
      </c>
      <c r="B1809" s="6">
        <f>IFERROR(__xludf.DUMMYFUNCTION("""COMPUTED_VALUE"""),301.1)</f>
        <v>301.1</v>
      </c>
      <c r="C1809" s="6">
        <f>IFERROR(__xludf.DUMMYFUNCTION("""COMPUTED_VALUE"""),301.4)</f>
        <v>301.4</v>
      </c>
      <c r="D1809" s="6">
        <f>IFERROR(__xludf.DUMMYFUNCTION("""COMPUTED_VALUE"""),294.0)</f>
        <v>294</v>
      </c>
      <c r="E1809" s="6">
        <f>IFERROR(__xludf.DUMMYFUNCTION("""COMPUTED_VALUE"""),295.45)</f>
        <v>295.45</v>
      </c>
      <c r="F1809" s="7">
        <f>IFERROR(__xludf.DUMMYFUNCTION("""COMPUTED_VALUE"""),1.0941604E7)</f>
        <v>10941604</v>
      </c>
      <c r="G1809" s="7" t="str">
        <f>IFERROR(__xludf.DUMMYFUNCTION("""COMPUTED_VALUE"""),"POWERGRID.NS")</f>
        <v>POWERGRID.NS</v>
      </c>
      <c r="H1809" s="8">
        <f t="shared" si="1"/>
        <v>-0.01876453006</v>
      </c>
      <c r="I1809" s="8">
        <f t="shared" si="2"/>
        <v>0.01876453006</v>
      </c>
      <c r="J1809" s="7" t="str">
        <f t="shared" si="3"/>
        <v>Jun-2025</v>
      </c>
      <c r="K1809" s="9">
        <f t="shared" si="4"/>
        <v>45809</v>
      </c>
      <c r="L1809" s="7" t="str">
        <f t="shared" si="5"/>
        <v/>
      </c>
      <c r="M1809" s="7" t="str">
        <f>IFERROR(__xludf.DUMMYFUNCTION("IFERROR(
  IF(
    F1809 &gt;
    3*AVERAGE(
       FILTER($F$2:$F10491,
         $G$2:$G10491=G1809,
         $A$2:$A10491&gt;=A1809-20,
         $A$2:$A10491&lt;=A1809
       )
    ),
    ""VOL_SPIKE_3X"",""""
  ),
"""")
"),"")</f>
        <v/>
      </c>
      <c r="N1809" s="7" t="str">
        <f t="shared" si="6"/>
        <v/>
      </c>
      <c r="O1809" s="7" t="str">
        <f t="shared" si="7"/>
        <v/>
      </c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>
      <c r="A1810" s="5">
        <f>IFERROR(__xludf.DUMMYFUNCTION("""COMPUTED_VALUE"""),45819.0)</f>
        <v>45819</v>
      </c>
      <c r="B1810" s="6">
        <f>IFERROR(__xludf.DUMMYFUNCTION("""COMPUTED_VALUE"""),1445.8)</f>
        <v>1445.8</v>
      </c>
      <c r="C1810" s="6">
        <f>IFERROR(__xludf.DUMMYFUNCTION("""COMPUTED_VALUE"""),1468.6)</f>
        <v>1468.6</v>
      </c>
      <c r="D1810" s="6">
        <f>IFERROR(__xludf.DUMMYFUNCTION("""COMPUTED_VALUE"""),1443.1)</f>
        <v>1443.1</v>
      </c>
      <c r="E1810" s="6">
        <f>IFERROR(__xludf.DUMMYFUNCTION("""COMPUTED_VALUE"""),1448.9)</f>
        <v>1448.9</v>
      </c>
      <c r="F1810" s="7">
        <f>IFERROR(__xludf.DUMMYFUNCTION("""COMPUTED_VALUE"""),8195700.0)</f>
        <v>8195700</v>
      </c>
      <c r="G1810" s="7" t="str">
        <f>IFERROR(__xludf.DUMMYFUNCTION("""COMPUTED_VALUE"""),"RELIANCE.NS")</f>
        <v>RELIANCE.NS</v>
      </c>
      <c r="H1810" s="8">
        <f t="shared" si="1"/>
        <v>0.002144141652</v>
      </c>
      <c r="I1810" s="8">
        <f t="shared" si="2"/>
        <v>0.002144141652</v>
      </c>
      <c r="J1810" s="7" t="str">
        <f t="shared" si="3"/>
        <v>Jun-2025</v>
      </c>
      <c r="K1810" s="9">
        <f t="shared" si="4"/>
        <v>45809</v>
      </c>
      <c r="L1810" s="7" t="str">
        <f t="shared" si="5"/>
        <v/>
      </c>
      <c r="M1810" s="7" t="str">
        <f>IFERROR(__xludf.DUMMYFUNCTION("IFERROR(
  IF(
    F1810 &gt;
    3*AVERAGE(
       FILTER($F$2:$F10491,
         $G$2:$G10491=G1810,
         $A$2:$A10491&gt;=A1810-20,
         $A$2:$A10491&lt;=A1810
       )
    ),
    ""VOL_SPIKE_3X"",""""
  ),
"""")
"),"")</f>
        <v/>
      </c>
      <c r="N1810" s="7" t="str">
        <f t="shared" si="6"/>
        <v/>
      </c>
      <c r="O1810" s="7" t="str">
        <f t="shared" si="7"/>
        <v/>
      </c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>
      <c r="A1811" s="5">
        <f>IFERROR(__xludf.DUMMYFUNCTION("""COMPUTED_VALUE"""),45820.0)</f>
        <v>45820</v>
      </c>
      <c r="B1811" s="6">
        <f>IFERROR(__xludf.DUMMYFUNCTION("""COMPUTED_VALUE"""),908.4)</f>
        <v>908.4</v>
      </c>
      <c r="C1811" s="6">
        <f>IFERROR(__xludf.DUMMYFUNCTION("""COMPUTED_VALUE"""),909.95)</f>
        <v>909.95</v>
      </c>
      <c r="D1811" s="6">
        <f>IFERROR(__xludf.DUMMYFUNCTION("""COMPUTED_VALUE"""),868.05)</f>
        <v>868.05</v>
      </c>
      <c r="E1811" s="6">
        <f>IFERROR(__xludf.DUMMYFUNCTION("""COMPUTED_VALUE"""),876.95)</f>
        <v>876.95</v>
      </c>
      <c r="F1811" s="7">
        <f>IFERROR(__xludf.DUMMYFUNCTION("""COMPUTED_VALUE"""),3852260.0)</f>
        <v>3852260</v>
      </c>
      <c r="G1811" s="7" t="str">
        <f>IFERROR(__xludf.DUMMYFUNCTION("""COMPUTED_VALUE"""),"ADANIENSOL.NS")</f>
        <v>ADANIENSOL.NS</v>
      </c>
      <c r="H1811" s="8">
        <f t="shared" si="1"/>
        <v>-0.0346213122</v>
      </c>
      <c r="I1811" s="8">
        <f t="shared" si="2"/>
        <v>0.0346213122</v>
      </c>
      <c r="J1811" s="7" t="str">
        <f t="shared" si="3"/>
        <v>Jun-2025</v>
      </c>
      <c r="K1811" s="9">
        <f t="shared" si="4"/>
        <v>45809</v>
      </c>
      <c r="L1811" s="7" t="str">
        <f t="shared" si="5"/>
        <v/>
      </c>
      <c r="M1811" s="7" t="str">
        <f>IFERROR(__xludf.DUMMYFUNCTION("IFERROR(
  IF(
    F1811 &gt;
    3*AVERAGE(
       FILTER($F$2:$F10491,
         $G$2:$G10491=G1811,
         $A$2:$A10491&gt;=A1811-20,
         $A$2:$A10491&lt;=A1811
       )
    ),
    ""VOL_SPIKE_3X"",""""
  ),
"""")
"),"")</f>
        <v/>
      </c>
      <c r="N1811" s="7" t="str">
        <f t="shared" si="6"/>
        <v/>
      </c>
      <c r="O1811" s="7" t="str">
        <f t="shared" si="7"/>
        <v/>
      </c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>
      <c r="A1812" s="5">
        <f>IFERROR(__xludf.DUMMYFUNCTION("""COMPUTED_VALUE"""),45820.0)</f>
        <v>45820</v>
      </c>
      <c r="B1812" s="6">
        <f>IFERROR(__xludf.DUMMYFUNCTION("""COMPUTED_VALUE"""),1050.0)</f>
        <v>1050</v>
      </c>
      <c r="C1812" s="6">
        <f>IFERROR(__xludf.DUMMYFUNCTION("""COMPUTED_VALUE"""),1050.0)</f>
        <v>1050</v>
      </c>
      <c r="D1812" s="6">
        <f>IFERROR(__xludf.DUMMYFUNCTION("""COMPUTED_VALUE"""),1012.0)</f>
        <v>1012</v>
      </c>
      <c r="E1812" s="6">
        <f>IFERROR(__xludf.DUMMYFUNCTION("""COMPUTED_VALUE"""),1015.8)</f>
        <v>1015.8</v>
      </c>
      <c r="F1812" s="7">
        <f>IFERROR(__xludf.DUMMYFUNCTION("""COMPUTED_VALUE"""),2183895.0)</f>
        <v>2183895</v>
      </c>
      <c r="G1812" s="7" t="str">
        <f>IFERROR(__xludf.DUMMYFUNCTION("""COMPUTED_VALUE"""),"ADANIGREEN.NS")</f>
        <v>ADANIGREEN.NS</v>
      </c>
      <c r="H1812" s="8">
        <f t="shared" si="1"/>
        <v>-0.03257142857</v>
      </c>
      <c r="I1812" s="8">
        <f t="shared" si="2"/>
        <v>0.03257142857</v>
      </c>
      <c r="J1812" s="7" t="str">
        <f t="shared" si="3"/>
        <v>Jun-2025</v>
      </c>
      <c r="K1812" s="9">
        <f t="shared" si="4"/>
        <v>45809</v>
      </c>
      <c r="L1812" s="7" t="str">
        <f t="shared" si="5"/>
        <v/>
      </c>
      <c r="M1812" s="7" t="str">
        <f>IFERROR(__xludf.DUMMYFUNCTION("IFERROR(
  IF(
    F1812 &gt;
    3*AVERAGE(
       FILTER($F$2:$F10491,
         $G$2:$G10491=G1812,
         $A$2:$A10491&gt;=A1812-20,
         $A$2:$A10491&lt;=A1812
       )
    ),
    ""VOL_SPIKE_3X"",""""
  ),
"""")
"),"")</f>
        <v/>
      </c>
      <c r="N1812" s="7" t="str">
        <f t="shared" si="6"/>
        <v/>
      </c>
      <c r="O1812" s="7" t="str">
        <f t="shared" si="7"/>
        <v/>
      </c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>
      <c r="A1813" s="5">
        <f>IFERROR(__xludf.DUMMYFUNCTION("""COMPUTED_VALUE"""),45820.0)</f>
        <v>45820</v>
      </c>
      <c r="B1813" s="6">
        <f>IFERROR(__xludf.DUMMYFUNCTION("""COMPUTED_VALUE"""),330.5)</f>
        <v>330.5</v>
      </c>
      <c r="C1813" s="6">
        <f>IFERROR(__xludf.DUMMYFUNCTION("""COMPUTED_VALUE"""),331.0)</f>
        <v>331</v>
      </c>
      <c r="D1813" s="6">
        <f>IFERROR(__xludf.DUMMYFUNCTION("""COMPUTED_VALUE"""),317.75)</f>
        <v>317.75</v>
      </c>
      <c r="E1813" s="6">
        <f>IFERROR(__xludf.DUMMYFUNCTION("""COMPUTED_VALUE"""),318.65)</f>
        <v>318.65</v>
      </c>
      <c r="F1813" s="7">
        <f>IFERROR(__xludf.DUMMYFUNCTION("""COMPUTED_VALUE"""),1.3568848E7)</f>
        <v>13568848</v>
      </c>
      <c r="G1813" s="7" t="str">
        <f>IFERROR(__xludf.DUMMYFUNCTION("""COMPUTED_VALUE"""),"BPCL.NS")</f>
        <v>BPCL.NS</v>
      </c>
      <c r="H1813" s="8">
        <f t="shared" si="1"/>
        <v>-0.03585476551</v>
      </c>
      <c r="I1813" s="8">
        <f t="shared" si="2"/>
        <v>0.03585476551</v>
      </c>
      <c r="J1813" s="7" t="str">
        <f t="shared" si="3"/>
        <v>Jun-2025</v>
      </c>
      <c r="K1813" s="9">
        <f t="shared" si="4"/>
        <v>45809</v>
      </c>
      <c r="L1813" s="7" t="str">
        <f t="shared" si="5"/>
        <v/>
      </c>
      <c r="M1813" s="7" t="str">
        <f>IFERROR(__xludf.DUMMYFUNCTION("IFERROR(
  IF(
    F1813 &gt;
    3*AVERAGE(
       FILTER($F$2:$F10491,
         $G$2:$G10491=G1813,
         $A$2:$A10491&gt;=A1813-20,
         $A$2:$A10491&lt;=A1813
       )
    ),
    ""VOL_SPIKE_3X"",""""
  ),
"""")
"),"")</f>
        <v/>
      </c>
      <c r="N1813" s="7" t="str">
        <f t="shared" si="6"/>
        <v/>
      </c>
      <c r="O1813" s="7" t="str">
        <f t="shared" si="7"/>
        <v/>
      </c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>
      <c r="A1814" s="5">
        <f>IFERROR(__xludf.DUMMYFUNCTION("""COMPUTED_VALUE"""),45820.0)</f>
        <v>45820</v>
      </c>
      <c r="B1814" s="6">
        <f>IFERROR(__xludf.DUMMYFUNCTION("""COMPUTED_VALUE"""),402.0)</f>
        <v>402</v>
      </c>
      <c r="C1814" s="6">
        <f>IFERROR(__xludf.DUMMYFUNCTION("""COMPUTED_VALUE"""),402.35)</f>
        <v>402.35</v>
      </c>
      <c r="D1814" s="6">
        <f>IFERROR(__xludf.DUMMYFUNCTION("""COMPUTED_VALUE"""),391.5)</f>
        <v>391.5</v>
      </c>
      <c r="E1814" s="6">
        <f>IFERROR(__xludf.DUMMYFUNCTION("""COMPUTED_VALUE"""),392.7)</f>
        <v>392.7</v>
      </c>
      <c r="F1814" s="7">
        <f>IFERROR(__xludf.DUMMYFUNCTION("""COMPUTED_VALUE"""),1.1262656E7)</f>
        <v>11262656</v>
      </c>
      <c r="G1814" s="7" t="str">
        <f>IFERROR(__xludf.DUMMYFUNCTION("""COMPUTED_VALUE"""),"COALINDIA.NS")</f>
        <v>COALINDIA.NS</v>
      </c>
      <c r="H1814" s="8">
        <f t="shared" si="1"/>
        <v>-0.02313432836</v>
      </c>
      <c r="I1814" s="8">
        <f t="shared" si="2"/>
        <v>0.02313432836</v>
      </c>
      <c r="J1814" s="7" t="str">
        <f t="shared" si="3"/>
        <v>Jun-2025</v>
      </c>
      <c r="K1814" s="9">
        <f t="shared" si="4"/>
        <v>45809</v>
      </c>
      <c r="L1814" s="7" t="str">
        <f t="shared" si="5"/>
        <v/>
      </c>
      <c r="M1814" s="7" t="str">
        <f>IFERROR(__xludf.DUMMYFUNCTION("IFERROR(
  IF(
    F1814 &gt;
    3*AVERAGE(
       FILTER($F$2:$F10491,
         $G$2:$G10491=G1814,
         $A$2:$A10491&gt;=A1814-20,
         $A$2:$A10491&lt;=A1814
       )
    ),
    ""VOL_SPIKE_3X"",""""
  ),
"""")
"),"")</f>
        <v/>
      </c>
      <c r="N1814" s="7" t="str">
        <f t="shared" si="6"/>
        <v/>
      </c>
      <c r="O1814" s="7" t="str">
        <f t="shared" si="7"/>
        <v/>
      </c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>
      <c r="A1815" s="5">
        <f>IFERROR(__xludf.DUMMYFUNCTION("""COMPUTED_VALUE"""),45820.0)</f>
        <v>45820</v>
      </c>
      <c r="B1815" s="6">
        <f>IFERROR(__xludf.DUMMYFUNCTION("""COMPUTED_VALUE"""),410.0)</f>
        <v>410</v>
      </c>
      <c r="C1815" s="6">
        <f>IFERROR(__xludf.DUMMYFUNCTION("""COMPUTED_VALUE"""),410.0)</f>
        <v>410</v>
      </c>
      <c r="D1815" s="6">
        <f>IFERROR(__xludf.DUMMYFUNCTION("""COMPUTED_VALUE"""),390.4)</f>
        <v>390.4</v>
      </c>
      <c r="E1815" s="6">
        <f>IFERROR(__xludf.DUMMYFUNCTION("""COMPUTED_VALUE"""),392.55)</f>
        <v>392.55</v>
      </c>
      <c r="F1815" s="7">
        <f>IFERROR(__xludf.DUMMYFUNCTION("""COMPUTED_VALUE"""),1.2405231E7)</f>
        <v>12405231</v>
      </c>
      <c r="G1815" s="7" t="str">
        <f>IFERROR(__xludf.DUMMYFUNCTION("""COMPUTED_VALUE"""),"HINDPETRO.NS")</f>
        <v>HINDPETRO.NS</v>
      </c>
      <c r="H1815" s="8">
        <f t="shared" si="1"/>
        <v>-0.04256097561</v>
      </c>
      <c r="I1815" s="8">
        <f t="shared" si="2"/>
        <v>0.04256097561</v>
      </c>
      <c r="J1815" s="7" t="str">
        <f t="shared" si="3"/>
        <v>Jun-2025</v>
      </c>
      <c r="K1815" s="9">
        <f t="shared" si="4"/>
        <v>45809</v>
      </c>
      <c r="L1815" s="7" t="str">
        <f t="shared" si="5"/>
        <v/>
      </c>
      <c r="M1815" s="7" t="str">
        <f>IFERROR(__xludf.DUMMYFUNCTION("IFERROR(
  IF(
    F1815 &gt;
    3*AVERAGE(
       FILTER($F$2:$F10491,
         $G$2:$G10491=G1815,
         $A$2:$A10491&gt;=A1815-20,
         $A$2:$A10491&lt;=A1815
       )
    ),
    ""VOL_SPIKE_3X"",""""
  ),
"""")
"),"")</f>
        <v/>
      </c>
      <c r="N1815" s="7" t="str">
        <f t="shared" si="6"/>
        <v/>
      </c>
      <c r="O1815" s="7" t="str">
        <f t="shared" si="7"/>
        <v/>
      </c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>
      <c r="A1816" s="5">
        <f>IFERROR(__xludf.DUMMYFUNCTION("""COMPUTED_VALUE"""),45820.0)</f>
        <v>45820</v>
      </c>
      <c r="B1816" s="6">
        <f>IFERROR(__xludf.DUMMYFUNCTION("""COMPUTED_VALUE"""),144.68)</f>
        <v>144.68</v>
      </c>
      <c r="C1816" s="6">
        <f>IFERROR(__xludf.DUMMYFUNCTION("""COMPUTED_VALUE"""),144.77)</f>
        <v>144.77</v>
      </c>
      <c r="D1816" s="6">
        <f>IFERROR(__xludf.DUMMYFUNCTION("""COMPUTED_VALUE"""),141.5)</f>
        <v>141.5</v>
      </c>
      <c r="E1816" s="6">
        <f>IFERROR(__xludf.DUMMYFUNCTION("""COMPUTED_VALUE"""),142.99)</f>
        <v>142.99</v>
      </c>
      <c r="F1816" s="7">
        <f>IFERROR(__xludf.DUMMYFUNCTION("""COMPUTED_VALUE"""),3.0425949E7)</f>
        <v>30425949</v>
      </c>
      <c r="G1816" s="7" t="str">
        <f>IFERROR(__xludf.DUMMYFUNCTION("""COMPUTED_VALUE"""),"IOC.NS")</f>
        <v>IOC.NS</v>
      </c>
      <c r="H1816" s="8">
        <f t="shared" si="1"/>
        <v>-0.01168095106</v>
      </c>
      <c r="I1816" s="8">
        <f t="shared" si="2"/>
        <v>0.01168095106</v>
      </c>
      <c r="J1816" s="7" t="str">
        <f t="shared" si="3"/>
        <v>Jun-2025</v>
      </c>
      <c r="K1816" s="9">
        <f t="shared" si="4"/>
        <v>45809</v>
      </c>
      <c r="L1816" s="7" t="str">
        <f t="shared" si="5"/>
        <v/>
      </c>
      <c r="M1816" s="7" t="str">
        <f>IFERROR(__xludf.DUMMYFUNCTION("IFERROR(
  IF(
    F1816 &gt;
    3*AVERAGE(
       FILTER($F$2:$F10491,
         $G$2:$G10491=G1816,
         $A$2:$A10491&gt;=A1816-20,
         $A$2:$A10491&lt;=A1816
       )
    ),
    ""VOL_SPIKE_3X"",""""
  ),
"""")
"),"")</f>
        <v/>
      </c>
      <c r="N1816" s="7" t="str">
        <f t="shared" si="6"/>
        <v/>
      </c>
      <c r="O1816" s="7" t="str">
        <f t="shared" si="7"/>
        <v/>
      </c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>
      <c r="A1817" s="5">
        <f>IFERROR(__xludf.DUMMYFUNCTION("""COMPUTED_VALUE"""),45820.0)</f>
        <v>45820</v>
      </c>
      <c r="B1817" s="6">
        <f>IFERROR(__xludf.DUMMYFUNCTION("""COMPUTED_VALUE"""),338.15)</f>
        <v>338.15</v>
      </c>
      <c r="C1817" s="6">
        <f>IFERROR(__xludf.DUMMYFUNCTION("""COMPUTED_VALUE"""),341.65)</f>
        <v>341.65</v>
      </c>
      <c r="D1817" s="6">
        <f>IFERROR(__xludf.DUMMYFUNCTION("""COMPUTED_VALUE"""),332.65)</f>
        <v>332.65</v>
      </c>
      <c r="E1817" s="6">
        <f>IFERROR(__xludf.DUMMYFUNCTION("""COMPUTED_VALUE"""),333.7)</f>
        <v>333.7</v>
      </c>
      <c r="F1817" s="7">
        <f>IFERROR(__xludf.DUMMYFUNCTION("""COMPUTED_VALUE"""),1.1881618E7)</f>
        <v>11881618</v>
      </c>
      <c r="G1817" s="7" t="str">
        <f>IFERROR(__xludf.DUMMYFUNCTION("""COMPUTED_VALUE"""),"NTPC.NS")</f>
        <v>NTPC.NS</v>
      </c>
      <c r="H1817" s="8">
        <f t="shared" si="1"/>
        <v>-0.01315984031</v>
      </c>
      <c r="I1817" s="8">
        <f t="shared" si="2"/>
        <v>0.01315984031</v>
      </c>
      <c r="J1817" s="7" t="str">
        <f t="shared" si="3"/>
        <v>Jun-2025</v>
      </c>
      <c r="K1817" s="9">
        <f t="shared" si="4"/>
        <v>45809</v>
      </c>
      <c r="L1817" s="7" t="str">
        <f t="shared" si="5"/>
        <v/>
      </c>
      <c r="M1817" s="7" t="str">
        <f>IFERROR(__xludf.DUMMYFUNCTION("IFERROR(
  IF(
    F1817 &gt;
    3*AVERAGE(
       FILTER($F$2:$F10491,
         $G$2:$G10491=G1817,
         $A$2:$A10491&gt;=A1817-20,
         $A$2:$A10491&lt;=A1817
       )
    ),
    ""VOL_SPIKE_3X"",""""
  ),
"""")
"),"")</f>
        <v/>
      </c>
      <c r="N1817" s="7" t="str">
        <f t="shared" si="6"/>
        <v/>
      </c>
      <c r="O1817" s="7" t="str">
        <f t="shared" si="7"/>
        <v/>
      </c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>
      <c r="A1818" s="5">
        <f>IFERROR(__xludf.DUMMYFUNCTION("""COMPUTED_VALUE"""),45820.0)</f>
        <v>45820</v>
      </c>
      <c r="B1818" s="6">
        <f>IFERROR(__xludf.DUMMYFUNCTION("""COMPUTED_VALUE"""),251.5)</f>
        <v>251.5</v>
      </c>
      <c r="C1818" s="6">
        <f>IFERROR(__xludf.DUMMYFUNCTION("""COMPUTED_VALUE"""),255.2)</f>
        <v>255.2</v>
      </c>
      <c r="D1818" s="6">
        <f>IFERROR(__xludf.DUMMYFUNCTION("""COMPUTED_VALUE"""),246.75)</f>
        <v>246.75</v>
      </c>
      <c r="E1818" s="6">
        <f>IFERROR(__xludf.DUMMYFUNCTION("""COMPUTED_VALUE"""),247.88)</f>
        <v>247.88</v>
      </c>
      <c r="F1818" s="7">
        <f>IFERROR(__xludf.DUMMYFUNCTION("""COMPUTED_VALUE"""),3.5613271E7)</f>
        <v>35613271</v>
      </c>
      <c r="G1818" s="7" t="str">
        <f>IFERROR(__xludf.DUMMYFUNCTION("""COMPUTED_VALUE"""),"ONGC.NS")</f>
        <v>ONGC.NS</v>
      </c>
      <c r="H1818" s="8">
        <f t="shared" si="1"/>
        <v>-0.01439363817</v>
      </c>
      <c r="I1818" s="8">
        <f t="shared" si="2"/>
        <v>0.01439363817</v>
      </c>
      <c r="J1818" s="7" t="str">
        <f t="shared" si="3"/>
        <v>Jun-2025</v>
      </c>
      <c r="K1818" s="9">
        <f t="shared" si="4"/>
        <v>45809</v>
      </c>
      <c r="L1818" s="7" t="str">
        <f t="shared" si="5"/>
        <v/>
      </c>
      <c r="M1818" s="7" t="str">
        <f>IFERROR(__xludf.DUMMYFUNCTION("IFERROR(
  IF(
    F1818 &gt;
    3*AVERAGE(
       FILTER($F$2:$F10491,
         $G$2:$G10491=G1818,
         $A$2:$A10491&gt;=A1818-20,
         $A$2:$A10491&lt;=A1818
       )
    ),
    ""VOL_SPIKE_3X"",""""
  ),
"""")
"),"VOL_SPIKE_3X")</f>
        <v>VOL_SPIKE_3X</v>
      </c>
      <c r="N1818" s="7" t="str">
        <f t="shared" si="6"/>
        <v>VOL_SPIKE_3X</v>
      </c>
      <c r="O1818" s="7" t="str">
        <f t="shared" si="7"/>
        <v/>
      </c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>
      <c r="A1819" s="5">
        <f>IFERROR(__xludf.DUMMYFUNCTION("""COMPUTED_VALUE"""),45820.0)</f>
        <v>45820</v>
      </c>
      <c r="B1819" s="6">
        <f>IFERROR(__xludf.DUMMYFUNCTION("""COMPUTED_VALUE"""),295.15)</f>
        <v>295.15</v>
      </c>
      <c r="C1819" s="6">
        <f>IFERROR(__xludf.DUMMYFUNCTION("""COMPUTED_VALUE"""),295.8)</f>
        <v>295.8</v>
      </c>
      <c r="D1819" s="6">
        <f>IFERROR(__xludf.DUMMYFUNCTION("""COMPUTED_VALUE"""),288.5)</f>
        <v>288.5</v>
      </c>
      <c r="E1819" s="6">
        <f>IFERROR(__xludf.DUMMYFUNCTION("""COMPUTED_VALUE"""),289.0)</f>
        <v>289</v>
      </c>
      <c r="F1819" s="7">
        <f>IFERROR(__xludf.DUMMYFUNCTION("""COMPUTED_VALUE"""),1.4071159E7)</f>
        <v>14071159</v>
      </c>
      <c r="G1819" s="7" t="str">
        <f>IFERROR(__xludf.DUMMYFUNCTION("""COMPUTED_VALUE"""),"POWERGRID.NS")</f>
        <v>POWERGRID.NS</v>
      </c>
      <c r="H1819" s="8">
        <f t="shared" si="1"/>
        <v>-0.02083686261</v>
      </c>
      <c r="I1819" s="8">
        <f t="shared" si="2"/>
        <v>0.02083686261</v>
      </c>
      <c r="J1819" s="7" t="str">
        <f t="shared" si="3"/>
        <v>Jun-2025</v>
      </c>
      <c r="K1819" s="9">
        <f t="shared" si="4"/>
        <v>45809</v>
      </c>
      <c r="L1819" s="7" t="str">
        <f t="shared" si="5"/>
        <v/>
      </c>
      <c r="M1819" s="7" t="str">
        <f>IFERROR(__xludf.DUMMYFUNCTION("IFERROR(
  IF(
    F1819 &gt;
    3*AVERAGE(
       FILTER($F$2:$F10491,
         $G$2:$G10491=G1819,
         $A$2:$A10491&gt;=A1819-20,
         $A$2:$A10491&lt;=A1819
       )
    ),
    ""VOL_SPIKE_3X"",""""
  ),
"""")
"),"")</f>
        <v/>
      </c>
      <c r="N1819" s="7" t="str">
        <f t="shared" si="6"/>
        <v/>
      </c>
      <c r="O1819" s="7" t="str">
        <f t="shared" si="7"/>
        <v/>
      </c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>
      <c r="A1820" s="5">
        <f>IFERROR(__xludf.DUMMYFUNCTION("""COMPUTED_VALUE"""),45820.0)</f>
        <v>45820</v>
      </c>
      <c r="B1820" s="6">
        <f>IFERROR(__xludf.DUMMYFUNCTION("""COMPUTED_VALUE"""),1453.5)</f>
        <v>1453.5</v>
      </c>
      <c r="C1820" s="6">
        <f>IFERROR(__xludf.DUMMYFUNCTION("""COMPUTED_VALUE"""),1457.0)</f>
        <v>1457</v>
      </c>
      <c r="D1820" s="6">
        <f>IFERROR(__xludf.DUMMYFUNCTION("""COMPUTED_VALUE"""),1434.4)</f>
        <v>1434.4</v>
      </c>
      <c r="E1820" s="6">
        <f>IFERROR(__xludf.DUMMYFUNCTION("""COMPUTED_VALUE"""),1441.6)</f>
        <v>1441.6</v>
      </c>
      <c r="F1820" s="7">
        <f>IFERROR(__xludf.DUMMYFUNCTION("""COMPUTED_VALUE"""),8828114.0)</f>
        <v>8828114</v>
      </c>
      <c r="G1820" s="7" t="str">
        <f>IFERROR(__xludf.DUMMYFUNCTION("""COMPUTED_VALUE"""),"RELIANCE.NS")</f>
        <v>RELIANCE.NS</v>
      </c>
      <c r="H1820" s="8">
        <f t="shared" si="1"/>
        <v>-0.008187134503</v>
      </c>
      <c r="I1820" s="8">
        <f t="shared" si="2"/>
        <v>0.008187134503</v>
      </c>
      <c r="J1820" s="7" t="str">
        <f t="shared" si="3"/>
        <v>Jun-2025</v>
      </c>
      <c r="K1820" s="9">
        <f t="shared" si="4"/>
        <v>45809</v>
      </c>
      <c r="L1820" s="7" t="str">
        <f t="shared" si="5"/>
        <v/>
      </c>
      <c r="M1820" s="7" t="str">
        <f>IFERROR(__xludf.DUMMYFUNCTION("IFERROR(
  IF(
    F1820 &gt;
    3*AVERAGE(
       FILTER($F$2:$F10491,
         $G$2:$G10491=G1820,
         $A$2:$A10491&gt;=A1820-20,
         $A$2:$A10491&lt;=A1820
       )
    ),
    ""VOL_SPIKE_3X"",""""
  ),
"""")
"),"")</f>
        <v/>
      </c>
      <c r="N1820" s="7" t="str">
        <f t="shared" si="6"/>
        <v/>
      </c>
      <c r="O1820" s="7" t="str">
        <f t="shared" si="7"/>
        <v/>
      </c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>
      <c r="A1821" s="5">
        <f>IFERROR(__xludf.DUMMYFUNCTION("""COMPUTED_VALUE"""),45821.0)</f>
        <v>45821</v>
      </c>
      <c r="B1821" s="6">
        <f>IFERROR(__xludf.DUMMYFUNCTION("""COMPUTED_VALUE"""),860.0)</f>
        <v>860</v>
      </c>
      <c r="C1821" s="6">
        <f>IFERROR(__xludf.DUMMYFUNCTION("""COMPUTED_VALUE"""),871.75)</f>
        <v>871.75</v>
      </c>
      <c r="D1821" s="6">
        <f>IFERROR(__xludf.DUMMYFUNCTION("""COMPUTED_VALUE"""),851.7)</f>
        <v>851.7</v>
      </c>
      <c r="E1821" s="6">
        <f>IFERROR(__xludf.DUMMYFUNCTION("""COMPUTED_VALUE"""),861.0)</f>
        <v>861</v>
      </c>
      <c r="F1821" s="7">
        <f>IFERROR(__xludf.DUMMYFUNCTION("""COMPUTED_VALUE"""),4262332.0)</f>
        <v>4262332</v>
      </c>
      <c r="G1821" s="7" t="str">
        <f>IFERROR(__xludf.DUMMYFUNCTION("""COMPUTED_VALUE"""),"ADANIENSOL.NS")</f>
        <v>ADANIENSOL.NS</v>
      </c>
      <c r="H1821" s="8">
        <f t="shared" si="1"/>
        <v>0.001162790698</v>
      </c>
      <c r="I1821" s="8">
        <f t="shared" si="2"/>
        <v>0.001162790698</v>
      </c>
      <c r="J1821" s="7" t="str">
        <f t="shared" si="3"/>
        <v>Jun-2025</v>
      </c>
      <c r="K1821" s="9">
        <f t="shared" si="4"/>
        <v>45809</v>
      </c>
      <c r="L1821" s="7" t="str">
        <f t="shared" si="5"/>
        <v/>
      </c>
      <c r="M1821" s="7" t="str">
        <f>IFERROR(__xludf.DUMMYFUNCTION("IFERROR(
  IF(
    F1821 &gt;
    3*AVERAGE(
       FILTER($F$2:$F10491,
         $G$2:$G10491=G1821,
         $A$2:$A10491&gt;=A1821-20,
         $A$2:$A10491&lt;=A1821
       )
    ),
    ""VOL_SPIKE_3X"",""""
  ),
"""")
"),"")</f>
        <v/>
      </c>
      <c r="N1821" s="7" t="str">
        <f t="shared" si="6"/>
        <v/>
      </c>
      <c r="O1821" s="7" t="str">
        <f t="shared" si="7"/>
        <v/>
      </c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>
      <c r="A1822" s="5">
        <f>IFERROR(__xludf.DUMMYFUNCTION("""COMPUTED_VALUE"""),45821.0)</f>
        <v>45821</v>
      </c>
      <c r="B1822" s="6">
        <f>IFERROR(__xludf.DUMMYFUNCTION("""COMPUTED_VALUE"""),996.0)</f>
        <v>996</v>
      </c>
      <c r="C1822" s="6">
        <f>IFERROR(__xludf.DUMMYFUNCTION("""COMPUTED_VALUE"""),1002.9)</f>
        <v>1002.9</v>
      </c>
      <c r="D1822" s="6">
        <f>IFERROR(__xludf.DUMMYFUNCTION("""COMPUTED_VALUE"""),985.3)</f>
        <v>985.3</v>
      </c>
      <c r="E1822" s="6">
        <f>IFERROR(__xludf.DUMMYFUNCTION("""COMPUTED_VALUE"""),989.5)</f>
        <v>989.5</v>
      </c>
      <c r="F1822" s="7">
        <f>IFERROR(__xludf.DUMMYFUNCTION("""COMPUTED_VALUE"""),2435259.0)</f>
        <v>2435259</v>
      </c>
      <c r="G1822" s="7" t="str">
        <f>IFERROR(__xludf.DUMMYFUNCTION("""COMPUTED_VALUE"""),"ADANIGREEN.NS")</f>
        <v>ADANIGREEN.NS</v>
      </c>
      <c r="H1822" s="8">
        <f t="shared" si="1"/>
        <v>-0.006526104418</v>
      </c>
      <c r="I1822" s="8">
        <f t="shared" si="2"/>
        <v>0.006526104418</v>
      </c>
      <c r="J1822" s="7" t="str">
        <f t="shared" si="3"/>
        <v>Jun-2025</v>
      </c>
      <c r="K1822" s="9">
        <f t="shared" si="4"/>
        <v>45809</v>
      </c>
      <c r="L1822" s="7" t="str">
        <f t="shared" si="5"/>
        <v/>
      </c>
      <c r="M1822" s="7" t="str">
        <f>IFERROR(__xludf.DUMMYFUNCTION("IFERROR(
  IF(
    F1822 &gt;
    3*AVERAGE(
       FILTER($F$2:$F10491,
         $G$2:$G10491=G1822,
         $A$2:$A10491&gt;=A1822-20,
         $A$2:$A10491&lt;=A1822
       )
    ),
    ""VOL_SPIKE_3X"",""""
  ),
"""")
"),"")</f>
        <v/>
      </c>
      <c r="N1822" s="7" t="str">
        <f t="shared" si="6"/>
        <v/>
      </c>
      <c r="O1822" s="7" t="str">
        <f t="shared" si="7"/>
        <v/>
      </c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>
      <c r="A1823" s="5">
        <f>IFERROR(__xludf.DUMMYFUNCTION("""COMPUTED_VALUE"""),45821.0)</f>
        <v>45821</v>
      </c>
      <c r="B1823" s="6">
        <f>IFERROR(__xludf.DUMMYFUNCTION("""COMPUTED_VALUE"""),305.0)</f>
        <v>305</v>
      </c>
      <c r="C1823" s="6">
        <f>IFERROR(__xludf.DUMMYFUNCTION("""COMPUTED_VALUE"""),314.4)</f>
        <v>314.4</v>
      </c>
      <c r="D1823" s="6">
        <f>IFERROR(__xludf.DUMMYFUNCTION("""COMPUTED_VALUE"""),299.3)</f>
        <v>299.3</v>
      </c>
      <c r="E1823" s="6">
        <f>IFERROR(__xludf.DUMMYFUNCTION("""COMPUTED_VALUE"""),312.3)</f>
        <v>312.3</v>
      </c>
      <c r="F1823" s="7">
        <f>IFERROR(__xludf.DUMMYFUNCTION("""COMPUTED_VALUE"""),1.3958229E7)</f>
        <v>13958229</v>
      </c>
      <c r="G1823" s="7" t="str">
        <f>IFERROR(__xludf.DUMMYFUNCTION("""COMPUTED_VALUE"""),"BPCL.NS")</f>
        <v>BPCL.NS</v>
      </c>
      <c r="H1823" s="8">
        <f t="shared" si="1"/>
        <v>0.02393442623</v>
      </c>
      <c r="I1823" s="8">
        <f t="shared" si="2"/>
        <v>0.02393442623</v>
      </c>
      <c r="J1823" s="7" t="str">
        <f t="shared" si="3"/>
        <v>Jun-2025</v>
      </c>
      <c r="K1823" s="9">
        <f t="shared" si="4"/>
        <v>45809</v>
      </c>
      <c r="L1823" s="7" t="str">
        <f t="shared" si="5"/>
        <v/>
      </c>
      <c r="M1823" s="7" t="str">
        <f>IFERROR(__xludf.DUMMYFUNCTION("IFERROR(
  IF(
    F1823 &gt;
    3*AVERAGE(
       FILTER($F$2:$F10491,
         $G$2:$G10491=G1823,
         $A$2:$A10491&gt;=A1823-20,
         $A$2:$A10491&lt;=A1823
       )
    ),
    ""VOL_SPIKE_3X"",""""
  ),
"""")
"),"")</f>
        <v/>
      </c>
      <c r="N1823" s="7" t="str">
        <f t="shared" si="6"/>
        <v/>
      </c>
      <c r="O1823" s="7" t="str">
        <f t="shared" si="7"/>
        <v/>
      </c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>
      <c r="A1824" s="5">
        <f>IFERROR(__xludf.DUMMYFUNCTION("""COMPUTED_VALUE"""),45821.0)</f>
        <v>45821</v>
      </c>
      <c r="B1824" s="6">
        <f>IFERROR(__xludf.DUMMYFUNCTION("""COMPUTED_VALUE"""),390.0)</f>
        <v>390</v>
      </c>
      <c r="C1824" s="6">
        <f>IFERROR(__xludf.DUMMYFUNCTION("""COMPUTED_VALUE"""),392.35)</f>
        <v>392.35</v>
      </c>
      <c r="D1824" s="6">
        <f>IFERROR(__xludf.DUMMYFUNCTION("""COMPUTED_VALUE"""),386.0)</f>
        <v>386</v>
      </c>
      <c r="E1824" s="6">
        <f>IFERROR(__xludf.DUMMYFUNCTION("""COMPUTED_VALUE"""),391.2)</f>
        <v>391.2</v>
      </c>
      <c r="F1824" s="7">
        <f>IFERROR(__xludf.DUMMYFUNCTION("""COMPUTED_VALUE"""),5253032.0)</f>
        <v>5253032</v>
      </c>
      <c r="G1824" s="7" t="str">
        <f>IFERROR(__xludf.DUMMYFUNCTION("""COMPUTED_VALUE"""),"COALINDIA.NS")</f>
        <v>COALINDIA.NS</v>
      </c>
      <c r="H1824" s="8">
        <f t="shared" si="1"/>
        <v>0.003076923077</v>
      </c>
      <c r="I1824" s="8">
        <f t="shared" si="2"/>
        <v>0.003076923077</v>
      </c>
      <c r="J1824" s="7" t="str">
        <f t="shared" si="3"/>
        <v>Jun-2025</v>
      </c>
      <c r="K1824" s="9">
        <f t="shared" si="4"/>
        <v>45809</v>
      </c>
      <c r="L1824" s="7" t="str">
        <f t="shared" si="5"/>
        <v/>
      </c>
      <c r="M1824" s="7" t="str">
        <f>IFERROR(__xludf.DUMMYFUNCTION("IFERROR(
  IF(
    F1824 &gt;
    3*AVERAGE(
       FILTER($F$2:$F10491,
         $G$2:$G10491=G1824,
         $A$2:$A10491&gt;=A1824-20,
         $A$2:$A10491&lt;=A1824
       )
    ),
    ""VOL_SPIKE_3X"",""""
  ),
"""")
"),"")</f>
        <v/>
      </c>
      <c r="N1824" s="7" t="str">
        <f t="shared" si="6"/>
        <v/>
      </c>
      <c r="O1824" s="7" t="str">
        <f t="shared" si="7"/>
        <v/>
      </c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>
      <c r="A1825" s="5">
        <f>IFERROR(__xludf.DUMMYFUNCTION("""COMPUTED_VALUE"""),45821.0)</f>
        <v>45821</v>
      </c>
      <c r="B1825" s="6">
        <f>IFERROR(__xludf.DUMMYFUNCTION("""COMPUTED_VALUE"""),376.0)</f>
        <v>376</v>
      </c>
      <c r="C1825" s="6">
        <f>IFERROR(__xludf.DUMMYFUNCTION("""COMPUTED_VALUE"""),388.4)</f>
        <v>388.4</v>
      </c>
      <c r="D1825" s="6">
        <f>IFERROR(__xludf.DUMMYFUNCTION("""COMPUTED_VALUE"""),370.15)</f>
        <v>370.15</v>
      </c>
      <c r="E1825" s="6">
        <f>IFERROR(__xludf.DUMMYFUNCTION("""COMPUTED_VALUE"""),386.25)</f>
        <v>386.25</v>
      </c>
      <c r="F1825" s="7">
        <f>IFERROR(__xludf.DUMMYFUNCTION("""COMPUTED_VALUE"""),1.7736231E7)</f>
        <v>17736231</v>
      </c>
      <c r="G1825" s="7" t="str">
        <f>IFERROR(__xludf.DUMMYFUNCTION("""COMPUTED_VALUE"""),"HINDPETRO.NS")</f>
        <v>HINDPETRO.NS</v>
      </c>
      <c r="H1825" s="8">
        <f t="shared" si="1"/>
        <v>0.0272606383</v>
      </c>
      <c r="I1825" s="8">
        <f t="shared" si="2"/>
        <v>0.0272606383</v>
      </c>
      <c r="J1825" s="7" t="str">
        <f t="shared" si="3"/>
        <v>Jun-2025</v>
      </c>
      <c r="K1825" s="9">
        <f t="shared" si="4"/>
        <v>45809</v>
      </c>
      <c r="L1825" s="7" t="str">
        <f t="shared" si="5"/>
        <v/>
      </c>
      <c r="M1825" s="7" t="str">
        <f>IFERROR(__xludf.DUMMYFUNCTION("IFERROR(
  IF(
    F1825 &gt;
    3*AVERAGE(
       FILTER($F$2:$F10491,
         $G$2:$G10491=G1825,
         $A$2:$A10491&gt;=A1825-20,
         $A$2:$A10491&lt;=A1825
       )
    ),
    ""VOL_SPIKE_3X"",""""
  ),
"""")
"),"VOL_SPIKE_3X")</f>
        <v>VOL_SPIKE_3X</v>
      </c>
      <c r="N1825" s="7" t="str">
        <f t="shared" si="6"/>
        <v>VOL_SPIKE_3X</v>
      </c>
      <c r="O1825" s="7" t="str">
        <f t="shared" si="7"/>
        <v/>
      </c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>
      <c r="A1826" s="5">
        <f>IFERROR(__xludf.DUMMYFUNCTION("""COMPUTED_VALUE"""),45821.0)</f>
        <v>45821</v>
      </c>
      <c r="B1826" s="6">
        <f>IFERROR(__xludf.DUMMYFUNCTION("""COMPUTED_VALUE"""),139.0)</f>
        <v>139</v>
      </c>
      <c r="C1826" s="6">
        <f>IFERROR(__xludf.DUMMYFUNCTION("""COMPUTED_VALUE"""),143.19)</f>
        <v>143.19</v>
      </c>
      <c r="D1826" s="6">
        <f>IFERROR(__xludf.DUMMYFUNCTION("""COMPUTED_VALUE"""),137.01)</f>
        <v>137.01</v>
      </c>
      <c r="E1826" s="6">
        <f>IFERROR(__xludf.DUMMYFUNCTION("""COMPUTED_VALUE"""),140.34)</f>
        <v>140.34</v>
      </c>
      <c r="F1826" s="7">
        <f>IFERROR(__xludf.DUMMYFUNCTION("""COMPUTED_VALUE"""),2.3705826E7)</f>
        <v>23705826</v>
      </c>
      <c r="G1826" s="7" t="str">
        <f>IFERROR(__xludf.DUMMYFUNCTION("""COMPUTED_VALUE"""),"IOC.NS")</f>
        <v>IOC.NS</v>
      </c>
      <c r="H1826" s="8">
        <f t="shared" si="1"/>
        <v>0.00964028777</v>
      </c>
      <c r="I1826" s="8">
        <f t="shared" si="2"/>
        <v>0.00964028777</v>
      </c>
      <c r="J1826" s="7" t="str">
        <f t="shared" si="3"/>
        <v>Jun-2025</v>
      </c>
      <c r="K1826" s="9">
        <f t="shared" si="4"/>
        <v>45809</v>
      </c>
      <c r="L1826" s="7" t="str">
        <f t="shared" si="5"/>
        <v/>
      </c>
      <c r="M1826" s="7" t="str">
        <f>IFERROR(__xludf.DUMMYFUNCTION("IFERROR(
  IF(
    F1826 &gt;
    3*AVERAGE(
       FILTER($F$2:$F10491,
         $G$2:$G10491=G1826,
         $A$2:$A10491&gt;=A1826-20,
         $A$2:$A10491&lt;=A1826
       )
    ),
    ""VOL_SPIKE_3X"",""""
  ),
"""")
"),"")</f>
        <v/>
      </c>
      <c r="N1826" s="7" t="str">
        <f t="shared" si="6"/>
        <v/>
      </c>
      <c r="O1826" s="7" t="str">
        <f t="shared" si="7"/>
        <v/>
      </c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>
      <c r="A1827" s="5">
        <f>IFERROR(__xludf.DUMMYFUNCTION("""COMPUTED_VALUE"""),45821.0)</f>
        <v>45821</v>
      </c>
      <c r="B1827" s="6">
        <f>IFERROR(__xludf.DUMMYFUNCTION("""COMPUTED_VALUE"""),326.8)</f>
        <v>326.8</v>
      </c>
      <c r="C1827" s="6">
        <f>IFERROR(__xludf.DUMMYFUNCTION("""COMPUTED_VALUE"""),332.9)</f>
        <v>332.9</v>
      </c>
      <c r="D1827" s="6">
        <f>IFERROR(__xludf.DUMMYFUNCTION("""COMPUTED_VALUE"""),326.6)</f>
        <v>326.6</v>
      </c>
      <c r="E1827" s="6">
        <f>IFERROR(__xludf.DUMMYFUNCTION("""COMPUTED_VALUE"""),331.95)</f>
        <v>331.95</v>
      </c>
      <c r="F1827" s="7">
        <f>IFERROR(__xludf.DUMMYFUNCTION("""COMPUTED_VALUE"""),1.1711773E7)</f>
        <v>11711773</v>
      </c>
      <c r="G1827" s="7" t="str">
        <f>IFERROR(__xludf.DUMMYFUNCTION("""COMPUTED_VALUE"""),"NTPC.NS")</f>
        <v>NTPC.NS</v>
      </c>
      <c r="H1827" s="8">
        <f t="shared" si="1"/>
        <v>0.01575887393</v>
      </c>
      <c r="I1827" s="8">
        <f t="shared" si="2"/>
        <v>0.01575887393</v>
      </c>
      <c r="J1827" s="7" t="str">
        <f t="shared" si="3"/>
        <v>Jun-2025</v>
      </c>
      <c r="K1827" s="9">
        <f t="shared" si="4"/>
        <v>45809</v>
      </c>
      <c r="L1827" s="7" t="str">
        <f t="shared" si="5"/>
        <v/>
      </c>
      <c r="M1827" s="7" t="str">
        <f>IFERROR(__xludf.DUMMYFUNCTION("IFERROR(
  IF(
    F1827 &gt;
    3*AVERAGE(
       FILTER($F$2:$F10491,
         $G$2:$G10491=G1827,
         $A$2:$A10491&gt;=A1827-20,
         $A$2:$A10491&lt;=A1827
       )
    ),
    ""VOL_SPIKE_3X"",""""
  ),
"""")
"),"")</f>
        <v/>
      </c>
      <c r="N1827" s="7" t="str">
        <f t="shared" si="6"/>
        <v/>
      </c>
      <c r="O1827" s="7" t="str">
        <f t="shared" si="7"/>
        <v/>
      </c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>
      <c r="A1828" s="5">
        <f>IFERROR(__xludf.DUMMYFUNCTION("""COMPUTED_VALUE"""),45821.0)</f>
        <v>45821</v>
      </c>
      <c r="B1828" s="6">
        <f>IFERROR(__xludf.DUMMYFUNCTION("""COMPUTED_VALUE"""),255.55)</f>
        <v>255.55</v>
      </c>
      <c r="C1828" s="6">
        <f>IFERROR(__xludf.DUMMYFUNCTION("""COMPUTED_VALUE"""),255.95)</f>
        <v>255.95</v>
      </c>
      <c r="D1828" s="6">
        <f>IFERROR(__xludf.DUMMYFUNCTION("""COMPUTED_VALUE"""),249.12)</f>
        <v>249.12</v>
      </c>
      <c r="E1828" s="6">
        <f>IFERROR(__xludf.DUMMYFUNCTION("""COMPUTED_VALUE"""),251.51)</f>
        <v>251.51</v>
      </c>
      <c r="F1828" s="7">
        <f>IFERROR(__xludf.DUMMYFUNCTION("""COMPUTED_VALUE"""),3.9320377E7)</f>
        <v>39320377</v>
      </c>
      <c r="G1828" s="7" t="str">
        <f>IFERROR(__xludf.DUMMYFUNCTION("""COMPUTED_VALUE"""),"ONGC.NS")</f>
        <v>ONGC.NS</v>
      </c>
      <c r="H1828" s="8">
        <f t="shared" si="1"/>
        <v>-0.01580903933</v>
      </c>
      <c r="I1828" s="8">
        <f t="shared" si="2"/>
        <v>0.01580903933</v>
      </c>
      <c r="J1828" s="7" t="str">
        <f t="shared" si="3"/>
        <v>Jun-2025</v>
      </c>
      <c r="K1828" s="9">
        <f t="shared" si="4"/>
        <v>45809</v>
      </c>
      <c r="L1828" s="7" t="str">
        <f t="shared" si="5"/>
        <v/>
      </c>
      <c r="M1828" s="7" t="str">
        <f>IFERROR(__xludf.DUMMYFUNCTION("IFERROR(
  IF(
    F1828 &gt;
    3*AVERAGE(
       FILTER($F$2:$F10491,
         $G$2:$G10491=G1828,
         $A$2:$A10491&gt;=A1828-20,
         $A$2:$A10491&lt;=A1828
       )
    ),
    ""VOL_SPIKE_3X"",""""
  ),
"""")
"),"VOL_SPIKE_3X")</f>
        <v>VOL_SPIKE_3X</v>
      </c>
      <c r="N1828" s="7" t="str">
        <f t="shared" si="6"/>
        <v>VOL_SPIKE_3X</v>
      </c>
      <c r="O1828" s="7" t="str">
        <f t="shared" si="7"/>
        <v/>
      </c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>
      <c r="A1829" s="5">
        <f>IFERROR(__xludf.DUMMYFUNCTION("""COMPUTED_VALUE"""),45821.0)</f>
        <v>45821</v>
      </c>
      <c r="B1829" s="6">
        <f>IFERROR(__xludf.DUMMYFUNCTION("""COMPUTED_VALUE"""),282.55)</f>
        <v>282.55</v>
      </c>
      <c r="C1829" s="6">
        <f>IFERROR(__xludf.DUMMYFUNCTION("""COMPUTED_VALUE"""),286.45)</f>
        <v>286.45</v>
      </c>
      <c r="D1829" s="6">
        <f>IFERROR(__xludf.DUMMYFUNCTION("""COMPUTED_VALUE"""),281.8)</f>
        <v>281.8</v>
      </c>
      <c r="E1829" s="6">
        <f>IFERROR(__xludf.DUMMYFUNCTION("""COMPUTED_VALUE"""),285.5)</f>
        <v>285.5</v>
      </c>
      <c r="F1829" s="7">
        <f>IFERROR(__xludf.DUMMYFUNCTION("""COMPUTED_VALUE"""),1.6028417E7)</f>
        <v>16028417</v>
      </c>
      <c r="G1829" s="7" t="str">
        <f>IFERROR(__xludf.DUMMYFUNCTION("""COMPUTED_VALUE"""),"POWERGRID.NS")</f>
        <v>POWERGRID.NS</v>
      </c>
      <c r="H1829" s="8">
        <f t="shared" si="1"/>
        <v>0.01044062998</v>
      </c>
      <c r="I1829" s="8">
        <f t="shared" si="2"/>
        <v>0.01044062998</v>
      </c>
      <c r="J1829" s="7" t="str">
        <f t="shared" si="3"/>
        <v>Jun-2025</v>
      </c>
      <c r="K1829" s="9">
        <f t="shared" si="4"/>
        <v>45809</v>
      </c>
      <c r="L1829" s="7" t="str">
        <f t="shared" si="5"/>
        <v/>
      </c>
      <c r="M1829" s="7" t="str">
        <f>IFERROR(__xludf.DUMMYFUNCTION("IFERROR(
  IF(
    F1829 &gt;
    3*AVERAGE(
       FILTER($F$2:$F10491,
         $G$2:$G10491=G1829,
         $A$2:$A10491&gt;=A1829-20,
         $A$2:$A10491&lt;=A1829
       )
    ),
    ""VOL_SPIKE_3X"",""""
  ),
"""")
"),"")</f>
        <v/>
      </c>
      <c r="N1829" s="7" t="str">
        <f t="shared" si="6"/>
        <v/>
      </c>
      <c r="O1829" s="7" t="str">
        <f t="shared" si="7"/>
        <v/>
      </c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>
      <c r="A1830" s="5">
        <f>IFERROR(__xludf.DUMMYFUNCTION("""COMPUTED_VALUE"""),45821.0)</f>
        <v>45821</v>
      </c>
      <c r="B1830" s="6">
        <f>IFERROR(__xludf.DUMMYFUNCTION("""COMPUTED_VALUE"""),1424.0)</f>
        <v>1424</v>
      </c>
      <c r="C1830" s="6">
        <f>IFERROR(__xludf.DUMMYFUNCTION("""COMPUTED_VALUE"""),1435.5)</f>
        <v>1435.5</v>
      </c>
      <c r="D1830" s="6">
        <f>IFERROR(__xludf.DUMMYFUNCTION("""COMPUTED_VALUE"""),1414.3)</f>
        <v>1414.3</v>
      </c>
      <c r="E1830" s="6">
        <f>IFERROR(__xludf.DUMMYFUNCTION("""COMPUTED_VALUE"""),1427.9)</f>
        <v>1427.9</v>
      </c>
      <c r="F1830" s="7">
        <f>IFERROR(__xludf.DUMMYFUNCTION("""COMPUTED_VALUE"""),9757276.0)</f>
        <v>9757276</v>
      </c>
      <c r="G1830" s="7" t="str">
        <f>IFERROR(__xludf.DUMMYFUNCTION("""COMPUTED_VALUE"""),"RELIANCE.NS")</f>
        <v>RELIANCE.NS</v>
      </c>
      <c r="H1830" s="8">
        <f t="shared" si="1"/>
        <v>0.002738764045</v>
      </c>
      <c r="I1830" s="8">
        <f t="shared" si="2"/>
        <v>0.002738764045</v>
      </c>
      <c r="J1830" s="7" t="str">
        <f t="shared" si="3"/>
        <v>Jun-2025</v>
      </c>
      <c r="K1830" s="9">
        <f t="shared" si="4"/>
        <v>45809</v>
      </c>
      <c r="L1830" s="7" t="str">
        <f t="shared" si="5"/>
        <v/>
      </c>
      <c r="M1830" s="7" t="str">
        <f>IFERROR(__xludf.DUMMYFUNCTION("IFERROR(
  IF(
    F1830 &gt;
    3*AVERAGE(
       FILTER($F$2:$F10491,
         $G$2:$G10491=G1830,
         $A$2:$A10491&gt;=A1830-20,
         $A$2:$A10491&lt;=A1830
       )
    ),
    ""VOL_SPIKE_3X"",""""
  ),
"""")
"),"")</f>
        <v/>
      </c>
      <c r="N1830" s="7" t="str">
        <f t="shared" si="6"/>
        <v/>
      </c>
      <c r="O1830" s="7" t="str">
        <f t="shared" si="7"/>
        <v/>
      </c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>
      <c r="A1831" s="5">
        <f>IFERROR(__xludf.DUMMYFUNCTION("""COMPUTED_VALUE"""),45824.0)</f>
        <v>45824</v>
      </c>
      <c r="B1831" s="6">
        <f>IFERROR(__xludf.DUMMYFUNCTION("""COMPUTED_VALUE"""),861.0)</f>
        <v>861</v>
      </c>
      <c r="C1831" s="6">
        <f>IFERROR(__xludf.DUMMYFUNCTION("""COMPUTED_VALUE"""),871.0)</f>
        <v>871</v>
      </c>
      <c r="D1831" s="6">
        <f>IFERROR(__xludf.DUMMYFUNCTION("""COMPUTED_VALUE"""),849.45)</f>
        <v>849.45</v>
      </c>
      <c r="E1831" s="6">
        <f>IFERROR(__xludf.DUMMYFUNCTION("""COMPUTED_VALUE"""),865.7)</f>
        <v>865.7</v>
      </c>
      <c r="F1831" s="7">
        <f>IFERROR(__xludf.DUMMYFUNCTION("""COMPUTED_VALUE"""),2424281.0)</f>
        <v>2424281</v>
      </c>
      <c r="G1831" s="7" t="str">
        <f>IFERROR(__xludf.DUMMYFUNCTION("""COMPUTED_VALUE"""),"ADANIENSOL.NS")</f>
        <v>ADANIENSOL.NS</v>
      </c>
      <c r="H1831" s="8">
        <f t="shared" si="1"/>
        <v>0.005458768873</v>
      </c>
      <c r="I1831" s="8">
        <f t="shared" si="2"/>
        <v>0.005458768873</v>
      </c>
      <c r="J1831" s="7" t="str">
        <f t="shared" si="3"/>
        <v>Jun-2025</v>
      </c>
      <c r="K1831" s="9">
        <f t="shared" si="4"/>
        <v>45809</v>
      </c>
      <c r="L1831" s="7" t="str">
        <f t="shared" si="5"/>
        <v/>
      </c>
      <c r="M1831" s="7" t="str">
        <f>IFERROR(__xludf.DUMMYFUNCTION("IFERROR(
  IF(
    F1831 &gt;
    3*AVERAGE(
       FILTER($F$2:$F10491,
         $G$2:$G10491=G1831,
         $A$2:$A10491&gt;=A1831-20,
         $A$2:$A10491&lt;=A1831
       )
    ),
    ""VOL_SPIKE_3X"",""""
  ),
"""")
"),"")</f>
        <v/>
      </c>
      <c r="N1831" s="7" t="str">
        <f t="shared" si="6"/>
        <v/>
      </c>
      <c r="O1831" s="7" t="str">
        <f t="shared" si="7"/>
        <v/>
      </c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>
      <c r="A1832" s="5">
        <f>IFERROR(__xludf.DUMMYFUNCTION("""COMPUTED_VALUE"""),45824.0)</f>
        <v>45824</v>
      </c>
      <c r="B1832" s="6">
        <f>IFERROR(__xludf.DUMMYFUNCTION("""COMPUTED_VALUE"""),989.5)</f>
        <v>989.5</v>
      </c>
      <c r="C1832" s="6">
        <f>IFERROR(__xludf.DUMMYFUNCTION("""COMPUTED_VALUE"""),997.0)</f>
        <v>997</v>
      </c>
      <c r="D1832" s="6">
        <f>IFERROR(__xludf.DUMMYFUNCTION("""COMPUTED_VALUE"""),968.6)</f>
        <v>968.6</v>
      </c>
      <c r="E1832" s="6">
        <f>IFERROR(__xludf.DUMMYFUNCTION("""COMPUTED_VALUE"""),992.0)</f>
        <v>992</v>
      </c>
      <c r="F1832" s="7">
        <f>IFERROR(__xludf.DUMMYFUNCTION("""COMPUTED_VALUE"""),1898670.0)</f>
        <v>1898670</v>
      </c>
      <c r="G1832" s="7" t="str">
        <f>IFERROR(__xludf.DUMMYFUNCTION("""COMPUTED_VALUE"""),"ADANIGREEN.NS")</f>
        <v>ADANIGREEN.NS</v>
      </c>
      <c r="H1832" s="8">
        <f t="shared" si="1"/>
        <v>0.00252652855</v>
      </c>
      <c r="I1832" s="8">
        <f t="shared" si="2"/>
        <v>0.00252652855</v>
      </c>
      <c r="J1832" s="7" t="str">
        <f t="shared" si="3"/>
        <v>Jun-2025</v>
      </c>
      <c r="K1832" s="9">
        <f t="shared" si="4"/>
        <v>45809</v>
      </c>
      <c r="L1832" s="7" t="str">
        <f t="shared" si="5"/>
        <v/>
      </c>
      <c r="M1832" s="7" t="str">
        <f>IFERROR(__xludf.DUMMYFUNCTION("IFERROR(
  IF(
    F1832 &gt;
    3*AVERAGE(
       FILTER($F$2:$F10491,
         $G$2:$G10491=G1832,
         $A$2:$A10491&gt;=A1832-20,
         $A$2:$A10491&lt;=A1832
       )
    ),
    ""VOL_SPIKE_3X"",""""
  ),
"""")
"),"")</f>
        <v/>
      </c>
      <c r="N1832" s="7" t="str">
        <f t="shared" si="6"/>
        <v/>
      </c>
      <c r="O1832" s="7" t="str">
        <f t="shared" si="7"/>
        <v/>
      </c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>
      <c r="A1833" s="5">
        <f>IFERROR(__xludf.DUMMYFUNCTION("""COMPUTED_VALUE"""),45824.0)</f>
        <v>45824</v>
      </c>
      <c r="B1833" s="6">
        <f>IFERROR(__xludf.DUMMYFUNCTION("""COMPUTED_VALUE"""),309.95)</f>
        <v>309.95</v>
      </c>
      <c r="C1833" s="6">
        <f>IFERROR(__xludf.DUMMYFUNCTION("""COMPUTED_VALUE"""),316.85)</f>
        <v>316.85</v>
      </c>
      <c r="D1833" s="6">
        <f>IFERROR(__xludf.DUMMYFUNCTION("""COMPUTED_VALUE"""),308.5)</f>
        <v>308.5</v>
      </c>
      <c r="E1833" s="6">
        <f>IFERROR(__xludf.DUMMYFUNCTION("""COMPUTED_VALUE"""),316.4)</f>
        <v>316.4</v>
      </c>
      <c r="F1833" s="7">
        <f>IFERROR(__xludf.DUMMYFUNCTION("""COMPUTED_VALUE"""),6893567.0)</f>
        <v>6893567</v>
      </c>
      <c r="G1833" s="7" t="str">
        <f>IFERROR(__xludf.DUMMYFUNCTION("""COMPUTED_VALUE"""),"BPCL.NS")</f>
        <v>BPCL.NS</v>
      </c>
      <c r="H1833" s="8">
        <f t="shared" si="1"/>
        <v>0.02080980803</v>
      </c>
      <c r="I1833" s="8">
        <f t="shared" si="2"/>
        <v>0.02080980803</v>
      </c>
      <c r="J1833" s="7" t="str">
        <f t="shared" si="3"/>
        <v>Jun-2025</v>
      </c>
      <c r="K1833" s="9">
        <f t="shared" si="4"/>
        <v>45809</v>
      </c>
      <c r="L1833" s="7" t="str">
        <f t="shared" si="5"/>
        <v/>
      </c>
      <c r="M1833" s="7" t="str">
        <f>IFERROR(__xludf.DUMMYFUNCTION("IFERROR(
  IF(
    F1833 &gt;
    3*AVERAGE(
       FILTER($F$2:$F10491,
         $G$2:$G10491=G1833,
         $A$2:$A10491&gt;=A1833-20,
         $A$2:$A10491&lt;=A1833
       )
    ),
    ""VOL_SPIKE_3X"",""""
  ),
"""")
"),"")</f>
        <v/>
      </c>
      <c r="N1833" s="7" t="str">
        <f t="shared" si="6"/>
        <v/>
      </c>
      <c r="O1833" s="7" t="str">
        <f t="shared" si="7"/>
        <v/>
      </c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>
      <c r="A1834" s="5">
        <f>IFERROR(__xludf.DUMMYFUNCTION("""COMPUTED_VALUE"""),45824.0)</f>
        <v>45824</v>
      </c>
      <c r="B1834" s="6">
        <f>IFERROR(__xludf.DUMMYFUNCTION("""COMPUTED_VALUE"""),391.0)</f>
        <v>391</v>
      </c>
      <c r="C1834" s="6">
        <f>IFERROR(__xludf.DUMMYFUNCTION("""COMPUTED_VALUE"""),394.6)</f>
        <v>394.6</v>
      </c>
      <c r="D1834" s="6">
        <f>IFERROR(__xludf.DUMMYFUNCTION("""COMPUTED_VALUE"""),386.2)</f>
        <v>386.2</v>
      </c>
      <c r="E1834" s="6">
        <f>IFERROR(__xludf.DUMMYFUNCTION("""COMPUTED_VALUE"""),394.35)</f>
        <v>394.35</v>
      </c>
      <c r="F1834" s="7">
        <f>IFERROR(__xludf.DUMMYFUNCTION("""COMPUTED_VALUE"""),3706240.0)</f>
        <v>3706240</v>
      </c>
      <c r="G1834" s="7" t="str">
        <f>IFERROR(__xludf.DUMMYFUNCTION("""COMPUTED_VALUE"""),"COALINDIA.NS")</f>
        <v>COALINDIA.NS</v>
      </c>
      <c r="H1834" s="8">
        <f t="shared" si="1"/>
        <v>0.008567774936</v>
      </c>
      <c r="I1834" s="8">
        <f t="shared" si="2"/>
        <v>0.008567774936</v>
      </c>
      <c r="J1834" s="7" t="str">
        <f t="shared" si="3"/>
        <v>Jun-2025</v>
      </c>
      <c r="K1834" s="9">
        <f t="shared" si="4"/>
        <v>45809</v>
      </c>
      <c r="L1834" s="7" t="str">
        <f t="shared" si="5"/>
        <v/>
      </c>
      <c r="M1834" s="7" t="str">
        <f>IFERROR(__xludf.DUMMYFUNCTION("IFERROR(
  IF(
    F1834 &gt;
    3*AVERAGE(
       FILTER($F$2:$F10491,
         $G$2:$G10491=G1834,
         $A$2:$A10491&gt;=A1834-20,
         $A$2:$A10491&lt;=A1834
       )
    ),
    ""VOL_SPIKE_3X"",""""
  ),
"""")
"),"")</f>
        <v/>
      </c>
      <c r="N1834" s="7" t="str">
        <f t="shared" si="6"/>
        <v/>
      </c>
      <c r="O1834" s="7" t="str">
        <f t="shared" si="7"/>
        <v/>
      </c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>
      <c r="A1835" s="5">
        <f>IFERROR(__xludf.DUMMYFUNCTION("""COMPUTED_VALUE"""),45824.0)</f>
        <v>45824</v>
      </c>
      <c r="B1835" s="6">
        <f>IFERROR(__xludf.DUMMYFUNCTION("""COMPUTED_VALUE"""),384.1)</f>
        <v>384.1</v>
      </c>
      <c r="C1835" s="6">
        <f>IFERROR(__xludf.DUMMYFUNCTION("""COMPUTED_VALUE"""),396.5)</f>
        <v>396.5</v>
      </c>
      <c r="D1835" s="6">
        <f>IFERROR(__xludf.DUMMYFUNCTION("""COMPUTED_VALUE"""),383.05)</f>
        <v>383.05</v>
      </c>
      <c r="E1835" s="6">
        <f>IFERROR(__xludf.DUMMYFUNCTION("""COMPUTED_VALUE"""),395.35)</f>
        <v>395.35</v>
      </c>
      <c r="F1835" s="7">
        <f>IFERROR(__xludf.DUMMYFUNCTION("""COMPUTED_VALUE"""),5792606.0)</f>
        <v>5792606</v>
      </c>
      <c r="G1835" s="7" t="str">
        <f>IFERROR(__xludf.DUMMYFUNCTION("""COMPUTED_VALUE"""),"HINDPETRO.NS")</f>
        <v>HINDPETRO.NS</v>
      </c>
      <c r="H1835" s="8">
        <f t="shared" si="1"/>
        <v>0.02928924759</v>
      </c>
      <c r="I1835" s="8">
        <f t="shared" si="2"/>
        <v>0.02928924759</v>
      </c>
      <c r="J1835" s="7" t="str">
        <f t="shared" si="3"/>
        <v>Jun-2025</v>
      </c>
      <c r="K1835" s="9">
        <f t="shared" si="4"/>
        <v>45809</v>
      </c>
      <c r="L1835" s="7" t="str">
        <f t="shared" si="5"/>
        <v/>
      </c>
      <c r="M1835" s="7" t="str">
        <f>IFERROR(__xludf.DUMMYFUNCTION("IFERROR(
  IF(
    F1835 &gt;
    3*AVERAGE(
       FILTER($F$2:$F10491,
         $G$2:$G10491=G1835,
         $A$2:$A10491&gt;=A1835-20,
         $A$2:$A10491&lt;=A1835
       )
    ),
    ""VOL_SPIKE_3X"",""""
  ),
"""")
"),"")</f>
        <v/>
      </c>
      <c r="N1835" s="7" t="str">
        <f t="shared" si="6"/>
        <v/>
      </c>
      <c r="O1835" s="7" t="str">
        <f t="shared" si="7"/>
        <v/>
      </c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>
      <c r="A1836" s="5">
        <f>IFERROR(__xludf.DUMMYFUNCTION("""COMPUTED_VALUE"""),45824.0)</f>
        <v>45824</v>
      </c>
      <c r="B1836" s="6">
        <f>IFERROR(__xludf.DUMMYFUNCTION("""COMPUTED_VALUE"""),140.0)</f>
        <v>140</v>
      </c>
      <c r="C1836" s="6">
        <f>IFERROR(__xludf.DUMMYFUNCTION("""COMPUTED_VALUE"""),142.2)</f>
        <v>142.2</v>
      </c>
      <c r="D1836" s="6">
        <f>IFERROR(__xludf.DUMMYFUNCTION("""COMPUTED_VALUE"""),138.9)</f>
        <v>138.9</v>
      </c>
      <c r="E1836" s="6">
        <f>IFERROR(__xludf.DUMMYFUNCTION("""COMPUTED_VALUE"""),141.85)</f>
        <v>141.85</v>
      </c>
      <c r="F1836" s="7">
        <f>IFERROR(__xludf.DUMMYFUNCTION("""COMPUTED_VALUE"""),1.517681E7)</f>
        <v>15176810</v>
      </c>
      <c r="G1836" s="7" t="str">
        <f>IFERROR(__xludf.DUMMYFUNCTION("""COMPUTED_VALUE"""),"IOC.NS")</f>
        <v>IOC.NS</v>
      </c>
      <c r="H1836" s="8">
        <f t="shared" si="1"/>
        <v>0.01321428571</v>
      </c>
      <c r="I1836" s="8">
        <f t="shared" si="2"/>
        <v>0.01321428571</v>
      </c>
      <c r="J1836" s="7" t="str">
        <f t="shared" si="3"/>
        <v>Jun-2025</v>
      </c>
      <c r="K1836" s="9">
        <f t="shared" si="4"/>
        <v>45809</v>
      </c>
      <c r="L1836" s="7" t="str">
        <f t="shared" si="5"/>
        <v/>
      </c>
      <c r="M1836" s="7" t="str">
        <f>IFERROR(__xludf.DUMMYFUNCTION("IFERROR(
  IF(
    F1836 &gt;
    3*AVERAGE(
       FILTER($F$2:$F10491,
         $G$2:$G10491=G1836,
         $A$2:$A10491&gt;=A1836-20,
         $A$2:$A10491&lt;=A1836
       )
    ),
    ""VOL_SPIKE_3X"",""""
  ),
"""")
"),"")</f>
        <v/>
      </c>
      <c r="N1836" s="7" t="str">
        <f t="shared" si="6"/>
        <v/>
      </c>
      <c r="O1836" s="7" t="str">
        <f t="shared" si="7"/>
        <v/>
      </c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>
      <c r="A1837" s="5">
        <f>IFERROR(__xludf.DUMMYFUNCTION("""COMPUTED_VALUE"""),45824.0)</f>
        <v>45824</v>
      </c>
      <c r="B1837" s="6">
        <f>IFERROR(__xludf.DUMMYFUNCTION("""COMPUTED_VALUE"""),332.0)</f>
        <v>332</v>
      </c>
      <c r="C1837" s="6">
        <f>IFERROR(__xludf.DUMMYFUNCTION("""COMPUTED_VALUE"""),334.65)</f>
        <v>334.65</v>
      </c>
      <c r="D1837" s="6">
        <f>IFERROR(__xludf.DUMMYFUNCTION("""COMPUTED_VALUE"""),330.6)</f>
        <v>330.6</v>
      </c>
      <c r="E1837" s="6">
        <f>IFERROR(__xludf.DUMMYFUNCTION("""COMPUTED_VALUE"""),333.7)</f>
        <v>333.7</v>
      </c>
      <c r="F1837" s="7">
        <f>IFERROR(__xludf.DUMMYFUNCTION("""COMPUTED_VALUE"""),8065112.0)</f>
        <v>8065112</v>
      </c>
      <c r="G1837" s="7" t="str">
        <f>IFERROR(__xludf.DUMMYFUNCTION("""COMPUTED_VALUE"""),"NTPC.NS")</f>
        <v>NTPC.NS</v>
      </c>
      <c r="H1837" s="8">
        <f t="shared" si="1"/>
        <v>0.005120481928</v>
      </c>
      <c r="I1837" s="8">
        <f t="shared" si="2"/>
        <v>0.005120481928</v>
      </c>
      <c r="J1837" s="7" t="str">
        <f t="shared" si="3"/>
        <v>Jun-2025</v>
      </c>
      <c r="K1837" s="9">
        <f t="shared" si="4"/>
        <v>45809</v>
      </c>
      <c r="L1837" s="7" t="str">
        <f t="shared" si="5"/>
        <v/>
      </c>
      <c r="M1837" s="7" t="str">
        <f>IFERROR(__xludf.DUMMYFUNCTION("IFERROR(
  IF(
    F1837 &gt;
    3*AVERAGE(
       FILTER($F$2:$F10491,
         $G$2:$G10491=G1837,
         $A$2:$A10491&gt;=A1837-20,
         $A$2:$A10491&lt;=A1837
       )
    ),
    ""VOL_SPIKE_3X"",""""
  ),
"""")
"),"")</f>
        <v/>
      </c>
      <c r="N1837" s="7" t="str">
        <f t="shared" si="6"/>
        <v/>
      </c>
      <c r="O1837" s="7" t="str">
        <f t="shared" si="7"/>
        <v/>
      </c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>
      <c r="A1838" s="5">
        <f>IFERROR(__xludf.DUMMYFUNCTION("""COMPUTED_VALUE"""),45824.0)</f>
        <v>45824</v>
      </c>
      <c r="B1838" s="6">
        <f>IFERROR(__xludf.DUMMYFUNCTION("""COMPUTED_VALUE"""),253.99)</f>
        <v>253.99</v>
      </c>
      <c r="C1838" s="6">
        <f>IFERROR(__xludf.DUMMYFUNCTION("""COMPUTED_VALUE"""),257.5)</f>
        <v>257.5</v>
      </c>
      <c r="D1838" s="6">
        <f>IFERROR(__xludf.DUMMYFUNCTION("""COMPUTED_VALUE"""),252.19)</f>
        <v>252.19</v>
      </c>
      <c r="E1838" s="6">
        <f>IFERROR(__xludf.DUMMYFUNCTION("""COMPUTED_VALUE"""),256.79)</f>
        <v>256.79</v>
      </c>
      <c r="F1838" s="7">
        <f>IFERROR(__xludf.DUMMYFUNCTION("""COMPUTED_VALUE"""),4.1444122E7)</f>
        <v>41444122</v>
      </c>
      <c r="G1838" s="7" t="str">
        <f>IFERROR(__xludf.DUMMYFUNCTION("""COMPUTED_VALUE"""),"ONGC.NS")</f>
        <v>ONGC.NS</v>
      </c>
      <c r="H1838" s="8">
        <f t="shared" si="1"/>
        <v>0.01102405607</v>
      </c>
      <c r="I1838" s="8">
        <f t="shared" si="2"/>
        <v>0.01102405607</v>
      </c>
      <c r="J1838" s="7" t="str">
        <f t="shared" si="3"/>
        <v>Jun-2025</v>
      </c>
      <c r="K1838" s="9">
        <f t="shared" si="4"/>
        <v>45809</v>
      </c>
      <c r="L1838" s="7" t="str">
        <f t="shared" si="5"/>
        <v/>
      </c>
      <c r="M1838" s="7" t="str">
        <f>IFERROR(__xludf.DUMMYFUNCTION("IFERROR(
  IF(
    F1838 &gt;
    3*AVERAGE(
       FILTER($F$2:$F10491,
         $G$2:$G10491=G1838,
         $A$2:$A10491&gt;=A1838-20,
         $A$2:$A10491&lt;=A1838
       )
    ),
    ""VOL_SPIKE_3X"",""""
  ),
"""")
"),"")</f>
        <v/>
      </c>
      <c r="N1838" s="7" t="str">
        <f t="shared" si="6"/>
        <v/>
      </c>
      <c r="O1838" s="7" t="str">
        <f t="shared" si="7"/>
        <v/>
      </c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>
      <c r="A1839" s="5">
        <f>IFERROR(__xludf.DUMMYFUNCTION("""COMPUTED_VALUE"""),45824.0)</f>
        <v>45824</v>
      </c>
      <c r="B1839" s="6">
        <f>IFERROR(__xludf.DUMMYFUNCTION("""COMPUTED_VALUE"""),287.95)</f>
        <v>287.95</v>
      </c>
      <c r="C1839" s="6">
        <f>IFERROR(__xludf.DUMMYFUNCTION("""COMPUTED_VALUE"""),290.5)</f>
        <v>290.5</v>
      </c>
      <c r="D1839" s="6">
        <f>IFERROR(__xludf.DUMMYFUNCTION("""COMPUTED_VALUE"""),286.3)</f>
        <v>286.3</v>
      </c>
      <c r="E1839" s="6">
        <f>IFERROR(__xludf.DUMMYFUNCTION("""COMPUTED_VALUE"""),288.65)</f>
        <v>288.65</v>
      </c>
      <c r="F1839" s="7">
        <f>IFERROR(__xludf.DUMMYFUNCTION("""COMPUTED_VALUE"""),1.1067299E7)</f>
        <v>11067299</v>
      </c>
      <c r="G1839" s="7" t="str">
        <f>IFERROR(__xludf.DUMMYFUNCTION("""COMPUTED_VALUE"""),"POWERGRID.NS")</f>
        <v>POWERGRID.NS</v>
      </c>
      <c r="H1839" s="8">
        <f t="shared" si="1"/>
        <v>0.0024309776</v>
      </c>
      <c r="I1839" s="8">
        <f t="shared" si="2"/>
        <v>0.0024309776</v>
      </c>
      <c r="J1839" s="7" t="str">
        <f t="shared" si="3"/>
        <v>Jun-2025</v>
      </c>
      <c r="K1839" s="9">
        <f t="shared" si="4"/>
        <v>45809</v>
      </c>
      <c r="L1839" s="7" t="str">
        <f t="shared" si="5"/>
        <v/>
      </c>
      <c r="M1839" s="7" t="str">
        <f>IFERROR(__xludf.DUMMYFUNCTION("IFERROR(
  IF(
    F1839 &gt;
    3*AVERAGE(
       FILTER($F$2:$F10491,
         $G$2:$G10491=G1839,
         $A$2:$A10491&gt;=A1839-20,
         $A$2:$A10491&lt;=A1839
       )
    ),
    ""VOL_SPIKE_3X"",""""
  ),
"""")
"),"")</f>
        <v/>
      </c>
      <c r="N1839" s="7" t="str">
        <f t="shared" si="6"/>
        <v/>
      </c>
      <c r="O1839" s="7" t="str">
        <f t="shared" si="7"/>
        <v/>
      </c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>
      <c r="A1840" s="5">
        <f>IFERROR(__xludf.DUMMYFUNCTION("""COMPUTED_VALUE"""),45824.0)</f>
        <v>45824</v>
      </c>
      <c r="B1840" s="6">
        <f>IFERROR(__xludf.DUMMYFUNCTION("""COMPUTED_VALUE"""),1426.9)</f>
        <v>1426.9</v>
      </c>
      <c r="C1840" s="6">
        <f>IFERROR(__xludf.DUMMYFUNCTION("""COMPUTED_VALUE"""),1442.4)</f>
        <v>1442.4</v>
      </c>
      <c r="D1840" s="6">
        <f>IFERROR(__xludf.DUMMYFUNCTION("""COMPUTED_VALUE"""),1424.4)</f>
        <v>1424.4</v>
      </c>
      <c r="E1840" s="6">
        <f>IFERROR(__xludf.DUMMYFUNCTION("""COMPUTED_VALUE"""),1437.8)</f>
        <v>1437.8</v>
      </c>
      <c r="F1840" s="7">
        <f>IFERROR(__xludf.DUMMYFUNCTION("""COMPUTED_VALUE"""),8458093.0)</f>
        <v>8458093</v>
      </c>
      <c r="G1840" s="7" t="str">
        <f>IFERROR(__xludf.DUMMYFUNCTION("""COMPUTED_VALUE"""),"RELIANCE.NS")</f>
        <v>RELIANCE.NS</v>
      </c>
      <c r="H1840" s="8">
        <f t="shared" si="1"/>
        <v>0.007638937557</v>
      </c>
      <c r="I1840" s="8">
        <f t="shared" si="2"/>
        <v>0.007638937557</v>
      </c>
      <c r="J1840" s="7" t="str">
        <f t="shared" si="3"/>
        <v>Jun-2025</v>
      </c>
      <c r="K1840" s="9">
        <f t="shared" si="4"/>
        <v>45809</v>
      </c>
      <c r="L1840" s="7" t="str">
        <f t="shared" si="5"/>
        <v/>
      </c>
      <c r="M1840" s="7" t="str">
        <f>IFERROR(__xludf.DUMMYFUNCTION("IFERROR(
  IF(
    F1840 &gt;
    3*AVERAGE(
       FILTER($F$2:$F10491,
         $G$2:$G10491=G1840,
         $A$2:$A10491&gt;=A1840-20,
         $A$2:$A10491&lt;=A1840
       )
    ),
    ""VOL_SPIKE_3X"",""""
  ),
"""")
"),"")</f>
        <v/>
      </c>
      <c r="N1840" s="7" t="str">
        <f t="shared" si="6"/>
        <v/>
      </c>
      <c r="O1840" s="7" t="str">
        <f t="shared" si="7"/>
        <v/>
      </c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>
      <c r="A1841" s="5">
        <f>IFERROR(__xludf.DUMMYFUNCTION("""COMPUTED_VALUE"""),45825.0)</f>
        <v>45825</v>
      </c>
      <c r="B1841" s="6">
        <f>IFERROR(__xludf.DUMMYFUNCTION("""COMPUTED_VALUE"""),866.0)</f>
        <v>866</v>
      </c>
      <c r="C1841" s="6">
        <f>IFERROR(__xludf.DUMMYFUNCTION("""COMPUTED_VALUE"""),867.35)</f>
        <v>867.35</v>
      </c>
      <c r="D1841" s="6">
        <f>IFERROR(__xludf.DUMMYFUNCTION("""COMPUTED_VALUE"""),846.05)</f>
        <v>846.05</v>
      </c>
      <c r="E1841" s="6">
        <f>IFERROR(__xludf.DUMMYFUNCTION("""COMPUTED_VALUE"""),848.85)</f>
        <v>848.85</v>
      </c>
      <c r="F1841" s="7">
        <f>IFERROR(__xludf.DUMMYFUNCTION("""COMPUTED_VALUE"""),1247192.0)</f>
        <v>1247192</v>
      </c>
      <c r="G1841" s="7" t="str">
        <f>IFERROR(__xludf.DUMMYFUNCTION("""COMPUTED_VALUE"""),"ADANIENSOL.NS")</f>
        <v>ADANIENSOL.NS</v>
      </c>
      <c r="H1841" s="8">
        <f t="shared" si="1"/>
        <v>-0.01980369515</v>
      </c>
      <c r="I1841" s="8">
        <f t="shared" si="2"/>
        <v>0.01980369515</v>
      </c>
      <c r="J1841" s="7" t="str">
        <f t="shared" si="3"/>
        <v>Jun-2025</v>
      </c>
      <c r="K1841" s="9">
        <f t="shared" si="4"/>
        <v>45809</v>
      </c>
      <c r="L1841" s="7" t="str">
        <f t="shared" si="5"/>
        <v/>
      </c>
      <c r="M1841" s="7" t="str">
        <f>IFERROR(__xludf.DUMMYFUNCTION("IFERROR(
  IF(
    F1841 &gt;
    3*AVERAGE(
       FILTER($F$2:$F10491,
         $G$2:$G10491=G1841,
         $A$2:$A10491&gt;=A1841-20,
         $A$2:$A10491&lt;=A1841
       )
    ),
    ""VOL_SPIKE_3X"",""""
  ),
"""")
"),"")</f>
        <v/>
      </c>
      <c r="N1841" s="7" t="str">
        <f t="shared" si="6"/>
        <v/>
      </c>
      <c r="O1841" s="7" t="str">
        <f t="shared" si="7"/>
        <v/>
      </c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>
      <c r="A1842" s="5">
        <f>IFERROR(__xludf.DUMMYFUNCTION("""COMPUTED_VALUE"""),45825.0)</f>
        <v>45825</v>
      </c>
      <c r="B1842" s="6">
        <f>IFERROR(__xludf.DUMMYFUNCTION("""COMPUTED_VALUE"""),992.8)</f>
        <v>992.8</v>
      </c>
      <c r="C1842" s="6">
        <f>IFERROR(__xludf.DUMMYFUNCTION("""COMPUTED_VALUE"""),997.5)</f>
        <v>997.5</v>
      </c>
      <c r="D1842" s="6">
        <f>IFERROR(__xludf.DUMMYFUNCTION("""COMPUTED_VALUE"""),975.0)</f>
        <v>975</v>
      </c>
      <c r="E1842" s="6">
        <f>IFERROR(__xludf.DUMMYFUNCTION("""COMPUTED_VALUE"""),977.5)</f>
        <v>977.5</v>
      </c>
      <c r="F1842" s="7">
        <f>IFERROR(__xludf.DUMMYFUNCTION("""COMPUTED_VALUE"""),1281462.0)</f>
        <v>1281462</v>
      </c>
      <c r="G1842" s="7" t="str">
        <f>IFERROR(__xludf.DUMMYFUNCTION("""COMPUTED_VALUE"""),"ADANIGREEN.NS")</f>
        <v>ADANIGREEN.NS</v>
      </c>
      <c r="H1842" s="8">
        <f t="shared" si="1"/>
        <v>-0.0154109589</v>
      </c>
      <c r="I1842" s="8">
        <f t="shared" si="2"/>
        <v>0.0154109589</v>
      </c>
      <c r="J1842" s="7" t="str">
        <f t="shared" si="3"/>
        <v>Jun-2025</v>
      </c>
      <c r="K1842" s="9">
        <f t="shared" si="4"/>
        <v>45809</v>
      </c>
      <c r="L1842" s="7" t="str">
        <f t="shared" si="5"/>
        <v/>
      </c>
      <c r="M1842" s="7" t="str">
        <f>IFERROR(__xludf.DUMMYFUNCTION("IFERROR(
  IF(
    F1842 &gt;
    3*AVERAGE(
       FILTER($F$2:$F10491,
         $G$2:$G10491=G1842,
         $A$2:$A10491&gt;=A1842-20,
         $A$2:$A10491&lt;=A1842
       )
    ),
    ""VOL_SPIKE_3X"",""""
  ),
"""")
"),"")</f>
        <v/>
      </c>
      <c r="N1842" s="7" t="str">
        <f t="shared" si="6"/>
        <v/>
      </c>
      <c r="O1842" s="7" t="str">
        <f t="shared" si="7"/>
        <v/>
      </c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>
      <c r="A1843" s="5">
        <f>IFERROR(__xludf.DUMMYFUNCTION("""COMPUTED_VALUE"""),45825.0)</f>
        <v>45825</v>
      </c>
      <c r="B1843" s="6">
        <f>IFERROR(__xludf.DUMMYFUNCTION("""COMPUTED_VALUE"""),314.0)</f>
        <v>314</v>
      </c>
      <c r="C1843" s="6">
        <f>IFERROR(__xludf.DUMMYFUNCTION("""COMPUTED_VALUE"""),320.45)</f>
        <v>320.45</v>
      </c>
      <c r="D1843" s="6">
        <f>IFERROR(__xludf.DUMMYFUNCTION("""COMPUTED_VALUE"""),311.7)</f>
        <v>311.7</v>
      </c>
      <c r="E1843" s="6">
        <f>IFERROR(__xludf.DUMMYFUNCTION("""COMPUTED_VALUE"""),312.8)</f>
        <v>312.8</v>
      </c>
      <c r="F1843" s="7">
        <f>IFERROR(__xludf.DUMMYFUNCTION("""COMPUTED_VALUE"""),7219608.0)</f>
        <v>7219608</v>
      </c>
      <c r="G1843" s="7" t="str">
        <f>IFERROR(__xludf.DUMMYFUNCTION("""COMPUTED_VALUE"""),"BPCL.NS")</f>
        <v>BPCL.NS</v>
      </c>
      <c r="H1843" s="8">
        <f t="shared" si="1"/>
        <v>-0.003821656051</v>
      </c>
      <c r="I1843" s="8">
        <f t="shared" si="2"/>
        <v>0.003821656051</v>
      </c>
      <c r="J1843" s="7" t="str">
        <f t="shared" si="3"/>
        <v>Jun-2025</v>
      </c>
      <c r="K1843" s="9">
        <f t="shared" si="4"/>
        <v>45809</v>
      </c>
      <c r="L1843" s="7" t="str">
        <f t="shared" si="5"/>
        <v/>
      </c>
      <c r="M1843" s="7" t="str">
        <f>IFERROR(__xludf.DUMMYFUNCTION("IFERROR(
  IF(
    F1843 &gt;
    3*AVERAGE(
       FILTER($F$2:$F10491,
         $G$2:$G10491=G1843,
         $A$2:$A10491&gt;=A1843-20,
         $A$2:$A10491&lt;=A1843
       )
    ),
    ""VOL_SPIKE_3X"",""""
  ),
"""")
"),"")</f>
        <v/>
      </c>
      <c r="N1843" s="7" t="str">
        <f t="shared" si="6"/>
        <v/>
      </c>
      <c r="O1843" s="7" t="str">
        <f t="shared" si="7"/>
        <v/>
      </c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>
      <c r="A1844" s="5">
        <f>IFERROR(__xludf.DUMMYFUNCTION("""COMPUTED_VALUE"""),45825.0)</f>
        <v>45825</v>
      </c>
      <c r="B1844" s="6">
        <f>IFERROR(__xludf.DUMMYFUNCTION("""COMPUTED_VALUE"""),394.0)</f>
        <v>394</v>
      </c>
      <c r="C1844" s="6">
        <f>IFERROR(__xludf.DUMMYFUNCTION("""COMPUTED_VALUE"""),395.85)</f>
        <v>395.85</v>
      </c>
      <c r="D1844" s="6">
        <f>IFERROR(__xludf.DUMMYFUNCTION("""COMPUTED_VALUE"""),390.1)</f>
        <v>390.1</v>
      </c>
      <c r="E1844" s="6">
        <f>IFERROR(__xludf.DUMMYFUNCTION("""COMPUTED_VALUE"""),391.3)</f>
        <v>391.3</v>
      </c>
      <c r="F1844" s="7">
        <f>IFERROR(__xludf.DUMMYFUNCTION("""COMPUTED_VALUE"""),3248476.0)</f>
        <v>3248476</v>
      </c>
      <c r="G1844" s="7" t="str">
        <f>IFERROR(__xludf.DUMMYFUNCTION("""COMPUTED_VALUE"""),"COALINDIA.NS")</f>
        <v>COALINDIA.NS</v>
      </c>
      <c r="H1844" s="8">
        <f t="shared" si="1"/>
        <v>-0.006852791878</v>
      </c>
      <c r="I1844" s="8">
        <f t="shared" si="2"/>
        <v>0.006852791878</v>
      </c>
      <c r="J1844" s="7" t="str">
        <f t="shared" si="3"/>
        <v>Jun-2025</v>
      </c>
      <c r="K1844" s="9">
        <f t="shared" si="4"/>
        <v>45809</v>
      </c>
      <c r="L1844" s="7" t="str">
        <f t="shared" si="5"/>
        <v/>
      </c>
      <c r="M1844" s="7" t="str">
        <f>IFERROR(__xludf.DUMMYFUNCTION("IFERROR(
  IF(
    F1844 &gt;
    3*AVERAGE(
       FILTER($F$2:$F10491,
         $G$2:$G10491=G1844,
         $A$2:$A10491&gt;=A1844-20,
         $A$2:$A10491&lt;=A1844
       )
    ),
    ""VOL_SPIKE_3X"",""""
  ),
"""")
"),"")</f>
        <v/>
      </c>
      <c r="N1844" s="7" t="str">
        <f t="shared" si="6"/>
        <v/>
      </c>
      <c r="O1844" s="7" t="str">
        <f t="shared" si="7"/>
        <v/>
      </c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>
      <c r="A1845" s="5">
        <f>IFERROR(__xludf.DUMMYFUNCTION("""COMPUTED_VALUE"""),45825.0)</f>
        <v>45825</v>
      </c>
      <c r="B1845" s="6">
        <f>IFERROR(__xludf.DUMMYFUNCTION("""COMPUTED_VALUE"""),393.95)</f>
        <v>393.95</v>
      </c>
      <c r="C1845" s="6">
        <f>IFERROR(__xludf.DUMMYFUNCTION("""COMPUTED_VALUE"""),401.0)</f>
        <v>401</v>
      </c>
      <c r="D1845" s="6">
        <f>IFERROR(__xludf.DUMMYFUNCTION("""COMPUTED_VALUE"""),392.0)</f>
        <v>392</v>
      </c>
      <c r="E1845" s="6">
        <f>IFERROR(__xludf.DUMMYFUNCTION("""COMPUTED_VALUE"""),393.25)</f>
        <v>393.25</v>
      </c>
      <c r="F1845" s="7">
        <f>IFERROR(__xludf.DUMMYFUNCTION("""COMPUTED_VALUE"""),3815275.0)</f>
        <v>3815275</v>
      </c>
      <c r="G1845" s="7" t="str">
        <f>IFERROR(__xludf.DUMMYFUNCTION("""COMPUTED_VALUE"""),"HINDPETRO.NS")</f>
        <v>HINDPETRO.NS</v>
      </c>
      <c r="H1845" s="8">
        <f t="shared" si="1"/>
        <v>-0.001776875238</v>
      </c>
      <c r="I1845" s="8">
        <f t="shared" si="2"/>
        <v>0.001776875238</v>
      </c>
      <c r="J1845" s="7" t="str">
        <f t="shared" si="3"/>
        <v>Jun-2025</v>
      </c>
      <c r="K1845" s="9">
        <f t="shared" si="4"/>
        <v>45809</v>
      </c>
      <c r="L1845" s="7" t="str">
        <f t="shared" si="5"/>
        <v/>
      </c>
      <c r="M1845" s="7" t="str">
        <f>IFERROR(__xludf.DUMMYFUNCTION("IFERROR(
  IF(
    F1845 &gt;
    3*AVERAGE(
       FILTER($F$2:$F10491,
         $G$2:$G10491=G1845,
         $A$2:$A10491&gt;=A1845-20,
         $A$2:$A10491&lt;=A1845
       )
    ),
    ""VOL_SPIKE_3X"",""""
  ),
"""")
"),"")</f>
        <v/>
      </c>
      <c r="N1845" s="7" t="str">
        <f t="shared" si="6"/>
        <v/>
      </c>
      <c r="O1845" s="7" t="str">
        <f t="shared" si="7"/>
        <v/>
      </c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>
      <c r="A1846" s="5">
        <f>IFERROR(__xludf.DUMMYFUNCTION("""COMPUTED_VALUE"""),45825.0)</f>
        <v>45825</v>
      </c>
      <c r="B1846" s="6">
        <f>IFERROR(__xludf.DUMMYFUNCTION("""COMPUTED_VALUE"""),141.3)</f>
        <v>141.3</v>
      </c>
      <c r="C1846" s="6">
        <f>IFERROR(__xludf.DUMMYFUNCTION("""COMPUTED_VALUE"""),143.47)</f>
        <v>143.47</v>
      </c>
      <c r="D1846" s="6">
        <f>IFERROR(__xludf.DUMMYFUNCTION("""COMPUTED_VALUE"""),141.2)</f>
        <v>141.2</v>
      </c>
      <c r="E1846" s="6">
        <f>IFERROR(__xludf.DUMMYFUNCTION("""COMPUTED_VALUE"""),141.68)</f>
        <v>141.68</v>
      </c>
      <c r="F1846" s="7">
        <f>IFERROR(__xludf.DUMMYFUNCTION("""COMPUTED_VALUE"""),9983651.0)</f>
        <v>9983651</v>
      </c>
      <c r="G1846" s="7" t="str">
        <f>IFERROR(__xludf.DUMMYFUNCTION("""COMPUTED_VALUE"""),"IOC.NS")</f>
        <v>IOC.NS</v>
      </c>
      <c r="H1846" s="8">
        <f t="shared" si="1"/>
        <v>0.002689313517</v>
      </c>
      <c r="I1846" s="8">
        <f t="shared" si="2"/>
        <v>0.002689313517</v>
      </c>
      <c r="J1846" s="7" t="str">
        <f t="shared" si="3"/>
        <v>Jun-2025</v>
      </c>
      <c r="K1846" s="9">
        <f t="shared" si="4"/>
        <v>45809</v>
      </c>
      <c r="L1846" s="7" t="str">
        <f t="shared" si="5"/>
        <v/>
      </c>
      <c r="M1846" s="7" t="str">
        <f>IFERROR(__xludf.DUMMYFUNCTION("IFERROR(
  IF(
    F1846 &gt;
    3*AVERAGE(
       FILTER($F$2:$F10491,
         $G$2:$G10491=G1846,
         $A$2:$A10491&gt;=A1846-20,
         $A$2:$A10491&lt;=A1846
       )
    ),
    ""VOL_SPIKE_3X"",""""
  ),
"""")
"),"")</f>
        <v/>
      </c>
      <c r="N1846" s="7" t="str">
        <f t="shared" si="6"/>
        <v/>
      </c>
      <c r="O1846" s="7" t="str">
        <f t="shared" si="7"/>
        <v/>
      </c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>
      <c r="A1847" s="5">
        <f>IFERROR(__xludf.DUMMYFUNCTION("""COMPUTED_VALUE"""),45825.0)</f>
        <v>45825</v>
      </c>
      <c r="B1847" s="6">
        <f>IFERROR(__xludf.DUMMYFUNCTION("""COMPUTED_VALUE"""),334.0)</f>
        <v>334</v>
      </c>
      <c r="C1847" s="6">
        <f>IFERROR(__xludf.DUMMYFUNCTION("""COMPUTED_VALUE"""),336.9)</f>
        <v>336.9</v>
      </c>
      <c r="D1847" s="6">
        <f>IFERROR(__xludf.DUMMYFUNCTION("""COMPUTED_VALUE"""),333.1)</f>
        <v>333.1</v>
      </c>
      <c r="E1847" s="6">
        <f>IFERROR(__xludf.DUMMYFUNCTION("""COMPUTED_VALUE"""),335.2)</f>
        <v>335.2</v>
      </c>
      <c r="F1847" s="7">
        <f>IFERROR(__xludf.DUMMYFUNCTION("""COMPUTED_VALUE"""),6796992.0)</f>
        <v>6796992</v>
      </c>
      <c r="G1847" s="7" t="str">
        <f>IFERROR(__xludf.DUMMYFUNCTION("""COMPUTED_VALUE"""),"NTPC.NS")</f>
        <v>NTPC.NS</v>
      </c>
      <c r="H1847" s="8">
        <f t="shared" si="1"/>
        <v>0.003592814371</v>
      </c>
      <c r="I1847" s="8">
        <f t="shared" si="2"/>
        <v>0.003592814371</v>
      </c>
      <c r="J1847" s="7" t="str">
        <f t="shared" si="3"/>
        <v>Jun-2025</v>
      </c>
      <c r="K1847" s="9">
        <f t="shared" si="4"/>
        <v>45809</v>
      </c>
      <c r="L1847" s="7" t="str">
        <f t="shared" si="5"/>
        <v/>
      </c>
      <c r="M1847" s="7" t="str">
        <f>IFERROR(__xludf.DUMMYFUNCTION("IFERROR(
  IF(
    F1847 &gt;
    3*AVERAGE(
       FILTER($F$2:$F10491,
         $G$2:$G10491=G1847,
         $A$2:$A10491&gt;=A1847-20,
         $A$2:$A10491&lt;=A1847
       )
    ),
    ""VOL_SPIKE_3X"",""""
  ),
"""")
"),"")</f>
        <v/>
      </c>
      <c r="N1847" s="7" t="str">
        <f t="shared" si="6"/>
        <v/>
      </c>
      <c r="O1847" s="7" t="str">
        <f t="shared" si="7"/>
        <v/>
      </c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>
      <c r="A1848" s="5">
        <f>IFERROR(__xludf.DUMMYFUNCTION("""COMPUTED_VALUE"""),45825.0)</f>
        <v>45825</v>
      </c>
      <c r="B1848" s="6">
        <f>IFERROR(__xludf.DUMMYFUNCTION("""COMPUTED_VALUE"""),256.94)</f>
        <v>256.94</v>
      </c>
      <c r="C1848" s="6">
        <f>IFERROR(__xludf.DUMMYFUNCTION("""COMPUTED_VALUE"""),257.09)</f>
        <v>257.09</v>
      </c>
      <c r="D1848" s="6">
        <f>IFERROR(__xludf.DUMMYFUNCTION("""COMPUTED_VALUE"""),251.55)</f>
        <v>251.55</v>
      </c>
      <c r="E1848" s="6">
        <f>IFERROR(__xludf.DUMMYFUNCTION("""COMPUTED_VALUE"""),252.31)</f>
        <v>252.31</v>
      </c>
      <c r="F1848" s="7">
        <f>IFERROR(__xludf.DUMMYFUNCTION("""COMPUTED_VALUE"""),1.8781097E7)</f>
        <v>18781097</v>
      </c>
      <c r="G1848" s="7" t="str">
        <f>IFERROR(__xludf.DUMMYFUNCTION("""COMPUTED_VALUE"""),"ONGC.NS")</f>
        <v>ONGC.NS</v>
      </c>
      <c r="H1848" s="8">
        <f t="shared" si="1"/>
        <v>-0.01801977115</v>
      </c>
      <c r="I1848" s="8">
        <f t="shared" si="2"/>
        <v>0.01801977115</v>
      </c>
      <c r="J1848" s="7" t="str">
        <f t="shared" si="3"/>
        <v>Jun-2025</v>
      </c>
      <c r="K1848" s="9">
        <f t="shared" si="4"/>
        <v>45809</v>
      </c>
      <c r="L1848" s="7" t="str">
        <f t="shared" si="5"/>
        <v/>
      </c>
      <c r="M1848" s="7" t="str">
        <f>IFERROR(__xludf.DUMMYFUNCTION("IFERROR(
  IF(
    F1848 &gt;
    3*AVERAGE(
       FILTER($F$2:$F10491,
         $G$2:$G10491=G1848,
         $A$2:$A10491&gt;=A1848-20,
         $A$2:$A10491&lt;=A1848
       )
    ),
    ""VOL_SPIKE_3X"",""""
  ),
"""")
"),"")</f>
        <v/>
      </c>
      <c r="N1848" s="7" t="str">
        <f t="shared" si="6"/>
        <v/>
      </c>
      <c r="O1848" s="7" t="str">
        <f t="shared" si="7"/>
        <v/>
      </c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>
      <c r="A1849" s="5">
        <f>IFERROR(__xludf.DUMMYFUNCTION("""COMPUTED_VALUE"""),45825.0)</f>
        <v>45825</v>
      </c>
      <c r="B1849" s="6">
        <f>IFERROR(__xludf.DUMMYFUNCTION("""COMPUTED_VALUE"""),288.65)</f>
        <v>288.65</v>
      </c>
      <c r="C1849" s="6">
        <f>IFERROR(__xludf.DUMMYFUNCTION("""COMPUTED_VALUE"""),290.45)</f>
        <v>290.45</v>
      </c>
      <c r="D1849" s="6">
        <f>IFERROR(__xludf.DUMMYFUNCTION("""COMPUTED_VALUE"""),287.2)</f>
        <v>287.2</v>
      </c>
      <c r="E1849" s="6">
        <f>IFERROR(__xludf.DUMMYFUNCTION("""COMPUTED_VALUE"""),288.55)</f>
        <v>288.55</v>
      </c>
      <c r="F1849" s="7">
        <f>IFERROR(__xludf.DUMMYFUNCTION("""COMPUTED_VALUE"""),7286868.0)</f>
        <v>7286868</v>
      </c>
      <c r="G1849" s="7" t="str">
        <f>IFERROR(__xludf.DUMMYFUNCTION("""COMPUTED_VALUE"""),"POWERGRID.NS")</f>
        <v>POWERGRID.NS</v>
      </c>
      <c r="H1849" s="8">
        <f t="shared" si="1"/>
        <v>-0.0003464403257</v>
      </c>
      <c r="I1849" s="8">
        <f t="shared" si="2"/>
        <v>0.0003464403257</v>
      </c>
      <c r="J1849" s="7" t="str">
        <f t="shared" si="3"/>
        <v>Jun-2025</v>
      </c>
      <c r="K1849" s="9">
        <f t="shared" si="4"/>
        <v>45809</v>
      </c>
      <c r="L1849" s="7" t="str">
        <f t="shared" si="5"/>
        <v/>
      </c>
      <c r="M1849" s="7" t="str">
        <f>IFERROR(__xludf.DUMMYFUNCTION("IFERROR(
  IF(
    F1849 &gt;
    3*AVERAGE(
       FILTER($F$2:$F10491,
         $G$2:$G10491=G1849,
         $A$2:$A10491&gt;=A1849-20,
         $A$2:$A10491&lt;=A1849
       )
    ),
    ""VOL_SPIKE_3X"",""""
  ),
"""")
"),"")</f>
        <v/>
      </c>
      <c r="N1849" s="7" t="str">
        <f t="shared" si="6"/>
        <v/>
      </c>
      <c r="O1849" s="7" t="str">
        <f t="shared" si="7"/>
        <v/>
      </c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>
      <c r="A1850" s="5">
        <f>IFERROR(__xludf.DUMMYFUNCTION("""COMPUTED_VALUE"""),45825.0)</f>
        <v>45825</v>
      </c>
      <c r="B1850" s="6">
        <f>IFERROR(__xludf.DUMMYFUNCTION("""COMPUTED_VALUE"""),1448.0)</f>
        <v>1448</v>
      </c>
      <c r="C1850" s="6">
        <f>IFERROR(__xludf.DUMMYFUNCTION("""COMPUTED_VALUE"""),1448.0)</f>
        <v>1448</v>
      </c>
      <c r="D1850" s="6">
        <f>IFERROR(__xludf.DUMMYFUNCTION("""COMPUTED_VALUE"""),1425.8)</f>
        <v>1425.8</v>
      </c>
      <c r="E1850" s="6">
        <f>IFERROR(__xludf.DUMMYFUNCTION("""COMPUTED_VALUE"""),1431.2)</f>
        <v>1431.2</v>
      </c>
      <c r="F1850" s="7">
        <f>IFERROR(__xludf.DUMMYFUNCTION("""COMPUTED_VALUE"""),1.0366599E7)</f>
        <v>10366599</v>
      </c>
      <c r="G1850" s="7" t="str">
        <f>IFERROR(__xludf.DUMMYFUNCTION("""COMPUTED_VALUE"""),"RELIANCE.NS")</f>
        <v>RELIANCE.NS</v>
      </c>
      <c r="H1850" s="8">
        <f t="shared" si="1"/>
        <v>-0.01160220994</v>
      </c>
      <c r="I1850" s="8">
        <f t="shared" si="2"/>
        <v>0.01160220994</v>
      </c>
      <c r="J1850" s="7" t="str">
        <f t="shared" si="3"/>
        <v>Jun-2025</v>
      </c>
      <c r="K1850" s="9">
        <f t="shared" si="4"/>
        <v>45809</v>
      </c>
      <c r="L1850" s="7" t="str">
        <f t="shared" si="5"/>
        <v/>
      </c>
      <c r="M1850" s="7" t="str">
        <f>IFERROR(__xludf.DUMMYFUNCTION("IFERROR(
  IF(
    F1850 &gt;
    3*AVERAGE(
       FILTER($F$2:$F10491,
         $G$2:$G10491=G1850,
         $A$2:$A10491&gt;=A1850-20,
         $A$2:$A10491&lt;=A1850
       )
    ),
    ""VOL_SPIKE_3X"",""""
  ),
"""")
"),"")</f>
        <v/>
      </c>
      <c r="N1850" s="7" t="str">
        <f t="shared" si="6"/>
        <v/>
      </c>
      <c r="O1850" s="7" t="str">
        <f t="shared" si="7"/>
        <v/>
      </c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>
      <c r="A1851" s="5">
        <f>IFERROR(__xludf.DUMMYFUNCTION("""COMPUTED_VALUE"""),45826.0)</f>
        <v>45826</v>
      </c>
      <c r="B1851" s="6">
        <f>IFERROR(__xludf.DUMMYFUNCTION("""COMPUTED_VALUE"""),848.95)</f>
        <v>848.95</v>
      </c>
      <c r="C1851" s="6">
        <f>IFERROR(__xludf.DUMMYFUNCTION("""COMPUTED_VALUE"""),858.55)</f>
        <v>858.55</v>
      </c>
      <c r="D1851" s="6">
        <f>IFERROR(__xludf.DUMMYFUNCTION("""COMPUTED_VALUE"""),834.6)</f>
        <v>834.6</v>
      </c>
      <c r="E1851" s="6">
        <f>IFERROR(__xludf.DUMMYFUNCTION("""COMPUTED_VALUE"""),846.45)</f>
        <v>846.45</v>
      </c>
      <c r="F1851" s="7">
        <f>IFERROR(__xludf.DUMMYFUNCTION("""COMPUTED_VALUE"""),1943400.0)</f>
        <v>1943400</v>
      </c>
      <c r="G1851" s="7" t="str">
        <f>IFERROR(__xludf.DUMMYFUNCTION("""COMPUTED_VALUE"""),"ADANIENSOL.NS")</f>
        <v>ADANIENSOL.NS</v>
      </c>
      <c r="H1851" s="8">
        <f t="shared" si="1"/>
        <v>-0.002944814182</v>
      </c>
      <c r="I1851" s="8">
        <f t="shared" si="2"/>
        <v>0.002944814182</v>
      </c>
      <c r="J1851" s="7" t="str">
        <f t="shared" si="3"/>
        <v>Jun-2025</v>
      </c>
      <c r="K1851" s="9">
        <f t="shared" si="4"/>
        <v>45809</v>
      </c>
      <c r="L1851" s="7" t="str">
        <f t="shared" si="5"/>
        <v/>
      </c>
      <c r="M1851" s="7" t="str">
        <f>IFERROR(__xludf.DUMMYFUNCTION("IFERROR(
  IF(
    F1851 &gt;
    3*AVERAGE(
       FILTER($F$2:$F10491,
         $G$2:$G10491=G1851,
         $A$2:$A10491&gt;=A1851-20,
         $A$2:$A10491&lt;=A1851
       )
    ),
    ""VOL_SPIKE_3X"",""""
  ),
"""")
"),"")</f>
        <v/>
      </c>
      <c r="N1851" s="7" t="str">
        <f t="shared" si="6"/>
        <v/>
      </c>
      <c r="O1851" s="7" t="str">
        <f t="shared" si="7"/>
        <v/>
      </c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>
      <c r="A1852" s="5">
        <f>IFERROR(__xludf.DUMMYFUNCTION("""COMPUTED_VALUE"""),45826.0)</f>
        <v>45826</v>
      </c>
      <c r="B1852" s="6">
        <f>IFERROR(__xludf.DUMMYFUNCTION("""COMPUTED_VALUE"""),977.5)</f>
        <v>977.5</v>
      </c>
      <c r="C1852" s="6">
        <f>IFERROR(__xludf.DUMMYFUNCTION("""COMPUTED_VALUE"""),985.6)</f>
        <v>985.6</v>
      </c>
      <c r="D1852" s="6">
        <f>IFERROR(__xludf.DUMMYFUNCTION("""COMPUTED_VALUE"""),963.2)</f>
        <v>963.2</v>
      </c>
      <c r="E1852" s="6">
        <f>IFERROR(__xludf.DUMMYFUNCTION("""COMPUTED_VALUE"""),968.9)</f>
        <v>968.9</v>
      </c>
      <c r="F1852" s="7">
        <f>IFERROR(__xludf.DUMMYFUNCTION("""COMPUTED_VALUE"""),1632269.0)</f>
        <v>1632269</v>
      </c>
      <c r="G1852" s="7" t="str">
        <f>IFERROR(__xludf.DUMMYFUNCTION("""COMPUTED_VALUE"""),"ADANIGREEN.NS")</f>
        <v>ADANIGREEN.NS</v>
      </c>
      <c r="H1852" s="8">
        <f t="shared" si="1"/>
        <v>-0.008797953964</v>
      </c>
      <c r="I1852" s="8">
        <f t="shared" si="2"/>
        <v>0.008797953964</v>
      </c>
      <c r="J1852" s="7" t="str">
        <f t="shared" si="3"/>
        <v>Jun-2025</v>
      </c>
      <c r="K1852" s="9">
        <f t="shared" si="4"/>
        <v>45809</v>
      </c>
      <c r="L1852" s="7" t="str">
        <f t="shared" si="5"/>
        <v/>
      </c>
      <c r="M1852" s="7" t="str">
        <f>IFERROR(__xludf.DUMMYFUNCTION("IFERROR(
  IF(
    F1852 &gt;
    3*AVERAGE(
       FILTER($F$2:$F10491,
         $G$2:$G10491=G1852,
         $A$2:$A10491&gt;=A1852-20,
         $A$2:$A10491&lt;=A1852
       )
    ),
    ""VOL_SPIKE_3X"",""""
  ),
"""")
"),"")</f>
        <v/>
      </c>
      <c r="N1852" s="7" t="str">
        <f t="shared" si="6"/>
        <v/>
      </c>
      <c r="O1852" s="7" t="str">
        <f t="shared" si="7"/>
        <v/>
      </c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>
      <c r="A1853" s="5">
        <f>IFERROR(__xludf.DUMMYFUNCTION("""COMPUTED_VALUE"""),45826.0)</f>
        <v>45826</v>
      </c>
      <c r="B1853" s="6">
        <f>IFERROR(__xludf.DUMMYFUNCTION("""COMPUTED_VALUE"""),312.0)</f>
        <v>312</v>
      </c>
      <c r="C1853" s="6">
        <f>IFERROR(__xludf.DUMMYFUNCTION("""COMPUTED_VALUE"""),316.85)</f>
        <v>316.85</v>
      </c>
      <c r="D1853" s="6">
        <f>IFERROR(__xludf.DUMMYFUNCTION("""COMPUTED_VALUE"""),309.7)</f>
        <v>309.7</v>
      </c>
      <c r="E1853" s="6">
        <f>IFERROR(__xludf.DUMMYFUNCTION("""COMPUTED_VALUE"""),315.85)</f>
        <v>315.85</v>
      </c>
      <c r="F1853" s="7">
        <f>IFERROR(__xludf.DUMMYFUNCTION("""COMPUTED_VALUE"""),1.0011198E7)</f>
        <v>10011198</v>
      </c>
      <c r="G1853" s="7" t="str">
        <f>IFERROR(__xludf.DUMMYFUNCTION("""COMPUTED_VALUE"""),"BPCL.NS")</f>
        <v>BPCL.NS</v>
      </c>
      <c r="H1853" s="8">
        <f t="shared" si="1"/>
        <v>0.01233974359</v>
      </c>
      <c r="I1853" s="8">
        <f t="shared" si="2"/>
        <v>0.01233974359</v>
      </c>
      <c r="J1853" s="7" t="str">
        <f t="shared" si="3"/>
        <v>Jun-2025</v>
      </c>
      <c r="K1853" s="9">
        <f t="shared" si="4"/>
        <v>45809</v>
      </c>
      <c r="L1853" s="7" t="str">
        <f t="shared" si="5"/>
        <v/>
      </c>
      <c r="M1853" s="7" t="str">
        <f>IFERROR(__xludf.DUMMYFUNCTION("IFERROR(
  IF(
    F1853 &gt;
    3*AVERAGE(
       FILTER($F$2:$F10491,
         $G$2:$G10491=G1853,
         $A$2:$A10491&gt;=A1853-20,
         $A$2:$A10491&lt;=A1853
       )
    ),
    ""VOL_SPIKE_3X"",""""
  ),
"""")
"),"")</f>
        <v/>
      </c>
      <c r="N1853" s="7" t="str">
        <f t="shared" si="6"/>
        <v/>
      </c>
      <c r="O1853" s="7" t="str">
        <f t="shared" si="7"/>
        <v/>
      </c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>
      <c r="A1854" s="5">
        <f>IFERROR(__xludf.DUMMYFUNCTION("""COMPUTED_VALUE"""),45826.0)</f>
        <v>45826</v>
      </c>
      <c r="B1854" s="6">
        <f>IFERROR(__xludf.DUMMYFUNCTION("""COMPUTED_VALUE"""),391.3)</f>
        <v>391.3</v>
      </c>
      <c r="C1854" s="6">
        <f>IFERROR(__xludf.DUMMYFUNCTION("""COMPUTED_VALUE"""),393.4)</f>
        <v>393.4</v>
      </c>
      <c r="D1854" s="6">
        <f>IFERROR(__xludf.DUMMYFUNCTION("""COMPUTED_VALUE"""),388.1)</f>
        <v>388.1</v>
      </c>
      <c r="E1854" s="6">
        <f>IFERROR(__xludf.DUMMYFUNCTION("""COMPUTED_VALUE"""),390.35)</f>
        <v>390.35</v>
      </c>
      <c r="F1854" s="7">
        <f>IFERROR(__xludf.DUMMYFUNCTION("""COMPUTED_VALUE"""),4118145.0)</f>
        <v>4118145</v>
      </c>
      <c r="G1854" s="7" t="str">
        <f>IFERROR(__xludf.DUMMYFUNCTION("""COMPUTED_VALUE"""),"COALINDIA.NS")</f>
        <v>COALINDIA.NS</v>
      </c>
      <c r="H1854" s="8">
        <f t="shared" si="1"/>
        <v>-0.002427804753</v>
      </c>
      <c r="I1854" s="8">
        <f t="shared" si="2"/>
        <v>0.002427804753</v>
      </c>
      <c r="J1854" s="7" t="str">
        <f t="shared" si="3"/>
        <v>Jun-2025</v>
      </c>
      <c r="K1854" s="9">
        <f t="shared" si="4"/>
        <v>45809</v>
      </c>
      <c r="L1854" s="7" t="str">
        <f t="shared" si="5"/>
        <v/>
      </c>
      <c r="M1854" s="7" t="str">
        <f>IFERROR(__xludf.DUMMYFUNCTION("IFERROR(
  IF(
    F1854 &gt;
    3*AVERAGE(
       FILTER($F$2:$F10491,
         $G$2:$G10491=G1854,
         $A$2:$A10491&gt;=A1854-20,
         $A$2:$A10491&lt;=A1854
       )
    ),
    ""VOL_SPIKE_3X"",""""
  ),
"""")
"),"")</f>
        <v/>
      </c>
      <c r="N1854" s="7" t="str">
        <f t="shared" si="6"/>
        <v/>
      </c>
      <c r="O1854" s="7" t="str">
        <f t="shared" si="7"/>
        <v/>
      </c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>
      <c r="A1855" s="5">
        <f>IFERROR(__xludf.DUMMYFUNCTION("""COMPUTED_VALUE"""),45826.0)</f>
        <v>45826</v>
      </c>
      <c r="B1855" s="6">
        <f>IFERROR(__xludf.DUMMYFUNCTION("""COMPUTED_VALUE"""),390.1)</f>
        <v>390.1</v>
      </c>
      <c r="C1855" s="6">
        <f>IFERROR(__xludf.DUMMYFUNCTION("""COMPUTED_VALUE"""),394.95)</f>
        <v>394.95</v>
      </c>
      <c r="D1855" s="6">
        <f>IFERROR(__xludf.DUMMYFUNCTION("""COMPUTED_VALUE"""),388.3)</f>
        <v>388.3</v>
      </c>
      <c r="E1855" s="6">
        <f>IFERROR(__xludf.DUMMYFUNCTION("""COMPUTED_VALUE"""),393.95)</f>
        <v>393.95</v>
      </c>
      <c r="F1855" s="7">
        <f>IFERROR(__xludf.DUMMYFUNCTION("""COMPUTED_VALUE"""),3440848.0)</f>
        <v>3440848</v>
      </c>
      <c r="G1855" s="7" t="str">
        <f>IFERROR(__xludf.DUMMYFUNCTION("""COMPUTED_VALUE"""),"HINDPETRO.NS")</f>
        <v>HINDPETRO.NS</v>
      </c>
      <c r="H1855" s="8">
        <f t="shared" si="1"/>
        <v>0.009869264291</v>
      </c>
      <c r="I1855" s="8">
        <f t="shared" si="2"/>
        <v>0.009869264291</v>
      </c>
      <c r="J1855" s="7" t="str">
        <f t="shared" si="3"/>
        <v>Jun-2025</v>
      </c>
      <c r="K1855" s="9">
        <f t="shared" si="4"/>
        <v>45809</v>
      </c>
      <c r="L1855" s="7" t="str">
        <f t="shared" si="5"/>
        <v/>
      </c>
      <c r="M1855" s="7" t="str">
        <f>IFERROR(__xludf.DUMMYFUNCTION("IFERROR(
  IF(
    F1855 &gt;
    3*AVERAGE(
       FILTER($F$2:$F10491,
         $G$2:$G10491=G1855,
         $A$2:$A10491&gt;=A1855-20,
         $A$2:$A10491&lt;=A1855
       )
    ),
    ""VOL_SPIKE_3X"",""""
  ),
"""")
"),"")</f>
        <v/>
      </c>
      <c r="N1855" s="7" t="str">
        <f t="shared" si="6"/>
        <v/>
      </c>
      <c r="O1855" s="7" t="str">
        <f t="shared" si="7"/>
        <v/>
      </c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>
      <c r="A1856" s="5">
        <f>IFERROR(__xludf.DUMMYFUNCTION("""COMPUTED_VALUE"""),45826.0)</f>
        <v>45826</v>
      </c>
      <c r="B1856" s="6">
        <f>IFERROR(__xludf.DUMMYFUNCTION("""COMPUTED_VALUE"""),141.02)</f>
        <v>141.02</v>
      </c>
      <c r="C1856" s="6">
        <f>IFERROR(__xludf.DUMMYFUNCTION("""COMPUTED_VALUE"""),142.09)</f>
        <v>142.09</v>
      </c>
      <c r="D1856" s="6">
        <f>IFERROR(__xludf.DUMMYFUNCTION("""COMPUTED_VALUE"""),139.5)</f>
        <v>139.5</v>
      </c>
      <c r="E1856" s="6">
        <f>IFERROR(__xludf.DUMMYFUNCTION("""COMPUTED_VALUE"""),140.82)</f>
        <v>140.82</v>
      </c>
      <c r="F1856" s="7">
        <f>IFERROR(__xludf.DUMMYFUNCTION("""COMPUTED_VALUE"""),9045315.0)</f>
        <v>9045315</v>
      </c>
      <c r="G1856" s="7" t="str">
        <f>IFERROR(__xludf.DUMMYFUNCTION("""COMPUTED_VALUE"""),"IOC.NS")</f>
        <v>IOC.NS</v>
      </c>
      <c r="H1856" s="8">
        <f t="shared" si="1"/>
        <v>-0.001418238548</v>
      </c>
      <c r="I1856" s="8">
        <f t="shared" si="2"/>
        <v>0.001418238548</v>
      </c>
      <c r="J1856" s="7" t="str">
        <f t="shared" si="3"/>
        <v>Jun-2025</v>
      </c>
      <c r="K1856" s="9">
        <f t="shared" si="4"/>
        <v>45809</v>
      </c>
      <c r="L1856" s="7" t="str">
        <f t="shared" si="5"/>
        <v/>
      </c>
      <c r="M1856" s="7" t="str">
        <f>IFERROR(__xludf.DUMMYFUNCTION("IFERROR(
  IF(
    F1856 &gt;
    3*AVERAGE(
       FILTER($F$2:$F10491,
         $G$2:$G10491=G1856,
         $A$2:$A10491&gt;=A1856-20,
         $A$2:$A10491&lt;=A1856
       )
    ),
    ""VOL_SPIKE_3X"",""""
  ),
"""")
"),"")</f>
        <v/>
      </c>
      <c r="N1856" s="7" t="str">
        <f t="shared" si="6"/>
        <v/>
      </c>
      <c r="O1856" s="7" t="str">
        <f t="shared" si="7"/>
        <v/>
      </c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>
      <c r="A1857" s="5">
        <f>IFERROR(__xludf.DUMMYFUNCTION("""COMPUTED_VALUE"""),45826.0)</f>
        <v>45826</v>
      </c>
      <c r="B1857" s="6">
        <f>IFERROR(__xludf.DUMMYFUNCTION("""COMPUTED_VALUE"""),335.2)</f>
        <v>335.2</v>
      </c>
      <c r="C1857" s="6">
        <f>IFERROR(__xludf.DUMMYFUNCTION("""COMPUTED_VALUE"""),335.9)</f>
        <v>335.9</v>
      </c>
      <c r="D1857" s="6">
        <f>IFERROR(__xludf.DUMMYFUNCTION("""COMPUTED_VALUE"""),330.75)</f>
        <v>330.75</v>
      </c>
      <c r="E1857" s="6">
        <f>IFERROR(__xludf.DUMMYFUNCTION("""COMPUTED_VALUE"""),332.4)</f>
        <v>332.4</v>
      </c>
      <c r="F1857" s="7">
        <f>IFERROR(__xludf.DUMMYFUNCTION("""COMPUTED_VALUE"""),1.7835507E7)</f>
        <v>17835507</v>
      </c>
      <c r="G1857" s="7" t="str">
        <f>IFERROR(__xludf.DUMMYFUNCTION("""COMPUTED_VALUE"""),"NTPC.NS")</f>
        <v>NTPC.NS</v>
      </c>
      <c r="H1857" s="8">
        <f t="shared" si="1"/>
        <v>-0.008353221957</v>
      </c>
      <c r="I1857" s="8">
        <f t="shared" si="2"/>
        <v>0.008353221957</v>
      </c>
      <c r="J1857" s="7" t="str">
        <f t="shared" si="3"/>
        <v>Jun-2025</v>
      </c>
      <c r="K1857" s="9">
        <f t="shared" si="4"/>
        <v>45809</v>
      </c>
      <c r="L1857" s="7" t="str">
        <f t="shared" si="5"/>
        <v/>
      </c>
      <c r="M1857" s="7" t="str">
        <f>IFERROR(__xludf.DUMMYFUNCTION("IFERROR(
  IF(
    F1857 &gt;
    3*AVERAGE(
       FILTER($F$2:$F10491,
         $G$2:$G10491=G1857,
         $A$2:$A10491&gt;=A1857-20,
         $A$2:$A10491&lt;=A1857
       )
    ),
    ""VOL_SPIKE_3X"",""""
  ),
"""")
"),"")</f>
        <v/>
      </c>
      <c r="N1857" s="7" t="str">
        <f t="shared" si="6"/>
        <v/>
      </c>
      <c r="O1857" s="7" t="str">
        <f t="shared" si="7"/>
        <v/>
      </c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>
      <c r="A1858" s="5">
        <f>IFERROR(__xludf.DUMMYFUNCTION("""COMPUTED_VALUE"""),45826.0)</f>
        <v>45826</v>
      </c>
      <c r="B1858" s="6">
        <f>IFERROR(__xludf.DUMMYFUNCTION("""COMPUTED_VALUE"""),254.03)</f>
        <v>254.03</v>
      </c>
      <c r="C1858" s="6">
        <f>IFERROR(__xludf.DUMMYFUNCTION("""COMPUTED_VALUE"""),255.89)</f>
        <v>255.89</v>
      </c>
      <c r="D1858" s="6">
        <f>IFERROR(__xludf.DUMMYFUNCTION("""COMPUTED_VALUE"""),249.77)</f>
        <v>249.77</v>
      </c>
      <c r="E1858" s="6">
        <f>IFERROR(__xludf.DUMMYFUNCTION("""COMPUTED_VALUE"""),250.36)</f>
        <v>250.36</v>
      </c>
      <c r="F1858" s="7">
        <f>IFERROR(__xludf.DUMMYFUNCTION("""COMPUTED_VALUE"""),1.2691905E7)</f>
        <v>12691905</v>
      </c>
      <c r="G1858" s="7" t="str">
        <f>IFERROR(__xludf.DUMMYFUNCTION("""COMPUTED_VALUE"""),"ONGC.NS")</f>
        <v>ONGC.NS</v>
      </c>
      <c r="H1858" s="8">
        <f t="shared" si="1"/>
        <v>-0.01444711255</v>
      </c>
      <c r="I1858" s="8">
        <f t="shared" si="2"/>
        <v>0.01444711255</v>
      </c>
      <c r="J1858" s="7" t="str">
        <f t="shared" si="3"/>
        <v>Jun-2025</v>
      </c>
      <c r="K1858" s="9">
        <f t="shared" si="4"/>
        <v>45809</v>
      </c>
      <c r="L1858" s="7" t="str">
        <f t="shared" si="5"/>
        <v/>
      </c>
      <c r="M1858" s="7" t="str">
        <f>IFERROR(__xludf.DUMMYFUNCTION("IFERROR(
  IF(
    F1858 &gt;
    3*AVERAGE(
       FILTER($F$2:$F10491,
         $G$2:$G10491=G1858,
         $A$2:$A10491&gt;=A1858-20,
         $A$2:$A10491&lt;=A1858
       )
    ),
    ""VOL_SPIKE_3X"",""""
  ),
"""")
"),"")</f>
        <v/>
      </c>
      <c r="N1858" s="7" t="str">
        <f t="shared" si="6"/>
        <v/>
      </c>
      <c r="O1858" s="7" t="str">
        <f t="shared" si="7"/>
        <v/>
      </c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>
      <c r="A1859" s="5">
        <f>IFERROR(__xludf.DUMMYFUNCTION("""COMPUTED_VALUE"""),45826.0)</f>
        <v>45826</v>
      </c>
      <c r="B1859" s="6">
        <f>IFERROR(__xludf.DUMMYFUNCTION("""COMPUTED_VALUE"""),287.5)</f>
        <v>287.5</v>
      </c>
      <c r="C1859" s="6">
        <f>IFERROR(__xludf.DUMMYFUNCTION("""COMPUTED_VALUE"""),288.3)</f>
        <v>288.3</v>
      </c>
      <c r="D1859" s="6">
        <f>IFERROR(__xludf.DUMMYFUNCTION("""COMPUTED_VALUE"""),285.5)</f>
        <v>285.5</v>
      </c>
      <c r="E1859" s="6">
        <f>IFERROR(__xludf.DUMMYFUNCTION("""COMPUTED_VALUE"""),287.3)</f>
        <v>287.3</v>
      </c>
      <c r="F1859" s="7">
        <f>IFERROR(__xludf.DUMMYFUNCTION("""COMPUTED_VALUE"""),1.1904855E7)</f>
        <v>11904855</v>
      </c>
      <c r="G1859" s="7" t="str">
        <f>IFERROR(__xludf.DUMMYFUNCTION("""COMPUTED_VALUE"""),"POWERGRID.NS")</f>
        <v>POWERGRID.NS</v>
      </c>
      <c r="H1859" s="8">
        <f t="shared" si="1"/>
        <v>-0.0006956521739</v>
      </c>
      <c r="I1859" s="8">
        <f t="shared" si="2"/>
        <v>0.0006956521739</v>
      </c>
      <c r="J1859" s="7" t="str">
        <f t="shared" si="3"/>
        <v>Jun-2025</v>
      </c>
      <c r="K1859" s="9">
        <f t="shared" si="4"/>
        <v>45809</v>
      </c>
      <c r="L1859" s="7" t="str">
        <f t="shared" si="5"/>
        <v/>
      </c>
      <c r="M1859" s="7" t="str">
        <f>IFERROR(__xludf.DUMMYFUNCTION("IFERROR(
  IF(
    F1859 &gt;
    3*AVERAGE(
       FILTER($F$2:$F10491,
         $G$2:$G10491=G1859,
         $A$2:$A10491&gt;=A1859-20,
         $A$2:$A10491&lt;=A1859
       )
    ),
    ""VOL_SPIKE_3X"",""""
  ),
"""")
"),"")</f>
        <v/>
      </c>
      <c r="N1859" s="7" t="str">
        <f t="shared" si="6"/>
        <v/>
      </c>
      <c r="O1859" s="7" t="str">
        <f t="shared" si="7"/>
        <v/>
      </c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>
      <c r="A1860" s="5">
        <f>IFERROR(__xludf.DUMMYFUNCTION("""COMPUTED_VALUE"""),45826.0)</f>
        <v>45826</v>
      </c>
      <c r="B1860" s="6">
        <f>IFERROR(__xludf.DUMMYFUNCTION("""COMPUTED_VALUE"""),1430.0)</f>
        <v>1430</v>
      </c>
      <c r="C1860" s="6">
        <f>IFERROR(__xludf.DUMMYFUNCTION("""COMPUTED_VALUE"""),1442.8)</f>
        <v>1442.8</v>
      </c>
      <c r="D1860" s="6">
        <f>IFERROR(__xludf.DUMMYFUNCTION("""COMPUTED_VALUE"""),1425.7)</f>
        <v>1425.7</v>
      </c>
      <c r="E1860" s="6">
        <f>IFERROR(__xludf.DUMMYFUNCTION("""COMPUTED_VALUE"""),1430.1)</f>
        <v>1430.1</v>
      </c>
      <c r="F1860" s="7">
        <f>IFERROR(__xludf.DUMMYFUNCTION("""COMPUTED_VALUE"""),6681735.0)</f>
        <v>6681735</v>
      </c>
      <c r="G1860" s="7" t="str">
        <f>IFERROR(__xludf.DUMMYFUNCTION("""COMPUTED_VALUE"""),"RELIANCE.NS")</f>
        <v>RELIANCE.NS</v>
      </c>
      <c r="H1860" s="8">
        <f t="shared" si="1"/>
        <v>0.00006993006993</v>
      </c>
      <c r="I1860" s="8">
        <f t="shared" si="2"/>
        <v>0.00006993006993</v>
      </c>
      <c r="J1860" s="7" t="str">
        <f t="shared" si="3"/>
        <v>Jun-2025</v>
      </c>
      <c r="K1860" s="9">
        <f t="shared" si="4"/>
        <v>45809</v>
      </c>
      <c r="L1860" s="7" t="str">
        <f t="shared" si="5"/>
        <v/>
      </c>
      <c r="M1860" s="7" t="str">
        <f>IFERROR(__xludf.DUMMYFUNCTION("IFERROR(
  IF(
    F1860 &gt;
    3*AVERAGE(
       FILTER($F$2:$F10491,
         $G$2:$G10491=G1860,
         $A$2:$A10491&gt;=A1860-20,
         $A$2:$A10491&lt;=A1860
       )
    ),
    ""VOL_SPIKE_3X"",""""
  ),
"""")
"),"")</f>
        <v/>
      </c>
      <c r="N1860" s="7" t="str">
        <f t="shared" si="6"/>
        <v/>
      </c>
      <c r="O1860" s="7" t="str">
        <f t="shared" si="7"/>
        <v/>
      </c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>
      <c r="A1861" s="5">
        <f>IFERROR(__xludf.DUMMYFUNCTION("""COMPUTED_VALUE"""),45827.0)</f>
        <v>45827</v>
      </c>
      <c r="B1861" s="6">
        <f>IFERROR(__xludf.DUMMYFUNCTION("""COMPUTED_VALUE"""),845.0)</f>
        <v>845</v>
      </c>
      <c r="C1861" s="6">
        <f>IFERROR(__xludf.DUMMYFUNCTION("""COMPUTED_VALUE"""),849.05)</f>
        <v>849.05</v>
      </c>
      <c r="D1861" s="6">
        <f>IFERROR(__xludf.DUMMYFUNCTION("""COMPUTED_VALUE"""),818.0)</f>
        <v>818</v>
      </c>
      <c r="E1861" s="6">
        <f>IFERROR(__xludf.DUMMYFUNCTION("""COMPUTED_VALUE"""),823.6)</f>
        <v>823.6</v>
      </c>
      <c r="F1861" s="7">
        <f>IFERROR(__xludf.DUMMYFUNCTION("""COMPUTED_VALUE"""),1666745.0)</f>
        <v>1666745</v>
      </c>
      <c r="G1861" s="7" t="str">
        <f>IFERROR(__xludf.DUMMYFUNCTION("""COMPUTED_VALUE"""),"ADANIENSOL.NS")</f>
        <v>ADANIENSOL.NS</v>
      </c>
      <c r="H1861" s="8">
        <f t="shared" si="1"/>
        <v>-0.02532544379</v>
      </c>
      <c r="I1861" s="8">
        <f t="shared" si="2"/>
        <v>0.02532544379</v>
      </c>
      <c r="J1861" s="7" t="str">
        <f t="shared" si="3"/>
        <v>Jun-2025</v>
      </c>
      <c r="K1861" s="9">
        <f t="shared" si="4"/>
        <v>45809</v>
      </c>
      <c r="L1861" s="7" t="str">
        <f t="shared" si="5"/>
        <v/>
      </c>
      <c r="M1861" s="7" t="str">
        <f>IFERROR(__xludf.DUMMYFUNCTION("IFERROR(
  IF(
    F1861 &gt;
    3*AVERAGE(
       FILTER($F$2:$F10491,
         $G$2:$G10491=G1861,
         $A$2:$A10491&gt;=A1861-20,
         $A$2:$A10491&lt;=A1861
       )
    ),
    ""VOL_SPIKE_3X"",""""
  ),
"""")
"),"")</f>
        <v/>
      </c>
      <c r="N1861" s="7" t="str">
        <f t="shared" si="6"/>
        <v/>
      </c>
      <c r="O1861" s="7" t="str">
        <f t="shared" si="7"/>
        <v/>
      </c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>
      <c r="A1862" s="5">
        <f>IFERROR(__xludf.DUMMYFUNCTION("""COMPUTED_VALUE"""),45827.0)</f>
        <v>45827</v>
      </c>
      <c r="B1862" s="6">
        <f>IFERROR(__xludf.DUMMYFUNCTION("""COMPUTED_VALUE"""),970.0)</f>
        <v>970</v>
      </c>
      <c r="C1862" s="6">
        <f>IFERROR(__xludf.DUMMYFUNCTION("""COMPUTED_VALUE"""),973.4)</f>
        <v>973.4</v>
      </c>
      <c r="D1862" s="6">
        <f>IFERROR(__xludf.DUMMYFUNCTION("""COMPUTED_VALUE"""),929.0)</f>
        <v>929</v>
      </c>
      <c r="E1862" s="6">
        <f>IFERROR(__xludf.DUMMYFUNCTION("""COMPUTED_VALUE"""),934.0)</f>
        <v>934</v>
      </c>
      <c r="F1862" s="7">
        <f>IFERROR(__xludf.DUMMYFUNCTION("""COMPUTED_VALUE"""),2415130.0)</f>
        <v>2415130</v>
      </c>
      <c r="G1862" s="7" t="str">
        <f>IFERROR(__xludf.DUMMYFUNCTION("""COMPUTED_VALUE"""),"ADANIGREEN.NS")</f>
        <v>ADANIGREEN.NS</v>
      </c>
      <c r="H1862" s="8">
        <f t="shared" si="1"/>
        <v>-0.03711340206</v>
      </c>
      <c r="I1862" s="8">
        <f t="shared" si="2"/>
        <v>0.03711340206</v>
      </c>
      <c r="J1862" s="7" t="str">
        <f t="shared" si="3"/>
        <v>Jun-2025</v>
      </c>
      <c r="K1862" s="9">
        <f t="shared" si="4"/>
        <v>45809</v>
      </c>
      <c r="L1862" s="7" t="str">
        <f t="shared" si="5"/>
        <v/>
      </c>
      <c r="M1862" s="7" t="str">
        <f>IFERROR(__xludf.DUMMYFUNCTION("IFERROR(
  IF(
    F1862 &gt;
    3*AVERAGE(
       FILTER($F$2:$F10491,
         $G$2:$G10491=G1862,
         $A$2:$A10491&gt;=A1862-20,
         $A$2:$A10491&lt;=A1862
       )
    ),
    ""VOL_SPIKE_3X"",""""
  ),
"""")
"),"")</f>
        <v/>
      </c>
      <c r="N1862" s="7" t="str">
        <f t="shared" si="6"/>
        <v/>
      </c>
      <c r="O1862" s="7" t="str">
        <f t="shared" si="7"/>
        <v/>
      </c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>
      <c r="A1863" s="5">
        <f>IFERROR(__xludf.DUMMYFUNCTION("""COMPUTED_VALUE"""),45827.0)</f>
        <v>45827</v>
      </c>
      <c r="B1863" s="6">
        <f>IFERROR(__xludf.DUMMYFUNCTION("""COMPUTED_VALUE"""),317.0)</f>
        <v>317</v>
      </c>
      <c r="C1863" s="6">
        <f>IFERROR(__xludf.DUMMYFUNCTION("""COMPUTED_VALUE"""),317.0)</f>
        <v>317</v>
      </c>
      <c r="D1863" s="6">
        <f>IFERROR(__xludf.DUMMYFUNCTION("""COMPUTED_VALUE"""),310.1)</f>
        <v>310.1</v>
      </c>
      <c r="E1863" s="6">
        <f>IFERROR(__xludf.DUMMYFUNCTION("""COMPUTED_VALUE"""),313.45)</f>
        <v>313.45</v>
      </c>
      <c r="F1863" s="7">
        <f>IFERROR(__xludf.DUMMYFUNCTION("""COMPUTED_VALUE"""),5399948.0)</f>
        <v>5399948</v>
      </c>
      <c r="G1863" s="7" t="str">
        <f>IFERROR(__xludf.DUMMYFUNCTION("""COMPUTED_VALUE"""),"BPCL.NS")</f>
        <v>BPCL.NS</v>
      </c>
      <c r="H1863" s="8">
        <f t="shared" si="1"/>
        <v>-0.01119873817</v>
      </c>
      <c r="I1863" s="8">
        <f t="shared" si="2"/>
        <v>0.01119873817</v>
      </c>
      <c r="J1863" s="7" t="str">
        <f t="shared" si="3"/>
        <v>Jun-2025</v>
      </c>
      <c r="K1863" s="9">
        <f t="shared" si="4"/>
        <v>45809</v>
      </c>
      <c r="L1863" s="7" t="str">
        <f t="shared" si="5"/>
        <v/>
      </c>
      <c r="M1863" s="7" t="str">
        <f>IFERROR(__xludf.DUMMYFUNCTION("IFERROR(
  IF(
    F1863 &gt;
    3*AVERAGE(
       FILTER($F$2:$F10491,
         $G$2:$G10491=G1863,
         $A$2:$A10491&gt;=A1863-20,
         $A$2:$A10491&lt;=A1863
       )
    ),
    ""VOL_SPIKE_3X"",""""
  ),
"""")
"),"")</f>
        <v/>
      </c>
      <c r="N1863" s="7" t="str">
        <f t="shared" si="6"/>
        <v/>
      </c>
      <c r="O1863" s="7" t="str">
        <f t="shared" si="7"/>
        <v/>
      </c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>
      <c r="A1864" s="5">
        <f>IFERROR(__xludf.DUMMYFUNCTION("""COMPUTED_VALUE"""),45827.0)</f>
        <v>45827</v>
      </c>
      <c r="B1864" s="6">
        <f>IFERROR(__xludf.DUMMYFUNCTION("""COMPUTED_VALUE"""),390.35)</f>
        <v>390.35</v>
      </c>
      <c r="C1864" s="6">
        <f>IFERROR(__xludf.DUMMYFUNCTION("""COMPUTED_VALUE"""),391.5)</f>
        <v>391.5</v>
      </c>
      <c r="D1864" s="6">
        <f>IFERROR(__xludf.DUMMYFUNCTION("""COMPUTED_VALUE"""),383.5)</f>
        <v>383.5</v>
      </c>
      <c r="E1864" s="6">
        <f>IFERROR(__xludf.DUMMYFUNCTION("""COMPUTED_VALUE"""),384.25)</f>
        <v>384.25</v>
      </c>
      <c r="F1864" s="7">
        <f>IFERROR(__xludf.DUMMYFUNCTION("""COMPUTED_VALUE"""),4416367.0)</f>
        <v>4416367</v>
      </c>
      <c r="G1864" s="7" t="str">
        <f>IFERROR(__xludf.DUMMYFUNCTION("""COMPUTED_VALUE"""),"COALINDIA.NS")</f>
        <v>COALINDIA.NS</v>
      </c>
      <c r="H1864" s="8">
        <f t="shared" si="1"/>
        <v>-0.01562700141</v>
      </c>
      <c r="I1864" s="8">
        <f t="shared" si="2"/>
        <v>0.01562700141</v>
      </c>
      <c r="J1864" s="7" t="str">
        <f t="shared" si="3"/>
        <v>Jun-2025</v>
      </c>
      <c r="K1864" s="9">
        <f t="shared" si="4"/>
        <v>45809</v>
      </c>
      <c r="L1864" s="7" t="str">
        <f t="shared" si="5"/>
        <v/>
      </c>
      <c r="M1864" s="7" t="str">
        <f>IFERROR(__xludf.DUMMYFUNCTION("IFERROR(
  IF(
    F1864 &gt;
    3*AVERAGE(
       FILTER($F$2:$F10491,
         $G$2:$G10491=G1864,
         $A$2:$A10491&gt;=A1864-20,
         $A$2:$A10491&lt;=A1864
       )
    ),
    ""VOL_SPIKE_3X"",""""
  ),
"""")
"),"")</f>
        <v/>
      </c>
      <c r="N1864" s="7" t="str">
        <f t="shared" si="6"/>
        <v/>
      </c>
      <c r="O1864" s="7" t="str">
        <f t="shared" si="7"/>
        <v/>
      </c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>
      <c r="A1865" s="5">
        <f>IFERROR(__xludf.DUMMYFUNCTION("""COMPUTED_VALUE"""),45827.0)</f>
        <v>45827</v>
      </c>
      <c r="B1865" s="6">
        <f>IFERROR(__xludf.DUMMYFUNCTION("""COMPUTED_VALUE"""),393.7)</f>
        <v>393.7</v>
      </c>
      <c r="C1865" s="6">
        <f>IFERROR(__xludf.DUMMYFUNCTION("""COMPUTED_VALUE"""),396.45)</f>
        <v>396.45</v>
      </c>
      <c r="D1865" s="6">
        <f>IFERROR(__xludf.DUMMYFUNCTION("""COMPUTED_VALUE"""),388.95)</f>
        <v>388.95</v>
      </c>
      <c r="E1865" s="6">
        <f>IFERROR(__xludf.DUMMYFUNCTION("""COMPUTED_VALUE"""),390.0)</f>
        <v>390</v>
      </c>
      <c r="F1865" s="7">
        <f>IFERROR(__xludf.DUMMYFUNCTION("""COMPUTED_VALUE"""),3390334.0)</f>
        <v>3390334</v>
      </c>
      <c r="G1865" s="7" t="str">
        <f>IFERROR(__xludf.DUMMYFUNCTION("""COMPUTED_VALUE"""),"HINDPETRO.NS")</f>
        <v>HINDPETRO.NS</v>
      </c>
      <c r="H1865" s="8">
        <f t="shared" si="1"/>
        <v>-0.009398018796</v>
      </c>
      <c r="I1865" s="8">
        <f t="shared" si="2"/>
        <v>0.009398018796</v>
      </c>
      <c r="J1865" s="7" t="str">
        <f t="shared" si="3"/>
        <v>Jun-2025</v>
      </c>
      <c r="K1865" s="9">
        <f t="shared" si="4"/>
        <v>45809</v>
      </c>
      <c r="L1865" s="7" t="str">
        <f t="shared" si="5"/>
        <v/>
      </c>
      <c r="M1865" s="7" t="str">
        <f>IFERROR(__xludf.DUMMYFUNCTION("IFERROR(
  IF(
    F1865 &gt;
    3*AVERAGE(
       FILTER($F$2:$F10491,
         $G$2:$G10491=G1865,
         $A$2:$A10491&gt;=A1865-20,
         $A$2:$A10491&lt;=A1865
       )
    ),
    ""VOL_SPIKE_3X"",""""
  ),
"""")
"),"")</f>
        <v/>
      </c>
      <c r="N1865" s="7" t="str">
        <f t="shared" si="6"/>
        <v/>
      </c>
      <c r="O1865" s="7" t="str">
        <f t="shared" si="7"/>
        <v/>
      </c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>
      <c r="A1866" s="5">
        <f>IFERROR(__xludf.DUMMYFUNCTION("""COMPUTED_VALUE"""),45827.0)</f>
        <v>45827</v>
      </c>
      <c r="B1866" s="6">
        <f>IFERROR(__xludf.DUMMYFUNCTION("""COMPUTED_VALUE"""),140.76)</f>
        <v>140.76</v>
      </c>
      <c r="C1866" s="6">
        <f>IFERROR(__xludf.DUMMYFUNCTION("""COMPUTED_VALUE"""),141.19)</f>
        <v>141.19</v>
      </c>
      <c r="D1866" s="6">
        <f>IFERROR(__xludf.DUMMYFUNCTION("""COMPUTED_VALUE"""),138.33)</f>
        <v>138.33</v>
      </c>
      <c r="E1866" s="6">
        <f>IFERROR(__xludf.DUMMYFUNCTION("""COMPUTED_VALUE"""),138.67)</f>
        <v>138.67</v>
      </c>
      <c r="F1866" s="7">
        <f>IFERROR(__xludf.DUMMYFUNCTION("""COMPUTED_VALUE"""),5943647.0)</f>
        <v>5943647</v>
      </c>
      <c r="G1866" s="7" t="str">
        <f>IFERROR(__xludf.DUMMYFUNCTION("""COMPUTED_VALUE"""),"IOC.NS")</f>
        <v>IOC.NS</v>
      </c>
      <c r="H1866" s="8">
        <f t="shared" si="1"/>
        <v>-0.01484796817</v>
      </c>
      <c r="I1866" s="8">
        <f t="shared" si="2"/>
        <v>0.01484796817</v>
      </c>
      <c r="J1866" s="7" t="str">
        <f t="shared" si="3"/>
        <v>Jun-2025</v>
      </c>
      <c r="K1866" s="9">
        <f t="shared" si="4"/>
        <v>45809</v>
      </c>
      <c r="L1866" s="7" t="str">
        <f t="shared" si="5"/>
        <v/>
      </c>
      <c r="M1866" s="7" t="str">
        <f>IFERROR(__xludf.DUMMYFUNCTION("IFERROR(
  IF(
    F1866 &gt;
    3*AVERAGE(
       FILTER($F$2:$F10491,
         $G$2:$G10491=G1866,
         $A$2:$A10491&gt;=A1866-20,
         $A$2:$A10491&lt;=A1866
       )
    ),
    ""VOL_SPIKE_3X"",""""
  ),
"""")
"),"")</f>
        <v/>
      </c>
      <c r="N1866" s="7" t="str">
        <f t="shared" si="6"/>
        <v/>
      </c>
      <c r="O1866" s="7" t="str">
        <f t="shared" si="7"/>
        <v/>
      </c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>
      <c r="A1867" s="5">
        <f>IFERROR(__xludf.DUMMYFUNCTION("""COMPUTED_VALUE"""),45827.0)</f>
        <v>45827</v>
      </c>
      <c r="B1867" s="6">
        <f>IFERROR(__xludf.DUMMYFUNCTION("""COMPUTED_VALUE"""),332.4)</f>
        <v>332.4</v>
      </c>
      <c r="C1867" s="6">
        <f>IFERROR(__xludf.DUMMYFUNCTION("""COMPUTED_VALUE"""),333.15)</f>
        <v>333.15</v>
      </c>
      <c r="D1867" s="6">
        <f>IFERROR(__xludf.DUMMYFUNCTION("""COMPUTED_VALUE"""),328.55)</f>
        <v>328.55</v>
      </c>
      <c r="E1867" s="6">
        <f>IFERROR(__xludf.DUMMYFUNCTION("""COMPUTED_VALUE"""),330.05)</f>
        <v>330.05</v>
      </c>
      <c r="F1867" s="7">
        <f>IFERROR(__xludf.DUMMYFUNCTION("""COMPUTED_VALUE"""),1.1610604E7)</f>
        <v>11610604</v>
      </c>
      <c r="G1867" s="7" t="str">
        <f>IFERROR(__xludf.DUMMYFUNCTION("""COMPUTED_VALUE"""),"NTPC.NS")</f>
        <v>NTPC.NS</v>
      </c>
      <c r="H1867" s="8">
        <f t="shared" si="1"/>
        <v>-0.007069795427</v>
      </c>
      <c r="I1867" s="8">
        <f t="shared" si="2"/>
        <v>0.007069795427</v>
      </c>
      <c r="J1867" s="7" t="str">
        <f t="shared" si="3"/>
        <v>Jun-2025</v>
      </c>
      <c r="K1867" s="9">
        <f t="shared" si="4"/>
        <v>45809</v>
      </c>
      <c r="L1867" s="7" t="str">
        <f t="shared" si="5"/>
        <v/>
      </c>
      <c r="M1867" s="7" t="str">
        <f>IFERROR(__xludf.DUMMYFUNCTION("IFERROR(
  IF(
    F1867 &gt;
    3*AVERAGE(
       FILTER($F$2:$F10491,
         $G$2:$G10491=G1867,
         $A$2:$A10491&gt;=A1867-20,
         $A$2:$A10491&lt;=A1867
       )
    ),
    ""VOL_SPIKE_3X"",""""
  ),
"""")
"),"")</f>
        <v/>
      </c>
      <c r="N1867" s="7" t="str">
        <f t="shared" si="6"/>
        <v/>
      </c>
      <c r="O1867" s="7" t="str">
        <f t="shared" si="7"/>
        <v/>
      </c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>
      <c r="A1868" s="5">
        <f>IFERROR(__xludf.DUMMYFUNCTION("""COMPUTED_VALUE"""),45827.0)</f>
        <v>45827</v>
      </c>
      <c r="B1868" s="6">
        <f>IFERROR(__xludf.DUMMYFUNCTION("""COMPUTED_VALUE"""),250.5)</f>
        <v>250.5</v>
      </c>
      <c r="C1868" s="6">
        <f>IFERROR(__xludf.DUMMYFUNCTION("""COMPUTED_VALUE"""),253.0)</f>
        <v>253</v>
      </c>
      <c r="D1868" s="6">
        <f>IFERROR(__xludf.DUMMYFUNCTION("""COMPUTED_VALUE"""),248.2)</f>
        <v>248.2</v>
      </c>
      <c r="E1868" s="6">
        <f>IFERROR(__xludf.DUMMYFUNCTION("""COMPUTED_VALUE"""),251.56)</f>
        <v>251.56</v>
      </c>
      <c r="F1868" s="7">
        <f>IFERROR(__xludf.DUMMYFUNCTION("""COMPUTED_VALUE"""),1.0790997E7)</f>
        <v>10790997</v>
      </c>
      <c r="G1868" s="7" t="str">
        <f>IFERROR(__xludf.DUMMYFUNCTION("""COMPUTED_VALUE"""),"ONGC.NS")</f>
        <v>ONGC.NS</v>
      </c>
      <c r="H1868" s="8">
        <f t="shared" si="1"/>
        <v>0.004231536926</v>
      </c>
      <c r="I1868" s="8">
        <f t="shared" si="2"/>
        <v>0.004231536926</v>
      </c>
      <c r="J1868" s="7" t="str">
        <f t="shared" si="3"/>
        <v>Jun-2025</v>
      </c>
      <c r="K1868" s="9">
        <f t="shared" si="4"/>
        <v>45809</v>
      </c>
      <c r="L1868" s="7" t="str">
        <f t="shared" si="5"/>
        <v/>
      </c>
      <c r="M1868" s="7" t="str">
        <f>IFERROR(__xludf.DUMMYFUNCTION("IFERROR(
  IF(
    F1868 &gt;
    3*AVERAGE(
       FILTER($F$2:$F10491,
         $G$2:$G10491=G1868,
         $A$2:$A10491&gt;=A1868-20,
         $A$2:$A10491&lt;=A1868
       )
    ),
    ""VOL_SPIKE_3X"",""""
  ),
"""")
"),"")</f>
        <v/>
      </c>
      <c r="N1868" s="7" t="str">
        <f t="shared" si="6"/>
        <v/>
      </c>
      <c r="O1868" s="7" t="str">
        <f t="shared" si="7"/>
        <v/>
      </c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>
      <c r="A1869" s="5">
        <f>IFERROR(__xludf.DUMMYFUNCTION("""COMPUTED_VALUE"""),45827.0)</f>
        <v>45827</v>
      </c>
      <c r="B1869" s="6">
        <f>IFERROR(__xludf.DUMMYFUNCTION("""COMPUTED_VALUE"""),286.8)</f>
        <v>286.8</v>
      </c>
      <c r="C1869" s="6">
        <f>IFERROR(__xludf.DUMMYFUNCTION("""COMPUTED_VALUE"""),287.65)</f>
        <v>287.65</v>
      </c>
      <c r="D1869" s="6">
        <f>IFERROR(__xludf.DUMMYFUNCTION("""COMPUTED_VALUE"""),285.3)</f>
        <v>285.3</v>
      </c>
      <c r="E1869" s="6">
        <f>IFERROR(__xludf.DUMMYFUNCTION("""COMPUTED_VALUE"""),286.45)</f>
        <v>286.45</v>
      </c>
      <c r="F1869" s="7">
        <f>IFERROR(__xludf.DUMMYFUNCTION("""COMPUTED_VALUE"""),1.3573824E7)</f>
        <v>13573824</v>
      </c>
      <c r="G1869" s="7" t="str">
        <f>IFERROR(__xludf.DUMMYFUNCTION("""COMPUTED_VALUE"""),"POWERGRID.NS")</f>
        <v>POWERGRID.NS</v>
      </c>
      <c r="H1869" s="8">
        <f t="shared" si="1"/>
        <v>-0.001220362622</v>
      </c>
      <c r="I1869" s="8">
        <f t="shared" si="2"/>
        <v>0.001220362622</v>
      </c>
      <c r="J1869" s="7" t="str">
        <f t="shared" si="3"/>
        <v>Jun-2025</v>
      </c>
      <c r="K1869" s="9">
        <f t="shared" si="4"/>
        <v>45809</v>
      </c>
      <c r="L1869" s="7" t="str">
        <f t="shared" si="5"/>
        <v/>
      </c>
      <c r="M1869" s="7" t="str">
        <f>IFERROR(__xludf.DUMMYFUNCTION("IFERROR(
  IF(
    F1869 &gt;
    3*AVERAGE(
       FILTER($F$2:$F10491,
         $G$2:$G10491=G1869,
         $A$2:$A10491&gt;=A1869-20,
         $A$2:$A10491&lt;=A1869
       )
    ),
    ""VOL_SPIKE_3X"",""""
  ),
"""")
"),"")</f>
        <v/>
      </c>
      <c r="N1869" s="7" t="str">
        <f t="shared" si="6"/>
        <v/>
      </c>
      <c r="O1869" s="7" t="str">
        <f t="shared" si="7"/>
        <v/>
      </c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>
      <c r="A1870" s="5">
        <f>IFERROR(__xludf.DUMMYFUNCTION("""COMPUTED_VALUE"""),45827.0)</f>
        <v>45827</v>
      </c>
      <c r="B1870" s="6">
        <f>IFERROR(__xludf.DUMMYFUNCTION("""COMPUTED_VALUE"""),1430.1)</f>
        <v>1430.1</v>
      </c>
      <c r="C1870" s="6">
        <f>IFERROR(__xludf.DUMMYFUNCTION("""COMPUTED_VALUE"""),1439.9)</f>
        <v>1439.9</v>
      </c>
      <c r="D1870" s="6">
        <f>IFERROR(__xludf.DUMMYFUNCTION("""COMPUTED_VALUE"""),1425.7)</f>
        <v>1425.7</v>
      </c>
      <c r="E1870" s="6">
        <f>IFERROR(__xludf.DUMMYFUNCTION("""COMPUTED_VALUE"""),1433.3)</f>
        <v>1433.3</v>
      </c>
      <c r="F1870" s="7">
        <f>IFERROR(__xludf.DUMMYFUNCTION("""COMPUTED_VALUE"""),1.000723E7)</f>
        <v>10007230</v>
      </c>
      <c r="G1870" s="7" t="str">
        <f>IFERROR(__xludf.DUMMYFUNCTION("""COMPUTED_VALUE"""),"RELIANCE.NS")</f>
        <v>RELIANCE.NS</v>
      </c>
      <c r="H1870" s="8">
        <f t="shared" si="1"/>
        <v>0.002237605762</v>
      </c>
      <c r="I1870" s="8">
        <f t="shared" si="2"/>
        <v>0.002237605762</v>
      </c>
      <c r="J1870" s="7" t="str">
        <f t="shared" si="3"/>
        <v>Jun-2025</v>
      </c>
      <c r="K1870" s="9">
        <f t="shared" si="4"/>
        <v>45809</v>
      </c>
      <c r="L1870" s="7" t="str">
        <f t="shared" si="5"/>
        <v/>
      </c>
      <c r="M1870" s="7" t="str">
        <f>IFERROR(__xludf.DUMMYFUNCTION("IFERROR(
  IF(
    F1870 &gt;
    3*AVERAGE(
       FILTER($F$2:$F10491,
         $G$2:$G10491=G1870,
         $A$2:$A10491&gt;=A1870-20,
         $A$2:$A10491&lt;=A1870
       )
    ),
    ""VOL_SPIKE_3X"",""""
  ),
"""")
"),"")</f>
        <v/>
      </c>
      <c r="N1870" s="7" t="str">
        <f t="shared" si="6"/>
        <v/>
      </c>
      <c r="O1870" s="7" t="str">
        <f t="shared" si="7"/>
        <v/>
      </c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>
      <c r="A1871" s="5">
        <f>IFERROR(__xludf.DUMMYFUNCTION("""COMPUTED_VALUE"""),45828.0)</f>
        <v>45828</v>
      </c>
      <c r="B1871" s="6">
        <f>IFERROR(__xludf.DUMMYFUNCTION("""COMPUTED_VALUE"""),826.0)</f>
        <v>826</v>
      </c>
      <c r="C1871" s="6">
        <f>IFERROR(__xludf.DUMMYFUNCTION("""COMPUTED_VALUE"""),840.9)</f>
        <v>840.9</v>
      </c>
      <c r="D1871" s="6">
        <f>IFERROR(__xludf.DUMMYFUNCTION("""COMPUTED_VALUE"""),823.35)</f>
        <v>823.35</v>
      </c>
      <c r="E1871" s="6">
        <f>IFERROR(__xludf.DUMMYFUNCTION("""COMPUTED_VALUE"""),828.1)</f>
        <v>828.1</v>
      </c>
      <c r="F1871" s="7">
        <f>IFERROR(__xludf.DUMMYFUNCTION("""COMPUTED_VALUE"""),6345674.0)</f>
        <v>6345674</v>
      </c>
      <c r="G1871" s="7" t="str">
        <f>IFERROR(__xludf.DUMMYFUNCTION("""COMPUTED_VALUE"""),"ADANIENSOL.NS")</f>
        <v>ADANIENSOL.NS</v>
      </c>
      <c r="H1871" s="8">
        <f t="shared" si="1"/>
        <v>0.002542372881</v>
      </c>
      <c r="I1871" s="8">
        <f t="shared" si="2"/>
        <v>0.002542372881</v>
      </c>
      <c r="J1871" s="7" t="str">
        <f t="shared" si="3"/>
        <v>Jun-2025</v>
      </c>
      <c r="K1871" s="9">
        <f t="shared" si="4"/>
        <v>45809</v>
      </c>
      <c r="L1871" s="7" t="str">
        <f t="shared" si="5"/>
        <v/>
      </c>
      <c r="M1871" s="7" t="str">
        <f>IFERROR(__xludf.DUMMYFUNCTION("IFERROR(
  IF(
    F1871 &gt;
    3*AVERAGE(
       FILTER($F$2:$F10491,
         $G$2:$G10491=G1871,
         $A$2:$A10491&gt;=A1871-20,
         $A$2:$A10491&lt;=A1871
       )
    ),
    ""VOL_SPIKE_3X"",""""
  ),
"""")
"),"")</f>
        <v/>
      </c>
      <c r="N1871" s="7" t="str">
        <f t="shared" si="6"/>
        <v/>
      </c>
      <c r="O1871" s="7" t="str">
        <f t="shared" si="7"/>
        <v/>
      </c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>
      <c r="A1872" s="5">
        <f>IFERROR(__xludf.DUMMYFUNCTION("""COMPUTED_VALUE"""),45828.0)</f>
        <v>45828</v>
      </c>
      <c r="B1872" s="6">
        <f>IFERROR(__xludf.DUMMYFUNCTION("""COMPUTED_VALUE"""),938.0)</f>
        <v>938</v>
      </c>
      <c r="C1872" s="6">
        <f>IFERROR(__xludf.DUMMYFUNCTION("""COMPUTED_VALUE"""),959.4)</f>
        <v>959.4</v>
      </c>
      <c r="D1872" s="6">
        <f>IFERROR(__xludf.DUMMYFUNCTION("""COMPUTED_VALUE"""),936.0)</f>
        <v>936</v>
      </c>
      <c r="E1872" s="6">
        <f>IFERROR(__xludf.DUMMYFUNCTION("""COMPUTED_VALUE"""),947.7)</f>
        <v>947.7</v>
      </c>
      <c r="F1872" s="7">
        <f>IFERROR(__xludf.DUMMYFUNCTION("""COMPUTED_VALUE"""),3308667.0)</f>
        <v>3308667</v>
      </c>
      <c r="G1872" s="7" t="str">
        <f>IFERROR(__xludf.DUMMYFUNCTION("""COMPUTED_VALUE"""),"ADANIGREEN.NS")</f>
        <v>ADANIGREEN.NS</v>
      </c>
      <c r="H1872" s="8">
        <f t="shared" si="1"/>
        <v>0.01034115139</v>
      </c>
      <c r="I1872" s="8">
        <f t="shared" si="2"/>
        <v>0.01034115139</v>
      </c>
      <c r="J1872" s="7" t="str">
        <f t="shared" si="3"/>
        <v>Jun-2025</v>
      </c>
      <c r="K1872" s="9">
        <f t="shared" si="4"/>
        <v>45809</v>
      </c>
      <c r="L1872" s="7" t="str">
        <f t="shared" si="5"/>
        <v/>
      </c>
      <c r="M1872" s="7" t="str">
        <f>IFERROR(__xludf.DUMMYFUNCTION("IFERROR(
  IF(
    F1872 &gt;
    3*AVERAGE(
       FILTER($F$2:$F10491,
         $G$2:$G10491=G1872,
         $A$2:$A10491&gt;=A1872-20,
         $A$2:$A10491&lt;=A1872
       )
    ),
    ""VOL_SPIKE_3X"",""""
  ),
"""")
"),"")</f>
        <v/>
      </c>
      <c r="N1872" s="7" t="str">
        <f t="shared" si="6"/>
        <v/>
      </c>
      <c r="O1872" s="7" t="str">
        <f t="shared" si="7"/>
        <v/>
      </c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>
      <c r="A1873" s="5">
        <f>IFERROR(__xludf.DUMMYFUNCTION("""COMPUTED_VALUE"""),45828.0)</f>
        <v>45828</v>
      </c>
      <c r="B1873" s="6">
        <f>IFERROR(__xludf.DUMMYFUNCTION("""COMPUTED_VALUE"""),310.9)</f>
        <v>310.9</v>
      </c>
      <c r="C1873" s="6">
        <f>IFERROR(__xludf.DUMMYFUNCTION("""COMPUTED_VALUE"""),315.9)</f>
        <v>315.9</v>
      </c>
      <c r="D1873" s="6">
        <f>IFERROR(__xludf.DUMMYFUNCTION("""COMPUTED_VALUE"""),310.0)</f>
        <v>310</v>
      </c>
      <c r="E1873" s="6">
        <f>IFERROR(__xludf.DUMMYFUNCTION("""COMPUTED_VALUE"""),313.5)</f>
        <v>313.5</v>
      </c>
      <c r="F1873" s="7">
        <f>IFERROR(__xludf.DUMMYFUNCTION("""COMPUTED_VALUE"""),8522458.0)</f>
        <v>8522458</v>
      </c>
      <c r="G1873" s="7" t="str">
        <f>IFERROR(__xludf.DUMMYFUNCTION("""COMPUTED_VALUE"""),"BPCL.NS")</f>
        <v>BPCL.NS</v>
      </c>
      <c r="H1873" s="8">
        <f t="shared" si="1"/>
        <v>0.008362817626</v>
      </c>
      <c r="I1873" s="8">
        <f t="shared" si="2"/>
        <v>0.008362817626</v>
      </c>
      <c r="J1873" s="7" t="str">
        <f t="shared" si="3"/>
        <v>Jun-2025</v>
      </c>
      <c r="K1873" s="9">
        <f t="shared" si="4"/>
        <v>45809</v>
      </c>
      <c r="L1873" s="7" t="str">
        <f t="shared" si="5"/>
        <v/>
      </c>
      <c r="M1873" s="7" t="str">
        <f>IFERROR(__xludf.DUMMYFUNCTION("IFERROR(
  IF(
    F1873 &gt;
    3*AVERAGE(
       FILTER($F$2:$F10491,
         $G$2:$G10491=G1873,
         $A$2:$A10491&gt;=A1873-20,
         $A$2:$A10491&lt;=A1873
       )
    ),
    ""VOL_SPIKE_3X"",""""
  ),
"""")
"),"")</f>
        <v/>
      </c>
      <c r="N1873" s="7" t="str">
        <f t="shared" si="6"/>
        <v/>
      </c>
      <c r="O1873" s="7" t="str">
        <f t="shared" si="7"/>
        <v/>
      </c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>
      <c r="A1874" s="5">
        <f>IFERROR(__xludf.DUMMYFUNCTION("""COMPUTED_VALUE"""),45828.0)</f>
        <v>45828</v>
      </c>
      <c r="B1874" s="6">
        <f>IFERROR(__xludf.DUMMYFUNCTION("""COMPUTED_VALUE"""),384.2)</f>
        <v>384.2</v>
      </c>
      <c r="C1874" s="6">
        <f>IFERROR(__xludf.DUMMYFUNCTION("""COMPUTED_VALUE"""),391.8)</f>
        <v>391.8</v>
      </c>
      <c r="D1874" s="6">
        <f>IFERROR(__xludf.DUMMYFUNCTION("""COMPUTED_VALUE"""),384.15)</f>
        <v>384.15</v>
      </c>
      <c r="E1874" s="6">
        <f>IFERROR(__xludf.DUMMYFUNCTION("""COMPUTED_VALUE"""),389.05)</f>
        <v>389.05</v>
      </c>
      <c r="F1874" s="7">
        <f>IFERROR(__xludf.DUMMYFUNCTION("""COMPUTED_VALUE"""),6531957.0)</f>
        <v>6531957</v>
      </c>
      <c r="G1874" s="7" t="str">
        <f>IFERROR(__xludf.DUMMYFUNCTION("""COMPUTED_VALUE"""),"COALINDIA.NS")</f>
        <v>COALINDIA.NS</v>
      </c>
      <c r="H1874" s="8">
        <f t="shared" si="1"/>
        <v>0.01262363352</v>
      </c>
      <c r="I1874" s="8">
        <f t="shared" si="2"/>
        <v>0.01262363352</v>
      </c>
      <c r="J1874" s="7" t="str">
        <f t="shared" si="3"/>
        <v>Jun-2025</v>
      </c>
      <c r="K1874" s="9">
        <f t="shared" si="4"/>
        <v>45809</v>
      </c>
      <c r="L1874" s="7" t="str">
        <f t="shared" si="5"/>
        <v/>
      </c>
      <c r="M1874" s="7" t="str">
        <f>IFERROR(__xludf.DUMMYFUNCTION("IFERROR(
  IF(
    F1874 &gt;
    3*AVERAGE(
       FILTER($F$2:$F10491,
         $G$2:$G10491=G1874,
         $A$2:$A10491&gt;=A1874-20,
         $A$2:$A10491&lt;=A1874
       )
    ),
    ""VOL_SPIKE_3X"",""""
  ),
"""")
"),"")</f>
        <v/>
      </c>
      <c r="N1874" s="7" t="str">
        <f t="shared" si="6"/>
        <v/>
      </c>
      <c r="O1874" s="7" t="str">
        <f t="shared" si="7"/>
        <v/>
      </c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>
      <c r="A1875" s="5">
        <f>IFERROR(__xludf.DUMMYFUNCTION("""COMPUTED_VALUE"""),45828.0)</f>
        <v>45828</v>
      </c>
      <c r="B1875" s="6">
        <f>IFERROR(__xludf.DUMMYFUNCTION("""COMPUTED_VALUE"""),389.5)</f>
        <v>389.5</v>
      </c>
      <c r="C1875" s="6">
        <f>IFERROR(__xludf.DUMMYFUNCTION("""COMPUTED_VALUE"""),394.45)</f>
        <v>394.45</v>
      </c>
      <c r="D1875" s="6">
        <f>IFERROR(__xludf.DUMMYFUNCTION("""COMPUTED_VALUE"""),388.25)</f>
        <v>388.25</v>
      </c>
      <c r="E1875" s="6">
        <f>IFERROR(__xludf.DUMMYFUNCTION("""COMPUTED_VALUE"""),392.25)</f>
        <v>392.25</v>
      </c>
      <c r="F1875" s="7">
        <f>IFERROR(__xludf.DUMMYFUNCTION("""COMPUTED_VALUE"""),6244473.0)</f>
        <v>6244473</v>
      </c>
      <c r="G1875" s="7" t="str">
        <f>IFERROR(__xludf.DUMMYFUNCTION("""COMPUTED_VALUE"""),"HINDPETRO.NS")</f>
        <v>HINDPETRO.NS</v>
      </c>
      <c r="H1875" s="8">
        <f t="shared" si="1"/>
        <v>0.007060333761</v>
      </c>
      <c r="I1875" s="8">
        <f t="shared" si="2"/>
        <v>0.007060333761</v>
      </c>
      <c r="J1875" s="7" t="str">
        <f t="shared" si="3"/>
        <v>Jun-2025</v>
      </c>
      <c r="K1875" s="9">
        <f t="shared" si="4"/>
        <v>45809</v>
      </c>
      <c r="L1875" s="7" t="str">
        <f t="shared" si="5"/>
        <v/>
      </c>
      <c r="M1875" s="7" t="str">
        <f>IFERROR(__xludf.DUMMYFUNCTION("IFERROR(
  IF(
    F1875 &gt;
    3*AVERAGE(
       FILTER($F$2:$F10491,
         $G$2:$G10491=G1875,
         $A$2:$A10491&gt;=A1875-20,
         $A$2:$A10491&lt;=A1875
       )
    ),
    ""VOL_SPIKE_3X"",""""
  ),
"""")
"),"")</f>
        <v/>
      </c>
      <c r="N1875" s="7" t="str">
        <f t="shared" si="6"/>
        <v/>
      </c>
      <c r="O1875" s="7" t="str">
        <f t="shared" si="7"/>
        <v/>
      </c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>
      <c r="A1876" s="5">
        <f>IFERROR(__xludf.DUMMYFUNCTION("""COMPUTED_VALUE"""),45828.0)</f>
        <v>45828</v>
      </c>
      <c r="B1876" s="6">
        <f>IFERROR(__xludf.DUMMYFUNCTION("""COMPUTED_VALUE"""),138.29)</f>
        <v>138.29</v>
      </c>
      <c r="C1876" s="6">
        <f>IFERROR(__xludf.DUMMYFUNCTION("""COMPUTED_VALUE"""),139.16)</f>
        <v>139.16</v>
      </c>
      <c r="D1876" s="6">
        <f>IFERROR(__xludf.DUMMYFUNCTION("""COMPUTED_VALUE"""),137.0)</f>
        <v>137</v>
      </c>
      <c r="E1876" s="6">
        <f>IFERROR(__xludf.DUMMYFUNCTION("""COMPUTED_VALUE"""),138.65)</f>
        <v>138.65</v>
      </c>
      <c r="F1876" s="7">
        <f>IFERROR(__xludf.DUMMYFUNCTION("""COMPUTED_VALUE"""),3.3690253E7)</f>
        <v>33690253</v>
      </c>
      <c r="G1876" s="7" t="str">
        <f>IFERROR(__xludf.DUMMYFUNCTION("""COMPUTED_VALUE"""),"IOC.NS")</f>
        <v>IOC.NS</v>
      </c>
      <c r="H1876" s="8">
        <f t="shared" si="1"/>
        <v>0.002603225107</v>
      </c>
      <c r="I1876" s="8">
        <f t="shared" si="2"/>
        <v>0.002603225107</v>
      </c>
      <c r="J1876" s="7" t="str">
        <f t="shared" si="3"/>
        <v>Jun-2025</v>
      </c>
      <c r="K1876" s="9">
        <f t="shared" si="4"/>
        <v>45809</v>
      </c>
      <c r="L1876" s="7" t="str">
        <f t="shared" si="5"/>
        <v/>
      </c>
      <c r="M1876" s="7" t="str">
        <f>IFERROR(__xludf.DUMMYFUNCTION("IFERROR(
  IF(
    F1876 &gt;
    3*AVERAGE(
       FILTER($F$2:$F10491,
         $G$2:$G10491=G1876,
         $A$2:$A10491&gt;=A1876-20,
         $A$2:$A10491&lt;=A1876
       )
    ),
    ""VOL_SPIKE_3X"",""""
  ),
"""")
"),"")</f>
        <v/>
      </c>
      <c r="N1876" s="7" t="str">
        <f t="shared" si="6"/>
        <v/>
      </c>
      <c r="O1876" s="7" t="str">
        <f t="shared" si="7"/>
        <v/>
      </c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>
      <c r="A1877" s="5">
        <f>IFERROR(__xludf.DUMMYFUNCTION("""COMPUTED_VALUE"""),45828.0)</f>
        <v>45828</v>
      </c>
      <c r="B1877" s="6">
        <f>IFERROR(__xludf.DUMMYFUNCTION("""COMPUTED_VALUE"""),330.0)</f>
        <v>330</v>
      </c>
      <c r="C1877" s="6">
        <f>IFERROR(__xludf.DUMMYFUNCTION("""COMPUTED_VALUE"""),336.0)</f>
        <v>336</v>
      </c>
      <c r="D1877" s="6">
        <f>IFERROR(__xludf.DUMMYFUNCTION("""COMPUTED_VALUE"""),329.7)</f>
        <v>329.7</v>
      </c>
      <c r="E1877" s="6">
        <f>IFERROR(__xludf.DUMMYFUNCTION("""COMPUTED_VALUE"""),335.2)</f>
        <v>335.2</v>
      </c>
      <c r="F1877" s="7">
        <f>IFERROR(__xludf.DUMMYFUNCTION("""COMPUTED_VALUE"""),1.6592862E7)</f>
        <v>16592862</v>
      </c>
      <c r="G1877" s="7" t="str">
        <f>IFERROR(__xludf.DUMMYFUNCTION("""COMPUTED_VALUE"""),"NTPC.NS")</f>
        <v>NTPC.NS</v>
      </c>
      <c r="H1877" s="8">
        <f t="shared" si="1"/>
        <v>0.01575757576</v>
      </c>
      <c r="I1877" s="8">
        <f t="shared" si="2"/>
        <v>0.01575757576</v>
      </c>
      <c r="J1877" s="7" t="str">
        <f t="shared" si="3"/>
        <v>Jun-2025</v>
      </c>
      <c r="K1877" s="9">
        <f t="shared" si="4"/>
        <v>45809</v>
      </c>
      <c r="L1877" s="7" t="str">
        <f t="shared" si="5"/>
        <v/>
      </c>
      <c r="M1877" s="7" t="str">
        <f>IFERROR(__xludf.DUMMYFUNCTION("IFERROR(
  IF(
    F1877 &gt;
    3*AVERAGE(
       FILTER($F$2:$F10491,
         $G$2:$G10491=G1877,
         $A$2:$A10491&gt;=A1877-20,
         $A$2:$A10491&lt;=A1877
       )
    ),
    ""VOL_SPIKE_3X"",""""
  ),
"""")
"),"")</f>
        <v/>
      </c>
      <c r="N1877" s="7" t="str">
        <f t="shared" si="6"/>
        <v/>
      </c>
      <c r="O1877" s="7" t="str">
        <f t="shared" si="7"/>
        <v/>
      </c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>
      <c r="A1878" s="5">
        <f>IFERROR(__xludf.DUMMYFUNCTION("""COMPUTED_VALUE"""),45828.0)</f>
        <v>45828</v>
      </c>
      <c r="B1878" s="6">
        <f>IFERROR(__xludf.DUMMYFUNCTION("""COMPUTED_VALUE"""),252.26)</f>
        <v>252.26</v>
      </c>
      <c r="C1878" s="6">
        <f>IFERROR(__xludf.DUMMYFUNCTION("""COMPUTED_VALUE"""),253.25)</f>
        <v>253.25</v>
      </c>
      <c r="D1878" s="6">
        <f>IFERROR(__xludf.DUMMYFUNCTION("""COMPUTED_VALUE"""),249.35)</f>
        <v>249.35</v>
      </c>
      <c r="E1878" s="6">
        <f>IFERROR(__xludf.DUMMYFUNCTION("""COMPUTED_VALUE"""),251.89)</f>
        <v>251.89</v>
      </c>
      <c r="F1878" s="7">
        <f>IFERROR(__xludf.DUMMYFUNCTION("""COMPUTED_VALUE"""),1.5907673E7)</f>
        <v>15907673</v>
      </c>
      <c r="G1878" s="7" t="str">
        <f>IFERROR(__xludf.DUMMYFUNCTION("""COMPUTED_VALUE"""),"ONGC.NS")</f>
        <v>ONGC.NS</v>
      </c>
      <c r="H1878" s="8">
        <f t="shared" si="1"/>
        <v>-0.001466740664</v>
      </c>
      <c r="I1878" s="8">
        <f t="shared" si="2"/>
        <v>0.001466740664</v>
      </c>
      <c r="J1878" s="7" t="str">
        <f t="shared" si="3"/>
        <v>Jun-2025</v>
      </c>
      <c r="K1878" s="9">
        <f t="shared" si="4"/>
        <v>45809</v>
      </c>
      <c r="L1878" s="7" t="str">
        <f t="shared" si="5"/>
        <v/>
      </c>
      <c r="M1878" s="7" t="str">
        <f>IFERROR(__xludf.DUMMYFUNCTION("IFERROR(
  IF(
    F1878 &gt;
    3*AVERAGE(
       FILTER($F$2:$F10491,
         $G$2:$G10491=G1878,
         $A$2:$A10491&gt;=A1878-20,
         $A$2:$A10491&lt;=A1878
       )
    ),
    ""VOL_SPIKE_3X"",""""
  ),
"""")
"),"")</f>
        <v/>
      </c>
      <c r="N1878" s="7" t="str">
        <f t="shared" si="6"/>
        <v/>
      </c>
      <c r="O1878" s="7" t="str">
        <f t="shared" si="7"/>
        <v/>
      </c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>
      <c r="A1879" s="5">
        <f>IFERROR(__xludf.DUMMYFUNCTION("""COMPUTED_VALUE"""),45828.0)</f>
        <v>45828</v>
      </c>
      <c r="B1879" s="6">
        <f>IFERROR(__xludf.DUMMYFUNCTION("""COMPUTED_VALUE"""),285.55)</f>
        <v>285.55</v>
      </c>
      <c r="C1879" s="6">
        <f>IFERROR(__xludf.DUMMYFUNCTION("""COMPUTED_VALUE"""),294.5)</f>
        <v>294.5</v>
      </c>
      <c r="D1879" s="6">
        <f>IFERROR(__xludf.DUMMYFUNCTION("""COMPUTED_VALUE"""),285.05)</f>
        <v>285.05</v>
      </c>
      <c r="E1879" s="6">
        <f>IFERROR(__xludf.DUMMYFUNCTION("""COMPUTED_VALUE"""),293.1)</f>
        <v>293.1</v>
      </c>
      <c r="F1879" s="7">
        <f>IFERROR(__xludf.DUMMYFUNCTION("""COMPUTED_VALUE"""),3.3014151E7)</f>
        <v>33014151</v>
      </c>
      <c r="G1879" s="7" t="str">
        <f>IFERROR(__xludf.DUMMYFUNCTION("""COMPUTED_VALUE"""),"POWERGRID.NS")</f>
        <v>POWERGRID.NS</v>
      </c>
      <c r="H1879" s="8">
        <f t="shared" si="1"/>
        <v>0.02644020312</v>
      </c>
      <c r="I1879" s="8">
        <f t="shared" si="2"/>
        <v>0.02644020312</v>
      </c>
      <c r="J1879" s="7" t="str">
        <f t="shared" si="3"/>
        <v>Jun-2025</v>
      </c>
      <c r="K1879" s="9">
        <f t="shared" si="4"/>
        <v>45809</v>
      </c>
      <c r="L1879" s="7" t="str">
        <f t="shared" si="5"/>
        <v/>
      </c>
      <c r="M1879" s="7" t="str">
        <f>IFERROR(__xludf.DUMMYFUNCTION("IFERROR(
  IF(
    F1879 &gt;
    3*AVERAGE(
       FILTER($F$2:$F10491,
         $G$2:$G10491=G1879,
         $A$2:$A10491&gt;=A1879-20,
         $A$2:$A10491&lt;=A1879
       )
    ),
    ""VOL_SPIKE_3X"",""""
  ),
"""")
"),"")</f>
        <v/>
      </c>
      <c r="N1879" s="7" t="str">
        <f t="shared" si="6"/>
        <v/>
      </c>
      <c r="O1879" s="7" t="str">
        <f t="shared" si="7"/>
        <v/>
      </c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>
      <c r="A1880" s="5">
        <f>IFERROR(__xludf.DUMMYFUNCTION("""COMPUTED_VALUE"""),45828.0)</f>
        <v>45828</v>
      </c>
      <c r="B1880" s="6">
        <f>IFERROR(__xludf.DUMMYFUNCTION("""COMPUTED_VALUE"""),1431.0)</f>
        <v>1431</v>
      </c>
      <c r="C1880" s="6">
        <f>IFERROR(__xludf.DUMMYFUNCTION("""COMPUTED_VALUE"""),1471.0)</f>
        <v>1471</v>
      </c>
      <c r="D1880" s="6">
        <f>IFERROR(__xludf.DUMMYFUNCTION("""COMPUTED_VALUE"""),1428.1)</f>
        <v>1428.1</v>
      </c>
      <c r="E1880" s="6">
        <f>IFERROR(__xludf.DUMMYFUNCTION("""COMPUTED_VALUE"""),1466.2)</f>
        <v>1466.2</v>
      </c>
      <c r="F1880" s="7">
        <f>IFERROR(__xludf.DUMMYFUNCTION("""COMPUTED_VALUE"""),2.9010635E7)</f>
        <v>29010635</v>
      </c>
      <c r="G1880" s="7" t="str">
        <f>IFERROR(__xludf.DUMMYFUNCTION("""COMPUTED_VALUE"""),"RELIANCE.NS")</f>
        <v>RELIANCE.NS</v>
      </c>
      <c r="H1880" s="8">
        <f t="shared" si="1"/>
        <v>0.02459818309</v>
      </c>
      <c r="I1880" s="8">
        <f t="shared" si="2"/>
        <v>0.02459818309</v>
      </c>
      <c r="J1880" s="7" t="str">
        <f t="shared" si="3"/>
        <v>Jun-2025</v>
      </c>
      <c r="K1880" s="9">
        <f t="shared" si="4"/>
        <v>45809</v>
      </c>
      <c r="L1880" s="7" t="str">
        <f t="shared" si="5"/>
        <v/>
      </c>
      <c r="M1880" s="7" t="str">
        <f>IFERROR(__xludf.DUMMYFUNCTION("IFERROR(
  IF(
    F1880 &gt;
    3*AVERAGE(
       FILTER($F$2:$F10491,
         $G$2:$G10491=G1880,
         $A$2:$A10491&gt;=A1880-20,
         $A$2:$A10491&lt;=A1880
       )
    ),
    ""VOL_SPIKE_3X"",""""
  ),
"""")
"),"")</f>
        <v/>
      </c>
      <c r="N1880" s="7" t="str">
        <f t="shared" si="6"/>
        <v/>
      </c>
      <c r="O1880" s="7" t="str">
        <f t="shared" si="7"/>
        <v/>
      </c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>
      <c r="A1881" s="5">
        <f>IFERROR(__xludf.DUMMYFUNCTION("""COMPUTED_VALUE"""),45831.0)</f>
        <v>45831</v>
      </c>
      <c r="B1881" s="6">
        <f>IFERROR(__xludf.DUMMYFUNCTION("""COMPUTED_VALUE"""),817.95)</f>
        <v>817.95</v>
      </c>
      <c r="C1881" s="6">
        <f>IFERROR(__xludf.DUMMYFUNCTION("""COMPUTED_VALUE"""),842.55)</f>
        <v>842.55</v>
      </c>
      <c r="D1881" s="6">
        <f>IFERROR(__xludf.DUMMYFUNCTION("""COMPUTED_VALUE"""),817.8)</f>
        <v>817.8</v>
      </c>
      <c r="E1881" s="6">
        <f>IFERROR(__xludf.DUMMYFUNCTION("""COMPUTED_VALUE"""),837.2)</f>
        <v>837.2</v>
      </c>
      <c r="F1881" s="7">
        <f>IFERROR(__xludf.DUMMYFUNCTION("""COMPUTED_VALUE"""),1079104.0)</f>
        <v>1079104</v>
      </c>
      <c r="G1881" s="7" t="str">
        <f>IFERROR(__xludf.DUMMYFUNCTION("""COMPUTED_VALUE"""),"ADANIENSOL.NS")</f>
        <v>ADANIENSOL.NS</v>
      </c>
      <c r="H1881" s="8">
        <f t="shared" si="1"/>
        <v>0.02353444587</v>
      </c>
      <c r="I1881" s="8">
        <f t="shared" si="2"/>
        <v>0.02353444587</v>
      </c>
      <c r="J1881" s="7" t="str">
        <f t="shared" si="3"/>
        <v>Jun-2025</v>
      </c>
      <c r="K1881" s="9">
        <f t="shared" si="4"/>
        <v>45809</v>
      </c>
      <c r="L1881" s="7" t="str">
        <f t="shared" si="5"/>
        <v/>
      </c>
      <c r="M1881" s="7" t="str">
        <f>IFERROR(__xludf.DUMMYFUNCTION("IFERROR(
  IF(
    F1881 &gt;
    3*AVERAGE(
       FILTER($F$2:$F10491,
         $G$2:$G10491=G1881,
         $A$2:$A10491&gt;=A1881-20,
         $A$2:$A10491&lt;=A1881
       )
    ),
    ""VOL_SPIKE_3X"",""""
  ),
"""")
"),"")</f>
        <v/>
      </c>
      <c r="N1881" s="7" t="str">
        <f t="shared" si="6"/>
        <v/>
      </c>
      <c r="O1881" s="7" t="str">
        <f t="shared" si="7"/>
        <v/>
      </c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>
      <c r="A1882" s="5">
        <f>IFERROR(__xludf.DUMMYFUNCTION("""COMPUTED_VALUE"""),45831.0)</f>
        <v>45831</v>
      </c>
      <c r="B1882" s="6">
        <f>IFERROR(__xludf.DUMMYFUNCTION("""COMPUTED_VALUE"""),939.8)</f>
        <v>939.8</v>
      </c>
      <c r="C1882" s="6">
        <f>IFERROR(__xludf.DUMMYFUNCTION("""COMPUTED_VALUE"""),964.9)</f>
        <v>964.9</v>
      </c>
      <c r="D1882" s="6">
        <f>IFERROR(__xludf.DUMMYFUNCTION("""COMPUTED_VALUE"""),935.0)</f>
        <v>935</v>
      </c>
      <c r="E1882" s="6">
        <f>IFERROR(__xludf.DUMMYFUNCTION("""COMPUTED_VALUE"""),960.5)</f>
        <v>960.5</v>
      </c>
      <c r="F1882" s="7">
        <f>IFERROR(__xludf.DUMMYFUNCTION("""COMPUTED_VALUE"""),1728394.0)</f>
        <v>1728394</v>
      </c>
      <c r="G1882" s="7" t="str">
        <f>IFERROR(__xludf.DUMMYFUNCTION("""COMPUTED_VALUE"""),"ADANIGREEN.NS")</f>
        <v>ADANIGREEN.NS</v>
      </c>
      <c r="H1882" s="8">
        <f t="shared" si="1"/>
        <v>0.02202596297</v>
      </c>
      <c r="I1882" s="8">
        <f t="shared" si="2"/>
        <v>0.02202596297</v>
      </c>
      <c r="J1882" s="7" t="str">
        <f t="shared" si="3"/>
        <v>Jun-2025</v>
      </c>
      <c r="K1882" s="9">
        <f t="shared" si="4"/>
        <v>45809</v>
      </c>
      <c r="L1882" s="7" t="str">
        <f t="shared" si="5"/>
        <v/>
      </c>
      <c r="M1882" s="7" t="str">
        <f>IFERROR(__xludf.DUMMYFUNCTION("IFERROR(
  IF(
    F1882 &gt;
    3*AVERAGE(
       FILTER($F$2:$F10491,
         $G$2:$G10491=G1882,
         $A$2:$A10491&gt;=A1882-20,
         $A$2:$A10491&lt;=A1882
       )
    ),
    ""VOL_SPIKE_3X"",""""
  ),
"""")
"),"")</f>
        <v/>
      </c>
      <c r="N1882" s="7" t="str">
        <f t="shared" si="6"/>
        <v/>
      </c>
      <c r="O1882" s="7" t="str">
        <f t="shared" si="7"/>
        <v/>
      </c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>
      <c r="A1883" s="5">
        <f>IFERROR(__xludf.DUMMYFUNCTION("""COMPUTED_VALUE"""),45831.0)</f>
        <v>45831</v>
      </c>
      <c r="B1883" s="6">
        <f>IFERROR(__xludf.DUMMYFUNCTION("""COMPUTED_VALUE"""),310.0)</f>
        <v>310</v>
      </c>
      <c r="C1883" s="6">
        <f>IFERROR(__xludf.DUMMYFUNCTION("""COMPUTED_VALUE"""),315.5)</f>
        <v>315.5</v>
      </c>
      <c r="D1883" s="6">
        <f>IFERROR(__xludf.DUMMYFUNCTION("""COMPUTED_VALUE"""),308.2)</f>
        <v>308.2</v>
      </c>
      <c r="E1883" s="6">
        <f>IFERROR(__xludf.DUMMYFUNCTION("""COMPUTED_VALUE"""),313.45)</f>
        <v>313.45</v>
      </c>
      <c r="F1883" s="7">
        <f>IFERROR(__xludf.DUMMYFUNCTION("""COMPUTED_VALUE"""),6848410.0)</f>
        <v>6848410</v>
      </c>
      <c r="G1883" s="7" t="str">
        <f>IFERROR(__xludf.DUMMYFUNCTION("""COMPUTED_VALUE"""),"BPCL.NS")</f>
        <v>BPCL.NS</v>
      </c>
      <c r="H1883" s="8">
        <f t="shared" si="1"/>
        <v>0.01112903226</v>
      </c>
      <c r="I1883" s="8">
        <f t="shared" si="2"/>
        <v>0.01112903226</v>
      </c>
      <c r="J1883" s="7" t="str">
        <f t="shared" si="3"/>
        <v>Jun-2025</v>
      </c>
      <c r="K1883" s="9">
        <f t="shared" si="4"/>
        <v>45809</v>
      </c>
      <c r="L1883" s="7" t="str">
        <f t="shared" si="5"/>
        <v/>
      </c>
      <c r="M1883" s="7" t="str">
        <f>IFERROR(__xludf.DUMMYFUNCTION("IFERROR(
  IF(
    F1883 &gt;
    3*AVERAGE(
       FILTER($F$2:$F10491,
         $G$2:$G10491=G1883,
         $A$2:$A10491&gt;=A1883-20,
         $A$2:$A10491&lt;=A1883
       )
    ),
    ""VOL_SPIKE_3X"",""""
  ),
"""")
"),"")</f>
        <v/>
      </c>
      <c r="N1883" s="7" t="str">
        <f t="shared" si="6"/>
        <v/>
      </c>
      <c r="O1883" s="7" t="str">
        <f t="shared" si="7"/>
        <v/>
      </c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>
      <c r="A1884" s="5">
        <f>IFERROR(__xludf.DUMMYFUNCTION("""COMPUTED_VALUE"""),45831.0)</f>
        <v>45831</v>
      </c>
      <c r="B1884" s="6">
        <f>IFERROR(__xludf.DUMMYFUNCTION("""COMPUTED_VALUE"""),387.0)</f>
        <v>387</v>
      </c>
      <c r="C1884" s="6">
        <f>IFERROR(__xludf.DUMMYFUNCTION("""COMPUTED_VALUE"""),393.1)</f>
        <v>393.1</v>
      </c>
      <c r="D1884" s="6">
        <f>IFERROR(__xludf.DUMMYFUNCTION("""COMPUTED_VALUE"""),384.7)</f>
        <v>384.7</v>
      </c>
      <c r="E1884" s="6">
        <f>IFERROR(__xludf.DUMMYFUNCTION("""COMPUTED_VALUE"""),392.5)</f>
        <v>392.5</v>
      </c>
      <c r="F1884" s="7">
        <f>IFERROR(__xludf.DUMMYFUNCTION("""COMPUTED_VALUE"""),3359491.0)</f>
        <v>3359491</v>
      </c>
      <c r="G1884" s="7" t="str">
        <f>IFERROR(__xludf.DUMMYFUNCTION("""COMPUTED_VALUE"""),"COALINDIA.NS")</f>
        <v>COALINDIA.NS</v>
      </c>
      <c r="H1884" s="8">
        <f t="shared" si="1"/>
        <v>0.0142118863</v>
      </c>
      <c r="I1884" s="8">
        <f t="shared" si="2"/>
        <v>0.0142118863</v>
      </c>
      <c r="J1884" s="7" t="str">
        <f t="shared" si="3"/>
        <v>Jun-2025</v>
      </c>
      <c r="K1884" s="9">
        <f t="shared" si="4"/>
        <v>45809</v>
      </c>
      <c r="L1884" s="7" t="str">
        <f t="shared" si="5"/>
        <v/>
      </c>
      <c r="M1884" s="7" t="str">
        <f>IFERROR(__xludf.DUMMYFUNCTION("IFERROR(
  IF(
    F1884 &gt;
    3*AVERAGE(
       FILTER($F$2:$F10491,
         $G$2:$G10491=G1884,
         $A$2:$A10491&gt;=A1884-20,
         $A$2:$A10491&lt;=A1884
       )
    ),
    ""VOL_SPIKE_3X"",""""
  ),
"""")
"),"")</f>
        <v/>
      </c>
      <c r="N1884" s="7" t="str">
        <f t="shared" si="6"/>
        <v/>
      </c>
      <c r="O1884" s="7" t="str">
        <f t="shared" si="7"/>
        <v/>
      </c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>
      <c r="A1885" s="5">
        <f>IFERROR(__xludf.DUMMYFUNCTION("""COMPUTED_VALUE"""),45831.0)</f>
        <v>45831</v>
      </c>
      <c r="B1885" s="6">
        <f>IFERROR(__xludf.DUMMYFUNCTION("""COMPUTED_VALUE"""),390.35)</f>
        <v>390.35</v>
      </c>
      <c r="C1885" s="6">
        <f>IFERROR(__xludf.DUMMYFUNCTION("""COMPUTED_VALUE"""),397.2)</f>
        <v>397.2</v>
      </c>
      <c r="D1885" s="6">
        <f>IFERROR(__xludf.DUMMYFUNCTION("""COMPUTED_VALUE"""),383.55)</f>
        <v>383.55</v>
      </c>
      <c r="E1885" s="6">
        <f>IFERROR(__xludf.DUMMYFUNCTION("""COMPUTED_VALUE"""),393.25)</f>
        <v>393.25</v>
      </c>
      <c r="F1885" s="7">
        <f>IFERROR(__xludf.DUMMYFUNCTION("""COMPUTED_VALUE"""),4641365.0)</f>
        <v>4641365</v>
      </c>
      <c r="G1885" s="7" t="str">
        <f>IFERROR(__xludf.DUMMYFUNCTION("""COMPUTED_VALUE"""),"HINDPETRO.NS")</f>
        <v>HINDPETRO.NS</v>
      </c>
      <c r="H1885" s="8">
        <f t="shared" si="1"/>
        <v>0.007429230178</v>
      </c>
      <c r="I1885" s="8">
        <f t="shared" si="2"/>
        <v>0.007429230178</v>
      </c>
      <c r="J1885" s="7" t="str">
        <f t="shared" si="3"/>
        <v>Jun-2025</v>
      </c>
      <c r="K1885" s="9">
        <f t="shared" si="4"/>
        <v>45809</v>
      </c>
      <c r="L1885" s="7" t="str">
        <f t="shared" si="5"/>
        <v/>
      </c>
      <c r="M1885" s="7" t="str">
        <f>IFERROR(__xludf.DUMMYFUNCTION("IFERROR(
  IF(
    F1885 &gt;
    3*AVERAGE(
       FILTER($F$2:$F10491,
         $G$2:$G10491=G1885,
         $A$2:$A10491&gt;=A1885-20,
         $A$2:$A10491&lt;=A1885
       )
    ),
    ""VOL_SPIKE_3X"",""""
  ),
"""")
"),"")</f>
        <v/>
      </c>
      <c r="N1885" s="7" t="str">
        <f t="shared" si="6"/>
        <v/>
      </c>
      <c r="O1885" s="7" t="str">
        <f t="shared" si="7"/>
        <v/>
      </c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>
      <c r="A1886" s="5">
        <f>IFERROR(__xludf.DUMMYFUNCTION("""COMPUTED_VALUE"""),45831.0)</f>
        <v>45831</v>
      </c>
      <c r="B1886" s="6">
        <f>IFERROR(__xludf.DUMMYFUNCTION("""COMPUTED_VALUE"""),137.0)</f>
        <v>137</v>
      </c>
      <c r="C1886" s="6">
        <f>IFERROR(__xludf.DUMMYFUNCTION("""COMPUTED_VALUE"""),140.17)</f>
        <v>140.17</v>
      </c>
      <c r="D1886" s="6">
        <f>IFERROR(__xludf.DUMMYFUNCTION("""COMPUTED_VALUE"""),136.4)</f>
        <v>136.4</v>
      </c>
      <c r="E1886" s="6">
        <f>IFERROR(__xludf.DUMMYFUNCTION("""COMPUTED_VALUE"""),139.92)</f>
        <v>139.92</v>
      </c>
      <c r="F1886" s="7">
        <f>IFERROR(__xludf.DUMMYFUNCTION("""COMPUTED_VALUE"""),1.4001242E7)</f>
        <v>14001242</v>
      </c>
      <c r="G1886" s="7" t="str">
        <f>IFERROR(__xludf.DUMMYFUNCTION("""COMPUTED_VALUE"""),"IOC.NS")</f>
        <v>IOC.NS</v>
      </c>
      <c r="H1886" s="8">
        <f t="shared" si="1"/>
        <v>0.02131386861</v>
      </c>
      <c r="I1886" s="8">
        <f t="shared" si="2"/>
        <v>0.02131386861</v>
      </c>
      <c r="J1886" s="7" t="str">
        <f t="shared" si="3"/>
        <v>Jun-2025</v>
      </c>
      <c r="K1886" s="9">
        <f t="shared" si="4"/>
        <v>45809</v>
      </c>
      <c r="L1886" s="7" t="str">
        <f t="shared" si="5"/>
        <v/>
      </c>
      <c r="M1886" s="7" t="str">
        <f>IFERROR(__xludf.DUMMYFUNCTION("IFERROR(
  IF(
    F1886 &gt;
    3*AVERAGE(
       FILTER($F$2:$F10491,
         $G$2:$G10491=G1886,
         $A$2:$A10491&gt;=A1886-20,
         $A$2:$A10491&lt;=A1886
       )
    ),
    ""VOL_SPIKE_3X"",""""
  ),
"""")
"),"")</f>
        <v/>
      </c>
      <c r="N1886" s="7" t="str">
        <f t="shared" si="6"/>
        <v/>
      </c>
      <c r="O1886" s="7" t="str">
        <f t="shared" si="7"/>
        <v/>
      </c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>
      <c r="A1887" s="5">
        <f>IFERROR(__xludf.DUMMYFUNCTION("""COMPUTED_VALUE"""),45831.0)</f>
        <v>45831</v>
      </c>
      <c r="B1887" s="6">
        <f>IFERROR(__xludf.DUMMYFUNCTION("""COMPUTED_VALUE"""),333.7)</f>
        <v>333.7</v>
      </c>
      <c r="C1887" s="6">
        <f>IFERROR(__xludf.DUMMYFUNCTION("""COMPUTED_VALUE"""),335.7)</f>
        <v>335.7</v>
      </c>
      <c r="D1887" s="6">
        <f>IFERROR(__xludf.DUMMYFUNCTION("""COMPUTED_VALUE"""),330.35)</f>
        <v>330.35</v>
      </c>
      <c r="E1887" s="6">
        <f>IFERROR(__xludf.DUMMYFUNCTION("""COMPUTED_VALUE"""),332.6)</f>
        <v>332.6</v>
      </c>
      <c r="F1887" s="7">
        <f>IFERROR(__xludf.DUMMYFUNCTION("""COMPUTED_VALUE"""),8277787.0)</f>
        <v>8277787</v>
      </c>
      <c r="G1887" s="7" t="str">
        <f>IFERROR(__xludf.DUMMYFUNCTION("""COMPUTED_VALUE"""),"NTPC.NS")</f>
        <v>NTPC.NS</v>
      </c>
      <c r="H1887" s="8">
        <f t="shared" si="1"/>
        <v>-0.003296373989</v>
      </c>
      <c r="I1887" s="8">
        <f t="shared" si="2"/>
        <v>0.003296373989</v>
      </c>
      <c r="J1887" s="7" t="str">
        <f t="shared" si="3"/>
        <v>Jun-2025</v>
      </c>
      <c r="K1887" s="9">
        <f t="shared" si="4"/>
        <v>45809</v>
      </c>
      <c r="L1887" s="7" t="str">
        <f t="shared" si="5"/>
        <v/>
      </c>
      <c r="M1887" s="7" t="str">
        <f>IFERROR(__xludf.DUMMYFUNCTION("IFERROR(
  IF(
    F1887 &gt;
    3*AVERAGE(
       FILTER($F$2:$F10491,
         $G$2:$G10491=G1887,
         $A$2:$A10491&gt;=A1887-20,
         $A$2:$A10491&lt;=A1887
       )
    ),
    ""VOL_SPIKE_3X"",""""
  ),
"""")
"),"")</f>
        <v/>
      </c>
      <c r="N1887" s="7" t="str">
        <f t="shared" si="6"/>
        <v/>
      </c>
      <c r="O1887" s="7" t="str">
        <f t="shared" si="7"/>
        <v/>
      </c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>
      <c r="A1888" s="5">
        <f>IFERROR(__xludf.DUMMYFUNCTION("""COMPUTED_VALUE"""),45831.0)</f>
        <v>45831</v>
      </c>
      <c r="B1888" s="6">
        <f>IFERROR(__xludf.DUMMYFUNCTION("""COMPUTED_VALUE"""),253.01)</f>
        <v>253.01</v>
      </c>
      <c r="C1888" s="6">
        <f>IFERROR(__xludf.DUMMYFUNCTION("""COMPUTED_VALUE"""),255.49)</f>
        <v>255.49</v>
      </c>
      <c r="D1888" s="6">
        <f>IFERROR(__xludf.DUMMYFUNCTION("""COMPUTED_VALUE"""),250.33)</f>
        <v>250.33</v>
      </c>
      <c r="E1888" s="6">
        <f>IFERROR(__xludf.DUMMYFUNCTION("""COMPUTED_VALUE"""),251.38)</f>
        <v>251.38</v>
      </c>
      <c r="F1888" s="7">
        <f>IFERROR(__xludf.DUMMYFUNCTION("""COMPUTED_VALUE"""),1.6776881E7)</f>
        <v>16776881</v>
      </c>
      <c r="G1888" s="7" t="str">
        <f>IFERROR(__xludf.DUMMYFUNCTION("""COMPUTED_VALUE"""),"ONGC.NS")</f>
        <v>ONGC.NS</v>
      </c>
      <c r="H1888" s="8">
        <f t="shared" si="1"/>
        <v>-0.006442433105</v>
      </c>
      <c r="I1888" s="8">
        <f t="shared" si="2"/>
        <v>0.006442433105</v>
      </c>
      <c r="J1888" s="7" t="str">
        <f t="shared" si="3"/>
        <v>Jun-2025</v>
      </c>
      <c r="K1888" s="9">
        <f t="shared" si="4"/>
        <v>45809</v>
      </c>
      <c r="L1888" s="7" t="str">
        <f t="shared" si="5"/>
        <v/>
      </c>
      <c r="M1888" s="7" t="str">
        <f>IFERROR(__xludf.DUMMYFUNCTION("IFERROR(
  IF(
    F1888 &gt;
    3*AVERAGE(
       FILTER($F$2:$F10491,
         $G$2:$G10491=G1888,
         $A$2:$A10491&gt;=A1888-20,
         $A$2:$A10491&lt;=A1888
       )
    ),
    ""VOL_SPIKE_3X"",""""
  ),
"""")
"),"")</f>
        <v/>
      </c>
      <c r="N1888" s="7" t="str">
        <f t="shared" si="6"/>
        <v/>
      </c>
      <c r="O1888" s="7" t="str">
        <f t="shared" si="7"/>
        <v/>
      </c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>
      <c r="A1889" s="5">
        <f>IFERROR(__xludf.DUMMYFUNCTION("""COMPUTED_VALUE"""),45831.0)</f>
        <v>45831</v>
      </c>
      <c r="B1889" s="6">
        <f>IFERROR(__xludf.DUMMYFUNCTION("""COMPUTED_VALUE"""),291.4)</f>
        <v>291.4</v>
      </c>
      <c r="C1889" s="6">
        <f>IFERROR(__xludf.DUMMYFUNCTION("""COMPUTED_VALUE"""),293.45)</f>
        <v>293.45</v>
      </c>
      <c r="D1889" s="6">
        <f>IFERROR(__xludf.DUMMYFUNCTION("""COMPUTED_VALUE"""),288.1)</f>
        <v>288.1</v>
      </c>
      <c r="E1889" s="6">
        <f>IFERROR(__xludf.DUMMYFUNCTION("""COMPUTED_VALUE"""),290.25)</f>
        <v>290.25</v>
      </c>
      <c r="F1889" s="7">
        <f>IFERROR(__xludf.DUMMYFUNCTION("""COMPUTED_VALUE"""),6833477.0)</f>
        <v>6833477</v>
      </c>
      <c r="G1889" s="7" t="str">
        <f>IFERROR(__xludf.DUMMYFUNCTION("""COMPUTED_VALUE"""),"POWERGRID.NS")</f>
        <v>POWERGRID.NS</v>
      </c>
      <c r="H1889" s="8">
        <f t="shared" si="1"/>
        <v>-0.00394646534</v>
      </c>
      <c r="I1889" s="8">
        <f t="shared" si="2"/>
        <v>0.00394646534</v>
      </c>
      <c r="J1889" s="7" t="str">
        <f t="shared" si="3"/>
        <v>Jun-2025</v>
      </c>
      <c r="K1889" s="9">
        <f t="shared" si="4"/>
        <v>45809</v>
      </c>
      <c r="L1889" s="7" t="str">
        <f t="shared" si="5"/>
        <v/>
      </c>
      <c r="M1889" s="7" t="str">
        <f>IFERROR(__xludf.DUMMYFUNCTION("IFERROR(
  IF(
    F1889 &gt;
    3*AVERAGE(
       FILTER($F$2:$F10491,
         $G$2:$G10491=G1889,
         $A$2:$A10491&gt;=A1889-20,
         $A$2:$A10491&lt;=A1889
       )
    ),
    ""VOL_SPIKE_3X"",""""
  ),
"""")
"),"")</f>
        <v/>
      </c>
      <c r="N1889" s="7" t="str">
        <f t="shared" si="6"/>
        <v/>
      </c>
      <c r="O1889" s="7" t="str">
        <f t="shared" si="7"/>
        <v/>
      </c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>
      <c r="A1890" s="5">
        <f>IFERROR(__xludf.DUMMYFUNCTION("""COMPUTED_VALUE"""),45831.0)</f>
        <v>45831</v>
      </c>
      <c r="B1890" s="6">
        <f>IFERROR(__xludf.DUMMYFUNCTION("""COMPUTED_VALUE"""),1453.0)</f>
        <v>1453</v>
      </c>
      <c r="C1890" s="6">
        <f>IFERROR(__xludf.DUMMYFUNCTION("""COMPUTED_VALUE"""),1463.8)</f>
        <v>1463.8</v>
      </c>
      <c r="D1890" s="6">
        <f>IFERROR(__xludf.DUMMYFUNCTION("""COMPUTED_VALUE"""),1442.0)</f>
        <v>1442</v>
      </c>
      <c r="E1890" s="6">
        <f>IFERROR(__xludf.DUMMYFUNCTION("""COMPUTED_VALUE"""),1456.8)</f>
        <v>1456.8</v>
      </c>
      <c r="F1890" s="7">
        <f>IFERROR(__xludf.DUMMYFUNCTION("""COMPUTED_VALUE"""),5989078.0)</f>
        <v>5989078</v>
      </c>
      <c r="G1890" s="7" t="str">
        <f>IFERROR(__xludf.DUMMYFUNCTION("""COMPUTED_VALUE"""),"RELIANCE.NS")</f>
        <v>RELIANCE.NS</v>
      </c>
      <c r="H1890" s="8">
        <f t="shared" si="1"/>
        <v>0.002615278734</v>
      </c>
      <c r="I1890" s="8">
        <f t="shared" si="2"/>
        <v>0.002615278734</v>
      </c>
      <c r="J1890" s="7" t="str">
        <f t="shared" si="3"/>
        <v>Jun-2025</v>
      </c>
      <c r="K1890" s="9">
        <f t="shared" si="4"/>
        <v>45809</v>
      </c>
      <c r="L1890" s="7" t="str">
        <f t="shared" si="5"/>
        <v/>
      </c>
      <c r="M1890" s="7" t="str">
        <f>IFERROR(__xludf.DUMMYFUNCTION("IFERROR(
  IF(
    F1890 &gt;
    3*AVERAGE(
       FILTER($F$2:$F10491,
         $G$2:$G10491=G1890,
         $A$2:$A10491&gt;=A1890-20,
         $A$2:$A10491&lt;=A1890
       )
    ),
    ""VOL_SPIKE_3X"",""""
  ),
"""")
"),"")</f>
        <v/>
      </c>
      <c r="N1890" s="7" t="str">
        <f t="shared" si="6"/>
        <v/>
      </c>
      <c r="O1890" s="7" t="str">
        <f t="shared" si="7"/>
        <v/>
      </c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>
      <c r="A1891" s="5">
        <f>IFERROR(__xludf.DUMMYFUNCTION("""COMPUTED_VALUE"""),45832.0)</f>
        <v>45832</v>
      </c>
      <c r="B1891" s="6">
        <f>IFERROR(__xludf.DUMMYFUNCTION("""COMPUTED_VALUE"""),852.0)</f>
        <v>852</v>
      </c>
      <c r="C1891" s="6">
        <f>IFERROR(__xludf.DUMMYFUNCTION("""COMPUTED_VALUE"""),866.6)</f>
        <v>866.6</v>
      </c>
      <c r="D1891" s="6">
        <f>IFERROR(__xludf.DUMMYFUNCTION("""COMPUTED_VALUE"""),848.0)</f>
        <v>848</v>
      </c>
      <c r="E1891" s="6">
        <f>IFERROR(__xludf.DUMMYFUNCTION("""COMPUTED_VALUE"""),851.85)</f>
        <v>851.85</v>
      </c>
      <c r="F1891" s="7">
        <f>IFERROR(__xludf.DUMMYFUNCTION("""COMPUTED_VALUE"""),1922183.0)</f>
        <v>1922183</v>
      </c>
      <c r="G1891" s="7" t="str">
        <f>IFERROR(__xludf.DUMMYFUNCTION("""COMPUTED_VALUE"""),"ADANIENSOL.NS")</f>
        <v>ADANIENSOL.NS</v>
      </c>
      <c r="H1891" s="8">
        <f t="shared" si="1"/>
        <v>-0.000176056338</v>
      </c>
      <c r="I1891" s="8">
        <f t="shared" si="2"/>
        <v>0.000176056338</v>
      </c>
      <c r="J1891" s="7" t="str">
        <f t="shared" si="3"/>
        <v>Jun-2025</v>
      </c>
      <c r="K1891" s="9">
        <f t="shared" si="4"/>
        <v>45809</v>
      </c>
      <c r="L1891" s="7" t="str">
        <f t="shared" si="5"/>
        <v/>
      </c>
      <c r="M1891" s="7" t="str">
        <f>IFERROR(__xludf.DUMMYFUNCTION("IFERROR(
  IF(
    F1891 &gt;
    3*AVERAGE(
       FILTER($F$2:$F10491,
         $G$2:$G10491=G1891,
         $A$2:$A10491&gt;=A1891-20,
         $A$2:$A10491&lt;=A1891
       )
    ),
    ""VOL_SPIKE_3X"",""""
  ),
"""")
"),"")</f>
        <v/>
      </c>
      <c r="N1891" s="7" t="str">
        <f t="shared" si="6"/>
        <v/>
      </c>
      <c r="O1891" s="7" t="str">
        <f t="shared" si="7"/>
        <v/>
      </c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>
      <c r="A1892" s="5">
        <f>IFERROR(__xludf.DUMMYFUNCTION("""COMPUTED_VALUE"""),45832.0)</f>
        <v>45832</v>
      </c>
      <c r="B1892" s="6">
        <f>IFERROR(__xludf.DUMMYFUNCTION("""COMPUTED_VALUE"""),975.0)</f>
        <v>975</v>
      </c>
      <c r="C1892" s="6">
        <f>IFERROR(__xludf.DUMMYFUNCTION("""COMPUTED_VALUE"""),1001.9)</f>
        <v>1001.9</v>
      </c>
      <c r="D1892" s="6">
        <f>IFERROR(__xludf.DUMMYFUNCTION("""COMPUTED_VALUE"""),974.0)</f>
        <v>974</v>
      </c>
      <c r="E1892" s="6">
        <f>IFERROR(__xludf.DUMMYFUNCTION("""COMPUTED_VALUE"""),987.3)</f>
        <v>987.3</v>
      </c>
      <c r="F1892" s="7">
        <f>IFERROR(__xludf.DUMMYFUNCTION("""COMPUTED_VALUE"""),3498494.0)</f>
        <v>3498494</v>
      </c>
      <c r="G1892" s="7" t="str">
        <f>IFERROR(__xludf.DUMMYFUNCTION("""COMPUTED_VALUE"""),"ADANIGREEN.NS")</f>
        <v>ADANIGREEN.NS</v>
      </c>
      <c r="H1892" s="8">
        <f t="shared" si="1"/>
        <v>0.01261538462</v>
      </c>
      <c r="I1892" s="8">
        <f t="shared" si="2"/>
        <v>0.01261538462</v>
      </c>
      <c r="J1892" s="7" t="str">
        <f t="shared" si="3"/>
        <v>Jun-2025</v>
      </c>
      <c r="K1892" s="9">
        <f t="shared" si="4"/>
        <v>45809</v>
      </c>
      <c r="L1892" s="7" t="str">
        <f t="shared" si="5"/>
        <v/>
      </c>
      <c r="M1892" s="7" t="str">
        <f>IFERROR(__xludf.DUMMYFUNCTION("IFERROR(
  IF(
    F1892 &gt;
    3*AVERAGE(
       FILTER($F$2:$F10491,
         $G$2:$G10491=G1892,
         $A$2:$A10491&gt;=A1892-20,
         $A$2:$A10491&lt;=A1892
       )
    ),
    ""VOL_SPIKE_3X"",""""
  ),
"""")
"),"")</f>
        <v/>
      </c>
      <c r="N1892" s="7" t="str">
        <f t="shared" si="6"/>
        <v/>
      </c>
      <c r="O1892" s="7" t="str">
        <f t="shared" si="7"/>
        <v/>
      </c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>
      <c r="A1893" s="5">
        <f>IFERROR(__xludf.DUMMYFUNCTION("""COMPUTED_VALUE"""),45832.0)</f>
        <v>45832</v>
      </c>
      <c r="B1893" s="6">
        <f>IFERROR(__xludf.DUMMYFUNCTION("""COMPUTED_VALUE"""),325.5)</f>
        <v>325.5</v>
      </c>
      <c r="C1893" s="6">
        <f>IFERROR(__xludf.DUMMYFUNCTION("""COMPUTED_VALUE"""),327.8)</f>
        <v>327.8</v>
      </c>
      <c r="D1893" s="6">
        <f>IFERROR(__xludf.DUMMYFUNCTION("""COMPUTED_VALUE"""),317.0)</f>
        <v>317</v>
      </c>
      <c r="E1893" s="6">
        <f>IFERROR(__xludf.DUMMYFUNCTION("""COMPUTED_VALUE"""),319.25)</f>
        <v>319.25</v>
      </c>
      <c r="F1893" s="7">
        <f>IFERROR(__xludf.DUMMYFUNCTION("""COMPUTED_VALUE"""),1.1172373E7)</f>
        <v>11172373</v>
      </c>
      <c r="G1893" s="7" t="str">
        <f>IFERROR(__xludf.DUMMYFUNCTION("""COMPUTED_VALUE"""),"BPCL.NS")</f>
        <v>BPCL.NS</v>
      </c>
      <c r="H1893" s="8">
        <f t="shared" si="1"/>
        <v>-0.01920122888</v>
      </c>
      <c r="I1893" s="8">
        <f t="shared" si="2"/>
        <v>0.01920122888</v>
      </c>
      <c r="J1893" s="7" t="str">
        <f t="shared" si="3"/>
        <v>Jun-2025</v>
      </c>
      <c r="K1893" s="9">
        <f t="shared" si="4"/>
        <v>45809</v>
      </c>
      <c r="L1893" s="7" t="str">
        <f t="shared" si="5"/>
        <v/>
      </c>
      <c r="M1893" s="7" t="str">
        <f>IFERROR(__xludf.DUMMYFUNCTION("IFERROR(
  IF(
    F1893 &gt;
    3*AVERAGE(
       FILTER($F$2:$F10491,
         $G$2:$G10491=G1893,
         $A$2:$A10491&gt;=A1893-20,
         $A$2:$A10491&lt;=A1893
       )
    ),
    ""VOL_SPIKE_3X"",""""
  ),
"""")
"),"")</f>
        <v/>
      </c>
      <c r="N1893" s="7" t="str">
        <f t="shared" si="6"/>
        <v/>
      </c>
      <c r="O1893" s="7" t="str">
        <f t="shared" si="7"/>
        <v/>
      </c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>
      <c r="A1894" s="5">
        <f>IFERROR(__xludf.DUMMYFUNCTION("""COMPUTED_VALUE"""),45832.0)</f>
        <v>45832</v>
      </c>
      <c r="B1894" s="6">
        <f>IFERROR(__xludf.DUMMYFUNCTION("""COMPUTED_VALUE"""),394.45)</f>
        <v>394.45</v>
      </c>
      <c r="C1894" s="6">
        <f>IFERROR(__xludf.DUMMYFUNCTION("""COMPUTED_VALUE"""),395.4)</f>
        <v>395.4</v>
      </c>
      <c r="D1894" s="6">
        <f>IFERROR(__xludf.DUMMYFUNCTION("""COMPUTED_VALUE"""),390.7)</f>
        <v>390.7</v>
      </c>
      <c r="E1894" s="6">
        <f>IFERROR(__xludf.DUMMYFUNCTION("""COMPUTED_VALUE"""),392.65)</f>
        <v>392.65</v>
      </c>
      <c r="F1894" s="7">
        <f>IFERROR(__xludf.DUMMYFUNCTION("""COMPUTED_VALUE"""),4606984.0)</f>
        <v>4606984</v>
      </c>
      <c r="G1894" s="7" t="str">
        <f>IFERROR(__xludf.DUMMYFUNCTION("""COMPUTED_VALUE"""),"COALINDIA.NS")</f>
        <v>COALINDIA.NS</v>
      </c>
      <c r="H1894" s="8">
        <f t="shared" si="1"/>
        <v>-0.00456331601</v>
      </c>
      <c r="I1894" s="8">
        <f t="shared" si="2"/>
        <v>0.00456331601</v>
      </c>
      <c r="J1894" s="7" t="str">
        <f t="shared" si="3"/>
        <v>Jun-2025</v>
      </c>
      <c r="K1894" s="9">
        <f t="shared" si="4"/>
        <v>45809</v>
      </c>
      <c r="L1894" s="7" t="str">
        <f t="shared" si="5"/>
        <v/>
      </c>
      <c r="M1894" s="7" t="str">
        <f>IFERROR(__xludf.DUMMYFUNCTION("IFERROR(
  IF(
    F1894 &gt;
    3*AVERAGE(
       FILTER($F$2:$F10491,
         $G$2:$G10491=G1894,
         $A$2:$A10491&gt;=A1894-20,
         $A$2:$A10491&lt;=A1894
       )
    ),
    ""VOL_SPIKE_3X"",""""
  ),
"""")
"),"")</f>
        <v/>
      </c>
      <c r="N1894" s="7" t="str">
        <f t="shared" si="6"/>
        <v/>
      </c>
      <c r="O1894" s="7" t="str">
        <f t="shared" si="7"/>
        <v/>
      </c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>
      <c r="A1895" s="5">
        <f>IFERROR(__xludf.DUMMYFUNCTION("""COMPUTED_VALUE"""),45832.0)</f>
        <v>45832</v>
      </c>
      <c r="B1895" s="6">
        <f>IFERROR(__xludf.DUMMYFUNCTION("""COMPUTED_VALUE"""),412.5)</f>
        <v>412.5</v>
      </c>
      <c r="C1895" s="6">
        <f>IFERROR(__xludf.DUMMYFUNCTION("""COMPUTED_VALUE"""),414.8)</f>
        <v>414.8</v>
      </c>
      <c r="D1895" s="6">
        <f>IFERROR(__xludf.DUMMYFUNCTION("""COMPUTED_VALUE"""),403.9)</f>
        <v>403.9</v>
      </c>
      <c r="E1895" s="6">
        <f>IFERROR(__xludf.DUMMYFUNCTION("""COMPUTED_VALUE"""),406.25)</f>
        <v>406.25</v>
      </c>
      <c r="F1895" s="7">
        <f>IFERROR(__xludf.DUMMYFUNCTION("""COMPUTED_VALUE"""),1.5143931E7)</f>
        <v>15143931</v>
      </c>
      <c r="G1895" s="7" t="str">
        <f>IFERROR(__xludf.DUMMYFUNCTION("""COMPUTED_VALUE"""),"HINDPETRO.NS")</f>
        <v>HINDPETRO.NS</v>
      </c>
      <c r="H1895" s="8">
        <f t="shared" si="1"/>
        <v>-0.01515151515</v>
      </c>
      <c r="I1895" s="8">
        <f t="shared" si="2"/>
        <v>0.01515151515</v>
      </c>
      <c r="J1895" s="7" t="str">
        <f t="shared" si="3"/>
        <v>Jun-2025</v>
      </c>
      <c r="K1895" s="9">
        <f t="shared" si="4"/>
        <v>45809</v>
      </c>
      <c r="L1895" s="7" t="str">
        <f t="shared" si="5"/>
        <v/>
      </c>
      <c r="M1895" s="7" t="str">
        <f>IFERROR(__xludf.DUMMYFUNCTION("IFERROR(
  IF(
    F1895 &gt;
    3*AVERAGE(
       FILTER($F$2:$F10491,
         $G$2:$G10491=G1895,
         $A$2:$A10491&gt;=A1895-20,
         $A$2:$A10491&lt;=A1895
       )
    ),
    ""VOL_SPIKE_3X"",""""
  ),
"""")
"),"")</f>
        <v/>
      </c>
      <c r="N1895" s="7" t="str">
        <f t="shared" si="6"/>
        <v/>
      </c>
      <c r="O1895" s="7" t="str">
        <f t="shared" si="7"/>
        <v/>
      </c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>
      <c r="A1896" s="5">
        <f>IFERROR(__xludf.DUMMYFUNCTION("""COMPUTED_VALUE"""),45832.0)</f>
        <v>45832</v>
      </c>
      <c r="B1896" s="6">
        <f>IFERROR(__xludf.DUMMYFUNCTION("""COMPUTED_VALUE"""),144.4)</f>
        <v>144.4</v>
      </c>
      <c r="C1896" s="6">
        <f>IFERROR(__xludf.DUMMYFUNCTION("""COMPUTED_VALUE"""),145.3)</f>
        <v>145.3</v>
      </c>
      <c r="D1896" s="6">
        <f>IFERROR(__xludf.DUMMYFUNCTION("""COMPUTED_VALUE"""),142.16)</f>
        <v>142.16</v>
      </c>
      <c r="E1896" s="6">
        <f>IFERROR(__xludf.DUMMYFUNCTION("""COMPUTED_VALUE"""),142.84)</f>
        <v>142.84</v>
      </c>
      <c r="F1896" s="7">
        <f>IFERROR(__xludf.DUMMYFUNCTION("""COMPUTED_VALUE"""),2.5393037E7)</f>
        <v>25393037</v>
      </c>
      <c r="G1896" s="7" t="str">
        <f>IFERROR(__xludf.DUMMYFUNCTION("""COMPUTED_VALUE"""),"IOC.NS")</f>
        <v>IOC.NS</v>
      </c>
      <c r="H1896" s="8">
        <f t="shared" si="1"/>
        <v>-0.0108033241</v>
      </c>
      <c r="I1896" s="8">
        <f t="shared" si="2"/>
        <v>0.0108033241</v>
      </c>
      <c r="J1896" s="7" t="str">
        <f t="shared" si="3"/>
        <v>Jun-2025</v>
      </c>
      <c r="K1896" s="9">
        <f t="shared" si="4"/>
        <v>45809</v>
      </c>
      <c r="L1896" s="7" t="str">
        <f t="shared" si="5"/>
        <v/>
      </c>
      <c r="M1896" s="7" t="str">
        <f>IFERROR(__xludf.DUMMYFUNCTION("IFERROR(
  IF(
    F1896 &gt;
    3*AVERAGE(
       FILTER($F$2:$F10491,
         $G$2:$G10491=G1896,
         $A$2:$A10491&gt;=A1896-20,
         $A$2:$A10491&lt;=A1896
       )
    ),
    ""VOL_SPIKE_3X"",""""
  ),
"""")
"),"")</f>
        <v/>
      </c>
      <c r="N1896" s="7" t="str">
        <f t="shared" si="6"/>
        <v/>
      </c>
      <c r="O1896" s="7" t="str">
        <f t="shared" si="7"/>
        <v/>
      </c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>
      <c r="A1897" s="5">
        <f>IFERROR(__xludf.DUMMYFUNCTION("""COMPUTED_VALUE"""),45832.0)</f>
        <v>45832</v>
      </c>
      <c r="B1897" s="6">
        <f>IFERROR(__xludf.DUMMYFUNCTION("""COMPUTED_VALUE"""),331.0)</f>
        <v>331</v>
      </c>
      <c r="C1897" s="6">
        <f>IFERROR(__xludf.DUMMYFUNCTION("""COMPUTED_VALUE"""),331.7)</f>
        <v>331.7</v>
      </c>
      <c r="D1897" s="6">
        <f>IFERROR(__xludf.DUMMYFUNCTION("""COMPUTED_VALUE"""),321.35)</f>
        <v>321.35</v>
      </c>
      <c r="E1897" s="6">
        <f>IFERROR(__xludf.DUMMYFUNCTION("""COMPUTED_VALUE"""),329.95)</f>
        <v>329.95</v>
      </c>
      <c r="F1897" s="7">
        <f>IFERROR(__xludf.DUMMYFUNCTION("""COMPUTED_VALUE"""),1.00814893E8)</f>
        <v>100814893</v>
      </c>
      <c r="G1897" s="7" t="str">
        <f>IFERROR(__xludf.DUMMYFUNCTION("""COMPUTED_VALUE"""),"NTPC.NS")</f>
        <v>NTPC.NS</v>
      </c>
      <c r="H1897" s="8">
        <f t="shared" si="1"/>
        <v>-0.003172205438</v>
      </c>
      <c r="I1897" s="8">
        <f t="shared" si="2"/>
        <v>0.003172205438</v>
      </c>
      <c r="J1897" s="7" t="str">
        <f t="shared" si="3"/>
        <v>Jun-2025</v>
      </c>
      <c r="K1897" s="9">
        <f t="shared" si="4"/>
        <v>45809</v>
      </c>
      <c r="L1897" s="7" t="str">
        <f t="shared" si="5"/>
        <v/>
      </c>
      <c r="M1897" s="7" t="str">
        <f>IFERROR(__xludf.DUMMYFUNCTION("IFERROR(
  IF(
    F1897 &gt;
    3*AVERAGE(
       FILTER($F$2:$F10491,
         $G$2:$G10491=G1897,
         $A$2:$A10491&gt;=A1897-20,
         $A$2:$A10491&lt;=A1897
       )
    ),
    ""VOL_SPIKE_3X"",""""
  ),
"""")
"),"VOL_SPIKE_3X")</f>
        <v>VOL_SPIKE_3X</v>
      </c>
      <c r="N1897" s="7" t="str">
        <f t="shared" si="6"/>
        <v>VOL_SPIKE_3X</v>
      </c>
      <c r="O1897" s="7" t="str">
        <f t="shared" si="7"/>
        <v/>
      </c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>
      <c r="A1898" s="5">
        <f>IFERROR(__xludf.DUMMYFUNCTION("""COMPUTED_VALUE"""),45832.0)</f>
        <v>45832</v>
      </c>
      <c r="B1898" s="6">
        <f>IFERROR(__xludf.DUMMYFUNCTION("""COMPUTED_VALUE"""),247.5)</f>
        <v>247.5</v>
      </c>
      <c r="C1898" s="6">
        <f>IFERROR(__xludf.DUMMYFUNCTION("""COMPUTED_VALUE"""),248.0)</f>
        <v>248</v>
      </c>
      <c r="D1898" s="6">
        <f>IFERROR(__xludf.DUMMYFUNCTION("""COMPUTED_VALUE"""),243.49)</f>
        <v>243.49</v>
      </c>
      <c r="E1898" s="6">
        <f>IFERROR(__xludf.DUMMYFUNCTION("""COMPUTED_VALUE"""),243.92)</f>
        <v>243.92</v>
      </c>
      <c r="F1898" s="7">
        <f>IFERROR(__xludf.DUMMYFUNCTION("""COMPUTED_VALUE"""),2.2215004E7)</f>
        <v>22215004</v>
      </c>
      <c r="G1898" s="7" t="str">
        <f>IFERROR(__xludf.DUMMYFUNCTION("""COMPUTED_VALUE"""),"ONGC.NS")</f>
        <v>ONGC.NS</v>
      </c>
      <c r="H1898" s="8">
        <f t="shared" si="1"/>
        <v>-0.01446464646</v>
      </c>
      <c r="I1898" s="8">
        <f t="shared" si="2"/>
        <v>0.01446464646</v>
      </c>
      <c r="J1898" s="7" t="str">
        <f t="shared" si="3"/>
        <v>Jun-2025</v>
      </c>
      <c r="K1898" s="9">
        <f t="shared" si="4"/>
        <v>45809</v>
      </c>
      <c r="L1898" s="7" t="str">
        <f t="shared" si="5"/>
        <v/>
      </c>
      <c r="M1898" s="7" t="str">
        <f>IFERROR(__xludf.DUMMYFUNCTION("IFERROR(
  IF(
    F1898 &gt;
    3*AVERAGE(
       FILTER($F$2:$F10491,
         $G$2:$G10491=G1898,
         $A$2:$A10491&gt;=A1898-20,
         $A$2:$A10491&lt;=A1898
       )
    ),
    ""VOL_SPIKE_3X"",""""
  ),
"""")
"),"")</f>
        <v/>
      </c>
      <c r="N1898" s="7" t="str">
        <f t="shared" si="6"/>
        <v/>
      </c>
      <c r="O1898" s="7" t="str">
        <f t="shared" si="7"/>
        <v/>
      </c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>
      <c r="A1899" s="5">
        <f>IFERROR(__xludf.DUMMYFUNCTION("""COMPUTED_VALUE"""),45832.0)</f>
        <v>45832</v>
      </c>
      <c r="B1899" s="6">
        <f>IFERROR(__xludf.DUMMYFUNCTION("""COMPUTED_VALUE"""),293.45)</f>
        <v>293.45</v>
      </c>
      <c r="C1899" s="6">
        <f>IFERROR(__xludf.DUMMYFUNCTION("""COMPUTED_VALUE"""),294.7)</f>
        <v>294.7</v>
      </c>
      <c r="D1899" s="6">
        <f>IFERROR(__xludf.DUMMYFUNCTION("""COMPUTED_VALUE"""),285.35)</f>
        <v>285.35</v>
      </c>
      <c r="E1899" s="6">
        <f>IFERROR(__xludf.DUMMYFUNCTION("""COMPUTED_VALUE"""),285.95)</f>
        <v>285.95</v>
      </c>
      <c r="F1899" s="7">
        <f>IFERROR(__xludf.DUMMYFUNCTION("""COMPUTED_VALUE"""),1.5007849E7)</f>
        <v>15007849</v>
      </c>
      <c r="G1899" s="7" t="str">
        <f>IFERROR(__xludf.DUMMYFUNCTION("""COMPUTED_VALUE"""),"POWERGRID.NS")</f>
        <v>POWERGRID.NS</v>
      </c>
      <c r="H1899" s="8">
        <f t="shared" si="1"/>
        <v>-0.0255580167</v>
      </c>
      <c r="I1899" s="8">
        <f t="shared" si="2"/>
        <v>0.0255580167</v>
      </c>
      <c r="J1899" s="7" t="str">
        <f t="shared" si="3"/>
        <v>Jun-2025</v>
      </c>
      <c r="K1899" s="9">
        <f t="shared" si="4"/>
        <v>45809</v>
      </c>
      <c r="L1899" s="7" t="str">
        <f t="shared" si="5"/>
        <v/>
      </c>
      <c r="M1899" s="7" t="str">
        <f>IFERROR(__xludf.DUMMYFUNCTION("IFERROR(
  IF(
    F1899 &gt;
    3*AVERAGE(
       FILTER($F$2:$F10491,
         $G$2:$G10491=G1899,
         $A$2:$A10491&gt;=A1899-20,
         $A$2:$A10491&lt;=A1899
       )
    ),
    ""VOL_SPIKE_3X"",""""
  ),
"""")
"),"")</f>
        <v/>
      </c>
      <c r="N1899" s="7" t="str">
        <f t="shared" si="6"/>
        <v/>
      </c>
      <c r="O1899" s="7" t="str">
        <f t="shared" si="7"/>
        <v/>
      </c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>
      <c r="A1900" s="5">
        <f>IFERROR(__xludf.DUMMYFUNCTION("""COMPUTED_VALUE"""),45832.0)</f>
        <v>45832</v>
      </c>
      <c r="B1900" s="6">
        <f>IFERROR(__xludf.DUMMYFUNCTION("""COMPUTED_VALUE"""),1465.0)</f>
        <v>1465</v>
      </c>
      <c r="C1900" s="6">
        <f>IFERROR(__xludf.DUMMYFUNCTION("""COMPUTED_VALUE"""),1475.0)</f>
        <v>1475</v>
      </c>
      <c r="D1900" s="6">
        <f>IFERROR(__xludf.DUMMYFUNCTION("""COMPUTED_VALUE"""),1443.1)</f>
        <v>1443.1</v>
      </c>
      <c r="E1900" s="6">
        <f>IFERROR(__xludf.DUMMYFUNCTION("""COMPUTED_VALUE"""),1450.8)</f>
        <v>1450.8</v>
      </c>
      <c r="F1900" s="7">
        <f>IFERROR(__xludf.DUMMYFUNCTION("""COMPUTED_VALUE"""),1.6402744E7)</f>
        <v>16402744</v>
      </c>
      <c r="G1900" s="7" t="str">
        <f>IFERROR(__xludf.DUMMYFUNCTION("""COMPUTED_VALUE"""),"RELIANCE.NS")</f>
        <v>RELIANCE.NS</v>
      </c>
      <c r="H1900" s="8">
        <f t="shared" si="1"/>
        <v>-0.009692832765</v>
      </c>
      <c r="I1900" s="8">
        <f t="shared" si="2"/>
        <v>0.009692832765</v>
      </c>
      <c r="J1900" s="7" t="str">
        <f t="shared" si="3"/>
        <v>Jun-2025</v>
      </c>
      <c r="K1900" s="9">
        <f t="shared" si="4"/>
        <v>45809</v>
      </c>
      <c r="L1900" s="7" t="str">
        <f t="shared" si="5"/>
        <v/>
      </c>
      <c r="M1900" s="7" t="str">
        <f>IFERROR(__xludf.DUMMYFUNCTION("IFERROR(
  IF(
    F1900 &gt;
    3*AVERAGE(
       FILTER($F$2:$F10491,
         $G$2:$G10491=G1900,
         $A$2:$A10491&gt;=A1900-20,
         $A$2:$A10491&lt;=A1900
       )
    ),
    ""VOL_SPIKE_3X"",""""
  ),
"""")
"),"")</f>
        <v/>
      </c>
      <c r="N1900" s="7" t="str">
        <f t="shared" si="6"/>
        <v/>
      </c>
      <c r="O1900" s="7" t="str">
        <f t="shared" si="7"/>
        <v/>
      </c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>
      <c r="A1901" s="5">
        <f>IFERROR(__xludf.DUMMYFUNCTION("""COMPUTED_VALUE"""),45833.0)</f>
        <v>45833</v>
      </c>
      <c r="B1901" s="6">
        <f>IFERROR(__xludf.DUMMYFUNCTION("""COMPUTED_VALUE"""),856.35)</f>
        <v>856.35</v>
      </c>
      <c r="C1901" s="6">
        <f>IFERROR(__xludf.DUMMYFUNCTION("""COMPUTED_VALUE"""),863.7)</f>
        <v>863.7</v>
      </c>
      <c r="D1901" s="6">
        <f>IFERROR(__xludf.DUMMYFUNCTION("""COMPUTED_VALUE"""),847.05)</f>
        <v>847.05</v>
      </c>
      <c r="E1901" s="6">
        <f>IFERROR(__xludf.DUMMYFUNCTION("""COMPUTED_VALUE"""),850.2)</f>
        <v>850.2</v>
      </c>
      <c r="F1901" s="7">
        <f>IFERROR(__xludf.DUMMYFUNCTION("""COMPUTED_VALUE"""),2316935.0)</f>
        <v>2316935</v>
      </c>
      <c r="G1901" s="7" t="str">
        <f>IFERROR(__xludf.DUMMYFUNCTION("""COMPUTED_VALUE"""),"ADANIENSOL.NS")</f>
        <v>ADANIENSOL.NS</v>
      </c>
      <c r="H1901" s="8">
        <f t="shared" si="1"/>
        <v>-0.00718164302</v>
      </c>
      <c r="I1901" s="8">
        <f t="shared" si="2"/>
        <v>0.00718164302</v>
      </c>
      <c r="J1901" s="7" t="str">
        <f t="shared" si="3"/>
        <v>Jun-2025</v>
      </c>
      <c r="K1901" s="9">
        <f t="shared" si="4"/>
        <v>45809</v>
      </c>
      <c r="L1901" s="7" t="str">
        <f t="shared" si="5"/>
        <v/>
      </c>
      <c r="M1901" s="7" t="str">
        <f>IFERROR(__xludf.DUMMYFUNCTION("IFERROR(
  IF(
    F1901 &gt;
    3*AVERAGE(
       FILTER($F$2:$F10491,
         $G$2:$G10491=G1901,
         $A$2:$A10491&gt;=A1901-20,
         $A$2:$A10491&lt;=A1901
       )
    ),
    ""VOL_SPIKE_3X"",""""
  ),
"""")
"),"")</f>
        <v/>
      </c>
      <c r="N1901" s="7" t="str">
        <f t="shared" si="6"/>
        <v/>
      </c>
      <c r="O1901" s="7" t="str">
        <f t="shared" si="7"/>
        <v/>
      </c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>
      <c r="A1902" s="5">
        <f>IFERROR(__xludf.DUMMYFUNCTION("""COMPUTED_VALUE"""),45833.0)</f>
        <v>45833</v>
      </c>
      <c r="B1902" s="6">
        <f>IFERROR(__xludf.DUMMYFUNCTION("""COMPUTED_VALUE"""),987.0)</f>
        <v>987</v>
      </c>
      <c r="C1902" s="6">
        <f>IFERROR(__xludf.DUMMYFUNCTION("""COMPUTED_VALUE"""),997.0)</f>
        <v>997</v>
      </c>
      <c r="D1902" s="6">
        <f>IFERROR(__xludf.DUMMYFUNCTION("""COMPUTED_VALUE"""),979.5)</f>
        <v>979.5</v>
      </c>
      <c r="E1902" s="6">
        <f>IFERROR(__xludf.DUMMYFUNCTION("""COMPUTED_VALUE"""),981.1)</f>
        <v>981.1</v>
      </c>
      <c r="F1902" s="7">
        <f>IFERROR(__xludf.DUMMYFUNCTION("""COMPUTED_VALUE"""),2294587.0)</f>
        <v>2294587</v>
      </c>
      <c r="G1902" s="7" t="str">
        <f>IFERROR(__xludf.DUMMYFUNCTION("""COMPUTED_VALUE"""),"ADANIGREEN.NS")</f>
        <v>ADANIGREEN.NS</v>
      </c>
      <c r="H1902" s="8">
        <f t="shared" si="1"/>
        <v>-0.005977710233</v>
      </c>
      <c r="I1902" s="8">
        <f t="shared" si="2"/>
        <v>0.005977710233</v>
      </c>
      <c r="J1902" s="7" t="str">
        <f t="shared" si="3"/>
        <v>Jun-2025</v>
      </c>
      <c r="K1902" s="9">
        <f t="shared" si="4"/>
        <v>45809</v>
      </c>
      <c r="L1902" s="7" t="str">
        <f t="shared" si="5"/>
        <v/>
      </c>
      <c r="M1902" s="7" t="str">
        <f>IFERROR(__xludf.DUMMYFUNCTION("IFERROR(
  IF(
    F1902 &gt;
    3*AVERAGE(
       FILTER($F$2:$F10491,
         $G$2:$G10491=G1902,
         $A$2:$A10491&gt;=A1902-20,
         $A$2:$A10491&lt;=A1902
       )
    ),
    ""VOL_SPIKE_3X"",""""
  ),
"""")
"),"")</f>
        <v/>
      </c>
      <c r="N1902" s="7" t="str">
        <f t="shared" si="6"/>
        <v/>
      </c>
      <c r="O1902" s="7" t="str">
        <f t="shared" si="7"/>
        <v/>
      </c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>
      <c r="A1903" s="5">
        <f>IFERROR(__xludf.DUMMYFUNCTION("""COMPUTED_VALUE"""),45833.0)</f>
        <v>45833</v>
      </c>
      <c r="B1903" s="6">
        <f>IFERROR(__xludf.DUMMYFUNCTION("""COMPUTED_VALUE"""),322.5)</f>
        <v>322.5</v>
      </c>
      <c r="C1903" s="6">
        <f>IFERROR(__xludf.DUMMYFUNCTION("""COMPUTED_VALUE"""),323.0)</f>
        <v>323</v>
      </c>
      <c r="D1903" s="6">
        <f>IFERROR(__xludf.DUMMYFUNCTION("""COMPUTED_VALUE"""),316.6)</f>
        <v>316.6</v>
      </c>
      <c r="E1903" s="6">
        <f>IFERROR(__xludf.DUMMYFUNCTION("""COMPUTED_VALUE"""),319.6)</f>
        <v>319.6</v>
      </c>
      <c r="F1903" s="7">
        <f>IFERROR(__xludf.DUMMYFUNCTION("""COMPUTED_VALUE"""),6658747.0)</f>
        <v>6658747</v>
      </c>
      <c r="G1903" s="7" t="str">
        <f>IFERROR(__xludf.DUMMYFUNCTION("""COMPUTED_VALUE"""),"BPCL.NS")</f>
        <v>BPCL.NS</v>
      </c>
      <c r="H1903" s="8">
        <f t="shared" si="1"/>
        <v>-0.008992248062</v>
      </c>
      <c r="I1903" s="8">
        <f t="shared" si="2"/>
        <v>0.008992248062</v>
      </c>
      <c r="J1903" s="7" t="str">
        <f t="shared" si="3"/>
        <v>Jun-2025</v>
      </c>
      <c r="K1903" s="9">
        <f t="shared" si="4"/>
        <v>45809</v>
      </c>
      <c r="L1903" s="7" t="str">
        <f t="shared" si="5"/>
        <v/>
      </c>
      <c r="M1903" s="7" t="str">
        <f>IFERROR(__xludf.DUMMYFUNCTION("IFERROR(
  IF(
    F1903 &gt;
    3*AVERAGE(
       FILTER($F$2:$F10491,
         $G$2:$G10491=G1903,
         $A$2:$A10491&gt;=A1903-20,
         $A$2:$A10491&lt;=A1903
       )
    ),
    ""VOL_SPIKE_3X"",""""
  ),
"""")
"),"")</f>
        <v/>
      </c>
      <c r="N1903" s="7" t="str">
        <f t="shared" si="6"/>
        <v/>
      </c>
      <c r="O1903" s="7" t="str">
        <f t="shared" si="7"/>
        <v/>
      </c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>
      <c r="A1904" s="5">
        <f>IFERROR(__xludf.DUMMYFUNCTION("""COMPUTED_VALUE"""),45833.0)</f>
        <v>45833</v>
      </c>
      <c r="B1904" s="6">
        <f>IFERROR(__xludf.DUMMYFUNCTION("""COMPUTED_VALUE"""),393.85)</f>
        <v>393.85</v>
      </c>
      <c r="C1904" s="6">
        <f>IFERROR(__xludf.DUMMYFUNCTION("""COMPUTED_VALUE"""),395.4)</f>
        <v>395.4</v>
      </c>
      <c r="D1904" s="6">
        <f>IFERROR(__xludf.DUMMYFUNCTION("""COMPUTED_VALUE"""),391.0)</f>
        <v>391</v>
      </c>
      <c r="E1904" s="6">
        <f>IFERROR(__xludf.DUMMYFUNCTION("""COMPUTED_VALUE"""),391.75)</f>
        <v>391.75</v>
      </c>
      <c r="F1904" s="7">
        <f>IFERROR(__xludf.DUMMYFUNCTION("""COMPUTED_VALUE"""),4672204.0)</f>
        <v>4672204</v>
      </c>
      <c r="G1904" s="7" t="str">
        <f>IFERROR(__xludf.DUMMYFUNCTION("""COMPUTED_VALUE"""),"COALINDIA.NS")</f>
        <v>COALINDIA.NS</v>
      </c>
      <c r="H1904" s="8">
        <f t="shared" si="1"/>
        <v>-0.00533197918</v>
      </c>
      <c r="I1904" s="8">
        <f t="shared" si="2"/>
        <v>0.00533197918</v>
      </c>
      <c r="J1904" s="7" t="str">
        <f t="shared" si="3"/>
        <v>Jun-2025</v>
      </c>
      <c r="K1904" s="9">
        <f t="shared" si="4"/>
        <v>45809</v>
      </c>
      <c r="L1904" s="7" t="str">
        <f t="shared" si="5"/>
        <v/>
      </c>
      <c r="M1904" s="7" t="str">
        <f>IFERROR(__xludf.DUMMYFUNCTION("IFERROR(
  IF(
    F1904 &gt;
    3*AVERAGE(
       FILTER($F$2:$F10491,
         $G$2:$G10491=G1904,
         $A$2:$A10491&gt;=A1904-20,
         $A$2:$A10491&lt;=A1904
       )
    ),
    ""VOL_SPIKE_3X"",""""
  ),
"""")
"),"")</f>
        <v/>
      </c>
      <c r="N1904" s="7" t="str">
        <f t="shared" si="6"/>
        <v/>
      </c>
      <c r="O1904" s="7" t="str">
        <f t="shared" si="7"/>
        <v/>
      </c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>
      <c r="A1905" s="5">
        <f>IFERROR(__xludf.DUMMYFUNCTION("""COMPUTED_VALUE"""),45833.0)</f>
        <v>45833</v>
      </c>
      <c r="B1905" s="6">
        <f>IFERROR(__xludf.DUMMYFUNCTION("""COMPUTED_VALUE"""),410.0)</f>
        <v>410</v>
      </c>
      <c r="C1905" s="6">
        <f>IFERROR(__xludf.DUMMYFUNCTION("""COMPUTED_VALUE"""),411.8)</f>
        <v>411.8</v>
      </c>
      <c r="D1905" s="6">
        <f>IFERROR(__xludf.DUMMYFUNCTION("""COMPUTED_VALUE"""),405.05)</f>
        <v>405.05</v>
      </c>
      <c r="E1905" s="6">
        <f>IFERROR(__xludf.DUMMYFUNCTION("""COMPUTED_VALUE"""),408.15)</f>
        <v>408.15</v>
      </c>
      <c r="F1905" s="7">
        <f>IFERROR(__xludf.DUMMYFUNCTION("""COMPUTED_VALUE"""),4125652.0)</f>
        <v>4125652</v>
      </c>
      <c r="G1905" s="7" t="str">
        <f>IFERROR(__xludf.DUMMYFUNCTION("""COMPUTED_VALUE"""),"HINDPETRO.NS")</f>
        <v>HINDPETRO.NS</v>
      </c>
      <c r="H1905" s="8">
        <f t="shared" si="1"/>
        <v>-0.004512195122</v>
      </c>
      <c r="I1905" s="8">
        <f t="shared" si="2"/>
        <v>0.004512195122</v>
      </c>
      <c r="J1905" s="7" t="str">
        <f t="shared" si="3"/>
        <v>Jun-2025</v>
      </c>
      <c r="K1905" s="9">
        <f t="shared" si="4"/>
        <v>45809</v>
      </c>
      <c r="L1905" s="7" t="str">
        <f t="shared" si="5"/>
        <v/>
      </c>
      <c r="M1905" s="7" t="str">
        <f>IFERROR(__xludf.DUMMYFUNCTION("IFERROR(
  IF(
    F1905 &gt;
    3*AVERAGE(
       FILTER($F$2:$F10491,
         $G$2:$G10491=G1905,
         $A$2:$A10491&gt;=A1905-20,
         $A$2:$A10491&lt;=A1905
       )
    ),
    ""VOL_SPIKE_3X"",""""
  ),
"""")
"),"")</f>
        <v/>
      </c>
      <c r="N1905" s="7" t="str">
        <f t="shared" si="6"/>
        <v/>
      </c>
      <c r="O1905" s="7" t="str">
        <f t="shared" si="7"/>
        <v/>
      </c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>
      <c r="A1906" s="5">
        <f>IFERROR(__xludf.DUMMYFUNCTION("""COMPUTED_VALUE"""),45833.0)</f>
        <v>45833</v>
      </c>
      <c r="B1906" s="6">
        <f>IFERROR(__xludf.DUMMYFUNCTION("""COMPUTED_VALUE"""),143.31)</f>
        <v>143.31</v>
      </c>
      <c r="C1906" s="6">
        <f>IFERROR(__xludf.DUMMYFUNCTION("""COMPUTED_VALUE"""),144.0)</f>
        <v>144</v>
      </c>
      <c r="D1906" s="6">
        <f>IFERROR(__xludf.DUMMYFUNCTION("""COMPUTED_VALUE"""),141.67)</f>
        <v>141.67</v>
      </c>
      <c r="E1906" s="6">
        <f>IFERROR(__xludf.DUMMYFUNCTION("""COMPUTED_VALUE"""),141.98)</f>
        <v>141.98</v>
      </c>
      <c r="F1906" s="7">
        <f>IFERROR(__xludf.DUMMYFUNCTION("""COMPUTED_VALUE"""),1.5297425E7)</f>
        <v>15297425</v>
      </c>
      <c r="G1906" s="7" t="str">
        <f>IFERROR(__xludf.DUMMYFUNCTION("""COMPUTED_VALUE"""),"IOC.NS")</f>
        <v>IOC.NS</v>
      </c>
      <c r="H1906" s="8">
        <f t="shared" si="1"/>
        <v>-0.00928058056</v>
      </c>
      <c r="I1906" s="8">
        <f t="shared" si="2"/>
        <v>0.00928058056</v>
      </c>
      <c r="J1906" s="7" t="str">
        <f t="shared" si="3"/>
        <v>Jun-2025</v>
      </c>
      <c r="K1906" s="9">
        <f t="shared" si="4"/>
        <v>45809</v>
      </c>
      <c r="L1906" s="7" t="str">
        <f t="shared" si="5"/>
        <v/>
      </c>
      <c r="M1906" s="7" t="str">
        <f>IFERROR(__xludf.DUMMYFUNCTION("IFERROR(
  IF(
    F1906 &gt;
    3*AVERAGE(
       FILTER($F$2:$F10491,
         $G$2:$G10491=G1906,
         $A$2:$A10491&gt;=A1906-20,
         $A$2:$A10491&lt;=A1906
       )
    ),
    ""VOL_SPIKE_3X"",""""
  ),
"""")
"),"")</f>
        <v/>
      </c>
      <c r="N1906" s="7" t="str">
        <f t="shared" si="6"/>
        <v/>
      </c>
      <c r="O1906" s="7" t="str">
        <f t="shared" si="7"/>
        <v/>
      </c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>
      <c r="A1907" s="5">
        <f>IFERROR(__xludf.DUMMYFUNCTION("""COMPUTED_VALUE"""),45833.0)</f>
        <v>45833</v>
      </c>
      <c r="B1907" s="6">
        <f>IFERROR(__xludf.DUMMYFUNCTION("""COMPUTED_VALUE"""),331.5)</f>
        <v>331.5</v>
      </c>
      <c r="C1907" s="6">
        <f>IFERROR(__xludf.DUMMYFUNCTION("""COMPUTED_VALUE"""),333.7)</f>
        <v>333.7</v>
      </c>
      <c r="D1907" s="6">
        <f>IFERROR(__xludf.DUMMYFUNCTION("""COMPUTED_VALUE"""),329.4)</f>
        <v>329.4</v>
      </c>
      <c r="E1907" s="6">
        <f>IFERROR(__xludf.DUMMYFUNCTION("""COMPUTED_VALUE"""),330.85)</f>
        <v>330.85</v>
      </c>
      <c r="F1907" s="7">
        <f>IFERROR(__xludf.DUMMYFUNCTION("""COMPUTED_VALUE"""),1.7963666E7)</f>
        <v>17963666</v>
      </c>
      <c r="G1907" s="7" t="str">
        <f>IFERROR(__xludf.DUMMYFUNCTION("""COMPUTED_VALUE"""),"NTPC.NS")</f>
        <v>NTPC.NS</v>
      </c>
      <c r="H1907" s="8">
        <f t="shared" si="1"/>
        <v>-0.001960784314</v>
      </c>
      <c r="I1907" s="8">
        <f t="shared" si="2"/>
        <v>0.001960784314</v>
      </c>
      <c r="J1907" s="7" t="str">
        <f t="shared" si="3"/>
        <v>Jun-2025</v>
      </c>
      <c r="K1907" s="9">
        <f t="shared" si="4"/>
        <v>45809</v>
      </c>
      <c r="L1907" s="7" t="str">
        <f t="shared" si="5"/>
        <v/>
      </c>
      <c r="M1907" s="7" t="str">
        <f>IFERROR(__xludf.DUMMYFUNCTION("IFERROR(
  IF(
    F1907 &gt;
    3*AVERAGE(
       FILTER($F$2:$F10491,
         $G$2:$G10491=G1907,
         $A$2:$A10491&gt;=A1907-20,
         $A$2:$A10491&lt;=A1907
       )
    ),
    ""VOL_SPIKE_3X"",""""
  ),
"""")
"),"")</f>
        <v/>
      </c>
      <c r="N1907" s="7" t="str">
        <f t="shared" si="6"/>
        <v/>
      </c>
      <c r="O1907" s="7" t="str">
        <f t="shared" si="7"/>
        <v/>
      </c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>
      <c r="A1908" s="5">
        <f>IFERROR(__xludf.DUMMYFUNCTION("""COMPUTED_VALUE"""),45833.0)</f>
        <v>45833</v>
      </c>
      <c r="B1908" s="6">
        <f>IFERROR(__xludf.DUMMYFUNCTION("""COMPUTED_VALUE"""),244.0)</f>
        <v>244</v>
      </c>
      <c r="C1908" s="6">
        <f>IFERROR(__xludf.DUMMYFUNCTION("""COMPUTED_VALUE"""),245.3)</f>
        <v>245.3</v>
      </c>
      <c r="D1908" s="6">
        <f>IFERROR(__xludf.DUMMYFUNCTION("""COMPUTED_VALUE"""),241.5)</f>
        <v>241.5</v>
      </c>
      <c r="E1908" s="6">
        <f>IFERROR(__xludf.DUMMYFUNCTION("""COMPUTED_VALUE"""),241.91)</f>
        <v>241.91</v>
      </c>
      <c r="F1908" s="7">
        <f>IFERROR(__xludf.DUMMYFUNCTION("""COMPUTED_VALUE"""),1.3056178E7)</f>
        <v>13056178</v>
      </c>
      <c r="G1908" s="7" t="str">
        <f>IFERROR(__xludf.DUMMYFUNCTION("""COMPUTED_VALUE"""),"ONGC.NS")</f>
        <v>ONGC.NS</v>
      </c>
      <c r="H1908" s="8">
        <f t="shared" si="1"/>
        <v>-0.00856557377</v>
      </c>
      <c r="I1908" s="8">
        <f t="shared" si="2"/>
        <v>0.00856557377</v>
      </c>
      <c r="J1908" s="7" t="str">
        <f t="shared" si="3"/>
        <v>Jun-2025</v>
      </c>
      <c r="K1908" s="9">
        <f t="shared" si="4"/>
        <v>45809</v>
      </c>
      <c r="L1908" s="7" t="str">
        <f t="shared" si="5"/>
        <v/>
      </c>
      <c r="M1908" s="7" t="str">
        <f>IFERROR(__xludf.DUMMYFUNCTION("IFERROR(
  IF(
    F1908 &gt;
    3*AVERAGE(
       FILTER($F$2:$F10491,
         $G$2:$G10491=G1908,
         $A$2:$A10491&gt;=A1908-20,
         $A$2:$A10491&lt;=A1908
       )
    ),
    ""VOL_SPIKE_3X"",""""
  ),
"""")
"),"")</f>
        <v/>
      </c>
      <c r="N1908" s="7" t="str">
        <f t="shared" si="6"/>
        <v/>
      </c>
      <c r="O1908" s="7" t="str">
        <f t="shared" si="7"/>
        <v/>
      </c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>
      <c r="A1909" s="5">
        <f>IFERROR(__xludf.DUMMYFUNCTION("""COMPUTED_VALUE"""),45833.0)</f>
        <v>45833</v>
      </c>
      <c r="B1909" s="6">
        <f>IFERROR(__xludf.DUMMYFUNCTION("""COMPUTED_VALUE"""),286.5)</f>
        <v>286.5</v>
      </c>
      <c r="C1909" s="6">
        <f>IFERROR(__xludf.DUMMYFUNCTION("""COMPUTED_VALUE"""),291.1)</f>
        <v>291.1</v>
      </c>
      <c r="D1909" s="6">
        <f>IFERROR(__xludf.DUMMYFUNCTION("""COMPUTED_VALUE"""),286.5)</f>
        <v>286.5</v>
      </c>
      <c r="E1909" s="6">
        <f>IFERROR(__xludf.DUMMYFUNCTION("""COMPUTED_VALUE"""),290.45)</f>
        <v>290.45</v>
      </c>
      <c r="F1909" s="7">
        <f>IFERROR(__xludf.DUMMYFUNCTION("""COMPUTED_VALUE"""),1.0838516E7)</f>
        <v>10838516</v>
      </c>
      <c r="G1909" s="7" t="str">
        <f>IFERROR(__xludf.DUMMYFUNCTION("""COMPUTED_VALUE"""),"POWERGRID.NS")</f>
        <v>POWERGRID.NS</v>
      </c>
      <c r="H1909" s="8">
        <f t="shared" si="1"/>
        <v>0.01378708551</v>
      </c>
      <c r="I1909" s="8">
        <f t="shared" si="2"/>
        <v>0.01378708551</v>
      </c>
      <c r="J1909" s="7" t="str">
        <f t="shared" si="3"/>
        <v>Jun-2025</v>
      </c>
      <c r="K1909" s="9">
        <f t="shared" si="4"/>
        <v>45809</v>
      </c>
      <c r="L1909" s="7" t="str">
        <f t="shared" si="5"/>
        <v/>
      </c>
      <c r="M1909" s="7" t="str">
        <f>IFERROR(__xludf.DUMMYFUNCTION("IFERROR(
  IF(
    F1909 &gt;
    3*AVERAGE(
       FILTER($F$2:$F10491,
         $G$2:$G10491=G1909,
         $A$2:$A10491&gt;=A1909-20,
         $A$2:$A10491&lt;=A1909
       )
    ),
    ""VOL_SPIKE_3X"",""""
  ),
"""")
"),"")</f>
        <v/>
      </c>
      <c r="N1909" s="7" t="str">
        <f t="shared" si="6"/>
        <v/>
      </c>
      <c r="O1909" s="7" t="str">
        <f t="shared" si="7"/>
        <v/>
      </c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>
      <c r="A1910" s="5">
        <f>IFERROR(__xludf.DUMMYFUNCTION("""COMPUTED_VALUE"""),45833.0)</f>
        <v>45833</v>
      </c>
      <c r="B1910" s="6">
        <f>IFERROR(__xludf.DUMMYFUNCTION("""COMPUTED_VALUE"""),1464.0)</f>
        <v>1464</v>
      </c>
      <c r="C1910" s="6">
        <f>IFERROR(__xludf.DUMMYFUNCTION("""COMPUTED_VALUE"""),1472.4)</f>
        <v>1472.4</v>
      </c>
      <c r="D1910" s="6">
        <f>IFERROR(__xludf.DUMMYFUNCTION("""COMPUTED_VALUE"""),1460.5)</f>
        <v>1460.5</v>
      </c>
      <c r="E1910" s="6">
        <f>IFERROR(__xludf.DUMMYFUNCTION("""COMPUTED_VALUE"""),1467.3)</f>
        <v>1467.3</v>
      </c>
      <c r="F1910" s="7">
        <f>IFERROR(__xludf.DUMMYFUNCTION("""COMPUTED_VALUE"""),7525851.0)</f>
        <v>7525851</v>
      </c>
      <c r="G1910" s="7" t="str">
        <f>IFERROR(__xludf.DUMMYFUNCTION("""COMPUTED_VALUE"""),"RELIANCE.NS")</f>
        <v>RELIANCE.NS</v>
      </c>
      <c r="H1910" s="8">
        <f t="shared" si="1"/>
        <v>0.002254098361</v>
      </c>
      <c r="I1910" s="8">
        <f t="shared" si="2"/>
        <v>0.002254098361</v>
      </c>
      <c r="J1910" s="7" t="str">
        <f t="shared" si="3"/>
        <v>Jun-2025</v>
      </c>
      <c r="K1910" s="9">
        <f t="shared" si="4"/>
        <v>45809</v>
      </c>
      <c r="L1910" s="7" t="str">
        <f t="shared" si="5"/>
        <v/>
      </c>
      <c r="M1910" s="7" t="str">
        <f>IFERROR(__xludf.DUMMYFUNCTION("IFERROR(
  IF(
    F1910 &gt;
    3*AVERAGE(
       FILTER($F$2:$F10491,
         $G$2:$G10491=G1910,
         $A$2:$A10491&gt;=A1910-20,
         $A$2:$A10491&lt;=A1910
       )
    ),
    ""VOL_SPIKE_3X"",""""
  ),
"""")
"),"")</f>
        <v/>
      </c>
      <c r="N1910" s="7" t="str">
        <f t="shared" si="6"/>
        <v/>
      </c>
      <c r="O1910" s="7" t="str">
        <f t="shared" si="7"/>
        <v/>
      </c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>
      <c r="A1911" s="5">
        <f>IFERROR(__xludf.DUMMYFUNCTION("""COMPUTED_VALUE"""),45834.0)</f>
        <v>45834</v>
      </c>
      <c r="B1911" s="6">
        <f>IFERROR(__xludf.DUMMYFUNCTION("""COMPUTED_VALUE"""),854.25)</f>
        <v>854.25</v>
      </c>
      <c r="C1911" s="6">
        <f>IFERROR(__xludf.DUMMYFUNCTION("""COMPUTED_VALUE"""),866.5)</f>
        <v>866.5</v>
      </c>
      <c r="D1911" s="6">
        <f>IFERROR(__xludf.DUMMYFUNCTION("""COMPUTED_VALUE"""),851.0)</f>
        <v>851</v>
      </c>
      <c r="E1911" s="6">
        <f>IFERROR(__xludf.DUMMYFUNCTION("""COMPUTED_VALUE"""),864.75)</f>
        <v>864.75</v>
      </c>
      <c r="F1911" s="7">
        <f>IFERROR(__xludf.DUMMYFUNCTION("""COMPUTED_VALUE"""),2717149.0)</f>
        <v>2717149</v>
      </c>
      <c r="G1911" s="7" t="str">
        <f>IFERROR(__xludf.DUMMYFUNCTION("""COMPUTED_VALUE"""),"ADANIENSOL.NS")</f>
        <v>ADANIENSOL.NS</v>
      </c>
      <c r="H1911" s="8">
        <f t="shared" si="1"/>
        <v>0.01229148376</v>
      </c>
      <c r="I1911" s="8">
        <f t="shared" si="2"/>
        <v>0.01229148376</v>
      </c>
      <c r="J1911" s="7" t="str">
        <f t="shared" si="3"/>
        <v>Jun-2025</v>
      </c>
      <c r="K1911" s="9">
        <f t="shared" si="4"/>
        <v>45809</v>
      </c>
      <c r="L1911" s="7" t="str">
        <f t="shared" si="5"/>
        <v/>
      </c>
      <c r="M1911" s="7" t="str">
        <f>IFERROR(__xludf.DUMMYFUNCTION("IFERROR(
  IF(
    F1911 &gt;
    3*AVERAGE(
       FILTER($F$2:$F10491,
         $G$2:$G10491=G1911,
         $A$2:$A10491&gt;=A1911-20,
         $A$2:$A10491&lt;=A1911
       )
    ),
    ""VOL_SPIKE_3X"",""""
  ),
"""")
"),"")</f>
        <v/>
      </c>
      <c r="N1911" s="7" t="str">
        <f t="shared" si="6"/>
        <v/>
      </c>
      <c r="O1911" s="7" t="str">
        <f t="shared" si="7"/>
        <v/>
      </c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>
      <c r="A1912" s="5">
        <f>IFERROR(__xludf.DUMMYFUNCTION("""COMPUTED_VALUE"""),45834.0)</f>
        <v>45834</v>
      </c>
      <c r="B1912" s="6">
        <f>IFERROR(__xludf.DUMMYFUNCTION("""COMPUTED_VALUE"""),984.0)</f>
        <v>984</v>
      </c>
      <c r="C1912" s="6">
        <f>IFERROR(__xludf.DUMMYFUNCTION("""COMPUTED_VALUE"""),993.5)</f>
        <v>993.5</v>
      </c>
      <c r="D1912" s="6">
        <f>IFERROR(__xludf.DUMMYFUNCTION("""COMPUTED_VALUE"""),976.1)</f>
        <v>976.1</v>
      </c>
      <c r="E1912" s="6">
        <f>IFERROR(__xludf.DUMMYFUNCTION("""COMPUTED_VALUE"""),992.0)</f>
        <v>992</v>
      </c>
      <c r="F1912" s="7">
        <f>IFERROR(__xludf.DUMMYFUNCTION("""COMPUTED_VALUE"""),2254782.0)</f>
        <v>2254782</v>
      </c>
      <c r="G1912" s="7" t="str">
        <f>IFERROR(__xludf.DUMMYFUNCTION("""COMPUTED_VALUE"""),"ADANIGREEN.NS")</f>
        <v>ADANIGREEN.NS</v>
      </c>
      <c r="H1912" s="8">
        <f t="shared" si="1"/>
        <v>0.008130081301</v>
      </c>
      <c r="I1912" s="8">
        <f t="shared" si="2"/>
        <v>0.008130081301</v>
      </c>
      <c r="J1912" s="7" t="str">
        <f t="shared" si="3"/>
        <v>Jun-2025</v>
      </c>
      <c r="K1912" s="9">
        <f t="shared" si="4"/>
        <v>45809</v>
      </c>
      <c r="L1912" s="7" t="str">
        <f t="shared" si="5"/>
        <v/>
      </c>
      <c r="M1912" s="7" t="str">
        <f>IFERROR(__xludf.DUMMYFUNCTION("IFERROR(
  IF(
    F1912 &gt;
    3*AVERAGE(
       FILTER($F$2:$F10491,
         $G$2:$G10491=G1912,
         $A$2:$A10491&gt;=A1912-20,
         $A$2:$A10491&lt;=A1912
       )
    ),
    ""VOL_SPIKE_3X"",""""
  ),
"""")
"),"")</f>
        <v/>
      </c>
      <c r="N1912" s="7" t="str">
        <f t="shared" si="6"/>
        <v/>
      </c>
      <c r="O1912" s="7" t="str">
        <f t="shared" si="7"/>
        <v/>
      </c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>
      <c r="A1913" s="5">
        <f>IFERROR(__xludf.DUMMYFUNCTION("""COMPUTED_VALUE"""),45834.0)</f>
        <v>45834</v>
      </c>
      <c r="B1913" s="6">
        <f>IFERROR(__xludf.DUMMYFUNCTION("""COMPUTED_VALUE"""),318.85)</f>
        <v>318.85</v>
      </c>
      <c r="C1913" s="6">
        <f>IFERROR(__xludf.DUMMYFUNCTION("""COMPUTED_VALUE"""),331.0)</f>
        <v>331</v>
      </c>
      <c r="D1913" s="6">
        <f>IFERROR(__xludf.DUMMYFUNCTION("""COMPUTED_VALUE"""),318.85)</f>
        <v>318.85</v>
      </c>
      <c r="E1913" s="6">
        <f>IFERROR(__xludf.DUMMYFUNCTION("""COMPUTED_VALUE"""),329.75)</f>
        <v>329.75</v>
      </c>
      <c r="F1913" s="7">
        <f>IFERROR(__xludf.DUMMYFUNCTION("""COMPUTED_VALUE"""),1.552818E7)</f>
        <v>15528180</v>
      </c>
      <c r="G1913" s="7" t="str">
        <f>IFERROR(__xludf.DUMMYFUNCTION("""COMPUTED_VALUE"""),"BPCL.NS")</f>
        <v>BPCL.NS</v>
      </c>
      <c r="H1913" s="8">
        <f t="shared" si="1"/>
        <v>0.03418535361</v>
      </c>
      <c r="I1913" s="8">
        <f t="shared" si="2"/>
        <v>0.03418535361</v>
      </c>
      <c r="J1913" s="7" t="str">
        <f t="shared" si="3"/>
        <v>Jun-2025</v>
      </c>
      <c r="K1913" s="9">
        <f t="shared" si="4"/>
        <v>45809</v>
      </c>
      <c r="L1913" s="7" t="str">
        <f t="shared" si="5"/>
        <v/>
      </c>
      <c r="M1913" s="7" t="str">
        <f>IFERROR(__xludf.DUMMYFUNCTION("IFERROR(
  IF(
    F1913 &gt;
    3*AVERAGE(
       FILTER($F$2:$F10491,
         $G$2:$G10491=G1913,
         $A$2:$A10491&gt;=A1913-20,
         $A$2:$A10491&lt;=A1913
       )
    ),
    ""VOL_SPIKE_3X"",""""
  ),
"""")
"),"")</f>
        <v/>
      </c>
      <c r="N1913" s="7" t="str">
        <f t="shared" si="6"/>
        <v/>
      </c>
      <c r="O1913" s="7" t="str">
        <f t="shared" si="7"/>
        <v/>
      </c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>
      <c r="A1914" s="5">
        <f>IFERROR(__xludf.DUMMYFUNCTION("""COMPUTED_VALUE"""),45834.0)</f>
        <v>45834</v>
      </c>
      <c r="B1914" s="6">
        <f>IFERROR(__xludf.DUMMYFUNCTION("""COMPUTED_VALUE"""),392.0)</f>
        <v>392</v>
      </c>
      <c r="C1914" s="6">
        <f>IFERROR(__xludf.DUMMYFUNCTION("""COMPUTED_VALUE"""),394.7)</f>
        <v>394.7</v>
      </c>
      <c r="D1914" s="6">
        <f>IFERROR(__xludf.DUMMYFUNCTION("""COMPUTED_VALUE"""),390.65)</f>
        <v>390.65</v>
      </c>
      <c r="E1914" s="6">
        <f>IFERROR(__xludf.DUMMYFUNCTION("""COMPUTED_VALUE"""),394.15)</f>
        <v>394.15</v>
      </c>
      <c r="F1914" s="7">
        <f>IFERROR(__xludf.DUMMYFUNCTION("""COMPUTED_VALUE"""),5569101.0)</f>
        <v>5569101</v>
      </c>
      <c r="G1914" s="7" t="str">
        <f>IFERROR(__xludf.DUMMYFUNCTION("""COMPUTED_VALUE"""),"COALINDIA.NS")</f>
        <v>COALINDIA.NS</v>
      </c>
      <c r="H1914" s="8">
        <f t="shared" si="1"/>
        <v>0.005484693878</v>
      </c>
      <c r="I1914" s="8">
        <f t="shared" si="2"/>
        <v>0.005484693878</v>
      </c>
      <c r="J1914" s="7" t="str">
        <f t="shared" si="3"/>
        <v>Jun-2025</v>
      </c>
      <c r="K1914" s="9">
        <f t="shared" si="4"/>
        <v>45809</v>
      </c>
      <c r="L1914" s="7" t="str">
        <f t="shared" si="5"/>
        <v/>
      </c>
      <c r="M1914" s="7" t="str">
        <f>IFERROR(__xludf.DUMMYFUNCTION("IFERROR(
  IF(
    F1914 &gt;
    3*AVERAGE(
       FILTER($F$2:$F10491,
         $G$2:$G10491=G1914,
         $A$2:$A10491&gt;=A1914-20,
         $A$2:$A10491&lt;=A1914
       )
    ),
    ""VOL_SPIKE_3X"",""""
  ),
"""")
"),"")</f>
        <v/>
      </c>
      <c r="N1914" s="7" t="str">
        <f t="shared" si="6"/>
        <v/>
      </c>
      <c r="O1914" s="7" t="str">
        <f t="shared" si="7"/>
        <v/>
      </c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>
      <c r="A1915" s="5">
        <f>IFERROR(__xludf.DUMMYFUNCTION("""COMPUTED_VALUE"""),45834.0)</f>
        <v>45834</v>
      </c>
      <c r="B1915" s="6">
        <f>IFERROR(__xludf.DUMMYFUNCTION("""COMPUTED_VALUE"""),408.0)</f>
        <v>408</v>
      </c>
      <c r="C1915" s="6">
        <f>IFERROR(__xludf.DUMMYFUNCTION("""COMPUTED_VALUE"""),424.35)</f>
        <v>424.35</v>
      </c>
      <c r="D1915" s="6">
        <f>IFERROR(__xludf.DUMMYFUNCTION("""COMPUTED_VALUE"""),407.7)</f>
        <v>407.7</v>
      </c>
      <c r="E1915" s="6">
        <f>IFERROR(__xludf.DUMMYFUNCTION("""COMPUTED_VALUE"""),420.3)</f>
        <v>420.3</v>
      </c>
      <c r="F1915" s="7">
        <f>IFERROR(__xludf.DUMMYFUNCTION("""COMPUTED_VALUE"""),1.1364641E7)</f>
        <v>11364641</v>
      </c>
      <c r="G1915" s="7" t="str">
        <f>IFERROR(__xludf.DUMMYFUNCTION("""COMPUTED_VALUE"""),"HINDPETRO.NS")</f>
        <v>HINDPETRO.NS</v>
      </c>
      <c r="H1915" s="8">
        <f t="shared" si="1"/>
        <v>0.03014705882</v>
      </c>
      <c r="I1915" s="8">
        <f t="shared" si="2"/>
        <v>0.03014705882</v>
      </c>
      <c r="J1915" s="7" t="str">
        <f t="shared" si="3"/>
        <v>Jun-2025</v>
      </c>
      <c r="K1915" s="9">
        <f t="shared" si="4"/>
        <v>45809</v>
      </c>
      <c r="L1915" s="7" t="str">
        <f t="shared" si="5"/>
        <v/>
      </c>
      <c r="M1915" s="7" t="str">
        <f>IFERROR(__xludf.DUMMYFUNCTION("IFERROR(
  IF(
    F1915 &gt;
    3*AVERAGE(
       FILTER($F$2:$F10491,
         $G$2:$G10491=G1915,
         $A$2:$A10491&gt;=A1915-20,
         $A$2:$A10491&lt;=A1915
       )
    ),
    ""VOL_SPIKE_3X"",""""
  ),
"""")
"),"")</f>
        <v/>
      </c>
      <c r="N1915" s="7" t="str">
        <f t="shared" si="6"/>
        <v/>
      </c>
      <c r="O1915" s="7" t="str">
        <f t="shared" si="7"/>
        <v/>
      </c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>
      <c r="A1916" s="5">
        <f>IFERROR(__xludf.DUMMYFUNCTION("""COMPUTED_VALUE"""),45834.0)</f>
        <v>45834</v>
      </c>
      <c r="B1916" s="6">
        <f>IFERROR(__xludf.DUMMYFUNCTION("""COMPUTED_VALUE"""),142.1)</f>
        <v>142.1</v>
      </c>
      <c r="C1916" s="6">
        <f>IFERROR(__xludf.DUMMYFUNCTION("""COMPUTED_VALUE"""),146.95)</f>
        <v>146.95</v>
      </c>
      <c r="D1916" s="6">
        <f>IFERROR(__xludf.DUMMYFUNCTION("""COMPUTED_VALUE"""),142.01)</f>
        <v>142.01</v>
      </c>
      <c r="E1916" s="6">
        <f>IFERROR(__xludf.DUMMYFUNCTION("""COMPUTED_VALUE"""),146.28)</f>
        <v>146.28</v>
      </c>
      <c r="F1916" s="7">
        <f>IFERROR(__xludf.DUMMYFUNCTION("""COMPUTED_VALUE"""),2.4194161E7)</f>
        <v>24194161</v>
      </c>
      <c r="G1916" s="7" t="str">
        <f>IFERROR(__xludf.DUMMYFUNCTION("""COMPUTED_VALUE"""),"IOC.NS")</f>
        <v>IOC.NS</v>
      </c>
      <c r="H1916" s="8">
        <f t="shared" si="1"/>
        <v>0.02941590429</v>
      </c>
      <c r="I1916" s="8">
        <f t="shared" si="2"/>
        <v>0.02941590429</v>
      </c>
      <c r="J1916" s="7" t="str">
        <f t="shared" si="3"/>
        <v>Jun-2025</v>
      </c>
      <c r="K1916" s="9">
        <f t="shared" si="4"/>
        <v>45809</v>
      </c>
      <c r="L1916" s="7" t="str">
        <f t="shared" si="5"/>
        <v/>
      </c>
      <c r="M1916" s="7" t="str">
        <f>IFERROR(__xludf.DUMMYFUNCTION("IFERROR(
  IF(
    F1916 &gt;
    3*AVERAGE(
       FILTER($F$2:$F10491,
         $G$2:$G10491=G1916,
         $A$2:$A10491&gt;=A1916-20,
         $A$2:$A10491&lt;=A1916
       )
    ),
    ""VOL_SPIKE_3X"",""""
  ),
"""")
"),"")</f>
        <v/>
      </c>
      <c r="N1916" s="7" t="str">
        <f t="shared" si="6"/>
        <v/>
      </c>
      <c r="O1916" s="7" t="str">
        <f t="shared" si="7"/>
        <v/>
      </c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>
      <c r="A1917" s="5">
        <f>IFERROR(__xludf.DUMMYFUNCTION("""COMPUTED_VALUE"""),45834.0)</f>
        <v>45834</v>
      </c>
      <c r="B1917" s="6">
        <f>IFERROR(__xludf.DUMMYFUNCTION("""COMPUTED_VALUE"""),332.4)</f>
        <v>332.4</v>
      </c>
      <c r="C1917" s="6">
        <f>IFERROR(__xludf.DUMMYFUNCTION("""COMPUTED_VALUE"""),337.8)</f>
        <v>337.8</v>
      </c>
      <c r="D1917" s="6">
        <f>IFERROR(__xludf.DUMMYFUNCTION("""COMPUTED_VALUE"""),331.3)</f>
        <v>331.3</v>
      </c>
      <c r="E1917" s="6">
        <f>IFERROR(__xludf.DUMMYFUNCTION("""COMPUTED_VALUE"""),337.15)</f>
        <v>337.15</v>
      </c>
      <c r="F1917" s="7">
        <f>IFERROR(__xludf.DUMMYFUNCTION("""COMPUTED_VALUE"""),1.3754087E7)</f>
        <v>13754087</v>
      </c>
      <c r="G1917" s="7" t="str">
        <f>IFERROR(__xludf.DUMMYFUNCTION("""COMPUTED_VALUE"""),"NTPC.NS")</f>
        <v>NTPC.NS</v>
      </c>
      <c r="H1917" s="8">
        <f t="shared" si="1"/>
        <v>0.01429001203</v>
      </c>
      <c r="I1917" s="8">
        <f t="shared" si="2"/>
        <v>0.01429001203</v>
      </c>
      <c r="J1917" s="7" t="str">
        <f t="shared" si="3"/>
        <v>Jun-2025</v>
      </c>
      <c r="K1917" s="9">
        <f t="shared" si="4"/>
        <v>45809</v>
      </c>
      <c r="L1917" s="7" t="str">
        <f t="shared" si="5"/>
        <v/>
      </c>
      <c r="M1917" s="7" t="str">
        <f>IFERROR(__xludf.DUMMYFUNCTION("IFERROR(
  IF(
    F1917 &gt;
    3*AVERAGE(
       FILTER($F$2:$F10491,
         $G$2:$G10491=G1917,
         $A$2:$A10491&gt;=A1917-20,
         $A$2:$A10491&lt;=A1917
       )
    ),
    ""VOL_SPIKE_3X"",""""
  ),
"""")
"),"")</f>
        <v/>
      </c>
      <c r="N1917" s="7" t="str">
        <f t="shared" si="6"/>
        <v/>
      </c>
      <c r="O1917" s="7" t="str">
        <f t="shared" si="7"/>
        <v/>
      </c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>
      <c r="A1918" s="5">
        <f>IFERROR(__xludf.DUMMYFUNCTION("""COMPUTED_VALUE"""),45834.0)</f>
        <v>45834</v>
      </c>
      <c r="B1918" s="6">
        <f>IFERROR(__xludf.DUMMYFUNCTION("""COMPUTED_VALUE"""),242.0)</f>
        <v>242</v>
      </c>
      <c r="C1918" s="6">
        <f>IFERROR(__xludf.DUMMYFUNCTION("""COMPUTED_VALUE"""),245.37)</f>
        <v>245.37</v>
      </c>
      <c r="D1918" s="6">
        <f>IFERROR(__xludf.DUMMYFUNCTION("""COMPUTED_VALUE"""),241.54)</f>
        <v>241.54</v>
      </c>
      <c r="E1918" s="6">
        <f>IFERROR(__xludf.DUMMYFUNCTION("""COMPUTED_VALUE"""),244.73)</f>
        <v>244.73</v>
      </c>
      <c r="F1918" s="7">
        <f>IFERROR(__xludf.DUMMYFUNCTION("""COMPUTED_VALUE"""),1.5769123E7)</f>
        <v>15769123</v>
      </c>
      <c r="G1918" s="7" t="str">
        <f>IFERROR(__xludf.DUMMYFUNCTION("""COMPUTED_VALUE"""),"ONGC.NS")</f>
        <v>ONGC.NS</v>
      </c>
      <c r="H1918" s="8">
        <f t="shared" si="1"/>
        <v>0.01128099174</v>
      </c>
      <c r="I1918" s="8">
        <f t="shared" si="2"/>
        <v>0.01128099174</v>
      </c>
      <c r="J1918" s="7" t="str">
        <f t="shared" si="3"/>
        <v>Jun-2025</v>
      </c>
      <c r="K1918" s="9">
        <f t="shared" si="4"/>
        <v>45809</v>
      </c>
      <c r="L1918" s="7" t="str">
        <f t="shared" si="5"/>
        <v/>
      </c>
      <c r="M1918" s="7" t="str">
        <f>IFERROR(__xludf.DUMMYFUNCTION("IFERROR(
  IF(
    F1918 &gt;
    3*AVERAGE(
       FILTER($F$2:$F10491,
         $G$2:$G10491=G1918,
         $A$2:$A10491&gt;=A1918-20,
         $A$2:$A10491&lt;=A1918
       )
    ),
    ""VOL_SPIKE_3X"",""""
  ),
"""")
"),"")</f>
        <v/>
      </c>
      <c r="N1918" s="7" t="str">
        <f t="shared" si="6"/>
        <v/>
      </c>
      <c r="O1918" s="7" t="str">
        <f t="shared" si="7"/>
        <v/>
      </c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>
      <c r="A1919" s="5">
        <f>IFERROR(__xludf.DUMMYFUNCTION("""COMPUTED_VALUE"""),45834.0)</f>
        <v>45834</v>
      </c>
      <c r="B1919" s="6">
        <f>IFERROR(__xludf.DUMMYFUNCTION("""COMPUTED_VALUE"""),290.8)</f>
        <v>290.8</v>
      </c>
      <c r="C1919" s="6">
        <f>IFERROR(__xludf.DUMMYFUNCTION("""COMPUTED_VALUE"""),294.25)</f>
        <v>294.25</v>
      </c>
      <c r="D1919" s="6">
        <f>IFERROR(__xludf.DUMMYFUNCTION("""COMPUTED_VALUE"""),289.75)</f>
        <v>289.75</v>
      </c>
      <c r="E1919" s="6">
        <f>IFERROR(__xludf.DUMMYFUNCTION("""COMPUTED_VALUE"""),293.5)</f>
        <v>293.5</v>
      </c>
      <c r="F1919" s="7">
        <f>IFERROR(__xludf.DUMMYFUNCTION("""COMPUTED_VALUE"""),1.023222E7)</f>
        <v>10232220</v>
      </c>
      <c r="G1919" s="7" t="str">
        <f>IFERROR(__xludf.DUMMYFUNCTION("""COMPUTED_VALUE"""),"POWERGRID.NS")</f>
        <v>POWERGRID.NS</v>
      </c>
      <c r="H1919" s="8">
        <f t="shared" si="1"/>
        <v>0.009284731774</v>
      </c>
      <c r="I1919" s="8">
        <f t="shared" si="2"/>
        <v>0.009284731774</v>
      </c>
      <c r="J1919" s="7" t="str">
        <f t="shared" si="3"/>
        <v>Jun-2025</v>
      </c>
      <c r="K1919" s="9">
        <f t="shared" si="4"/>
        <v>45809</v>
      </c>
      <c r="L1919" s="7" t="str">
        <f t="shared" si="5"/>
        <v/>
      </c>
      <c r="M1919" s="7" t="str">
        <f>IFERROR(__xludf.DUMMYFUNCTION("IFERROR(
  IF(
    F1919 &gt;
    3*AVERAGE(
       FILTER($F$2:$F10491,
         $G$2:$G10491=G1919,
         $A$2:$A10491&gt;=A1919-20,
         $A$2:$A10491&lt;=A1919
       )
    ),
    ""VOL_SPIKE_3X"",""""
  ),
"""")
"),"")</f>
        <v/>
      </c>
      <c r="N1919" s="7" t="str">
        <f t="shared" si="6"/>
        <v/>
      </c>
      <c r="O1919" s="7" t="str">
        <f t="shared" si="7"/>
        <v/>
      </c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>
      <c r="A1920" s="5">
        <f>IFERROR(__xludf.DUMMYFUNCTION("""COMPUTED_VALUE"""),45834.0)</f>
        <v>45834</v>
      </c>
      <c r="B1920" s="6">
        <f>IFERROR(__xludf.DUMMYFUNCTION("""COMPUTED_VALUE"""),1469.1)</f>
        <v>1469.1</v>
      </c>
      <c r="C1920" s="6">
        <f>IFERROR(__xludf.DUMMYFUNCTION("""COMPUTED_VALUE"""),1498.8)</f>
        <v>1498.8</v>
      </c>
      <c r="D1920" s="6">
        <f>IFERROR(__xludf.DUMMYFUNCTION("""COMPUTED_VALUE"""),1465.1)</f>
        <v>1465.1</v>
      </c>
      <c r="E1920" s="6">
        <f>IFERROR(__xludf.DUMMYFUNCTION("""COMPUTED_VALUE"""),1495.3)</f>
        <v>1495.3</v>
      </c>
      <c r="F1920" s="7">
        <f>IFERROR(__xludf.DUMMYFUNCTION("""COMPUTED_VALUE"""),1.4657893E7)</f>
        <v>14657893</v>
      </c>
      <c r="G1920" s="7" t="str">
        <f>IFERROR(__xludf.DUMMYFUNCTION("""COMPUTED_VALUE"""),"RELIANCE.NS")</f>
        <v>RELIANCE.NS</v>
      </c>
      <c r="H1920" s="8">
        <f t="shared" si="1"/>
        <v>0.01783404806</v>
      </c>
      <c r="I1920" s="8">
        <f t="shared" si="2"/>
        <v>0.01783404806</v>
      </c>
      <c r="J1920" s="7" t="str">
        <f t="shared" si="3"/>
        <v>Jun-2025</v>
      </c>
      <c r="K1920" s="9">
        <f t="shared" si="4"/>
        <v>45809</v>
      </c>
      <c r="L1920" s="7" t="str">
        <f t="shared" si="5"/>
        <v/>
      </c>
      <c r="M1920" s="7" t="str">
        <f>IFERROR(__xludf.DUMMYFUNCTION("IFERROR(
  IF(
    F1920 &gt;
    3*AVERAGE(
       FILTER($F$2:$F10491,
         $G$2:$G10491=G1920,
         $A$2:$A10491&gt;=A1920-20,
         $A$2:$A10491&lt;=A1920
       )
    ),
    ""VOL_SPIKE_3X"",""""
  ),
"""")
"),"")</f>
        <v/>
      </c>
      <c r="N1920" s="7" t="str">
        <f t="shared" si="6"/>
        <v/>
      </c>
      <c r="O1920" s="7" t="str">
        <f t="shared" si="7"/>
        <v/>
      </c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>
      <c r="A1921" s="5">
        <f>IFERROR(__xludf.DUMMYFUNCTION("""COMPUTED_VALUE"""),45835.0)</f>
        <v>45835</v>
      </c>
      <c r="B1921" s="6">
        <f>IFERROR(__xludf.DUMMYFUNCTION("""COMPUTED_VALUE"""),865.0)</f>
        <v>865</v>
      </c>
      <c r="C1921" s="6">
        <f>IFERROR(__xludf.DUMMYFUNCTION("""COMPUTED_VALUE"""),900.85)</f>
        <v>900.85</v>
      </c>
      <c r="D1921" s="6">
        <f>IFERROR(__xludf.DUMMYFUNCTION("""COMPUTED_VALUE"""),863.0)</f>
        <v>863</v>
      </c>
      <c r="E1921" s="6">
        <f>IFERROR(__xludf.DUMMYFUNCTION("""COMPUTED_VALUE"""),883.7)</f>
        <v>883.7</v>
      </c>
      <c r="F1921" s="7">
        <f>IFERROR(__xludf.DUMMYFUNCTION("""COMPUTED_VALUE"""),3118143.0)</f>
        <v>3118143</v>
      </c>
      <c r="G1921" s="7" t="str">
        <f>IFERROR(__xludf.DUMMYFUNCTION("""COMPUTED_VALUE"""),"ADANIENSOL.NS")</f>
        <v>ADANIENSOL.NS</v>
      </c>
      <c r="H1921" s="8">
        <f t="shared" si="1"/>
        <v>0.02161849711</v>
      </c>
      <c r="I1921" s="8">
        <f t="shared" si="2"/>
        <v>0.02161849711</v>
      </c>
      <c r="J1921" s="7" t="str">
        <f t="shared" si="3"/>
        <v>Jun-2025</v>
      </c>
      <c r="K1921" s="9">
        <f t="shared" si="4"/>
        <v>45809</v>
      </c>
      <c r="L1921" s="7" t="str">
        <f t="shared" si="5"/>
        <v/>
      </c>
      <c r="M1921" s="7" t="str">
        <f>IFERROR(__xludf.DUMMYFUNCTION("IFERROR(
  IF(
    F1921 &gt;
    3*AVERAGE(
       FILTER($F$2:$F10491,
         $G$2:$G10491=G1921,
         $A$2:$A10491&gt;=A1921-20,
         $A$2:$A10491&lt;=A1921
       )
    ),
    ""VOL_SPIKE_3X"",""""
  ),
"""")
"),"")</f>
        <v/>
      </c>
      <c r="N1921" s="7" t="str">
        <f t="shared" si="6"/>
        <v/>
      </c>
      <c r="O1921" s="7" t="str">
        <f t="shared" si="7"/>
        <v/>
      </c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>
      <c r="A1922" s="5">
        <f>IFERROR(__xludf.DUMMYFUNCTION("""COMPUTED_VALUE"""),45835.0)</f>
        <v>45835</v>
      </c>
      <c r="B1922" s="6">
        <f>IFERROR(__xludf.DUMMYFUNCTION("""COMPUTED_VALUE"""),994.4)</f>
        <v>994.4</v>
      </c>
      <c r="C1922" s="6">
        <f>IFERROR(__xludf.DUMMYFUNCTION("""COMPUTED_VALUE"""),1046.9)</f>
        <v>1046.9</v>
      </c>
      <c r="D1922" s="6">
        <f>IFERROR(__xludf.DUMMYFUNCTION("""COMPUTED_VALUE"""),993.0)</f>
        <v>993</v>
      </c>
      <c r="E1922" s="6">
        <f>IFERROR(__xludf.DUMMYFUNCTION("""COMPUTED_VALUE"""),1015.6)</f>
        <v>1015.6</v>
      </c>
      <c r="F1922" s="7">
        <f>IFERROR(__xludf.DUMMYFUNCTION("""COMPUTED_VALUE"""),6044564.0)</f>
        <v>6044564</v>
      </c>
      <c r="G1922" s="7" t="str">
        <f>IFERROR(__xludf.DUMMYFUNCTION("""COMPUTED_VALUE"""),"ADANIGREEN.NS")</f>
        <v>ADANIGREEN.NS</v>
      </c>
      <c r="H1922" s="8">
        <f t="shared" si="1"/>
        <v>0.02131938858</v>
      </c>
      <c r="I1922" s="8">
        <f t="shared" si="2"/>
        <v>0.02131938858</v>
      </c>
      <c r="J1922" s="7" t="str">
        <f t="shared" si="3"/>
        <v>Jun-2025</v>
      </c>
      <c r="K1922" s="9">
        <f t="shared" si="4"/>
        <v>45809</v>
      </c>
      <c r="L1922" s="7" t="str">
        <f t="shared" si="5"/>
        <v/>
      </c>
      <c r="M1922" s="7" t="str">
        <f>IFERROR(__xludf.DUMMYFUNCTION("IFERROR(
  IF(
    F1922 &gt;
    3*AVERAGE(
       FILTER($F$2:$F10491,
         $G$2:$G10491=G1922,
         $A$2:$A10491&gt;=A1922-20,
         $A$2:$A10491&lt;=A1922
       )
    ),
    ""VOL_SPIKE_3X"",""""
  ),
"""")
"),"")</f>
        <v/>
      </c>
      <c r="N1922" s="7" t="str">
        <f t="shared" si="6"/>
        <v/>
      </c>
      <c r="O1922" s="7" t="str">
        <f t="shared" si="7"/>
        <v/>
      </c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>
      <c r="A1923" s="5">
        <f>IFERROR(__xludf.DUMMYFUNCTION("""COMPUTED_VALUE"""),45835.0)</f>
        <v>45835</v>
      </c>
      <c r="B1923" s="6">
        <f>IFERROR(__xludf.DUMMYFUNCTION("""COMPUTED_VALUE"""),330.0)</f>
        <v>330</v>
      </c>
      <c r="C1923" s="6">
        <f>IFERROR(__xludf.DUMMYFUNCTION("""COMPUTED_VALUE"""),334.2)</f>
        <v>334.2</v>
      </c>
      <c r="D1923" s="6">
        <f>IFERROR(__xludf.DUMMYFUNCTION("""COMPUTED_VALUE"""),327.4)</f>
        <v>327.4</v>
      </c>
      <c r="E1923" s="6">
        <f>IFERROR(__xludf.DUMMYFUNCTION("""COMPUTED_VALUE"""),333.0)</f>
        <v>333</v>
      </c>
      <c r="F1923" s="7">
        <f>IFERROR(__xludf.DUMMYFUNCTION("""COMPUTED_VALUE"""),9911738.0)</f>
        <v>9911738</v>
      </c>
      <c r="G1923" s="7" t="str">
        <f>IFERROR(__xludf.DUMMYFUNCTION("""COMPUTED_VALUE"""),"BPCL.NS")</f>
        <v>BPCL.NS</v>
      </c>
      <c r="H1923" s="8">
        <f t="shared" si="1"/>
        <v>0.009090909091</v>
      </c>
      <c r="I1923" s="8">
        <f t="shared" si="2"/>
        <v>0.009090909091</v>
      </c>
      <c r="J1923" s="7" t="str">
        <f t="shared" si="3"/>
        <v>Jun-2025</v>
      </c>
      <c r="K1923" s="9">
        <f t="shared" si="4"/>
        <v>45809</v>
      </c>
      <c r="L1923" s="7" t="str">
        <f t="shared" si="5"/>
        <v/>
      </c>
      <c r="M1923" s="7" t="str">
        <f>IFERROR(__xludf.DUMMYFUNCTION("IFERROR(
  IF(
    F1923 &gt;
    3*AVERAGE(
       FILTER($F$2:$F10491,
         $G$2:$G10491=G1923,
         $A$2:$A10491&gt;=A1923-20,
         $A$2:$A10491&lt;=A1923
       )
    ),
    ""VOL_SPIKE_3X"",""""
  ),
"""")
"),"")</f>
        <v/>
      </c>
      <c r="N1923" s="7" t="str">
        <f t="shared" si="6"/>
        <v/>
      </c>
      <c r="O1923" s="7" t="str">
        <f t="shared" si="7"/>
        <v/>
      </c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>
      <c r="A1924" s="5">
        <f>IFERROR(__xludf.DUMMYFUNCTION("""COMPUTED_VALUE"""),45835.0)</f>
        <v>45835</v>
      </c>
      <c r="B1924" s="6">
        <f>IFERROR(__xludf.DUMMYFUNCTION("""COMPUTED_VALUE"""),395.0)</f>
        <v>395</v>
      </c>
      <c r="C1924" s="6">
        <f>IFERROR(__xludf.DUMMYFUNCTION("""COMPUTED_VALUE"""),397.7)</f>
        <v>397.7</v>
      </c>
      <c r="D1924" s="6">
        <f>IFERROR(__xludf.DUMMYFUNCTION("""COMPUTED_VALUE"""),392.1)</f>
        <v>392.1</v>
      </c>
      <c r="E1924" s="6">
        <f>IFERROR(__xludf.DUMMYFUNCTION("""COMPUTED_VALUE"""),394.15)</f>
        <v>394.15</v>
      </c>
      <c r="F1924" s="7">
        <f>IFERROR(__xludf.DUMMYFUNCTION("""COMPUTED_VALUE"""),1.6253653E7)</f>
        <v>16253653</v>
      </c>
      <c r="G1924" s="7" t="str">
        <f>IFERROR(__xludf.DUMMYFUNCTION("""COMPUTED_VALUE"""),"COALINDIA.NS")</f>
        <v>COALINDIA.NS</v>
      </c>
      <c r="H1924" s="8">
        <f t="shared" si="1"/>
        <v>-0.002151898734</v>
      </c>
      <c r="I1924" s="8">
        <f t="shared" si="2"/>
        <v>0.002151898734</v>
      </c>
      <c r="J1924" s="7" t="str">
        <f t="shared" si="3"/>
        <v>Jun-2025</v>
      </c>
      <c r="K1924" s="9">
        <f t="shared" si="4"/>
        <v>45809</v>
      </c>
      <c r="L1924" s="7" t="str">
        <f t="shared" si="5"/>
        <v/>
      </c>
      <c r="M1924" s="7" t="str">
        <f>IFERROR(__xludf.DUMMYFUNCTION("IFERROR(
  IF(
    F1924 &gt;
    3*AVERAGE(
       FILTER($F$2:$F10491,
         $G$2:$G10491=G1924,
         $A$2:$A10491&gt;=A1924-20,
         $A$2:$A10491&lt;=A1924
       )
    ),
    ""VOL_SPIKE_3X"",""""
  ),
"""")
"),"")</f>
        <v/>
      </c>
      <c r="N1924" s="7" t="str">
        <f t="shared" si="6"/>
        <v/>
      </c>
      <c r="O1924" s="7" t="str">
        <f t="shared" si="7"/>
        <v/>
      </c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>
      <c r="A1925" s="5">
        <f>IFERROR(__xludf.DUMMYFUNCTION("""COMPUTED_VALUE"""),45835.0)</f>
        <v>45835</v>
      </c>
      <c r="B1925" s="6">
        <f>IFERROR(__xludf.DUMMYFUNCTION("""COMPUTED_VALUE"""),420.95)</f>
        <v>420.95</v>
      </c>
      <c r="C1925" s="6">
        <f>IFERROR(__xludf.DUMMYFUNCTION("""COMPUTED_VALUE"""),440.3)</f>
        <v>440.3</v>
      </c>
      <c r="D1925" s="6">
        <f>IFERROR(__xludf.DUMMYFUNCTION("""COMPUTED_VALUE"""),419.45)</f>
        <v>419.45</v>
      </c>
      <c r="E1925" s="6">
        <f>IFERROR(__xludf.DUMMYFUNCTION("""COMPUTED_VALUE"""),439.0)</f>
        <v>439</v>
      </c>
      <c r="F1925" s="7">
        <f>IFERROR(__xludf.DUMMYFUNCTION("""COMPUTED_VALUE"""),1.535297E7)</f>
        <v>15352970</v>
      </c>
      <c r="G1925" s="7" t="str">
        <f>IFERROR(__xludf.DUMMYFUNCTION("""COMPUTED_VALUE"""),"HINDPETRO.NS")</f>
        <v>HINDPETRO.NS</v>
      </c>
      <c r="H1925" s="8">
        <f t="shared" si="1"/>
        <v>0.04287920181</v>
      </c>
      <c r="I1925" s="8">
        <f t="shared" si="2"/>
        <v>0.04287920181</v>
      </c>
      <c r="J1925" s="7" t="str">
        <f t="shared" si="3"/>
        <v>Jun-2025</v>
      </c>
      <c r="K1925" s="9">
        <f t="shared" si="4"/>
        <v>45809</v>
      </c>
      <c r="L1925" s="7" t="str">
        <f t="shared" si="5"/>
        <v/>
      </c>
      <c r="M1925" s="7" t="str">
        <f>IFERROR(__xludf.DUMMYFUNCTION("IFERROR(
  IF(
    F1925 &gt;
    3*AVERAGE(
       FILTER($F$2:$F10491,
         $G$2:$G10491=G1925,
         $A$2:$A10491&gt;=A1925-20,
         $A$2:$A10491&lt;=A1925
       )
    ),
    ""VOL_SPIKE_3X"",""""
  ),
"""")
"),"")</f>
        <v/>
      </c>
      <c r="N1925" s="7" t="str">
        <f t="shared" si="6"/>
        <v/>
      </c>
      <c r="O1925" s="7" t="str">
        <f t="shared" si="7"/>
        <v/>
      </c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>
      <c r="A1926" s="5">
        <f>IFERROR(__xludf.DUMMYFUNCTION("""COMPUTED_VALUE"""),45835.0)</f>
        <v>45835</v>
      </c>
      <c r="B1926" s="6">
        <f>IFERROR(__xludf.DUMMYFUNCTION("""COMPUTED_VALUE"""),146.28)</f>
        <v>146.28</v>
      </c>
      <c r="C1926" s="6">
        <f>IFERROR(__xludf.DUMMYFUNCTION("""COMPUTED_VALUE"""),148.3)</f>
        <v>148.3</v>
      </c>
      <c r="D1926" s="6">
        <f>IFERROR(__xludf.DUMMYFUNCTION("""COMPUTED_VALUE"""),146.0)</f>
        <v>146</v>
      </c>
      <c r="E1926" s="6">
        <f>IFERROR(__xludf.DUMMYFUNCTION("""COMPUTED_VALUE"""),147.22)</f>
        <v>147.22</v>
      </c>
      <c r="F1926" s="7">
        <f>IFERROR(__xludf.DUMMYFUNCTION("""COMPUTED_VALUE"""),1.9189378E7)</f>
        <v>19189378</v>
      </c>
      <c r="G1926" s="7" t="str">
        <f>IFERROR(__xludf.DUMMYFUNCTION("""COMPUTED_VALUE"""),"IOC.NS")</f>
        <v>IOC.NS</v>
      </c>
      <c r="H1926" s="8">
        <f t="shared" si="1"/>
        <v>0.006426032267</v>
      </c>
      <c r="I1926" s="8">
        <f t="shared" si="2"/>
        <v>0.006426032267</v>
      </c>
      <c r="J1926" s="7" t="str">
        <f t="shared" si="3"/>
        <v>Jun-2025</v>
      </c>
      <c r="K1926" s="9">
        <f t="shared" si="4"/>
        <v>45809</v>
      </c>
      <c r="L1926" s="7" t="str">
        <f t="shared" si="5"/>
        <v/>
      </c>
      <c r="M1926" s="7" t="str">
        <f>IFERROR(__xludf.DUMMYFUNCTION("IFERROR(
  IF(
    F1926 &gt;
    3*AVERAGE(
       FILTER($F$2:$F10491,
         $G$2:$G10491=G1926,
         $A$2:$A10491&gt;=A1926-20,
         $A$2:$A10491&lt;=A1926
       )
    ),
    ""VOL_SPIKE_3X"",""""
  ),
"""")
"),"")</f>
        <v/>
      </c>
      <c r="N1926" s="7" t="str">
        <f t="shared" si="6"/>
        <v/>
      </c>
      <c r="O1926" s="7" t="str">
        <f t="shared" si="7"/>
        <v/>
      </c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>
      <c r="A1927" s="5">
        <f>IFERROR(__xludf.DUMMYFUNCTION("""COMPUTED_VALUE"""),45835.0)</f>
        <v>45835</v>
      </c>
      <c r="B1927" s="6">
        <f>IFERROR(__xludf.DUMMYFUNCTION("""COMPUTED_VALUE"""),338.95)</f>
        <v>338.95</v>
      </c>
      <c r="C1927" s="6">
        <f>IFERROR(__xludf.DUMMYFUNCTION("""COMPUTED_VALUE"""),341.3)</f>
        <v>341.3</v>
      </c>
      <c r="D1927" s="6">
        <f>IFERROR(__xludf.DUMMYFUNCTION("""COMPUTED_VALUE"""),334.45)</f>
        <v>334.45</v>
      </c>
      <c r="E1927" s="6">
        <f>IFERROR(__xludf.DUMMYFUNCTION("""COMPUTED_VALUE"""),338.3)</f>
        <v>338.3</v>
      </c>
      <c r="F1927" s="7">
        <f>IFERROR(__xludf.DUMMYFUNCTION("""COMPUTED_VALUE"""),5.0845169E7)</f>
        <v>50845169</v>
      </c>
      <c r="G1927" s="7" t="str">
        <f>IFERROR(__xludf.DUMMYFUNCTION("""COMPUTED_VALUE"""),"NTPC.NS")</f>
        <v>NTPC.NS</v>
      </c>
      <c r="H1927" s="8">
        <f t="shared" si="1"/>
        <v>-0.001917686974</v>
      </c>
      <c r="I1927" s="8">
        <f t="shared" si="2"/>
        <v>0.001917686974</v>
      </c>
      <c r="J1927" s="7" t="str">
        <f t="shared" si="3"/>
        <v>Jun-2025</v>
      </c>
      <c r="K1927" s="9">
        <f t="shared" si="4"/>
        <v>45809</v>
      </c>
      <c r="L1927" s="7" t="str">
        <f t="shared" si="5"/>
        <v/>
      </c>
      <c r="M1927" s="7" t="str">
        <f>IFERROR(__xludf.DUMMYFUNCTION("IFERROR(
  IF(
    F1927 &gt;
    3*AVERAGE(
       FILTER($F$2:$F10491,
         $G$2:$G10491=G1927,
         $A$2:$A10491&gt;=A1927-20,
         $A$2:$A10491&lt;=A1927
       )
    ),
    ""VOL_SPIKE_3X"",""""
  ),
"""")
"),"")</f>
        <v/>
      </c>
      <c r="N1927" s="7" t="str">
        <f t="shared" si="6"/>
        <v/>
      </c>
      <c r="O1927" s="7" t="str">
        <f t="shared" si="7"/>
        <v/>
      </c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>
      <c r="A1928" s="5">
        <f>IFERROR(__xludf.DUMMYFUNCTION("""COMPUTED_VALUE"""),45835.0)</f>
        <v>45835</v>
      </c>
      <c r="B1928" s="6">
        <f>IFERROR(__xludf.DUMMYFUNCTION("""COMPUTED_VALUE"""),245.01)</f>
        <v>245.01</v>
      </c>
      <c r="C1928" s="6">
        <f>IFERROR(__xludf.DUMMYFUNCTION("""COMPUTED_VALUE"""),246.22)</f>
        <v>246.22</v>
      </c>
      <c r="D1928" s="6">
        <f>IFERROR(__xludf.DUMMYFUNCTION("""COMPUTED_VALUE"""),242.0)</f>
        <v>242</v>
      </c>
      <c r="E1928" s="6">
        <f>IFERROR(__xludf.DUMMYFUNCTION("""COMPUTED_VALUE"""),242.83)</f>
        <v>242.83</v>
      </c>
      <c r="F1928" s="7">
        <f>IFERROR(__xludf.DUMMYFUNCTION("""COMPUTED_VALUE"""),2.169196E7)</f>
        <v>21691960</v>
      </c>
      <c r="G1928" s="7" t="str">
        <f>IFERROR(__xludf.DUMMYFUNCTION("""COMPUTED_VALUE"""),"ONGC.NS")</f>
        <v>ONGC.NS</v>
      </c>
      <c r="H1928" s="8">
        <f t="shared" si="1"/>
        <v>-0.008897596016</v>
      </c>
      <c r="I1928" s="8">
        <f t="shared" si="2"/>
        <v>0.008897596016</v>
      </c>
      <c r="J1928" s="7" t="str">
        <f t="shared" si="3"/>
        <v>Jun-2025</v>
      </c>
      <c r="K1928" s="9">
        <f t="shared" si="4"/>
        <v>45809</v>
      </c>
      <c r="L1928" s="7" t="str">
        <f t="shared" si="5"/>
        <v/>
      </c>
      <c r="M1928" s="7" t="str">
        <f>IFERROR(__xludf.DUMMYFUNCTION("IFERROR(
  IF(
    F1928 &gt;
    3*AVERAGE(
       FILTER($F$2:$F10491,
         $G$2:$G10491=G1928,
         $A$2:$A10491&gt;=A1928-20,
         $A$2:$A10491&lt;=A1928
       )
    ),
    ""VOL_SPIKE_3X"",""""
  ),
"""")
"),"")</f>
        <v/>
      </c>
      <c r="N1928" s="7" t="str">
        <f t="shared" si="6"/>
        <v/>
      </c>
      <c r="O1928" s="7" t="str">
        <f t="shared" si="7"/>
        <v/>
      </c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>
      <c r="A1929" s="5">
        <f>IFERROR(__xludf.DUMMYFUNCTION("""COMPUTED_VALUE"""),45835.0)</f>
        <v>45835</v>
      </c>
      <c r="B1929" s="6">
        <f>IFERROR(__xludf.DUMMYFUNCTION("""COMPUTED_VALUE"""),295.0)</f>
        <v>295</v>
      </c>
      <c r="C1929" s="6">
        <f>IFERROR(__xludf.DUMMYFUNCTION("""COMPUTED_VALUE"""),300.7)</f>
        <v>300.7</v>
      </c>
      <c r="D1929" s="6">
        <f>IFERROR(__xludf.DUMMYFUNCTION("""COMPUTED_VALUE"""),294.15)</f>
        <v>294.15</v>
      </c>
      <c r="E1929" s="6">
        <f>IFERROR(__xludf.DUMMYFUNCTION("""COMPUTED_VALUE"""),299.25)</f>
        <v>299.25</v>
      </c>
      <c r="F1929" s="7">
        <f>IFERROR(__xludf.DUMMYFUNCTION("""COMPUTED_VALUE"""),1.5523628E7)</f>
        <v>15523628</v>
      </c>
      <c r="G1929" s="7" t="str">
        <f>IFERROR(__xludf.DUMMYFUNCTION("""COMPUTED_VALUE"""),"POWERGRID.NS")</f>
        <v>POWERGRID.NS</v>
      </c>
      <c r="H1929" s="8">
        <f t="shared" si="1"/>
        <v>0.01440677966</v>
      </c>
      <c r="I1929" s="8">
        <f t="shared" si="2"/>
        <v>0.01440677966</v>
      </c>
      <c r="J1929" s="7" t="str">
        <f t="shared" si="3"/>
        <v>Jun-2025</v>
      </c>
      <c r="K1929" s="9">
        <f t="shared" si="4"/>
        <v>45809</v>
      </c>
      <c r="L1929" s="7" t="str">
        <f t="shared" si="5"/>
        <v/>
      </c>
      <c r="M1929" s="7" t="str">
        <f>IFERROR(__xludf.DUMMYFUNCTION("IFERROR(
  IF(
    F1929 &gt;
    3*AVERAGE(
       FILTER($F$2:$F10491,
         $G$2:$G10491=G1929,
         $A$2:$A10491&gt;=A1929-20,
         $A$2:$A10491&lt;=A1929
       )
    ),
    ""VOL_SPIKE_3X"",""""
  ),
"""")
"),"")</f>
        <v/>
      </c>
      <c r="N1929" s="7" t="str">
        <f t="shared" si="6"/>
        <v/>
      </c>
      <c r="O1929" s="7" t="str">
        <f t="shared" si="7"/>
        <v/>
      </c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>
      <c r="A1930" s="5">
        <f>IFERROR(__xludf.DUMMYFUNCTION("""COMPUTED_VALUE"""),45835.0)</f>
        <v>45835</v>
      </c>
      <c r="B1930" s="6">
        <f>IFERROR(__xludf.DUMMYFUNCTION("""COMPUTED_VALUE"""),1499.4)</f>
        <v>1499.4</v>
      </c>
      <c r="C1930" s="6">
        <f>IFERROR(__xludf.DUMMYFUNCTION("""COMPUTED_VALUE"""),1522.0)</f>
        <v>1522</v>
      </c>
      <c r="D1930" s="6">
        <f>IFERROR(__xludf.DUMMYFUNCTION("""COMPUTED_VALUE"""),1496.9)</f>
        <v>1496.9</v>
      </c>
      <c r="E1930" s="6">
        <f>IFERROR(__xludf.DUMMYFUNCTION("""COMPUTED_VALUE"""),1515.4)</f>
        <v>1515.4</v>
      </c>
      <c r="F1930" s="7">
        <f>IFERROR(__xludf.DUMMYFUNCTION("""COMPUTED_VALUE"""),1.1117052E7)</f>
        <v>11117052</v>
      </c>
      <c r="G1930" s="7" t="str">
        <f>IFERROR(__xludf.DUMMYFUNCTION("""COMPUTED_VALUE"""),"RELIANCE.NS")</f>
        <v>RELIANCE.NS</v>
      </c>
      <c r="H1930" s="8">
        <f t="shared" si="1"/>
        <v>0.01067093504</v>
      </c>
      <c r="I1930" s="8">
        <f t="shared" si="2"/>
        <v>0.01067093504</v>
      </c>
      <c r="J1930" s="7" t="str">
        <f t="shared" si="3"/>
        <v>Jun-2025</v>
      </c>
      <c r="K1930" s="9">
        <f t="shared" si="4"/>
        <v>45809</v>
      </c>
      <c r="L1930" s="7" t="str">
        <f t="shared" si="5"/>
        <v/>
      </c>
      <c r="M1930" s="7" t="str">
        <f>IFERROR(__xludf.DUMMYFUNCTION("IFERROR(
  IF(
    F1930 &gt;
    3*AVERAGE(
       FILTER($F$2:$F10491,
         $G$2:$G10491=G1930,
         $A$2:$A10491&gt;=A1930-20,
         $A$2:$A10491&lt;=A1930
       )
    ),
    ""VOL_SPIKE_3X"",""""
  ),
"""")
"),"")</f>
        <v/>
      </c>
      <c r="N1930" s="7" t="str">
        <f t="shared" si="6"/>
        <v/>
      </c>
      <c r="O1930" s="7" t="str">
        <f t="shared" si="7"/>
        <v/>
      </c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>
      <c r="A1931" s="5">
        <f>IFERROR(__xludf.DUMMYFUNCTION("""COMPUTED_VALUE"""),45838.0)</f>
        <v>45838</v>
      </c>
      <c r="B1931" s="6">
        <f>IFERROR(__xludf.DUMMYFUNCTION("""COMPUTED_VALUE"""),886.0)</f>
        <v>886</v>
      </c>
      <c r="C1931" s="6">
        <f>IFERROR(__xludf.DUMMYFUNCTION("""COMPUTED_VALUE"""),887.45)</f>
        <v>887.45</v>
      </c>
      <c r="D1931" s="6">
        <f>IFERROR(__xludf.DUMMYFUNCTION("""COMPUTED_VALUE"""),874.7)</f>
        <v>874.7</v>
      </c>
      <c r="E1931" s="6">
        <f>IFERROR(__xludf.DUMMYFUNCTION("""COMPUTED_VALUE"""),881.75)</f>
        <v>881.75</v>
      </c>
      <c r="F1931" s="7">
        <f>IFERROR(__xludf.DUMMYFUNCTION("""COMPUTED_VALUE"""),1673237.0)</f>
        <v>1673237</v>
      </c>
      <c r="G1931" s="7" t="str">
        <f>IFERROR(__xludf.DUMMYFUNCTION("""COMPUTED_VALUE"""),"ADANIENSOL.NS")</f>
        <v>ADANIENSOL.NS</v>
      </c>
      <c r="H1931" s="8">
        <f t="shared" si="1"/>
        <v>-0.004796839729</v>
      </c>
      <c r="I1931" s="8">
        <f t="shared" si="2"/>
        <v>0.004796839729</v>
      </c>
      <c r="J1931" s="7" t="str">
        <f t="shared" si="3"/>
        <v>Jun-2025</v>
      </c>
      <c r="K1931" s="9">
        <f t="shared" si="4"/>
        <v>45809</v>
      </c>
      <c r="L1931" s="7" t="str">
        <f t="shared" si="5"/>
        <v/>
      </c>
      <c r="M1931" s="7" t="str">
        <f>IFERROR(__xludf.DUMMYFUNCTION("IFERROR(
  IF(
    F1931 &gt;
    3*AVERAGE(
       FILTER($F$2:$F10491,
         $G$2:$G10491=G1931,
         $A$2:$A10491&gt;=A1931-20,
         $A$2:$A10491&lt;=A1931
       )
    ),
    ""VOL_SPIKE_3X"",""""
  ),
"""")
"),"")</f>
        <v/>
      </c>
      <c r="N1931" s="7" t="str">
        <f t="shared" si="6"/>
        <v/>
      </c>
      <c r="O1931" s="7" t="str">
        <f t="shared" si="7"/>
        <v/>
      </c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>
      <c r="A1932" s="5">
        <f>IFERROR(__xludf.DUMMYFUNCTION("""COMPUTED_VALUE"""),45838.0)</f>
        <v>45838</v>
      </c>
      <c r="B1932" s="6">
        <f>IFERROR(__xludf.DUMMYFUNCTION("""COMPUTED_VALUE"""),1020.0)</f>
        <v>1020</v>
      </c>
      <c r="C1932" s="6">
        <f>IFERROR(__xludf.DUMMYFUNCTION("""COMPUTED_VALUE"""),1034.5)</f>
        <v>1034.5</v>
      </c>
      <c r="D1932" s="6">
        <f>IFERROR(__xludf.DUMMYFUNCTION("""COMPUTED_VALUE"""),1015.1)</f>
        <v>1015.1</v>
      </c>
      <c r="E1932" s="6">
        <f>IFERROR(__xludf.DUMMYFUNCTION("""COMPUTED_VALUE"""),1025.6)</f>
        <v>1025.6</v>
      </c>
      <c r="F1932" s="7">
        <f>IFERROR(__xludf.DUMMYFUNCTION("""COMPUTED_VALUE"""),2020543.0)</f>
        <v>2020543</v>
      </c>
      <c r="G1932" s="7" t="str">
        <f>IFERROR(__xludf.DUMMYFUNCTION("""COMPUTED_VALUE"""),"ADANIGREEN.NS")</f>
        <v>ADANIGREEN.NS</v>
      </c>
      <c r="H1932" s="8">
        <f t="shared" si="1"/>
        <v>0.005490196078</v>
      </c>
      <c r="I1932" s="8">
        <f t="shared" si="2"/>
        <v>0.005490196078</v>
      </c>
      <c r="J1932" s="7" t="str">
        <f t="shared" si="3"/>
        <v>Jun-2025</v>
      </c>
      <c r="K1932" s="9">
        <f t="shared" si="4"/>
        <v>45809</v>
      </c>
      <c r="L1932" s="7" t="str">
        <f t="shared" si="5"/>
        <v/>
      </c>
      <c r="M1932" s="7" t="str">
        <f>IFERROR(__xludf.DUMMYFUNCTION("IFERROR(
  IF(
    F1932 &gt;
    3*AVERAGE(
       FILTER($F$2:$F10491,
         $G$2:$G10491=G1932,
         $A$2:$A10491&gt;=A1932-20,
         $A$2:$A10491&lt;=A1932
       )
    ),
    ""VOL_SPIKE_3X"",""""
  ),
"""")
"),"")</f>
        <v/>
      </c>
      <c r="N1932" s="7" t="str">
        <f t="shared" si="6"/>
        <v/>
      </c>
      <c r="O1932" s="7" t="str">
        <f t="shared" si="7"/>
        <v/>
      </c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>
      <c r="A1933" s="5">
        <f>IFERROR(__xludf.DUMMYFUNCTION("""COMPUTED_VALUE"""),45838.0)</f>
        <v>45838</v>
      </c>
      <c r="B1933" s="6">
        <f>IFERROR(__xludf.DUMMYFUNCTION("""COMPUTED_VALUE"""),334.0)</f>
        <v>334</v>
      </c>
      <c r="C1933" s="6">
        <f>IFERROR(__xludf.DUMMYFUNCTION("""COMPUTED_VALUE"""),337.7)</f>
        <v>337.7</v>
      </c>
      <c r="D1933" s="6">
        <f>IFERROR(__xludf.DUMMYFUNCTION("""COMPUTED_VALUE"""),330.35)</f>
        <v>330.35</v>
      </c>
      <c r="E1933" s="6">
        <f>IFERROR(__xludf.DUMMYFUNCTION("""COMPUTED_VALUE"""),331.95)</f>
        <v>331.95</v>
      </c>
      <c r="F1933" s="7">
        <f>IFERROR(__xludf.DUMMYFUNCTION("""COMPUTED_VALUE"""),5840638.0)</f>
        <v>5840638</v>
      </c>
      <c r="G1933" s="7" t="str">
        <f>IFERROR(__xludf.DUMMYFUNCTION("""COMPUTED_VALUE"""),"BPCL.NS")</f>
        <v>BPCL.NS</v>
      </c>
      <c r="H1933" s="8">
        <f t="shared" si="1"/>
        <v>-0.006137724551</v>
      </c>
      <c r="I1933" s="8">
        <f t="shared" si="2"/>
        <v>0.006137724551</v>
      </c>
      <c r="J1933" s="7" t="str">
        <f t="shared" si="3"/>
        <v>Jun-2025</v>
      </c>
      <c r="K1933" s="9">
        <f t="shared" si="4"/>
        <v>45809</v>
      </c>
      <c r="L1933" s="7" t="str">
        <f t="shared" si="5"/>
        <v/>
      </c>
      <c r="M1933" s="7" t="str">
        <f>IFERROR(__xludf.DUMMYFUNCTION("IFERROR(
  IF(
    F1933 &gt;
    3*AVERAGE(
       FILTER($F$2:$F10491,
         $G$2:$G10491=G1933,
         $A$2:$A10491&gt;=A1933-20,
         $A$2:$A10491&lt;=A1933
       )
    ),
    ""VOL_SPIKE_3X"",""""
  ),
"""")
"),"")</f>
        <v/>
      </c>
      <c r="N1933" s="7" t="str">
        <f t="shared" si="6"/>
        <v/>
      </c>
      <c r="O1933" s="7" t="str">
        <f t="shared" si="7"/>
        <v/>
      </c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>
      <c r="A1934" s="5">
        <f>IFERROR(__xludf.DUMMYFUNCTION("""COMPUTED_VALUE"""),45838.0)</f>
        <v>45838</v>
      </c>
      <c r="B1934" s="6">
        <f>IFERROR(__xludf.DUMMYFUNCTION("""COMPUTED_VALUE"""),395.5)</f>
        <v>395.5</v>
      </c>
      <c r="C1934" s="6">
        <f>IFERROR(__xludf.DUMMYFUNCTION("""COMPUTED_VALUE"""),397.4)</f>
        <v>397.4</v>
      </c>
      <c r="D1934" s="6">
        <f>IFERROR(__xludf.DUMMYFUNCTION("""COMPUTED_VALUE"""),390.8)</f>
        <v>390.8</v>
      </c>
      <c r="E1934" s="6">
        <f>IFERROR(__xludf.DUMMYFUNCTION("""COMPUTED_VALUE"""),391.95)</f>
        <v>391.95</v>
      </c>
      <c r="F1934" s="7">
        <f>IFERROR(__xludf.DUMMYFUNCTION("""COMPUTED_VALUE"""),4870935.0)</f>
        <v>4870935</v>
      </c>
      <c r="G1934" s="7" t="str">
        <f>IFERROR(__xludf.DUMMYFUNCTION("""COMPUTED_VALUE"""),"COALINDIA.NS")</f>
        <v>COALINDIA.NS</v>
      </c>
      <c r="H1934" s="8">
        <f t="shared" si="1"/>
        <v>-0.008975979772</v>
      </c>
      <c r="I1934" s="8">
        <f t="shared" si="2"/>
        <v>0.008975979772</v>
      </c>
      <c r="J1934" s="7" t="str">
        <f t="shared" si="3"/>
        <v>Jun-2025</v>
      </c>
      <c r="K1934" s="9">
        <f t="shared" si="4"/>
        <v>45809</v>
      </c>
      <c r="L1934" s="7" t="str">
        <f t="shared" si="5"/>
        <v/>
      </c>
      <c r="M1934" s="7" t="str">
        <f>IFERROR(__xludf.DUMMYFUNCTION("IFERROR(
  IF(
    F1934 &gt;
    3*AVERAGE(
       FILTER($F$2:$F10491,
         $G$2:$G10491=G1934,
         $A$2:$A10491&gt;=A1934-20,
         $A$2:$A10491&lt;=A1934
       )
    ),
    ""VOL_SPIKE_3X"",""""
  ),
"""")
"),"")</f>
        <v/>
      </c>
      <c r="N1934" s="7" t="str">
        <f t="shared" si="6"/>
        <v/>
      </c>
      <c r="O1934" s="7" t="str">
        <f t="shared" si="7"/>
        <v/>
      </c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>
      <c r="A1935" s="5">
        <f>IFERROR(__xludf.DUMMYFUNCTION("""COMPUTED_VALUE"""),45838.0)</f>
        <v>45838</v>
      </c>
      <c r="B1935" s="6">
        <f>IFERROR(__xludf.DUMMYFUNCTION("""COMPUTED_VALUE"""),440.0)</f>
        <v>440</v>
      </c>
      <c r="C1935" s="6">
        <f>IFERROR(__xludf.DUMMYFUNCTION("""COMPUTED_VALUE"""),443.2)</f>
        <v>443.2</v>
      </c>
      <c r="D1935" s="6">
        <f>IFERROR(__xludf.DUMMYFUNCTION("""COMPUTED_VALUE"""),436.25)</f>
        <v>436.25</v>
      </c>
      <c r="E1935" s="6">
        <f>IFERROR(__xludf.DUMMYFUNCTION("""COMPUTED_VALUE"""),438.05)</f>
        <v>438.05</v>
      </c>
      <c r="F1935" s="7">
        <f>IFERROR(__xludf.DUMMYFUNCTION("""COMPUTED_VALUE"""),3398554.0)</f>
        <v>3398554</v>
      </c>
      <c r="G1935" s="7" t="str">
        <f>IFERROR(__xludf.DUMMYFUNCTION("""COMPUTED_VALUE"""),"HINDPETRO.NS")</f>
        <v>HINDPETRO.NS</v>
      </c>
      <c r="H1935" s="8">
        <f t="shared" si="1"/>
        <v>-0.004431818182</v>
      </c>
      <c r="I1935" s="8">
        <f t="shared" si="2"/>
        <v>0.004431818182</v>
      </c>
      <c r="J1935" s="7" t="str">
        <f t="shared" si="3"/>
        <v>Jun-2025</v>
      </c>
      <c r="K1935" s="9">
        <f t="shared" si="4"/>
        <v>45809</v>
      </c>
      <c r="L1935" s="7" t="str">
        <f t="shared" si="5"/>
        <v/>
      </c>
      <c r="M1935" s="7" t="str">
        <f>IFERROR(__xludf.DUMMYFUNCTION("IFERROR(
  IF(
    F1935 &gt;
    3*AVERAGE(
       FILTER($F$2:$F10491,
         $G$2:$G10491=G1935,
         $A$2:$A10491&gt;=A1935-20,
         $A$2:$A10491&lt;=A1935
       )
    ),
    ""VOL_SPIKE_3X"",""""
  ),
"""")
"),"")</f>
        <v/>
      </c>
      <c r="N1935" s="7" t="str">
        <f t="shared" si="6"/>
        <v/>
      </c>
      <c r="O1935" s="7" t="str">
        <f t="shared" si="7"/>
        <v/>
      </c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>
      <c r="A1936" s="5">
        <f>IFERROR(__xludf.DUMMYFUNCTION("""COMPUTED_VALUE"""),45838.0)</f>
        <v>45838</v>
      </c>
      <c r="B1936" s="6">
        <f>IFERROR(__xludf.DUMMYFUNCTION("""COMPUTED_VALUE"""),147.26)</f>
        <v>147.26</v>
      </c>
      <c r="C1936" s="6">
        <f>IFERROR(__xludf.DUMMYFUNCTION("""COMPUTED_VALUE"""),149.5)</f>
        <v>149.5</v>
      </c>
      <c r="D1936" s="6">
        <f>IFERROR(__xludf.DUMMYFUNCTION("""COMPUTED_VALUE"""),146.42)</f>
        <v>146.42</v>
      </c>
      <c r="E1936" s="6">
        <f>IFERROR(__xludf.DUMMYFUNCTION("""COMPUTED_VALUE"""),146.96)</f>
        <v>146.96</v>
      </c>
      <c r="F1936" s="7">
        <f>IFERROR(__xludf.DUMMYFUNCTION("""COMPUTED_VALUE"""),1.0645295E7)</f>
        <v>10645295</v>
      </c>
      <c r="G1936" s="7" t="str">
        <f>IFERROR(__xludf.DUMMYFUNCTION("""COMPUTED_VALUE"""),"IOC.NS")</f>
        <v>IOC.NS</v>
      </c>
      <c r="H1936" s="8">
        <f t="shared" si="1"/>
        <v>-0.002037213092</v>
      </c>
      <c r="I1936" s="8">
        <f t="shared" si="2"/>
        <v>0.002037213092</v>
      </c>
      <c r="J1936" s="7" t="str">
        <f t="shared" si="3"/>
        <v>Jun-2025</v>
      </c>
      <c r="K1936" s="9">
        <f t="shared" si="4"/>
        <v>45809</v>
      </c>
      <c r="L1936" s="7" t="str">
        <f t="shared" si="5"/>
        <v/>
      </c>
      <c r="M1936" s="7" t="str">
        <f>IFERROR(__xludf.DUMMYFUNCTION("IFERROR(
  IF(
    F1936 &gt;
    3*AVERAGE(
       FILTER($F$2:$F10491,
         $G$2:$G10491=G1936,
         $A$2:$A10491&gt;=A1936-20,
         $A$2:$A10491&lt;=A1936
       )
    ),
    ""VOL_SPIKE_3X"",""""
  ),
"""")
"),"")</f>
        <v/>
      </c>
      <c r="N1936" s="7" t="str">
        <f t="shared" si="6"/>
        <v/>
      </c>
      <c r="O1936" s="7" t="str">
        <f t="shared" si="7"/>
        <v/>
      </c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>
      <c r="A1937" s="5">
        <f>IFERROR(__xludf.DUMMYFUNCTION("""COMPUTED_VALUE"""),45838.0)</f>
        <v>45838</v>
      </c>
      <c r="B1937" s="6">
        <f>IFERROR(__xludf.DUMMYFUNCTION("""COMPUTED_VALUE"""),335.75)</f>
        <v>335.75</v>
      </c>
      <c r="C1937" s="6">
        <f>IFERROR(__xludf.DUMMYFUNCTION("""COMPUTED_VALUE"""),337.25)</f>
        <v>337.25</v>
      </c>
      <c r="D1937" s="6">
        <f>IFERROR(__xludf.DUMMYFUNCTION("""COMPUTED_VALUE"""),333.65)</f>
        <v>333.65</v>
      </c>
      <c r="E1937" s="6">
        <f>IFERROR(__xludf.DUMMYFUNCTION("""COMPUTED_VALUE"""),334.9)</f>
        <v>334.9</v>
      </c>
      <c r="F1937" s="7">
        <f>IFERROR(__xludf.DUMMYFUNCTION("""COMPUTED_VALUE"""),1.185889E7)</f>
        <v>11858890</v>
      </c>
      <c r="G1937" s="7" t="str">
        <f>IFERROR(__xludf.DUMMYFUNCTION("""COMPUTED_VALUE"""),"NTPC.NS")</f>
        <v>NTPC.NS</v>
      </c>
      <c r="H1937" s="8">
        <f t="shared" si="1"/>
        <v>-0.00253164557</v>
      </c>
      <c r="I1937" s="8">
        <f t="shared" si="2"/>
        <v>0.00253164557</v>
      </c>
      <c r="J1937" s="7" t="str">
        <f t="shared" si="3"/>
        <v>Jun-2025</v>
      </c>
      <c r="K1937" s="9">
        <f t="shared" si="4"/>
        <v>45809</v>
      </c>
      <c r="L1937" s="7" t="str">
        <f t="shared" si="5"/>
        <v/>
      </c>
      <c r="M1937" s="7" t="str">
        <f>IFERROR(__xludf.DUMMYFUNCTION("IFERROR(
  IF(
    F1937 &gt;
    3*AVERAGE(
       FILTER($F$2:$F10491,
         $G$2:$G10491=G1937,
         $A$2:$A10491&gt;=A1937-20,
         $A$2:$A10491&lt;=A1937
       )
    ),
    ""VOL_SPIKE_3X"",""""
  ),
"""")
"),"")</f>
        <v/>
      </c>
      <c r="N1937" s="7" t="str">
        <f t="shared" si="6"/>
        <v/>
      </c>
      <c r="O1937" s="7" t="str">
        <f t="shared" si="7"/>
        <v/>
      </c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>
      <c r="A1938" s="5">
        <f>IFERROR(__xludf.DUMMYFUNCTION("""COMPUTED_VALUE"""),45838.0)</f>
        <v>45838</v>
      </c>
      <c r="B1938" s="6">
        <f>IFERROR(__xludf.DUMMYFUNCTION("""COMPUTED_VALUE"""),244.0)</f>
        <v>244</v>
      </c>
      <c r="C1938" s="6">
        <f>IFERROR(__xludf.DUMMYFUNCTION("""COMPUTED_VALUE"""),245.7)</f>
        <v>245.7</v>
      </c>
      <c r="D1938" s="6">
        <f>IFERROR(__xludf.DUMMYFUNCTION("""COMPUTED_VALUE"""),243.0)</f>
        <v>243</v>
      </c>
      <c r="E1938" s="6">
        <f>IFERROR(__xludf.DUMMYFUNCTION("""COMPUTED_VALUE"""),244.21)</f>
        <v>244.21</v>
      </c>
      <c r="F1938" s="7">
        <f>IFERROR(__xludf.DUMMYFUNCTION("""COMPUTED_VALUE"""),8783448.0)</f>
        <v>8783448</v>
      </c>
      <c r="G1938" s="7" t="str">
        <f>IFERROR(__xludf.DUMMYFUNCTION("""COMPUTED_VALUE"""),"ONGC.NS")</f>
        <v>ONGC.NS</v>
      </c>
      <c r="H1938" s="8">
        <f t="shared" si="1"/>
        <v>0.0008606557377</v>
      </c>
      <c r="I1938" s="8">
        <f t="shared" si="2"/>
        <v>0.0008606557377</v>
      </c>
      <c r="J1938" s="7" t="str">
        <f t="shared" si="3"/>
        <v>Jun-2025</v>
      </c>
      <c r="K1938" s="9">
        <f t="shared" si="4"/>
        <v>45809</v>
      </c>
      <c r="L1938" s="7" t="str">
        <f t="shared" si="5"/>
        <v/>
      </c>
      <c r="M1938" s="7" t="str">
        <f>IFERROR(__xludf.DUMMYFUNCTION("IFERROR(
  IF(
    F1938 &gt;
    3*AVERAGE(
       FILTER($F$2:$F10491,
         $G$2:$G10491=G1938,
         $A$2:$A10491&gt;=A1938-20,
         $A$2:$A10491&lt;=A1938
       )
    ),
    ""VOL_SPIKE_3X"",""""
  ),
"""")
"),"")</f>
        <v/>
      </c>
      <c r="N1938" s="7" t="str">
        <f t="shared" si="6"/>
        <v/>
      </c>
      <c r="O1938" s="7" t="str">
        <f t="shared" si="7"/>
        <v/>
      </c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>
      <c r="A1939" s="5">
        <f>IFERROR(__xludf.DUMMYFUNCTION("""COMPUTED_VALUE"""),45838.0)</f>
        <v>45838</v>
      </c>
      <c r="B1939" s="6">
        <f>IFERROR(__xludf.DUMMYFUNCTION("""COMPUTED_VALUE"""),300.4)</f>
        <v>300.4</v>
      </c>
      <c r="C1939" s="6">
        <f>IFERROR(__xludf.DUMMYFUNCTION("""COMPUTED_VALUE"""),301.0)</f>
        <v>301</v>
      </c>
      <c r="D1939" s="6">
        <f>IFERROR(__xludf.DUMMYFUNCTION("""COMPUTED_VALUE"""),296.25)</f>
        <v>296.25</v>
      </c>
      <c r="E1939" s="6">
        <f>IFERROR(__xludf.DUMMYFUNCTION("""COMPUTED_VALUE"""),299.9)</f>
        <v>299.9</v>
      </c>
      <c r="F1939" s="7">
        <f>IFERROR(__xludf.DUMMYFUNCTION("""COMPUTED_VALUE"""),8415241.0)</f>
        <v>8415241</v>
      </c>
      <c r="G1939" s="7" t="str">
        <f>IFERROR(__xludf.DUMMYFUNCTION("""COMPUTED_VALUE"""),"POWERGRID.NS")</f>
        <v>POWERGRID.NS</v>
      </c>
      <c r="H1939" s="8">
        <f t="shared" si="1"/>
        <v>-0.001664447403</v>
      </c>
      <c r="I1939" s="8">
        <f t="shared" si="2"/>
        <v>0.001664447403</v>
      </c>
      <c r="J1939" s="7" t="str">
        <f t="shared" si="3"/>
        <v>Jun-2025</v>
      </c>
      <c r="K1939" s="9">
        <f t="shared" si="4"/>
        <v>45809</v>
      </c>
      <c r="L1939" s="7" t="str">
        <f t="shared" si="5"/>
        <v/>
      </c>
      <c r="M1939" s="7" t="str">
        <f>IFERROR(__xludf.DUMMYFUNCTION("IFERROR(
  IF(
    F1939 &gt;
    3*AVERAGE(
       FILTER($F$2:$F10491,
         $G$2:$G10491=G1939,
         $A$2:$A10491&gt;=A1939-20,
         $A$2:$A10491&lt;=A1939
       )
    ),
    ""VOL_SPIKE_3X"",""""
  ),
"""")
"),"")</f>
        <v/>
      </c>
      <c r="N1939" s="7" t="str">
        <f t="shared" si="6"/>
        <v/>
      </c>
      <c r="O1939" s="7" t="str">
        <f t="shared" si="7"/>
        <v/>
      </c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>
      <c r="A1940" s="5">
        <f>IFERROR(__xludf.DUMMYFUNCTION("""COMPUTED_VALUE"""),45838.0)</f>
        <v>45838</v>
      </c>
      <c r="B1940" s="6">
        <f>IFERROR(__xludf.DUMMYFUNCTION("""COMPUTED_VALUE"""),1513.8)</f>
        <v>1513.8</v>
      </c>
      <c r="C1940" s="6">
        <f>IFERROR(__xludf.DUMMYFUNCTION("""COMPUTED_VALUE"""),1524.8)</f>
        <v>1524.8</v>
      </c>
      <c r="D1940" s="6">
        <f>IFERROR(__xludf.DUMMYFUNCTION("""COMPUTED_VALUE"""),1496.0)</f>
        <v>1496</v>
      </c>
      <c r="E1940" s="6">
        <f>IFERROR(__xludf.DUMMYFUNCTION("""COMPUTED_VALUE"""),1500.6)</f>
        <v>1500.6</v>
      </c>
      <c r="F1940" s="7">
        <f>IFERROR(__xludf.DUMMYFUNCTION("""COMPUTED_VALUE"""),8409527.0)</f>
        <v>8409527</v>
      </c>
      <c r="G1940" s="7" t="str">
        <f>IFERROR(__xludf.DUMMYFUNCTION("""COMPUTED_VALUE"""),"RELIANCE.NS")</f>
        <v>RELIANCE.NS</v>
      </c>
      <c r="H1940" s="8">
        <f t="shared" si="1"/>
        <v>-0.008719778042</v>
      </c>
      <c r="I1940" s="8">
        <f t="shared" si="2"/>
        <v>0.008719778042</v>
      </c>
      <c r="J1940" s="7" t="str">
        <f t="shared" si="3"/>
        <v>Jun-2025</v>
      </c>
      <c r="K1940" s="9">
        <f t="shared" si="4"/>
        <v>45809</v>
      </c>
      <c r="L1940" s="7" t="str">
        <f t="shared" si="5"/>
        <v/>
      </c>
      <c r="M1940" s="7" t="str">
        <f>IFERROR(__xludf.DUMMYFUNCTION("IFERROR(
  IF(
    F1940 &gt;
    3*AVERAGE(
       FILTER($F$2:$F10491,
         $G$2:$G10491=G1940,
         $A$2:$A10491&gt;=A1940-20,
         $A$2:$A10491&lt;=A1940
       )
    ),
    ""VOL_SPIKE_3X"",""""
  ),
"""")
"),"")</f>
        <v/>
      </c>
      <c r="N1940" s="7" t="str">
        <f t="shared" si="6"/>
        <v/>
      </c>
      <c r="O1940" s="7" t="str">
        <f t="shared" si="7"/>
        <v/>
      </c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>
      <c r="A1941" s="5">
        <f>IFERROR(__xludf.DUMMYFUNCTION("""COMPUTED_VALUE"""),45839.0)</f>
        <v>45839</v>
      </c>
      <c r="B1941" s="6">
        <f>IFERROR(__xludf.DUMMYFUNCTION("""COMPUTED_VALUE"""),884.0)</f>
        <v>884</v>
      </c>
      <c r="C1941" s="6">
        <f>IFERROR(__xludf.DUMMYFUNCTION("""COMPUTED_VALUE"""),892.3)</f>
        <v>892.3</v>
      </c>
      <c r="D1941" s="6">
        <f>IFERROR(__xludf.DUMMYFUNCTION("""COMPUTED_VALUE"""),871.0)</f>
        <v>871</v>
      </c>
      <c r="E1941" s="6">
        <f>IFERROR(__xludf.DUMMYFUNCTION("""COMPUTED_VALUE"""),872.4)</f>
        <v>872.4</v>
      </c>
      <c r="F1941" s="7">
        <f>IFERROR(__xludf.DUMMYFUNCTION("""COMPUTED_VALUE"""),1874380.0)</f>
        <v>1874380</v>
      </c>
      <c r="G1941" s="7" t="str">
        <f>IFERROR(__xludf.DUMMYFUNCTION("""COMPUTED_VALUE"""),"ADANIENSOL.NS")</f>
        <v>ADANIENSOL.NS</v>
      </c>
      <c r="H1941" s="8">
        <f t="shared" si="1"/>
        <v>-0.01312217195</v>
      </c>
      <c r="I1941" s="8">
        <f t="shared" si="2"/>
        <v>0.01312217195</v>
      </c>
      <c r="J1941" s="7" t="str">
        <f t="shared" si="3"/>
        <v>Jul-2025</v>
      </c>
      <c r="K1941" s="9">
        <f t="shared" si="4"/>
        <v>45839</v>
      </c>
      <c r="L1941" s="7" t="str">
        <f t="shared" si="5"/>
        <v/>
      </c>
      <c r="M1941" s="7" t="str">
        <f>IFERROR(__xludf.DUMMYFUNCTION("IFERROR(
  IF(
    F1941 &gt;
    3*AVERAGE(
       FILTER($F$2:$F10491,
         $G$2:$G10491=G1941,
         $A$2:$A10491&gt;=A1941-20,
         $A$2:$A10491&lt;=A1941
       )
    ),
    ""VOL_SPIKE_3X"",""""
  ),
"""")
"),"")</f>
        <v/>
      </c>
      <c r="N1941" s="7" t="str">
        <f t="shared" si="6"/>
        <v/>
      </c>
      <c r="O1941" s="7" t="str">
        <f t="shared" si="7"/>
        <v/>
      </c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>
      <c r="A1942" s="5">
        <f>IFERROR(__xludf.DUMMYFUNCTION("""COMPUTED_VALUE"""),45839.0)</f>
        <v>45839</v>
      </c>
      <c r="B1942" s="6">
        <f>IFERROR(__xludf.DUMMYFUNCTION("""COMPUTED_VALUE"""),1030.0)</f>
        <v>1030</v>
      </c>
      <c r="C1942" s="6">
        <f>IFERROR(__xludf.DUMMYFUNCTION("""COMPUTED_VALUE"""),1038.0)</f>
        <v>1038</v>
      </c>
      <c r="D1942" s="6">
        <f>IFERROR(__xludf.DUMMYFUNCTION("""COMPUTED_VALUE"""),1007.2)</f>
        <v>1007.2</v>
      </c>
      <c r="E1942" s="6">
        <f>IFERROR(__xludf.DUMMYFUNCTION("""COMPUTED_VALUE"""),1015.7)</f>
        <v>1015.7</v>
      </c>
      <c r="F1942" s="7">
        <f>IFERROR(__xludf.DUMMYFUNCTION("""COMPUTED_VALUE"""),1836549.0)</f>
        <v>1836549</v>
      </c>
      <c r="G1942" s="7" t="str">
        <f>IFERROR(__xludf.DUMMYFUNCTION("""COMPUTED_VALUE"""),"ADANIGREEN.NS")</f>
        <v>ADANIGREEN.NS</v>
      </c>
      <c r="H1942" s="8">
        <f t="shared" si="1"/>
        <v>-0.01388349515</v>
      </c>
      <c r="I1942" s="8">
        <f t="shared" si="2"/>
        <v>0.01388349515</v>
      </c>
      <c r="J1942" s="7" t="str">
        <f t="shared" si="3"/>
        <v>Jul-2025</v>
      </c>
      <c r="K1942" s="9">
        <f t="shared" si="4"/>
        <v>45839</v>
      </c>
      <c r="L1942" s="7" t="str">
        <f t="shared" si="5"/>
        <v/>
      </c>
      <c r="M1942" s="7" t="str">
        <f>IFERROR(__xludf.DUMMYFUNCTION("IFERROR(
  IF(
    F1942 &gt;
    3*AVERAGE(
       FILTER($F$2:$F10491,
         $G$2:$G10491=G1942,
         $A$2:$A10491&gt;=A1942-20,
         $A$2:$A10491&lt;=A1942
       )
    ),
    ""VOL_SPIKE_3X"",""""
  ),
"""")
"),"")</f>
        <v/>
      </c>
      <c r="N1942" s="7" t="str">
        <f t="shared" si="6"/>
        <v/>
      </c>
      <c r="O1942" s="7" t="str">
        <f t="shared" si="7"/>
        <v/>
      </c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>
      <c r="A1943" s="5">
        <f>IFERROR(__xludf.DUMMYFUNCTION("""COMPUTED_VALUE"""),45839.0)</f>
        <v>45839</v>
      </c>
      <c r="B1943" s="6">
        <f>IFERROR(__xludf.DUMMYFUNCTION("""COMPUTED_VALUE"""),331.55)</f>
        <v>331.55</v>
      </c>
      <c r="C1943" s="6">
        <f>IFERROR(__xludf.DUMMYFUNCTION("""COMPUTED_VALUE"""),335.5)</f>
        <v>335.5</v>
      </c>
      <c r="D1943" s="6">
        <f>IFERROR(__xludf.DUMMYFUNCTION("""COMPUTED_VALUE"""),330.9)</f>
        <v>330.9</v>
      </c>
      <c r="E1943" s="6">
        <f>IFERROR(__xludf.DUMMYFUNCTION("""COMPUTED_VALUE"""),332.05)</f>
        <v>332.05</v>
      </c>
      <c r="F1943" s="7">
        <f>IFERROR(__xludf.DUMMYFUNCTION("""COMPUTED_VALUE"""),3921773.0)</f>
        <v>3921773</v>
      </c>
      <c r="G1943" s="7" t="str">
        <f>IFERROR(__xludf.DUMMYFUNCTION("""COMPUTED_VALUE"""),"BPCL.NS")</f>
        <v>BPCL.NS</v>
      </c>
      <c r="H1943" s="8">
        <f t="shared" si="1"/>
        <v>0.001508068165</v>
      </c>
      <c r="I1943" s="8">
        <f t="shared" si="2"/>
        <v>0.001508068165</v>
      </c>
      <c r="J1943" s="7" t="str">
        <f t="shared" si="3"/>
        <v>Jul-2025</v>
      </c>
      <c r="K1943" s="9">
        <f t="shared" si="4"/>
        <v>45839</v>
      </c>
      <c r="L1943" s="7" t="str">
        <f t="shared" si="5"/>
        <v/>
      </c>
      <c r="M1943" s="7" t="str">
        <f>IFERROR(__xludf.DUMMYFUNCTION("IFERROR(
  IF(
    F1943 &gt;
    3*AVERAGE(
       FILTER($F$2:$F10491,
         $G$2:$G10491=G1943,
         $A$2:$A10491&gt;=A1943-20,
         $A$2:$A10491&lt;=A1943
       )
    ),
    ""VOL_SPIKE_3X"",""""
  ),
"""")
"),"")</f>
        <v/>
      </c>
      <c r="N1943" s="7" t="str">
        <f t="shared" si="6"/>
        <v/>
      </c>
      <c r="O1943" s="7" t="str">
        <f t="shared" si="7"/>
        <v/>
      </c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>
      <c r="A1944" s="5">
        <f>IFERROR(__xludf.DUMMYFUNCTION("""COMPUTED_VALUE"""),45839.0)</f>
        <v>45839</v>
      </c>
      <c r="B1944" s="6">
        <f>IFERROR(__xludf.DUMMYFUNCTION("""COMPUTED_VALUE"""),392.5)</f>
        <v>392.5</v>
      </c>
      <c r="C1944" s="6">
        <f>IFERROR(__xludf.DUMMYFUNCTION("""COMPUTED_VALUE"""),393.9)</f>
        <v>393.9</v>
      </c>
      <c r="D1944" s="6">
        <f>IFERROR(__xludf.DUMMYFUNCTION("""COMPUTED_VALUE"""),389.0)</f>
        <v>389</v>
      </c>
      <c r="E1944" s="6">
        <f>IFERROR(__xludf.DUMMYFUNCTION("""COMPUTED_VALUE"""),389.75)</f>
        <v>389.75</v>
      </c>
      <c r="F1944" s="7">
        <f>IFERROR(__xludf.DUMMYFUNCTION("""COMPUTED_VALUE"""),5997283.0)</f>
        <v>5997283</v>
      </c>
      <c r="G1944" s="7" t="str">
        <f>IFERROR(__xludf.DUMMYFUNCTION("""COMPUTED_VALUE"""),"COALINDIA.NS")</f>
        <v>COALINDIA.NS</v>
      </c>
      <c r="H1944" s="8">
        <f t="shared" si="1"/>
        <v>-0.007006369427</v>
      </c>
      <c r="I1944" s="8">
        <f t="shared" si="2"/>
        <v>0.007006369427</v>
      </c>
      <c r="J1944" s="7" t="str">
        <f t="shared" si="3"/>
        <v>Jul-2025</v>
      </c>
      <c r="K1944" s="9">
        <f t="shared" si="4"/>
        <v>45839</v>
      </c>
      <c r="L1944" s="7" t="str">
        <f t="shared" si="5"/>
        <v/>
      </c>
      <c r="M1944" s="7" t="str">
        <f>IFERROR(__xludf.DUMMYFUNCTION("IFERROR(
  IF(
    F1944 &gt;
    3*AVERAGE(
       FILTER($F$2:$F10491,
         $G$2:$G10491=G1944,
         $A$2:$A10491&gt;=A1944-20,
         $A$2:$A10491&lt;=A1944
       )
    ),
    ""VOL_SPIKE_3X"",""""
  ),
"""")
"),"")</f>
        <v/>
      </c>
      <c r="N1944" s="7" t="str">
        <f t="shared" si="6"/>
        <v/>
      </c>
      <c r="O1944" s="7" t="str">
        <f t="shared" si="7"/>
        <v/>
      </c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>
      <c r="A1945" s="5">
        <f>IFERROR(__xludf.DUMMYFUNCTION("""COMPUTED_VALUE"""),45839.0)</f>
        <v>45839</v>
      </c>
      <c r="B1945" s="6">
        <f>IFERROR(__xludf.DUMMYFUNCTION("""COMPUTED_VALUE"""),439.4)</f>
        <v>439.4</v>
      </c>
      <c r="C1945" s="6">
        <f>IFERROR(__xludf.DUMMYFUNCTION("""COMPUTED_VALUE"""),441.5)</f>
        <v>441.5</v>
      </c>
      <c r="D1945" s="6">
        <f>IFERROR(__xludf.DUMMYFUNCTION("""COMPUTED_VALUE"""),433.75)</f>
        <v>433.75</v>
      </c>
      <c r="E1945" s="6">
        <f>IFERROR(__xludf.DUMMYFUNCTION("""COMPUTED_VALUE"""),440.45)</f>
        <v>440.45</v>
      </c>
      <c r="F1945" s="7">
        <f>IFERROR(__xludf.DUMMYFUNCTION("""COMPUTED_VALUE"""),4624750.0)</f>
        <v>4624750</v>
      </c>
      <c r="G1945" s="7" t="str">
        <f>IFERROR(__xludf.DUMMYFUNCTION("""COMPUTED_VALUE"""),"HINDPETRO.NS")</f>
        <v>HINDPETRO.NS</v>
      </c>
      <c r="H1945" s="8">
        <f t="shared" si="1"/>
        <v>0.002389622212</v>
      </c>
      <c r="I1945" s="8">
        <f t="shared" si="2"/>
        <v>0.002389622212</v>
      </c>
      <c r="J1945" s="7" t="str">
        <f t="shared" si="3"/>
        <v>Jul-2025</v>
      </c>
      <c r="K1945" s="9">
        <f t="shared" si="4"/>
        <v>45839</v>
      </c>
      <c r="L1945" s="7" t="str">
        <f t="shared" si="5"/>
        <v/>
      </c>
      <c r="M1945" s="7" t="str">
        <f>IFERROR(__xludf.DUMMYFUNCTION("IFERROR(
  IF(
    F1945 &gt;
    3*AVERAGE(
       FILTER($F$2:$F10491,
         $G$2:$G10491=G1945,
         $A$2:$A10491&gt;=A1945-20,
         $A$2:$A10491&lt;=A1945
       )
    ),
    ""VOL_SPIKE_3X"",""""
  ),
"""")
"),"")</f>
        <v/>
      </c>
      <c r="N1945" s="7" t="str">
        <f t="shared" si="6"/>
        <v/>
      </c>
      <c r="O1945" s="7" t="str">
        <f t="shared" si="7"/>
        <v/>
      </c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>
      <c r="A1946" s="5">
        <f>IFERROR(__xludf.DUMMYFUNCTION("""COMPUTED_VALUE"""),45839.0)</f>
        <v>45839</v>
      </c>
      <c r="B1946" s="6">
        <f>IFERROR(__xludf.DUMMYFUNCTION("""COMPUTED_VALUE"""),146.51)</f>
        <v>146.51</v>
      </c>
      <c r="C1946" s="6">
        <f>IFERROR(__xludf.DUMMYFUNCTION("""COMPUTED_VALUE"""),148.2)</f>
        <v>148.2</v>
      </c>
      <c r="D1946" s="6">
        <f>IFERROR(__xludf.DUMMYFUNCTION("""COMPUTED_VALUE"""),146.19)</f>
        <v>146.19</v>
      </c>
      <c r="E1946" s="6">
        <f>IFERROR(__xludf.DUMMYFUNCTION("""COMPUTED_VALUE"""),147.14)</f>
        <v>147.14</v>
      </c>
      <c r="F1946" s="7">
        <f>IFERROR(__xludf.DUMMYFUNCTION("""COMPUTED_VALUE"""),9899904.0)</f>
        <v>9899904</v>
      </c>
      <c r="G1946" s="7" t="str">
        <f>IFERROR(__xludf.DUMMYFUNCTION("""COMPUTED_VALUE"""),"IOC.NS")</f>
        <v>IOC.NS</v>
      </c>
      <c r="H1946" s="8">
        <f t="shared" si="1"/>
        <v>0.004300047778</v>
      </c>
      <c r="I1946" s="8">
        <f t="shared" si="2"/>
        <v>0.004300047778</v>
      </c>
      <c r="J1946" s="7" t="str">
        <f t="shared" si="3"/>
        <v>Jul-2025</v>
      </c>
      <c r="K1946" s="9">
        <f t="shared" si="4"/>
        <v>45839</v>
      </c>
      <c r="L1946" s="7" t="str">
        <f t="shared" si="5"/>
        <v/>
      </c>
      <c r="M1946" s="7" t="str">
        <f>IFERROR(__xludf.DUMMYFUNCTION("IFERROR(
  IF(
    F1946 &gt;
    3*AVERAGE(
       FILTER($F$2:$F10491,
         $G$2:$G10491=G1946,
         $A$2:$A10491&gt;=A1946-20,
         $A$2:$A10491&lt;=A1946
       )
    ),
    ""VOL_SPIKE_3X"",""""
  ),
"""")
"),"")</f>
        <v/>
      </c>
      <c r="N1946" s="7" t="str">
        <f t="shared" si="6"/>
        <v/>
      </c>
      <c r="O1946" s="7" t="str">
        <f t="shared" si="7"/>
        <v/>
      </c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>
      <c r="A1947" s="5">
        <f>IFERROR(__xludf.DUMMYFUNCTION("""COMPUTED_VALUE"""),45839.0)</f>
        <v>45839</v>
      </c>
      <c r="B1947" s="6">
        <f>IFERROR(__xludf.DUMMYFUNCTION("""COMPUTED_VALUE"""),335.25)</f>
        <v>335.25</v>
      </c>
      <c r="C1947" s="6">
        <f>IFERROR(__xludf.DUMMYFUNCTION("""COMPUTED_VALUE"""),335.25)</f>
        <v>335.25</v>
      </c>
      <c r="D1947" s="6">
        <f>IFERROR(__xludf.DUMMYFUNCTION("""COMPUTED_VALUE"""),332.15)</f>
        <v>332.15</v>
      </c>
      <c r="E1947" s="6">
        <f>IFERROR(__xludf.DUMMYFUNCTION("""COMPUTED_VALUE"""),332.6)</f>
        <v>332.6</v>
      </c>
      <c r="F1947" s="7">
        <f>IFERROR(__xludf.DUMMYFUNCTION("""COMPUTED_VALUE"""),8903292.0)</f>
        <v>8903292</v>
      </c>
      <c r="G1947" s="7" t="str">
        <f>IFERROR(__xludf.DUMMYFUNCTION("""COMPUTED_VALUE"""),"NTPC.NS")</f>
        <v>NTPC.NS</v>
      </c>
      <c r="H1947" s="8">
        <f t="shared" si="1"/>
        <v>-0.007904548844</v>
      </c>
      <c r="I1947" s="8">
        <f t="shared" si="2"/>
        <v>0.007904548844</v>
      </c>
      <c r="J1947" s="7" t="str">
        <f t="shared" si="3"/>
        <v>Jul-2025</v>
      </c>
      <c r="K1947" s="9">
        <f t="shared" si="4"/>
        <v>45839</v>
      </c>
      <c r="L1947" s="7" t="str">
        <f t="shared" si="5"/>
        <v/>
      </c>
      <c r="M1947" s="7" t="str">
        <f>IFERROR(__xludf.DUMMYFUNCTION("IFERROR(
  IF(
    F1947 &gt;
    3*AVERAGE(
       FILTER($F$2:$F10491,
         $G$2:$G10491=G1947,
         $A$2:$A10491&gt;=A1947-20,
         $A$2:$A10491&lt;=A1947
       )
    ),
    ""VOL_SPIKE_3X"",""""
  ),
"""")
"),"")</f>
        <v/>
      </c>
      <c r="N1947" s="7" t="str">
        <f t="shared" si="6"/>
        <v/>
      </c>
      <c r="O1947" s="7" t="str">
        <f t="shared" si="7"/>
        <v/>
      </c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>
      <c r="A1948" s="5">
        <f>IFERROR(__xludf.DUMMYFUNCTION("""COMPUTED_VALUE"""),45839.0)</f>
        <v>45839</v>
      </c>
      <c r="B1948" s="6">
        <f>IFERROR(__xludf.DUMMYFUNCTION("""COMPUTED_VALUE"""),245.3)</f>
        <v>245.3</v>
      </c>
      <c r="C1948" s="6">
        <f>IFERROR(__xludf.DUMMYFUNCTION("""COMPUTED_VALUE"""),245.3)</f>
        <v>245.3</v>
      </c>
      <c r="D1948" s="6">
        <f>IFERROR(__xludf.DUMMYFUNCTION("""COMPUTED_VALUE"""),241.3)</f>
        <v>241.3</v>
      </c>
      <c r="E1948" s="6">
        <f>IFERROR(__xludf.DUMMYFUNCTION("""COMPUTED_VALUE"""),243.37)</f>
        <v>243.37</v>
      </c>
      <c r="F1948" s="7">
        <f>IFERROR(__xludf.DUMMYFUNCTION("""COMPUTED_VALUE"""),8470489.0)</f>
        <v>8470489</v>
      </c>
      <c r="G1948" s="7" t="str">
        <f>IFERROR(__xludf.DUMMYFUNCTION("""COMPUTED_VALUE"""),"ONGC.NS")</f>
        <v>ONGC.NS</v>
      </c>
      <c r="H1948" s="8">
        <f t="shared" si="1"/>
        <v>-0.007867916837</v>
      </c>
      <c r="I1948" s="8">
        <f t="shared" si="2"/>
        <v>0.007867916837</v>
      </c>
      <c r="J1948" s="7" t="str">
        <f t="shared" si="3"/>
        <v>Jul-2025</v>
      </c>
      <c r="K1948" s="9">
        <f t="shared" si="4"/>
        <v>45839</v>
      </c>
      <c r="L1948" s="7" t="str">
        <f t="shared" si="5"/>
        <v/>
      </c>
      <c r="M1948" s="7" t="str">
        <f>IFERROR(__xludf.DUMMYFUNCTION("IFERROR(
  IF(
    F1948 &gt;
    3*AVERAGE(
       FILTER($F$2:$F10491,
         $G$2:$G10491=G1948,
         $A$2:$A10491&gt;=A1948-20,
         $A$2:$A10491&lt;=A1948
       )
    ),
    ""VOL_SPIKE_3X"",""""
  ),
"""")
"),"")</f>
        <v/>
      </c>
      <c r="N1948" s="7" t="str">
        <f t="shared" si="6"/>
        <v/>
      </c>
      <c r="O1948" s="7" t="str">
        <f t="shared" si="7"/>
        <v/>
      </c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>
      <c r="A1949" s="5">
        <f>IFERROR(__xludf.DUMMYFUNCTION("""COMPUTED_VALUE"""),45839.0)</f>
        <v>45839</v>
      </c>
      <c r="B1949" s="6">
        <f>IFERROR(__xludf.DUMMYFUNCTION("""COMPUTED_VALUE"""),301.0)</f>
        <v>301</v>
      </c>
      <c r="C1949" s="6">
        <f>IFERROR(__xludf.DUMMYFUNCTION("""COMPUTED_VALUE"""),301.5)</f>
        <v>301.5</v>
      </c>
      <c r="D1949" s="6">
        <f>IFERROR(__xludf.DUMMYFUNCTION("""COMPUTED_VALUE"""),297.0)</f>
        <v>297</v>
      </c>
      <c r="E1949" s="6">
        <f>IFERROR(__xludf.DUMMYFUNCTION("""COMPUTED_VALUE"""),297.55)</f>
        <v>297.55</v>
      </c>
      <c r="F1949" s="7">
        <f>IFERROR(__xludf.DUMMYFUNCTION("""COMPUTED_VALUE"""),1.234927E7)</f>
        <v>12349270</v>
      </c>
      <c r="G1949" s="7" t="str">
        <f>IFERROR(__xludf.DUMMYFUNCTION("""COMPUTED_VALUE"""),"POWERGRID.NS")</f>
        <v>POWERGRID.NS</v>
      </c>
      <c r="H1949" s="8">
        <f t="shared" si="1"/>
        <v>-0.01146179402</v>
      </c>
      <c r="I1949" s="8">
        <f t="shared" si="2"/>
        <v>0.01146179402</v>
      </c>
      <c r="J1949" s="7" t="str">
        <f t="shared" si="3"/>
        <v>Jul-2025</v>
      </c>
      <c r="K1949" s="9">
        <f t="shared" si="4"/>
        <v>45839</v>
      </c>
      <c r="L1949" s="7" t="str">
        <f t="shared" si="5"/>
        <v/>
      </c>
      <c r="M1949" s="7" t="str">
        <f>IFERROR(__xludf.DUMMYFUNCTION("IFERROR(
  IF(
    F1949 &gt;
    3*AVERAGE(
       FILTER($F$2:$F10491,
         $G$2:$G10491=G1949,
         $A$2:$A10491&gt;=A1949-20,
         $A$2:$A10491&lt;=A1949
       )
    ),
    ""VOL_SPIKE_3X"",""""
  ),
"""")
"),"")</f>
        <v/>
      </c>
      <c r="N1949" s="7" t="str">
        <f t="shared" si="6"/>
        <v/>
      </c>
      <c r="O1949" s="7" t="str">
        <f t="shared" si="7"/>
        <v/>
      </c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>
      <c r="A1950" s="5">
        <f>IFERROR(__xludf.DUMMYFUNCTION("""COMPUTED_VALUE"""),45839.0)</f>
        <v>45839</v>
      </c>
      <c r="B1950" s="6">
        <f>IFERROR(__xludf.DUMMYFUNCTION("""COMPUTED_VALUE"""),1500.6)</f>
        <v>1500.6</v>
      </c>
      <c r="C1950" s="6">
        <f>IFERROR(__xludf.DUMMYFUNCTION("""COMPUTED_VALUE"""),1531.4)</f>
        <v>1531.4</v>
      </c>
      <c r="D1950" s="6">
        <f>IFERROR(__xludf.DUMMYFUNCTION("""COMPUTED_VALUE"""),1500.1)</f>
        <v>1500.1</v>
      </c>
      <c r="E1950" s="6">
        <f>IFERROR(__xludf.DUMMYFUNCTION("""COMPUTED_VALUE"""),1528.4)</f>
        <v>1528.4</v>
      </c>
      <c r="F1950" s="7">
        <f>IFERROR(__xludf.DUMMYFUNCTION("""COMPUTED_VALUE"""),1.0368523E7)</f>
        <v>10368523</v>
      </c>
      <c r="G1950" s="7" t="str">
        <f>IFERROR(__xludf.DUMMYFUNCTION("""COMPUTED_VALUE"""),"RELIANCE.NS")</f>
        <v>RELIANCE.NS</v>
      </c>
      <c r="H1950" s="8">
        <f t="shared" si="1"/>
        <v>0.01852592296</v>
      </c>
      <c r="I1950" s="8">
        <f t="shared" si="2"/>
        <v>0.01852592296</v>
      </c>
      <c r="J1950" s="7" t="str">
        <f t="shared" si="3"/>
        <v>Jul-2025</v>
      </c>
      <c r="K1950" s="9">
        <f t="shared" si="4"/>
        <v>45839</v>
      </c>
      <c r="L1950" s="7" t="str">
        <f t="shared" si="5"/>
        <v/>
      </c>
      <c r="M1950" s="7" t="str">
        <f>IFERROR(__xludf.DUMMYFUNCTION("IFERROR(
  IF(
    F1950 &gt;
    3*AVERAGE(
       FILTER($F$2:$F10491,
         $G$2:$G10491=G1950,
         $A$2:$A10491&gt;=A1950-20,
         $A$2:$A10491&lt;=A1950
       )
    ),
    ""VOL_SPIKE_3X"",""""
  ),
"""")
"),"")</f>
        <v/>
      </c>
      <c r="N1950" s="7" t="str">
        <f t="shared" si="6"/>
        <v/>
      </c>
      <c r="O1950" s="7" t="str">
        <f t="shared" si="7"/>
        <v/>
      </c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>
      <c r="A1951" s="5">
        <f>IFERROR(__xludf.DUMMYFUNCTION("""COMPUTED_VALUE"""),45840.0)</f>
        <v>45840</v>
      </c>
      <c r="B1951" s="6">
        <f>IFERROR(__xludf.DUMMYFUNCTION("""COMPUTED_VALUE"""),876.0)</f>
        <v>876</v>
      </c>
      <c r="C1951" s="6">
        <f>IFERROR(__xludf.DUMMYFUNCTION("""COMPUTED_VALUE"""),888.85)</f>
        <v>888.85</v>
      </c>
      <c r="D1951" s="6">
        <f>IFERROR(__xludf.DUMMYFUNCTION("""COMPUTED_VALUE"""),869.4)</f>
        <v>869.4</v>
      </c>
      <c r="E1951" s="6">
        <f>IFERROR(__xludf.DUMMYFUNCTION("""COMPUTED_VALUE"""),878.8)</f>
        <v>878.8</v>
      </c>
      <c r="F1951" s="7">
        <f>IFERROR(__xludf.DUMMYFUNCTION("""COMPUTED_VALUE"""),2946152.0)</f>
        <v>2946152</v>
      </c>
      <c r="G1951" s="7" t="str">
        <f>IFERROR(__xludf.DUMMYFUNCTION("""COMPUTED_VALUE"""),"ADANIENSOL.NS")</f>
        <v>ADANIENSOL.NS</v>
      </c>
      <c r="H1951" s="8">
        <f t="shared" si="1"/>
        <v>0.003196347032</v>
      </c>
      <c r="I1951" s="8">
        <f t="shared" si="2"/>
        <v>0.003196347032</v>
      </c>
      <c r="J1951" s="7" t="str">
        <f t="shared" si="3"/>
        <v>Jul-2025</v>
      </c>
      <c r="K1951" s="9">
        <f t="shared" si="4"/>
        <v>45839</v>
      </c>
      <c r="L1951" s="7" t="str">
        <f t="shared" si="5"/>
        <v/>
      </c>
      <c r="M1951" s="7" t="str">
        <f>IFERROR(__xludf.DUMMYFUNCTION("IFERROR(
  IF(
    F1951 &gt;
    3*AVERAGE(
       FILTER($F$2:$F10491,
         $G$2:$G10491=G1951,
         $A$2:$A10491&gt;=A1951-20,
         $A$2:$A10491&lt;=A1951
       )
    ),
    ""VOL_SPIKE_3X"",""""
  ),
"""")
"),"")</f>
        <v/>
      </c>
      <c r="N1951" s="7" t="str">
        <f t="shared" si="6"/>
        <v/>
      </c>
      <c r="O1951" s="7" t="str">
        <f t="shared" si="7"/>
        <v/>
      </c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>
      <c r="A1952" s="5">
        <f>IFERROR(__xludf.DUMMYFUNCTION("""COMPUTED_VALUE"""),45840.0)</f>
        <v>45840</v>
      </c>
      <c r="B1952" s="6">
        <f>IFERROR(__xludf.DUMMYFUNCTION("""COMPUTED_VALUE"""),1020.0)</f>
        <v>1020</v>
      </c>
      <c r="C1952" s="6">
        <f>IFERROR(__xludf.DUMMYFUNCTION("""COMPUTED_VALUE"""),1031.4)</f>
        <v>1031.4</v>
      </c>
      <c r="D1952" s="6">
        <f>IFERROR(__xludf.DUMMYFUNCTION("""COMPUTED_VALUE"""),1012.1)</f>
        <v>1012.1</v>
      </c>
      <c r="E1952" s="6">
        <f>IFERROR(__xludf.DUMMYFUNCTION("""COMPUTED_VALUE"""),1019.0)</f>
        <v>1019</v>
      </c>
      <c r="F1952" s="7">
        <f>IFERROR(__xludf.DUMMYFUNCTION("""COMPUTED_VALUE"""),1307248.0)</f>
        <v>1307248</v>
      </c>
      <c r="G1952" s="7" t="str">
        <f>IFERROR(__xludf.DUMMYFUNCTION("""COMPUTED_VALUE"""),"ADANIGREEN.NS")</f>
        <v>ADANIGREEN.NS</v>
      </c>
      <c r="H1952" s="8">
        <f t="shared" si="1"/>
        <v>-0.0009803921569</v>
      </c>
      <c r="I1952" s="8">
        <f t="shared" si="2"/>
        <v>0.0009803921569</v>
      </c>
      <c r="J1952" s="7" t="str">
        <f t="shared" si="3"/>
        <v>Jul-2025</v>
      </c>
      <c r="K1952" s="9">
        <f t="shared" si="4"/>
        <v>45839</v>
      </c>
      <c r="L1952" s="7" t="str">
        <f t="shared" si="5"/>
        <v/>
      </c>
      <c r="M1952" s="7" t="str">
        <f>IFERROR(__xludf.DUMMYFUNCTION("IFERROR(
  IF(
    F1952 &gt;
    3*AVERAGE(
       FILTER($F$2:$F10491,
         $G$2:$G10491=G1952,
         $A$2:$A10491&gt;=A1952-20,
         $A$2:$A10491&lt;=A1952
       )
    ),
    ""VOL_SPIKE_3X"",""""
  ),
"""")
"),"")</f>
        <v/>
      </c>
      <c r="N1952" s="7" t="str">
        <f t="shared" si="6"/>
        <v/>
      </c>
      <c r="O1952" s="7" t="str">
        <f t="shared" si="7"/>
        <v/>
      </c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>
      <c r="A1953" s="5">
        <f>IFERROR(__xludf.DUMMYFUNCTION("""COMPUTED_VALUE"""),45840.0)</f>
        <v>45840</v>
      </c>
      <c r="B1953" s="6">
        <f>IFERROR(__xludf.DUMMYFUNCTION("""COMPUTED_VALUE"""),333.7)</f>
        <v>333.7</v>
      </c>
      <c r="C1953" s="6">
        <f>IFERROR(__xludf.DUMMYFUNCTION("""COMPUTED_VALUE"""),334.95)</f>
        <v>334.95</v>
      </c>
      <c r="D1953" s="6">
        <f>IFERROR(__xludf.DUMMYFUNCTION("""COMPUTED_VALUE"""),328.8)</f>
        <v>328.8</v>
      </c>
      <c r="E1953" s="6">
        <f>IFERROR(__xludf.DUMMYFUNCTION("""COMPUTED_VALUE"""),331.8)</f>
        <v>331.8</v>
      </c>
      <c r="F1953" s="7">
        <f>IFERROR(__xludf.DUMMYFUNCTION("""COMPUTED_VALUE"""),3799017.0)</f>
        <v>3799017</v>
      </c>
      <c r="G1953" s="7" t="str">
        <f>IFERROR(__xludf.DUMMYFUNCTION("""COMPUTED_VALUE"""),"BPCL.NS")</f>
        <v>BPCL.NS</v>
      </c>
      <c r="H1953" s="8">
        <f t="shared" si="1"/>
        <v>-0.005693736889</v>
      </c>
      <c r="I1953" s="8">
        <f t="shared" si="2"/>
        <v>0.005693736889</v>
      </c>
      <c r="J1953" s="7" t="str">
        <f t="shared" si="3"/>
        <v>Jul-2025</v>
      </c>
      <c r="K1953" s="9">
        <f t="shared" si="4"/>
        <v>45839</v>
      </c>
      <c r="L1953" s="7" t="str">
        <f t="shared" si="5"/>
        <v/>
      </c>
      <c r="M1953" s="7" t="str">
        <f>IFERROR(__xludf.DUMMYFUNCTION("IFERROR(
  IF(
    F1953 &gt;
    3*AVERAGE(
       FILTER($F$2:$F10491,
         $G$2:$G10491=G1953,
         $A$2:$A10491&gt;=A1953-20,
         $A$2:$A10491&lt;=A1953
       )
    ),
    ""VOL_SPIKE_3X"",""""
  ),
"""")
"),"")</f>
        <v/>
      </c>
      <c r="N1953" s="7" t="str">
        <f t="shared" si="6"/>
        <v/>
      </c>
      <c r="O1953" s="7" t="str">
        <f t="shared" si="7"/>
        <v/>
      </c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>
      <c r="A1954" s="5">
        <f>IFERROR(__xludf.DUMMYFUNCTION("""COMPUTED_VALUE"""),45840.0)</f>
        <v>45840</v>
      </c>
      <c r="B1954" s="6">
        <f>IFERROR(__xludf.DUMMYFUNCTION("""COMPUTED_VALUE"""),390.0)</f>
        <v>390</v>
      </c>
      <c r="C1954" s="6">
        <f>IFERROR(__xludf.DUMMYFUNCTION("""COMPUTED_VALUE"""),391.7)</f>
        <v>391.7</v>
      </c>
      <c r="D1954" s="6">
        <f>IFERROR(__xludf.DUMMYFUNCTION("""COMPUTED_VALUE"""),385.45)</f>
        <v>385.45</v>
      </c>
      <c r="E1954" s="6">
        <f>IFERROR(__xludf.DUMMYFUNCTION("""COMPUTED_VALUE"""),386.9)</f>
        <v>386.9</v>
      </c>
      <c r="F1954" s="7">
        <f>IFERROR(__xludf.DUMMYFUNCTION("""COMPUTED_VALUE"""),7752338.0)</f>
        <v>7752338</v>
      </c>
      <c r="G1954" s="7" t="str">
        <f>IFERROR(__xludf.DUMMYFUNCTION("""COMPUTED_VALUE"""),"COALINDIA.NS")</f>
        <v>COALINDIA.NS</v>
      </c>
      <c r="H1954" s="8">
        <f t="shared" si="1"/>
        <v>-0.007948717949</v>
      </c>
      <c r="I1954" s="8">
        <f t="shared" si="2"/>
        <v>0.007948717949</v>
      </c>
      <c r="J1954" s="7" t="str">
        <f t="shared" si="3"/>
        <v>Jul-2025</v>
      </c>
      <c r="K1954" s="9">
        <f t="shared" si="4"/>
        <v>45839</v>
      </c>
      <c r="L1954" s="7" t="str">
        <f t="shared" si="5"/>
        <v/>
      </c>
      <c r="M1954" s="7" t="str">
        <f>IFERROR(__xludf.DUMMYFUNCTION("IFERROR(
  IF(
    F1954 &gt;
    3*AVERAGE(
       FILTER($F$2:$F10491,
         $G$2:$G10491=G1954,
         $A$2:$A10491&gt;=A1954-20,
         $A$2:$A10491&lt;=A1954
       )
    ),
    ""VOL_SPIKE_3X"",""""
  ),
"""")
"),"")</f>
        <v/>
      </c>
      <c r="N1954" s="7" t="str">
        <f t="shared" si="6"/>
        <v/>
      </c>
      <c r="O1954" s="7" t="str">
        <f t="shared" si="7"/>
        <v/>
      </c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>
      <c r="A1955" s="5">
        <f>IFERROR(__xludf.DUMMYFUNCTION("""COMPUTED_VALUE"""),45840.0)</f>
        <v>45840</v>
      </c>
      <c r="B1955" s="6">
        <f>IFERROR(__xludf.DUMMYFUNCTION("""COMPUTED_VALUE"""),444.0)</f>
        <v>444</v>
      </c>
      <c r="C1955" s="6">
        <f>IFERROR(__xludf.DUMMYFUNCTION("""COMPUTED_VALUE"""),446.85)</f>
        <v>446.85</v>
      </c>
      <c r="D1955" s="6">
        <f>IFERROR(__xludf.DUMMYFUNCTION("""COMPUTED_VALUE"""),433.3)</f>
        <v>433.3</v>
      </c>
      <c r="E1955" s="6">
        <f>IFERROR(__xludf.DUMMYFUNCTION("""COMPUTED_VALUE"""),436.55)</f>
        <v>436.55</v>
      </c>
      <c r="F1955" s="7">
        <f>IFERROR(__xludf.DUMMYFUNCTION("""COMPUTED_VALUE"""),3566248.0)</f>
        <v>3566248</v>
      </c>
      <c r="G1955" s="7" t="str">
        <f>IFERROR(__xludf.DUMMYFUNCTION("""COMPUTED_VALUE"""),"HINDPETRO.NS")</f>
        <v>HINDPETRO.NS</v>
      </c>
      <c r="H1955" s="8">
        <f t="shared" si="1"/>
        <v>-0.01677927928</v>
      </c>
      <c r="I1955" s="8">
        <f t="shared" si="2"/>
        <v>0.01677927928</v>
      </c>
      <c r="J1955" s="7" t="str">
        <f t="shared" si="3"/>
        <v>Jul-2025</v>
      </c>
      <c r="K1955" s="9">
        <f t="shared" si="4"/>
        <v>45839</v>
      </c>
      <c r="L1955" s="7" t="str">
        <f t="shared" si="5"/>
        <v/>
      </c>
      <c r="M1955" s="7" t="str">
        <f>IFERROR(__xludf.DUMMYFUNCTION("IFERROR(
  IF(
    F1955 &gt;
    3*AVERAGE(
       FILTER($F$2:$F10491,
         $G$2:$G10491=G1955,
         $A$2:$A10491&gt;=A1955-20,
         $A$2:$A10491&lt;=A1955
       )
    ),
    ""VOL_SPIKE_3X"",""""
  ),
"""")
"),"")</f>
        <v/>
      </c>
      <c r="N1955" s="7" t="str">
        <f t="shared" si="6"/>
        <v/>
      </c>
      <c r="O1955" s="7" t="str">
        <f t="shared" si="7"/>
        <v/>
      </c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>
      <c r="A1956" s="5">
        <f>IFERROR(__xludf.DUMMYFUNCTION("""COMPUTED_VALUE"""),45840.0)</f>
        <v>45840</v>
      </c>
      <c r="B1956" s="6">
        <f>IFERROR(__xludf.DUMMYFUNCTION("""COMPUTED_VALUE"""),148.0)</f>
        <v>148</v>
      </c>
      <c r="C1956" s="6">
        <f>IFERROR(__xludf.DUMMYFUNCTION("""COMPUTED_VALUE"""),148.95)</f>
        <v>148.95</v>
      </c>
      <c r="D1956" s="6">
        <f>IFERROR(__xludf.DUMMYFUNCTION("""COMPUTED_VALUE"""),147.02)</f>
        <v>147.02</v>
      </c>
      <c r="E1956" s="6">
        <f>IFERROR(__xludf.DUMMYFUNCTION("""COMPUTED_VALUE"""),147.91)</f>
        <v>147.91</v>
      </c>
      <c r="F1956" s="7">
        <f>IFERROR(__xludf.DUMMYFUNCTION("""COMPUTED_VALUE"""),7881728.0)</f>
        <v>7881728</v>
      </c>
      <c r="G1956" s="7" t="str">
        <f>IFERROR(__xludf.DUMMYFUNCTION("""COMPUTED_VALUE"""),"IOC.NS")</f>
        <v>IOC.NS</v>
      </c>
      <c r="H1956" s="8">
        <f t="shared" si="1"/>
        <v>-0.0006081081081</v>
      </c>
      <c r="I1956" s="8">
        <f t="shared" si="2"/>
        <v>0.0006081081081</v>
      </c>
      <c r="J1956" s="7" t="str">
        <f t="shared" si="3"/>
        <v>Jul-2025</v>
      </c>
      <c r="K1956" s="9">
        <f t="shared" si="4"/>
        <v>45839</v>
      </c>
      <c r="L1956" s="7" t="str">
        <f t="shared" si="5"/>
        <v/>
      </c>
      <c r="M1956" s="7" t="str">
        <f>IFERROR(__xludf.DUMMYFUNCTION("IFERROR(
  IF(
    F1956 &gt;
    3*AVERAGE(
       FILTER($F$2:$F10491,
         $G$2:$G10491=G1956,
         $A$2:$A10491&gt;=A1956-20,
         $A$2:$A10491&lt;=A1956
       )
    ),
    ""VOL_SPIKE_3X"",""""
  ),
"""")
"),"")</f>
        <v/>
      </c>
      <c r="N1956" s="7" t="str">
        <f t="shared" si="6"/>
        <v/>
      </c>
      <c r="O1956" s="7" t="str">
        <f t="shared" si="7"/>
        <v/>
      </c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>
      <c r="A1957" s="5">
        <f>IFERROR(__xludf.DUMMYFUNCTION("""COMPUTED_VALUE"""),45840.0)</f>
        <v>45840</v>
      </c>
      <c r="B1957" s="6">
        <f>IFERROR(__xludf.DUMMYFUNCTION("""COMPUTED_VALUE"""),332.65)</f>
        <v>332.65</v>
      </c>
      <c r="C1957" s="6">
        <f>IFERROR(__xludf.DUMMYFUNCTION("""COMPUTED_VALUE"""),335.65)</f>
        <v>335.65</v>
      </c>
      <c r="D1957" s="6">
        <f>IFERROR(__xludf.DUMMYFUNCTION("""COMPUTED_VALUE"""),331.3)</f>
        <v>331.3</v>
      </c>
      <c r="E1957" s="6">
        <f>IFERROR(__xludf.DUMMYFUNCTION("""COMPUTED_VALUE"""),333.75)</f>
        <v>333.75</v>
      </c>
      <c r="F1957" s="7">
        <f>IFERROR(__xludf.DUMMYFUNCTION("""COMPUTED_VALUE"""),1.132688E7)</f>
        <v>11326880</v>
      </c>
      <c r="G1957" s="7" t="str">
        <f>IFERROR(__xludf.DUMMYFUNCTION("""COMPUTED_VALUE"""),"NTPC.NS")</f>
        <v>NTPC.NS</v>
      </c>
      <c r="H1957" s="8">
        <f t="shared" si="1"/>
        <v>0.003306778897</v>
      </c>
      <c r="I1957" s="8">
        <f t="shared" si="2"/>
        <v>0.003306778897</v>
      </c>
      <c r="J1957" s="7" t="str">
        <f t="shared" si="3"/>
        <v>Jul-2025</v>
      </c>
      <c r="K1957" s="9">
        <f t="shared" si="4"/>
        <v>45839</v>
      </c>
      <c r="L1957" s="7" t="str">
        <f t="shared" si="5"/>
        <v/>
      </c>
      <c r="M1957" s="7" t="str">
        <f>IFERROR(__xludf.DUMMYFUNCTION("IFERROR(
  IF(
    F1957 &gt;
    3*AVERAGE(
       FILTER($F$2:$F10491,
         $G$2:$G10491=G1957,
         $A$2:$A10491&gt;=A1957-20,
         $A$2:$A10491&lt;=A1957
       )
    ),
    ""VOL_SPIKE_3X"",""""
  ),
"""")
"),"")</f>
        <v/>
      </c>
      <c r="N1957" s="7" t="str">
        <f t="shared" si="6"/>
        <v/>
      </c>
      <c r="O1957" s="7" t="str">
        <f t="shared" si="7"/>
        <v/>
      </c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>
      <c r="A1958" s="5">
        <f>IFERROR(__xludf.DUMMYFUNCTION("""COMPUTED_VALUE"""),45840.0)</f>
        <v>45840</v>
      </c>
      <c r="B1958" s="6">
        <f>IFERROR(__xludf.DUMMYFUNCTION("""COMPUTED_VALUE"""),242.9)</f>
        <v>242.9</v>
      </c>
      <c r="C1958" s="6">
        <f>IFERROR(__xludf.DUMMYFUNCTION("""COMPUTED_VALUE"""),243.75)</f>
        <v>243.75</v>
      </c>
      <c r="D1958" s="6">
        <f>IFERROR(__xludf.DUMMYFUNCTION("""COMPUTED_VALUE"""),240.2)</f>
        <v>240.2</v>
      </c>
      <c r="E1958" s="6">
        <f>IFERROR(__xludf.DUMMYFUNCTION("""COMPUTED_VALUE"""),241.07)</f>
        <v>241.07</v>
      </c>
      <c r="F1958" s="7">
        <f>IFERROR(__xludf.DUMMYFUNCTION("""COMPUTED_VALUE"""),1.0419419E7)</f>
        <v>10419419</v>
      </c>
      <c r="G1958" s="7" t="str">
        <f>IFERROR(__xludf.DUMMYFUNCTION("""COMPUTED_VALUE"""),"ONGC.NS")</f>
        <v>ONGC.NS</v>
      </c>
      <c r="H1958" s="8">
        <f t="shared" si="1"/>
        <v>-0.007533964594</v>
      </c>
      <c r="I1958" s="8">
        <f t="shared" si="2"/>
        <v>0.007533964594</v>
      </c>
      <c r="J1958" s="7" t="str">
        <f t="shared" si="3"/>
        <v>Jul-2025</v>
      </c>
      <c r="K1958" s="9">
        <f t="shared" si="4"/>
        <v>45839</v>
      </c>
      <c r="L1958" s="7" t="str">
        <f t="shared" si="5"/>
        <v/>
      </c>
      <c r="M1958" s="7" t="str">
        <f>IFERROR(__xludf.DUMMYFUNCTION("IFERROR(
  IF(
    F1958 &gt;
    3*AVERAGE(
       FILTER($F$2:$F10491,
         $G$2:$G10491=G1958,
         $A$2:$A10491&gt;=A1958-20,
         $A$2:$A10491&lt;=A1958
       )
    ),
    ""VOL_SPIKE_3X"",""""
  ),
"""")
"),"")</f>
        <v/>
      </c>
      <c r="N1958" s="7" t="str">
        <f t="shared" si="6"/>
        <v/>
      </c>
      <c r="O1958" s="7" t="str">
        <f t="shared" si="7"/>
        <v/>
      </c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>
      <c r="A1959" s="5">
        <f>IFERROR(__xludf.DUMMYFUNCTION("""COMPUTED_VALUE"""),45840.0)</f>
        <v>45840</v>
      </c>
      <c r="B1959" s="6">
        <f>IFERROR(__xludf.DUMMYFUNCTION("""COMPUTED_VALUE"""),297.55)</f>
        <v>297.55</v>
      </c>
      <c r="C1959" s="6">
        <f>IFERROR(__xludf.DUMMYFUNCTION("""COMPUTED_VALUE"""),298.75)</f>
        <v>298.75</v>
      </c>
      <c r="D1959" s="6">
        <f>IFERROR(__xludf.DUMMYFUNCTION("""COMPUTED_VALUE"""),293.4)</f>
        <v>293.4</v>
      </c>
      <c r="E1959" s="6">
        <f>IFERROR(__xludf.DUMMYFUNCTION("""COMPUTED_VALUE"""),294.85)</f>
        <v>294.85</v>
      </c>
      <c r="F1959" s="7">
        <f>IFERROR(__xludf.DUMMYFUNCTION("""COMPUTED_VALUE"""),1.0826029E7)</f>
        <v>10826029</v>
      </c>
      <c r="G1959" s="7" t="str">
        <f>IFERROR(__xludf.DUMMYFUNCTION("""COMPUTED_VALUE"""),"POWERGRID.NS")</f>
        <v>POWERGRID.NS</v>
      </c>
      <c r="H1959" s="8">
        <f t="shared" si="1"/>
        <v>-0.009074105192</v>
      </c>
      <c r="I1959" s="8">
        <f t="shared" si="2"/>
        <v>0.009074105192</v>
      </c>
      <c r="J1959" s="7" t="str">
        <f t="shared" si="3"/>
        <v>Jul-2025</v>
      </c>
      <c r="K1959" s="9">
        <f t="shared" si="4"/>
        <v>45839</v>
      </c>
      <c r="L1959" s="7" t="str">
        <f t="shared" si="5"/>
        <v/>
      </c>
      <c r="M1959" s="7" t="str">
        <f>IFERROR(__xludf.DUMMYFUNCTION("IFERROR(
  IF(
    F1959 &gt;
    3*AVERAGE(
       FILTER($F$2:$F10491,
         $G$2:$G10491=G1959,
         $A$2:$A10491&gt;=A1959-20,
         $A$2:$A10491&lt;=A1959
       )
    ),
    ""VOL_SPIKE_3X"",""""
  ),
"""")
"),"")</f>
        <v/>
      </c>
      <c r="N1959" s="7" t="str">
        <f t="shared" si="6"/>
        <v/>
      </c>
      <c r="O1959" s="7" t="str">
        <f t="shared" si="7"/>
        <v/>
      </c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>
      <c r="A1960" s="5">
        <f>IFERROR(__xludf.DUMMYFUNCTION("""COMPUTED_VALUE"""),45840.0)</f>
        <v>45840</v>
      </c>
      <c r="B1960" s="6">
        <f>IFERROR(__xludf.DUMMYFUNCTION("""COMPUTED_VALUE"""),1528.4)</f>
        <v>1528.4</v>
      </c>
      <c r="C1960" s="6">
        <f>IFERROR(__xludf.DUMMYFUNCTION("""COMPUTED_VALUE"""),1530.0)</f>
        <v>1530</v>
      </c>
      <c r="D1960" s="6">
        <f>IFERROR(__xludf.DUMMYFUNCTION("""COMPUTED_VALUE"""),1508.7)</f>
        <v>1508.7</v>
      </c>
      <c r="E1960" s="6">
        <f>IFERROR(__xludf.DUMMYFUNCTION("""COMPUTED_VALUE"""),1518.8)</f>
        <v>1518.8</v>
      </c>
      <c r="F1960" s="7">
        <f>IFERROR(__xludf.DUMMYFUNCTION("""COMPUTED_VALUE"""),6361002.0)</f>
        <v>6361002</v>
      </c>
      <c r="G1960" s="7" t="str">
        <f>IFERROR(__xludf.DUMMYFUNCTION("""COMPUTED_VALUE"""),"RELIANCE.NS")</f>
        <v>RELIANCE.NS</v>
      </c>
      <c r="H1960" s="8">
        <f t="shared" si="1"/>
        <v>-0.006281078252</v>
      </c>
      <c r="I1960" s="8">
        <f t="shared" si="2"/>
        <v>0.006281078252</v>
      </c>
      <c r="J1960" s="7" t="str">
        <f t="shared" si="3"/>
        <v>Jul-2025</v>
      </c>
      <c r="K1960" s="9">
        <f t="shared" si="4"/>
        <v>45839</v>
      </c>
      <c r="L1960" s="7" t="str">
        <f t="shared" si="5"/>
        <v/>
      </c>
      <c r="M1960" s="7" t="str">
        <f>IFERROR(__xludf.DUMMYFUNCTION("IFERROR(
  IF(
    F1960 &gt;
    3*AVERAGE(
       FILTER($F$2:$F10491,
         $G$2:$G10491=G1960,
         $A$2:$A10491&gt;=A1960-20,
         $A$2:$A10491&lt;=A1960
       )
    ),
    ""VOL_SPIKE_3X"",""""
  ),
"""")
"),"")</f>
        <v/>
      </c>
      <c r="N1960" s="7" t="str">
        <f t="shared" si="6"/>
        <v/>
      </c>
      <c r="O1960" s="7" t="str">
        <f t="shared" si="7"/>
        <v/>
      </c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>
      <c r="A1961" s="5">
        <f>IFERROR(__xludf.DUMMYFUNCTION("""COMPUTED_VALUE"""),45841.0)</f>
        <v>45841</v>
      </c>
      <c r="B1961" s="6">
        <f>IFERROR(__xludf.DUMMYFUNCTION("""COMPUTED_VALUE"""),878.85)</f>
        <v>878.85</v>
      </c>
      <c r="C1961" s="6">
        <f>IFERROR(__xludf.DUMMYFUNCTION("""COMPUTED_VALUE"""),882.15)</f>
        <v>882.15</v>
      </c>
      <c r="D1961" s="6">
        <f>IFERROR(__xludf.DUMMYFUNCTION("""COMPUTED_VALUE"""),867.55)</f>
        <v>867.55</v>
      </c>
      <c r="E1961" s="6">
        <f>IFERROR(__xludf.DUMMYFUNCTION("""COMPUTED_VALUE"""),875.25)</f>
        <v>875.25</v>
      </c>
      <c r="F1961" s="7">
        <f>IFERROR(__xludf.DUMMYFUNCTION("""COMPUTED_VALUE"""),3905266.0)</f>
        <v>3905266</v>
      </c>
      <c r="G1961" s="7" t="str">
        <f>IFERROR(__xludf.DUMMYFUNCTION("""COMPUTED_VALUE"""),"ADANIENSOL.NS")</f>
        <v>ADANIENSOL.NS</v>
      </c>
      <c r="H1961" s="8">
        <f t="shared" si="1"/>
        <v>-0.004096262161</v>
      </c>
      <c r="I1961" s="8">
        <f t="shared" si="2"/>
        <v>0.004096262161</v>
      </c>
      <c r="J1961" s="7" t="str">
        <f t="shared" si="3"/>
        <v>Jul-2025</v>
      </c>
      <c r="K1961" s="9">
        <f t="shared" si="4"/>
        <v>45839</v>
      </c>
      <c r="L1961" s="7" t="str">
        <f t="shared" si="5"/>
        <v/>
      </c>
      <c r="M1961" s="7" t="str">
        <f>IFERROR(__xludf.DUMMYFUNCTION("IFERROR(
  IF(
    F1961 &gt;
    3*AVERAGE(
       FILTER($F$2:$F10491,
         $G$2:$G10491=G1961,
         $A$2:$A10491&gt;=A1961-20,
         $A$2:$A10491&lt;=A1961
       )
    ),
    ""VOL_SPIKE_3X"",""""
  ),
"""")
"),"")</f>
        <v/>
      </c>
      <c r="N1961" s="7" t="str">
        <f t="shared" si="6"/>
        <v/>
      </c>
      <c r="O1961" s="7" t="str">
        <f t="shared" si="7"/>
        <v/>
      </c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>
      <c r="A1962" s="5">
        <f>IFERROR(__xludf.DUMMYFUNCTION("""COMPUTED_VALUE"""),45841.0)</f>
        <v>45841</v>
      </c>
      <c r="B1962" s="6">
        <f>IFERROR(__xludf.DUMMYFUNCTION("""COMPUTED_VALUE"""),1023.0)</f>
        <v>1023</v>
      </c>
      <c r="C1962" s="6">
        <f>IFERROR(__xludf.DUMMYFUNCTION("""COMPUTED_VALUE"""),1023.7)</f>
        <v>1023.7</v>
      </c>
      <c r="D1962" s="6">
        <f>IFERROR(__xludf.DUMMYFUNCTION("""COMPUTED_VALUE"""),1005.0)</f>
        <v>1005</v>
      </c>
      <c r="E1962" s="6">
        <f>IFERROR(__xludf.DUMMYFUNCTION("""COMPUTED_VALUE"""),1008.5)</f>
        <v>1008.5</v>
      </c>
      <c r="F1962" s="7">
        <f>IFERROR(__xludf.DUMMYFUNCTION("""COMPUTED_VALUE"""),1234996.0)</f>
        <v>1234996</v>
      </c>
      <c r="G1962" s="7" t="str">
        <f>IFERROR(__xludf.DUMMYFUNCTION("""COMPUTED_VALUE"""),"ADANIGREEN.NS")</f>
        <v>ADANIGREEN.NS</v>
      </c>
      <c r="H1962" s="8">
        <f t="shared" si="1"/>
        <v>-0.01417399804</v>
      </c>
      <c r="I1962" s="8">
        <f t="shared" si="2"/>
        <v>0.01417399804</v>
      </c>
      <c r="J1962" s="7" t="str">
        <f t="shared" si="3"/>
        <v>Jul-2025</v>
      </c>
      <c r="K1962" s="9">
        <f t="shared" si="4"/>
        <v>45839</v>
      </c>
      <c r="L1962" s="7" t="str">
        <f t="shared" si="5"/>
        <v/>
      </c>
      <c r="M1962" s="7" t="str">
        <f>IFERROR(__xludf.DUMMYFUNCTION("IFERROR(
  IF(
    F1962 &gt;
    3*AVERAGE(
       FILTER($F$2:$F10491,
         $G$2:$G10491=G1962,
         $A$2:$A10491&gt;=A1962-20,
         $A$2:$A10491&lt;=A1962
       )
    ),
    ""VOL_SPIKE_3X"",""""
  ),
"""")
"),"")</f>
        <v/>
      </c>
      <c r="N1962" s="7" t="str">
        <f t="shared" si="6"/>
        <v/>
      </c>
      <c r="O1962" s="7" t="str">
        <f t="shared" si="7"/>
        <v/>
      </c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>
      <c r="A1963" s="5">
        <f>IFERROR(__xludf.DUMMYFUNCTION("""COMPUTED_VALUE"""),45841.0)</f>
        <v>45841</v>
      </c>
      <c r="B1963" s="6">
        <f>IFERROR(__xludf.DUMMYFUNCTION("""COMPUTED_VALUE"""),333.0)</f>
        <v>333</v>
      </c>
      <c r="C1963" s="6">
        <f>IFERROR(__xludf.DUMMYFUNCTION("""COMPUTED_VALUE"""),335.55)</f>
        <v>335.55</v>
      </c>
      <c r="D1963" s="6">
        <f>IFERROR(__xludf.DUMMYFUNCTION("""COMPUTED_VALUE"""),330.55)</f>
        <v>330.55</v>
      </c>
      <c r="E1963" s="6">
        <f>IFERROR(__xludf.DUMMYFUNCTION("""COMPUTED_VALUE"""),331.5)</f>
        <v>331.5</v>
      </c>
      <c r="F1963" s="7">
        <f>IFERROR(__xludf.DUMMYFUNCTION("""COMPUTED_VALUE"""),5049883.0)</f>
        <v>5049883</v>
      </c>
      <c r="G1963" s="7" t="str">
        <f>IFERROR(__xludf.DUMMYFUNCTION("""COMPUTED_VALUE"""),"BPCL.NS")</f>
        <v>BPCL.NS</v>
      </c>
      <c r="H1963" s="8">
        <f t="shared" si="1"/>
        <v>-0.004504504505</v>
      </c>
      <c r="I1963" s="8">
        <f t="shared" si="2"/>
        <v>0.004504504505</v>
      </c>
      <c r="J1963" s="7" t="str">
        <f t="shared" si="3"/>
        <v>Jul-2025</v>
      </c>
      <c r="K1963" s="9">
        <f t="shared" si="4"/>
        <v>45839</v>
      </c>
      <c r="L1963" s="7" t="str">
        <f t="shared" si="5"/>
        <v/>
      </c>
      <c r="M1963" s="7" t="str">
        <f>IFERROR(__xludf.DUMMYFUNCTION("IFERROR(
  IF(
    F1963 &gt;
    3*AVERAGE(
       FILTER($F$2:$F10491,
         $G$2:$G10491=G1963,
         $A$2:$A10491&gt;=A1963-20,
         $A$2:$A10491&lt;=A1963
       )
    ),
    ""VOL_SPIKE_3X"",""""
  ),
"""")
"),"")</f>
        <v/>
      </c>
      <c r="N1963" s="7" t="str">
        <f t="shared" si="6"/>
        <v/>
      </c>
      <c r="O1963" s="7" t="str">
        <f t="shared" si="7"/>
        <v/>
      </c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>
      <c r="A1964" s="5">
        <f>IFERROR(__xludf.DUMMYFUNCTION("""COMPUTED_VALUE"""),45841.0)</f>
        <v>45841</v>
      </c>
      <c r="B1964" s="6">
        <f>IFERROR(__xludf.DUMMYFUNCTION("""COMPUTED_VALUE"""),387.9)</f>
        <v>387.9</v>
      </c>
      <c r="C1964" s="6">
        <f>IFERROR(__xludf.DUMMYFUNCTION("""COMPUTED_VALUE"""),389.0)</f>
        <v>389</v>
      </c>
      <c r="D1964" s="6">
        <f>IFERROR(__xludf.DUMMYFUNCTION("""COMPUTED_VALUE"""),385.5)</f>
        <v>385.5</v>
      </c>
      <c r="E1964" s="6">
        <f>IFERROR(__xludf.DUMMYFUNCTION("""COMPUTED_VALUE"""),386.45)</f>
        <v>386.45</v>
      </c>
      <c r="F1964" s="7">
        <f>IFERROR(__xludf.DUMMYFUNCTION("""COMPUTED_VALUE"""),3851213.0)</f>
        <v>3851213</v>
      </c>
      <c r="G1964" s="7" t="str">
        <f>IFERROR(__xludf.DUMMYFUNCTION("""COMPUTED_VALUE"""),"COALINDIA.NS")</f>
        <v>COALINDIA.NS</v>
      </c>
      <c r="H1964" s="8">
        <f t="shared" si="1"/>
        <v>-0.003738076824</v>
      </c>
      <c r="I1964" s="8">
        <f t="shared" si="2"/>
        <v>0.003738076824</v>
      </c>
      <c r="J1964" s="7" t="str">
        <f t="shared" si="3"/>
        <v>Jul-2025</v>
      </c>
      <c r="K1964" s="9">
        <f t="shared" si="4"/>
        <v>45839</v>
      </c>
      <c r="L1964" s="7" t="str">
        <f t="shared" si="5"/>
        <v/>
      </c>
      <c r="M1964" s="7" t="str">
        <f>IFERROR(__xludf.DUMMYFUNCTION("IFERROR(
  IF(
    F1964 &gt;
    3*AVERAGE(
       FILTER($F$2:$F10491,
         $G$2:$G10491=G1964,
         $A$2:$A10491&gt;=A1964-20,
         $A$2:$A10491&lt;=A1964
       )
    ),
    ""VOL_SPIKE_3X"",""""
  ),
"""")
"),"")</f>
        <v/>
      </c>
      <c r="N1964" s="7" t="str">
        <f t="shared" si="6"/>
        <v/>
      </c>
      <c r="O1964" s="7" t="str">
        <f t="shared" si="7"/>
        <v/>
      </c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>
      <c r="A1965" s="5">
        <f>IFERROR(__xludf.DUMMYFUNCTION("""COMPUTED_VALUE"""),45841.0)</f>
        <v>45841</v>
      </c>
      <c r="B1965" s="6">
        <f>IFERROR(__xludf.DUMMYFUNCTION("""COMPUTED_VALUE"""),437.7)</f>
        <v>437.7</v>
      </c>
      <c r="C1965" s="6">
        <f>IFERROR(__xludf.DUMMYFUNCTION("""COMPUTED_VALUE"""),441.6)</f>
        <v>441.6</v>
      </c>
      <c r="D1965" s="6">
        <f>IFERROR(__xludf.DUMMYFUNCTION("""COMPUTED_VALUE"""),435.25)</f>
        <v>435.25</v>
      </c>
      <c r="E1965" s="6">
        <f>IFERROR(__xludf.DUMMYFUNCTION("""COMPUTED_VALUE"""),436.6)</f>
        <v>436.6</v>
      </c>
      <c r="F1965" s="7">
        <f>IFERROR(__xludf.DUMMYFUNCTION("""COMPUTED_VALUE"""),2130326.0)</f>
        <v>2130326</v>
      </c>
      <c r="G1965" s="7" t="str">
        <f>IFERROR(__xludf.DUMMYFUNCTION("""COMPUTED_VALUE"""),"HINDPETRO.NS")</f>
        <v>HINDPETRO.NS</v>
      </c>
      <c r="H1965" s="8">
        <f t="shared" si="1"/>
        <v>-0.002513136852</v>
      </c>
      <c r="I1965" s="8">
        <f t="shared" si="2"/>
        <v>0.002513136852</v>
      </c>
      <c r="J1965" s="7" t="str">
        <f t="shared" si="3"/>
        <v>Jul-2025</v>
      </c>
      <c r="K1965" s="9">
        <f t="shared" si="4"/>
        <v>45839</v>
      </c>
      <c r="L1965" s="7" t="str">
        <f t="shared" si="5"/>
        <v/>
      </c>
      <c r="M1965" s="7" t="str">
        <f>IFERROR(__xludf.DUMMYFUNCTION("IFERROR(
  IF(
    F1965 &gt;
    3*AVERAGE(
       FILTER($F$2:$F10491,
         $G$2:$G10491=G1965,
         $A$2:$A10491&gt;=A1965-20,
         $A$2:$A10491&lt;=A1965
       )
    ),
    ""VOL_SPIKE_3X"",""""
  ),
"""")
"),"")</f>
        <v/>
      </c>
      <c r="N1965" s="7" t="str">
        <f t="shared" si="6"/>
        <v/>
      </c>
      <c r="O1965" s="7" t="str">
        <f t="shared" si="7"/>
        <v/>
      </c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>
      <c r="A1966" s="5">
        <f>IFERROR(__xludf.DUMMYFUNCTION("""COMPUTED_VALUE"""),45841.0)</f>
        <v>45841</v>
      </c>
      <c r="B1966" s="6">
        <f>IFERROR(__xludf.DUMMYFUNCTION("""COMPUTED_VALUE"""),147.99)</f>
        <v>147.99</v>
      </c>
      <c r="C1966" s="6">
        <f>IFERROR(__xludf.DUMMYFUNCTION("""COMPUTED_VALUE"""),148.75)</f>
        <v>148.75</v>
      </c>
      <c r="D1966" s="6">
        <f>IFERROR(__xludf.DUMMYFUNCTION("""COMPUTED_VALUE"""),147.5)</f>
        <v>147.5</v>
      </c>
      <c r="E1966" s="6">
        <f>IFERROR(__xludf.DUMMYFUNCTION("""COMPUTED_VALUE"""),147.87)</f>
        <v>147.87</v>
      </c>
      <c r="F1966" s="7">
        <f>IFERROR(__xludf.DUMMYFUNCTION("""COMPUTED_VALUE"""),8006482.0)</f>
        <v>8006482</v>
      </c>
      <c r="G1966" s="7" t="str">
        <f>IFERROR(__xludf.DUMMYFUNCTION("""COMPUTED_VALUE"""),"IOC.NS")</f>
        <v>IOC.NS</v>
      </c>
      <c r="H1966" s="8">
        <f t="shared" si="1"/>
        <v>-0.000810865599</v>
      </c>
      <c r="I1966" s="8">
        <f t="shared" si="2"/>
        <v>0.000810865599</v>
      </c>
      <c r="J1966" s="7" t="str">
        <f t="shared" si="3"/>
        <v>Jul-2025</v>
      </c>
      <c r="K1966" s="9">
        <f t="shared" si="4"/>
        <v>45839</v>
      </c>
      <c r="L1966" s="7" t="str">
        <f t="shared" si="5"/>
        <v/>
      </c>
      <c r="M1966" s="7" t="str">
        <f>IFERROR(__xludf.DUMMYFUNCTION("IFERROR(
  IF(
    F1966 &gt;
    3*AVERAGE(
       FILTER($F$2:$F10491,
         $G$2:$G10491=G1966,
         $A$2:$A10491&gt;=A1966-20,
         $A$2:$A10491&lt;=A1966
       )
    ),
    ""VOL_SPIKE_3X"",""""
  ),
"""")
"),"")</f>
        <v/>
      </c>
      <c r="N1966" s="7" t="str">
        <f t="shared" si="6"/>
        <v/>
      </c>
      <c r="O1966" s="7" t="str">
        <f t="shared" si="7"/>
        <v/>
      </c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>
      <c r="A1967" s="5">
        <f>IFERROR(__xludf.DUMMYFUNCTION("""COMPUTED_VALUE"""),45841.0)</f>
        <v>45841</v>
      </c>
      <c r="B1967" s="6">
        <f>IFERROR(__xludf.DUMMYFUNCTION("""COMPUTED_VALUE"""),334.6)</f>
        <v>334.6</v>
      </c>
      <c r="C1967" s="6">
        <f>IFERROR(__xludf.DUMMYFUNCTION("""COMPUTED_VALUE"""),336.35)</f>
        <v>336.35</v>
      </c>
      <c r="D1967" s="6">
        <f>IFERROR(__xludf.DUMMYFUNCTION("""COMPUTED_VALUE"""),331.0)</f>
        <v>331</v>
      </c>
      <c r="E1967" s="6">
        <f>IFERROR(__xludf.DUMMYFUNCTION("""COMPUTED_VALUE"""),334.6)</f>
        <v>334.6</v>
      </c>
      <c r="F1967" s="7">
        <f>IFERROR(__xludf.DUMMYFUNCTION("""COMPUTED_VALUE"""),1.5786429E7)</f>
        <v>15786429</v>
      </c>
      <c r="G1967" s="7" t="str">
        <f>IFERROR(__xludf.DUMMYFUNCTION("""COMPUTED_VALUE"""),"NTPC.NS")</f>
        <v>NTPC.NS</v>
      </c>
      <c r="H1967" s="8">
        <f t="shared" si="1"/>
        <v>0</v>
      </c>
      <c r="I1967" s="8">
        <f t="shared" si="2"/>
        <v>0</v>
      </c>
      <c r="J1967" s="7" t="str">
        <f t="shared" si="3"/>
        <v>Jul-2025</v>
      </c>
      <c r="K1967" s="9">
        <f t="shared" si="4"/>
        <v>45839</v>
      </c>
      <c r="L1967" s="7" t="str">
        <f t="shared" si="5"/>
        <v/>
      </c>
      <c r="M1967" s="7" t="str">
        <f>IFERROR(__xludf.DUMMYFUNCTION("IFERROR(
  IF(
    F1967 &gt;
    3*AVERAGE(
       FILTER($F$2:$F10491,
         $G$2:$G10491=G1967,
         $A$2:$A10491&gt;=A1967-20,
         $A$2:$A10491&lt;=A1967
       )
    ),
    ""VOL_SPIKE_3X"",""""
  ),
"""")
"),"")</f>
        <v/>
      </c>
      <c r="N1967" s="7" t="str">
        <f t="shared" si="6"/>
        <v/>
      </c>
      <c r="O1967" s="7" t="str">
        <f t="shared" si="7"/>
        <v/>
      </c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>
      <c r="A1968" s="5">
        <f>IFERROR(__xludf.DUMMYFUNCTION("""COMPUTED_VALUE"""),45841.0)</f>
        <v>45841</v>
      </c>
      <c r="B1968" s="6">
        <f>IFERROR(__xludf.DUMMYFUNCTION("""COMPUTED_VALUE"""),242.0)</f>
        <v>242</v>
      </c>
      <c r="C1968" s="6">
        <f>IFERROR(__xludf.DUMMYFUNCTION("""COMPUTED_VALUE"""),246.2)</f>
        <v>246.2</v>
      </c>
      <c r="D1968" s="6">
        <f>IFERROR(__xludf.DUMMYFUNCTION("""COMPUTED_VALUE"""),241.8)</f>
        <v>241.8</v>
      </c>
      <c r="E1968" s="6">
        <f>IFERROR(__xludf.DUMMYFUNCTION("""COMPUTED_VALUE"""),244.05)</f>
        <v>244.05</v>
      </c>
      <c r="F1968" s="7">
        <f>IFERROR(__xludf.DUMMYFUNCTION("""COMPUTED_VALUE"""),1.3891239E7)</f>
        <v>13891239</v>
      </c>
      <c r="G1968" s="7" t="str">
        <f>IFERROR(__xludf.DUMMYFUNCTION("""COMPUTED_VALUE"""),"ONGC.NS")</f>
        <v>ONGC.NS</v>
      </c>
      <c r="H1968" s="8">
        <f t="shared" si="1"/>
        <v>0.00847107438</v>
      </c>
      <c r="I1968" s="8">
        <f t="shared" si="2"/>
        <v>0.00847107438</v>
      </c>
      <c r="J1968" s="7" t="str">
        <f t="shared" si="3"/>
        <v>Jul-2025</v>
      </c>
      <c r="K1968" s="9">
        <f t="shared" si="4"/>
        <v>45839</v>
      </c>
      <c r="L1968" s="7" t="str">
        <f t="shared" si="5"/>
        <v/>
      </c>
      <c r="M1968" s="7" t="str">
        <f>IFERROR(__xludf.DUMMYFUNCTION("IFERROR(
  IF(
    F1968 &gt;
    3*AVERAGE(
       FILTER($F$2:$F10491,
         $G$2:$G10491=G1968,
         $A$2:$A10491&gt;=A1968-20,
         $A$2:$A10491&lt;=A1968
       )
    ),
    ""VOL_SPIKE_3X"",""""
  ),
"""")
"),"")</f>
        <v/>
      </c>
      <c r="N1968" s="7" t="str">
        <f t="shared" si="6"/>
        <v/>
      </c>
      <c r="O1968" s="7" t="str">
        <f t="shared" si="7"/>
        <v/>
      </c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>
      <c r="A1969" s="5">
        <f>IFERROR(__xludf.DUMMYFUNCTION("""COMPUTED_VALUE"""),45841.0)</f>
        <v>45841</v>
      </c>
      <c r="B1969" s="6">
        <f>IFERROR(__xludf.DUMMYFUNCTION("""COMPUTED_VALUE"""),298.4)</f>
        <v>298.4</v>
      </c>
      <c r="C1969" s="6">
        <f>IFERROR(__xludf.DUMMYFUNCTION("""COMPUTED_VALUE"""),298.95)</f>
        <v>298.95</v>
      </c>
      <c r="D1969" s="6">
        <f>IFERROR(__xludf.DUMMYFUNCTION("""COMPUTED_VALUE"""),293.1)</f>
        <v>293.1</v>
      </c>
      <c r="E1969" s="6">
        <f>IFERROR(__xludf.DUMMYFUNCTION("""COMPUTED_VALUE"""),293.7)</f>
        <v>293.7</v>
      </c>
      <c r="F1969" s="7">
        <f>IFERROR(__xludf.DUMMYFUNCTION("""COMPUTED_VALUE"""),1.0373094E7)</f>
        <v>10373094</v>
      </c>
      <c r="G1969" s="7" t="str">
        <f>IFERROR(__xludf.DUMMYFUNCTION("""COMPUTED_VALUE"""),"POWERGRID.NS")</f>
        <v>POWERGRID.NS</v>
      </c>
      <c r="H1969" s="8">
        <f t="shared" si="1"/>
        <v>-0.01575067024</v>
      </c>
      <c r="I1969" s="8">
        <f t="shared" si="2"/>
        <v>0.01575067024</v>
      </c>
      <c r="J1969" s="7" t="str">
        <f t="shared" si="3"/>
        <v>Jul-2025</v>
      </c>
      <c r="K1969" s="9">
        <f t="shared" si="4"/>
        <v>45839</v>
      </c>
      <c r="L1969" s="7" t="str">
        <f t="shared" si="5"/>
        <v/>
      </c>
      <c r="M1969" s="7" t="str">
        <f>IFERROR(__xludf.DUMMYFUNCTION("IFERROR(
  IF(
    F1969 &gt;
    3*AVERAGE(
       FILTER($F$2:$F10491,
         $G$2:$G10491=G1969,
         $A$2:$A10491&gt;=A1969-20,
         $A$2:$A10491&lt;=A1969
       )
    ),
    ""VOL_SPIKE_3X"",""""
  ),
"""")
"),"")</f>
        <v/>
      </c>
      <c r="N1969" s="7" t="str">
        <f t="shared" si="6"/>
        <v/>
      </c>
      <c r="O1969" s="7" t="str">
        <f t="shared" si="7"/>
        <v/>
      </c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>
      <c r="A1970" s="5">
        <f>IFERROR(__xludf.DUMMYFUNCTION("""COMPUTED_VALUE"""),45841.0)</f>
        <v>45841</v>
      </c>
      <c r="B1970" s="6">
        <f>IFERROR(__xludf.DUMMYFUNCTION("""COMPUTED_VALUE"""),1520.8)</f>
        <v>1520.8</v>
      </c>
      <c r="C1970" s="6">
        <f>IFERROR(__xludf.DUMMYFUNCTION("""COMPUTED_VALUE"""),1531.9)</f>
        <v>1531.9</v>
      </c>
      <c r="D1970" s="6">
        <f>IFERROR(__xludf.DUMMYFUNCTION("""COMPUTED_VALUE"""),1513.0)</f>
        <v>1513</v>
      </c>
      <c r="E1970" s="6">
        <f>IFERROR(__xludf.DUMMYFUNCTION("""COMPUTED_VALUE"""),1517.8)</f>
        <v>1517.8</v>
      </c>
      <c r="F1970" s="7">
        <f>IFERROR(__xludf.DUMMYFUNCTION("""COMPUTED_VALUE"""),1.1283291E7)</f>
        <v>11283291</v>
      </c>
      <c r="G1970" s="7" t="str">
        <f>IFERROR(__xludf.DUMMYFUNCTION("""COMPUTED_VALUE"""),"RELIANCE.NS")</f>
        <v>RELIANCE.NS</v>
      </c>
      <c r="H1970" s="8">
        <f t="shared" si="1"/>
        <v>-0.001972645976</v>
      </c>
      <c r="I1970" s="8">
        <f t="shared" si="2"/>
        <v>0.001972645976</v>
      </c>
      <c r="J1970" s="7" t="str">
        <f t="shared" si="3"/>
        <v>Jul-2025</v>
      </c>
      <c r="K1970" s="9">
        <f t="shared" si="4"/>
        <v>45839</v>
      </c>
      <c r="L1970" s="7" t="str">
        <f t="shared" si="5"/>
        <v/>
      </c>
      <c r="M1970" s="7" t="str">
        <f>IFERROR(__xludf.DUMMYFUNCTION("IFERROR(
  IF(
    F1970 &gt;
    3*AVERAGE(
       FILTER($F$2:$F10491,
         $G$2:$G10491=G1970,
         $A$2:$A10491&gt;=A1970-20,
         $A$2:$A10491&lt;=A1970
       )
    ),
    ""VOL_SPIKE_3X"",""""
  ),
"""")
"),"")</f>
        <v/>
      </c>
      <c r="N1970" s="7" t="str">
        <f t="shared" si="6"/>
        <v/>
      </c>
      <c r="O1970" s="7" t="str">
        <f t="shared" si="7"/>
        <v/>
      </c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>
      <c r="A1971" s="5">
        <f>IFERROR(__xludf.DUMMYFUNCTION("""COMPUTED_VALUE"""),45842.0)</f>
        <v>45842</v>
      </c>
      <c r="B1971" s="6">
        <f>IFERROR(__xludf.DUMMYFUNCTION("""COMPUTED_VALUE"""),875.8)</f>
        <v>875.8</v>
      </c>
      <c r="C1971" s="6">
        <f>IFERROR(__xludf.DUMMYFUNCTION("""COMPUTED_VALUE"""),884.0)</f>
        <v>884</v>
      </c>
      <c r="D1971" s="6">
        <f>IFERROR(__xludf.DUMMYFUNCTION("""COMPUTED_VALUE"""),867.15)</f>
        <v>867.15</v>
      </c>
      <c r="E1971" s="6">
        <f>IFERROR(__xludf.DUMMYFUNCTION("""COMPUTED_VALUE"""),877.2)</f>
        <v>877.2</v>
      </c>
      <c r="F1971" s="7">
        <f>IFERROR(__xludf.DUMMYFUNCTION("""COMPUTED_VALUE"""),4081958.0)</f>
        <v>4081958</v>
      </c>
      <c r="G1971" s="7" t="str">
        <f>IFERROR(__xludf.DUMMYFUNCTION("""COMPUTED_VALUE"""),"ADANIENSOL.NS")</f>
        <v>ADANIENSOL.NS</v>
      </c>
      <c r="H1971" s="8">
        <f t="shared" si="1"/>
        <v>0.001598538479</v>
      </c>
      <c r="I1971" s="8">
        <f t="shared" si="2"/>
        <v>0.001598538479</v>
      </c>
      <c r="J1971" s="7" t="str">
        <f t="shared" si="3"/>
        <v>Jul-2025</v>
      </c>
      <c r="K1971" s="9">
        <f t="shared" si="4"/>
        <v>45839</v>
      </c>
      <c r="L1971" s="7" t="str">
        <f t="shared" si="5"/>
        <v/>
      </c>
      <c r="M1971" s="7" t="str">
        <f>IFERROR(__xludf.DUMMYFUNCTION("IFERROR(
  IF(
    F1971 &gt;
    3*AVERAGE(
       FILTER($F$2:$F10491,
         $G$2:$G10491=G1971,
         $A$2:$A10491&gt;=A1971-20,
         $A$2:$A10491&lt;=A1971
       )
    ),
    ""VOL_SPIKE_3X"",""""
  ),
"""")
"),"")</f>
        <v/>
      </c>
      <c r="N1971" s="7" t="str">
        <f t="shared" si="6"/>
        <v/>
      </c>
      <c r="O1971" s="7" t="str">
        <f t="shared" si="7"/>
        <v/>
      </c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>
      <c r="A1972" s="5">
        <f>IFERROR(__xludf.DUMMYFUNCTION("""COMPUTED_VALUE"""),45842.0)</f>
        <v>45842</v>
      </c>
      <c r="B1972" s="6">
        <f>IFERROR(__xludf.DUMMYFUNCTION("""COMPUTED_VALUE"""),1012.0)</f>
        <v>1012</v>
      </c>
      <c r="C1972" s="6">
        <f>IFERROR(__xludf.DUMMYFUNCTION("""COMPUTED_VALUE"""),1012.0)</f>
        <v>1012</v>
      </c>
      <c r="D1972" s="6">
        <f>IFERROR(__xludf.DUMMYFUNCTION("""COMPUTED_VALUE"""),990.0)</f>
        <v>990</v>
      </c>
      <c r="E1972" s="6">
        <f>IFERROR(__xludf.DUMMYFUNCTION("""COMPUTED_VALUE"""),996.8)</f>
        <v>996.8</v>
      </c>
      <c r="F1972" s="7">
        <f>IFERROR(__xludf.DUMMYFUNCTION("""COMPUTED_VALUE"""),1565915.0)</f>
        <v>1565915</v>
      </c>
      <c r="G1972" s="7" t="str">
        <f>IFERROR(__xludf.DUMMYFUNCTION("""COMPUTED_VALUE"""),"ADANIGREEN.NS")</f>
        <v>ADANIGREEN.NS</v>
      </c>
      <c r="H1972" s="8">
        <f t="shared" si="1"/>
        <v>-0.01501976285</v>
      </c>
      <c r="I1972" s="8">
        <f t="shared" si="2"/>
        <v>0.01501976285</v>
      </c>
      <c r="J1972" s="7" t="str">
        <f t="shared" si="3"/>
        <v>Jul-2025</v>
      </c>
      <c r="K1972" s="9">
        <f t="shared" si="4"/>
        <v>45839</v>
      </c>
      <c r="L1972" s="7" t="str">
        <f t="shared" si="5"/>
        <v/>
      </c>
      <c r="M1972" s="7" t="str">
        <f>IFERROR(__xludf.DUMMYFUNCTION("IFERROR(
  IF(
    F1972 &gt;
    3*AVERAGE(
       FILTER($F$2:$F10491,
         $G$2:$G10491=G1972,
         $A$2:$A10491&gt;=A1972-20,
         $A$2:$A10491&lt;=A1972
       )
    ),
    ""VOL_SPIKE_3X"",""""
  ),
"""")
"),"")</f>
        <v/>
      </c>
      <c r="N1972" s="7" t="str">
        <f t="shared" si="6"/>
        <v/>
      </c>
      <c r="O1972" s="7" t="str">
        <f t="shared" si="7"/>
        <v/>
      </c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>
      <c r="A1973" s="5">
        <f>IFERROR(__xludf.DUMMYFUNCTION("""COMPUTED_VALUE"""),45842.0)</f>
        <v>45842</v>
      </c>
      <c r="B1973" s="6">
        <f>IFERROR(__xludf.DUMMYFUNCTION("""COMPUTED_VALUE"""),334.0)</f>
        <v>334</v>
      </c>
      <c r="C1973" s="6">
        <f>IFERROR(__xludf.DUMMYFUNCTION("""COMPUTED_VALUE"""),347.7)</f>
        <v>347.7</v>
      </c>
      <c r="D1973" s="6">
        <f>IFERROR(__xludf.DUMMYFUNCTION("""COMPUTED_VALUE"""),331.9)</f>
        <v>331.9</v>
      </c>
      <c r="E1973" s="6">
        <f>IFERROR(__xludf.DUMMYFUNCTION("""COMPUTED_VALUE"""),346.2)</f>
        <v>346.2</v>
      </c>
      <c r="F1973" s="7">
        <f>IFERROR(__xludf.DUMMYFUNCTION("""COMPUTED_VALUE"""),1.3743465E7)</f>
        <v>13743465</v>
      </c>
      <c r="G1973" s="7" t="str">
        <f>IFERROR(__xludf.DUMMYFUNCTION("""COMPUTED_VALUE"""),"BPCL.NS")</f>
        <v>BPCL.NS</v>
      </c>
      <c r="H1973" s="8">
        <f t="shared" si="1"/>
        <v>0.03652694611</v>
      </c>
      <c r="I1973" s="8">
        <f t="shared" si="2"/>
        <v>0.03652694611</v>
      </c>
      <c r="J1973" s="7" t="str">
        <f t="shared" si="3"/>
        <v>Jul-2025</v>
      </c>
      <c r="K1973" s="9">
        <f t="shared" si="4"/>
        <v>45839</v>
      </c>
      <c r="L1973" s="7" t="str">
        <f t="shared" si="5"/>
        <v/>
      </c>
      <c r="M1973" s="7" t="str">
        <f>IFERROR(__xludf.DUMMYFUNCTION("IFERROR(
  IF(
    F1973 &gt;
    3*AVERAGE(
       FILTER($F$2:$F10491,
         $G$2:$G10491=G1973,
         $A$2:$A10491&gt;=A1973-20,
         $A$2:$A10491&lt;=A1973
       )
    ),
    ""VOL_SPIKE_3X"",""""
  ),
"""")
"),"")</f>
        <v/>
      </c>
      <c r="N1973" s="7" t="str">
        <f t="shared" si="6"/>
        <v/>
      </c>
      <c r="O1973" s="7" t="str">
        <f t="shared" si="7"/>
        <v/>
      </c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>
      <c r="A1974" s="5">
        <f>IFERROR(__xludf.DUMMYFUNCTION("""COMPUTED_VALUE"""),45842.0)</f>
        <v>45842</v>
      </c>
      <c r="B1974" s="6">
        <f>IFERROR(__xludf.DUMMYFUNCTION("""COMPUTED_VALUE"""),387.7)</f>
        <v>387.7</v>
      </c>
      <c r="C1974" s="6">
        <f>IFERROR(__xludf.DUMMYFUNCTION("""COMPUTED_VALUE"""),387.9)</f>
        <v>387.9</v>
      </c>
      <c r="D1974" s="6">
        <f>IFERROR(__xludf.DUMMYFUNCTION("""COMPUTED_VALUE"""),383.4)</f>
        <v>383.4</v>
      </c>
      <c r="E1974" s="6">
        <f>IFERROR(__xludf.DUMMYFUNCTION("""COMPUTED_VALUE"""),386.1)</f>
        <v>386.1</v>
      </c>
      <c r="F1974" s="7">
        <f>IFERROR(__xludf.DUMMYFUNCTION("""COMPUTED_VALUE"""),3990767.0)</f>
        <v>3990767</v>
      </c>
      <c r="G1974" s="7" t="str">
        <f>IFERROR(__xludf.DUMMYFUNCTION("""COMPUTED_VALUE"""),"COALINDIA.NS")</f>
        <v>COALINDIA.NS</v>
      </c>
      <c r="H1974" s="8">
        <f t="shared" si="1"/>
        <v>-0.004126902244</v>
      </c>
      <c r="I1974" s="8">
        <f t="shared" si="2"/>
        <v>0.004126902244</v>
      </c>
      <c r="J1974" s="7" t="str">
        <f t="shared" si="3"/>
        <v>Jul-2025</v>
      </c>
      <c r="K1974" s="9">
        <f t="shared" si="4"/>
        <v>45839</v>
      </c>
      <c r="L1974" s="7" t="str">
        <f t="shared" si="5"/>
        <v/>
      </c>
      <c r="M1974" s="7" t="str">
        <f>IFERROR(__xludf.DUMMYFUNCTION("IFERROR(
  IF(
    F1974 &gt;
    3*AVERAGE(
       FILTER($F$2:$F10491,
         $G$2:$G10491=G1974,
         $A$2:$A10491&gt;=A1974-20,
         $A$2:$A10491&lt;=A1974
       )
    ),
    ""VOL_SPIKE_3X"",""""
  ),
"""")
"),"")</f>
        <v/>
      </c>
      <c r="N1974" s="7" t="str">
        <f t="shared" si="6"/>
        <v/>
      </c>
      <c r="O1974" s="7" t="str">
        <f t="shared" si="7"/>
        <v/>
      </c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>
      <c r="A1975" s="5">
        <f>IFERROR(__xludf.DUMMYFUNCTION("""COMPUTED_VALUE"""),45842.0)</f>
        <v>45842</v>
      </c>
      <c r="B1975" s="6">
        <f>IFERROR(__xludf.DUMMYFUNCTION("""COMPUTED_VALUE"""),438.8)</f>
        <v>438.8</v>
      </c>
      <c r="C1975" s="6">
        <f>IFERROR(__xludf.DUMMYFUNCTION("""COMPUTED_VALUE"""),446.55)</f>
        <v>446.55</v>
      </c>
      <c r="D1975" s="6">
        <f>IFERROR(__xludf.DUMMYFUNCTION("""COMPUTED_VALUE"""),436.15)</f>
        <v>436.15</v>
      </c>
      <c r="E1975" s="6">
        <f>IFERROR(__xludf.DUMMYFUNCTION("""COMPUTED_VALUE"""),444.6)</f>
        <v>444.6</v>
      </c>
      <c r="F1975" s="7">
        <f>IFERROR(__xludf.DUMMYFUNCTION("""COMPUTED_VALUE"""),4318402.0)</f>
        <v>4318402</v>
      </c>
      <c r="G1975" s="7" t="str">
        <f>IFERROR(__xludf.DUMMYFUNCTION("""COMPUTED_VALUE"""),"HINDPETRO.NS")</f>
        <v>HINDPETRO.NS</v>
      </c>
      <c r="H1975" s="8">
        <f t="shared" si="1"/>
        <v>0.01321786691</v>
      </c>
      <c r="I1975" s="8">
        <f t="shared" si="2"/>
        <v>0.01321786691</v>
      </c>
      <c r="J1975" s="7" t="str">
        <f t="shared" si="3"/>
        <v>Jul-2025</v>
      </c>
      <c r="K1975" s="9">
        <f t="shared" si="4"/>
        <v>45839</v>
      </c>
      <c r="L1975" s="7" t="str">
        <f t="shared" si="5"/>
        <v/>
      </c>
      <c r="M1975" s="7" t="str">
        <f>IFERROR(__xludf.DUMMYFUNCTION("IFERROR(
  IF(
    F1975 &gt;
    3*AVERAGE(
       FILTER($F$2:$F10491,
         $G$2:$G10491=G1975,
         $A$2:$A10491&gt;=A1975-20,
         $A$2:$A10491&lt;=A1975
       )
    ),
    ""VOL_SPIKE_3X"",""""
  ),
"""")
"),"")</f>
        <v/>
      </c>
      <c r="N1975" s="7" t="str">
        <f t="shared" si="6"/>
        <v/>
      </c>
      <c r="O1975" s="7" t="str">
        <f t="shared" si="7"/>
        <v/>
      </c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>
      <c r="A1976" s="5">
        <f>IFERROR(__xludf.DUMMYFUNCTION("""COMPUTED_VALUE"""),45842.0)</f>
        <v>45842</v>
      </c>
      <c r="B1976" s="6">
        <f>IFERROR(__xludf.DUMMYFUNCTION("""COMPUTED_VALUE"""),149.7)</f>
        <v>149.7</v>
      </c>
      <c r="C1976" s="6">
        <f>IFERROR(__xludf.DUMMYFUNCTION("""COMPUTED_VALUE"""),151.99)</f>
        <v>151.99</v>
      </c>
      <c r="D1976" s="6">
        <f>IFERROR(__xludf.DUMMYFUNCTION("""COMPUTED_VALUE"""),147.86)</f>
        <v>147.86</v>
      </c>
      <c r="E1976" s="6">
        <f>IFERROR(__xludf.DUMMYFUNCTION("""COMPUTED_VALUE"""),151.62)</f>
        <v>151.62</v>
      </c>
      <c r="F1976" s="7">
        <f>IFERROR(__xludf.DUMMYFUNCTION("""COMPUTED_VALUE"""),2.2612766E7)</f>
        <v>22612766</v>
      </c>
      <c r="G1976" s="7" t="str">
        <f>IFERROR(__xludf.DUMMYFUNCTION("""COMPUTED_VALUE"""),"IOC.NS")</f>
        <v>IOC.NS</v>
      </c>
      <c r="H1976" s="8">
        <f t="shared" si="1"/>
        <v>0.0128256513</v>
      </c>
      <c r="I1976" s="8">
        <f t="shared" si="2"/>
        <v>0.0128256513</v>
      </c>
      <c r="J1976" s="7" t="str">
        <f t="shared" si="3"/>
        <v>Jul-2025</v>
      </c>
      <c r="K1976" s="9">
        <f t="shared" si="4"/>
        <v>45839</v>
      </c>
      <c r="L1976" s="7" t="str">
        <f t="shared" si="5"/>
        <v/>
      </c>
      <c r="M1976" s="7" t="str">
        <f>IFERROR(__xludf.DUMMYFUNCTION("IFERROR(
  IF(
    F1976 &gt;
    3*AVERAGE(
       FILTER($F$2:$F10491,
         $G$2:$G10491=G1976,
         $A$2:$A10491&gt;=A1976-20,
         $A$2:$A10491&lt;=A1976
       )
    ),
    ""VOL_SPIKE_3X"",""""
  ),
"""")
"),"")</f>
        <v/>
      </c>
      <c r="N1976" s="7" t="str">
        <f t="shared" si="6"/>
        <v/>
      </c>
      <c r="O1976" s="7" t="str">
        <f t="shared" si="7"/>
        <v/>
      </c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>
      <c r="A1977" s="5">
        <f>IFERROR(__xludf.DUMMYFUNCTION("""COMPUTED_VALUE"""),45842.0)</f>
        <v>45842</v>
      </c>
      <c r="B1977" s="6">
        <f>IFERROR(__xludf.DUMMYFUNCTION("""COMPUTED_VALUE"""),335.7)</f>
        <v>335.7</v>
      </c>
      <c r="C1977" s="6">
        <f>IFERROR(__xludf.DUMMYFUNCTION("""COMPUTED_VALUE"""),336.0)</f>
        <v>336</v>
      </c>
      <c r="D1977" s="6">
        <f>IFERROR(__xludf.DUMMYFUNCTION("""COMPUTED_VALUE"""),332.25)</f>
        <v>332.25</v>
      </c>
      <c r="E1977" s="6">
        <f>IFERROR(__xludf.DUMMYFUNCTION("""COMPUTED_VALUE"""),335.5)</f>
        <v>335.5</v>
      </c>
      <c r="F1977" s="7">
        <f>IFERROR(__xludf.DUMMYFUNCTION("""COMPUTED_VALUE"""),5899185.0)</f>
        <v>5899185</v>
      </c>
      <c r="G1977" s="7" t="str">
        <f>IFERROR(__xludf.DUMMYFUNCTION("""COMPUTED_VALUE"""),"NTPC.NS")</f>
        <v>NTPC.NS</v>
      </c>
      <c r="H1977" s="8">
        <f t="shared" si="1"/>
        <v>-0.0005957700328</v>
      </c>
      <c r="I1977" s="8">
        <f t="shared" si="2"/>
        <v>0.0005957700328</v>
      </c>
      <c r="J1977" s="7" t="str">
        <f t="shared" si="3"/>
        <v>Jul-2025</v>
      </c>
      <c r="K1977" s="9">
        <f t="shared" si="4"/>
        <v>45839</v>
      </c>
      <c r="L1977" s="7" t="str">
        <f t="shared" si="5"/>
        <v/>
      </c>
      <c r="M1977" s="7" t="str">
        <f>IFERROR(__xludf.DUMMYFUNCTION("IFERROR(
  IF(
    F1977 &gt;
    3*AVERAGE(
       FILTER($F$2:$F10491,
         $G$2:$G10491=G1977,
         $A$2:$A10491&gt;=A1977-20,
         $A$2:$A10491&lt;=A1977
       )
    ),
    ""VOL_SPIKE_3X"",""""
  ),
"""")
"),"")</f>
        <v/>
      </c>
      <c r="N1977" s="7" t="str">
        <f t="shared" si="6"/>
        <v/>
      </c>
      <c r="O1977" s="7" t="str">
        <f t="shared" si="7"/>
        <v/>
      </c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>
      <c r="A1978" s="5">
        <f>IFERROR(__xludf.DUMMYFUNCTION("""COMPUTED_VALUE"""),45842.0)</f>
        <v>45842</v>
      </c>
      <c r="B1978" s="6">
        <f>IFERROR(__xludf.DUMMYFUNCTION("""COMPUTED_VALUE"""),245.2)</f>
        <v>245.2</v>
      </c>
      <c r="C1978" s="6">
        <f>IFERROR(__xludf.DUMMYFUNCTION("""COMPUTED_VALUE"""),245.45)</f>
        <v>245.45</v>
      </c>
      <c r="D1978" s="6">
        <f>IFERROR(__xludf.DUMMYFUNCTION("""COMPUTED_VALUE"""),242.51)</f>
        <v>242.51</v>
      </c>
      <c r="E1978" s="6">
        <f>IFERROR(__xludf.DUMMYFUNCTION("""COMPUTED_VALUE"""),245.24)</f>
        <v>245.24</v>
      </c>
      <c r="F1978" s="7">
        <f>IFERROR(__xludf.DUMMYFUNCTION("""COMPUTED_VALUE"""),7717259.0)</f>
        <v>7717259</v>
      </c>
      <c r="G1978" s="7" t="str">
        <f>IFERROR(__xludf.DUMMYFUNCTION("""COMPUTED_VALUE"""),"ONGC.NS")</f>
        <v>ONGC.NS</v>
      </c>
      <c r="H1978" s="8">
        <f t="shared" si="1"/>
        <v>0.000163132137</v>
      </c>
      <c r="I1978" s="8">
        <f t="shared" si="2"/>
        <v>0.000163132137</v>
      </c>
      <c r="J1978" s="7" t="str">
        <f t="shared" si="3"/>
        <v>Jul-2025</v>
      </c>
      <c r="K1978" s="9">
        <f t="shared" si="4"/>
        <v>45839</v>
      </c>
      <c r="L1978" s="7" t="str">
        <f t="shared" si="5"/>
        <v/>
      </c>
      <c r="M1978" s="7" t="str">
        <f>IFERROR(__xludf.DUMMYFUNCTION("IFERROR(
  IF(
    F1978 &gt;
    3*AVERAGE(
       FILTER($F$2:$F10491,
         $G$2:$G10491=G1978,
         $A$2:$A10491&gt;=A1978-20,
         $A$2:$A10491&lt;=A1978
       )
    ),
    ""VOL_SPIKE_3X"",""""
  ),
"""")
"),"")</f>
        <v/>
      </c>
      <c r="N1978" s="7" t="str">
        <f t="shared" si="6"/>
        <v/>
      </c>
      <c r="O1978" s="7" t="str">
        <f t="shared" si="7"/>
        <v/>
      </c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>
      <c r="A1979" s="5">
        <f>IFERROR(__xludf.DUMMYFUNCTION("""COMPUTED_VALUE"""),45842.0)</f>
        <v>45842</v>
      </c>
      <c r="B1979" s="6">
        <f>IFERROR(__xludf.DUMMYFUNCTION("""COMPUTED_VALUE"""),293.7)</f>
        <v>293.7</v>
      </c>
      <c r="C1979" s="6">
        <f>IFERROR(__xludf.DUMMYFUNCTION("""COMPUTED_VALUE"""),295.15)</f>
        <v>295.15</v>
      </c>
      <c r="D1979" s="6">
        <f>IFERROR(__xludf.DUMMYFUNCTION("""COMPUTED_VALUE"""),291.65)</f>
        <v>291.65</v>
      </c>
      <c r="E1979" s="6">
        <f>IFERROR(__xludf.DUMMYFUNCTION("""COMPUTED_VALUE"""),294.0)</f>
        <v>294</v>
      </c>
      <c r="F1979" s="7">
        <f>IFERROR(__xludf.DUMMYFUNCTION("""COMPUTED_VALUE"""),1.4193884E7)</f>
        <v>14193884</v>
      </c>
      <c r="G1979" s="7" t="str">
        <f>IFERROR(__xludf.DUMMYFUNCTION("""COMPUTED_VALUE"""),"POWERGRID.NS")</f>
        <v>POWERGRID.NS</v>
      </c>
      <c r="H1979" s="8">
        <f t="shared" si="1"/>
        <v>0.00102145046</v>
      </c>
      <c r="I1979" s="8">
        <f t="shared" si="2"/>
        <v>0.00102145046</v>
      </c>
      <c r="J1979" s="7" t="str">
        <f t="shared" si="3"/>
        <v>Jul-2025</v>
      </c>
      <c r="K1979" s="9">
        <f t="shared" si="4"/>
        <v>45839</v>
      </c>
      <c r="L1979" s="7" t="str">
        <f t="shared" si="5"/>
        <v/>
      </c>
      <c r="M1979" s="7" t="str">
        <f>IFERROR(__xludf.DUMMYFUNCTION("IFERROR(
  IF(
    F1979 &gt;
    3*AVERAGE(
       FILTER($F$2:$F10491,
         $G$2:$G10491=G1979,
         $A$2:$A10491&gt;=A1979-20,
         $A$2:$A10491&lt;=A1979
       )
    ),
    ""VOL_SPIKE_3X"",""""
  ),
"""")
"),"")</f>
        <v/>
      </c>
      <c r="N1979" s="7" t="str">
        <f t="shared" si="6"/>
        <v/>
      </c>
      <c r="O1979" s="7" t="str">
        <f t="shared" si="7"/>
        <v/>
      </c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>
      <c r="A1980" s="5">
        <f>IFERROR(__xludf.DUMMYFUNCTION("""COMPUTED_VALUE"""),45842.0)</f>
        <v>45842</v>
      </c>
      <c r="B1980" s="6">
        <f>IFERROR(__xludf.DUMMYFUNCTION("""COMPUTED_VALUE"""),1524.0)</f>
        <v>1524</v>
      </c>
      <c r="C1980" s="6">
        <f>IFERROR(__xludf.DUMMYFUNCTION("""COMPUTED_VALUE"""),1530.0)</f>
        <v>1530</v>
      </c>
      <c r="D1980" s="6">
        <f>IFERROR(__xludf.DUMMYFUNCTION("""COMPUTED_VALUE"""),1517.2)</f>
        <v>1517.2</v>
      </c>
      <c r="E1980" s="6">
        <f>IFERROR(__xludf.DUMMYFUNCTION("""COMPUTED_VALUE"""),1527.3)</f>
        <v>1527.3</v>
      </c>
      <c r="F1980" s="7">
        <f>IFERROR(__xludf.DUMMYFUNCTION("""COMPUTED_VALUE"""),6603501.0)</f>
        <v>6603501</v>
      </c>
      <c r="G1980" s="7" t="str">
        <f>IFERROR(__xludf.DUMMYFUNCTION("""COMPUTED_VALUE"""),"RELIANCE.NS")</f>
        <v>RELIANCE.NS</v>
      </c>
      <c r="H1980" s="8">
        <f t="shared" si="1"/>
        <v>0.002165354331</v>
      </c>
      <c r="I1980" s="8">
        <f t="shared" si="2"/>
        <v>0.002165354331</v>
      </c>
      <c r="J1980" s="7" t="str">
        <f t="shared" si="3"/>
        <v>Jul-2025</v>
      </c>
      <c r="K1980" s="9">
        <f t="shared" si="4"/>
        <v>45839</v>
      </c>
      <c r="L1980" s="7" t="str">
        <f t="shared" si="5"/>
        <v/>
      </c>
      <c r="M1980" s="7" t="str">
        <f>IFERROR(__xludf.DUMMYFUNCTION("IFERROR(
  IF(
    F1980 &gt;
    3*AVERAGE(
       FILTER($F$2:$F10491,
         $G$2:$G10491=G1980,
         $A$2:$A10491&gt;=A1980-20,
         $A$2:$A10491&lt;=A1980
       )
    ),
    ""VOL_SPIKE_3X"",""""
  ),
"""")
"),"")</f>
        <v/>
      </c>
      <c r="N1980" s="7" t="str">
        <f t="shared" si="6"/>
        <v/>
      </c>
      <c r="O1980" s="7" t="str">
        <f t="shared" si="7"/>
        <v/>
      </c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>
      <c r="A1981" s="5">
        <f>IFERROR(__xludf.DUMMYFUNCTION("""COMPUTED_VALUE"""),45845.0)</f>
        <v>45845</v>
      </c>
      <c r="B1981" s="6">
        <f>IFERROR(__xludf.DUMMYFUNCTION("""COMPUTED_VALUE"""),876.0)</f>
        <v>876</v>
      </c>
      <c r="C1981" s="6">
        <f>IFERROR(__xludf.DUMMYFUNCTION("""COMPUTED_VALUE"""),887.55)</f>
        <v>887.55</v>
      </c>
      <c r="D1981" s="6">
        <f>IFERROR(__xludf.DUMMYFUNCTION("""COMPUTED_VALUE"""),871.05)</f>
        <v>871.05</v>
      </c>
      <c r="E1981" s="6">
        <f>IFERROR(__xludf.DUMMYFUNCTION("""COMPUTED_VALUE"""),883.35)</f>
        <v>883.35</v>
      </c>
      <c r="F1981" s="7">
        <f>IFERROR(__xludf.DUMMYFUNCTION("""COMPUTED_VALUE"""),3740997.0)</f>
        <v>3740997</v>
      </c>
      <c r="G1981" s="7" t="str">
        <f>IFERROR(__xludf.DUMMYFUNCTION("""COMPUTED_VALUE"""),"ADANIENSOL.NS")</f>
        <v>ADANIENSOL.NS</v>
      </c>
      <c r="H1981" s="8">
        <f t="shared" si="1"/>
        <v>0.008390410959</v>
      </c>
      <c r="I1981" s="8">
        <f t="shared" si="2"/>
        <v>0.008390410959</v>
      </c>
      <c r="J1981" s="7" t="str">
        <f t="shared" si="3"/>
        <v>Jul-2025</v>
      </c>
      <c r="K1981" s="9">
        <f t="shared" si="4"/>
        <v>45839</v>
      </c>
      <c r="L1981" s="7" t="str">
        <f t="shared" si="5"/>
        <v/>
      </c>
      <c r="M1981" s="7" t="str">
        <f>IFERROR(__xludf.DUMMYFUNCTION("IFERROR(
  IF(
    F1981 &gt;
    3*AVERAGE(
       FILTER($F$2:$F10491,
         $G$2:$G10491=G1981,
         $A$2:$A10491&gt;=A1981-20,
         $A$2:$A10491&lt;=A1981
       )
    ),
    ""VOL_SPIKE_3X"",""""
  ),
"""")
"),"")</f>
        <v/>
      </c>
      <c r="N1981" s="7" t="str">
        <f t="shared" si="6"/>
        <v/>
      </c>
      <c r="O1981" s="7" t="str">
        <f t="shared" si="7"/>
        <v/>
      </c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>
      <c r="A1982" s="5">
        <f>IFERROR(__xludf.DUMMYFUNCTION("""COMPUTED_VALUE"""),45845.0)</f>
        <v>45845</v>
      </c>
      <c r="B1982" s="6">
        <f>IFERROR(__xludf.DUMMYFUNCTION("""COMPUTED_VALUE"""),997.0)</f>
        <v>997</v>
      </c>
      <c r="C1982" s="6">
        <f>IFERROR(__xludf.DUMMYFUNCTION("""COMPUTED_VALUE"""),998.8)</f>
        <v>998.8</v>
      </c>
      <c r="D1982" s="6">
        <f>IFERROR(__xludf.DUMMYFUNCTION("""COMPUTED_VALUE"""),988.7)</f>
        <v>988.7</v>
      </c>
      <c r="E1982" s="6">
        <f>IFERROR(__xludf.DUMMYFUNCTION("""COMPUTED_VALUE"""),991.1)</f>
        <v>991.1</v>
      </c>
      <c r="F1982" s="7">
        <f>IFERROR(__xludf.DUMMYFUNCTION("""COMPUTED_VALUE"""),863077.0)</f>
        <v>863077</v>
      </c>
      <c r="G1982" s="7" t="str">
        <f>IFERROR(__xludf.DUMMYFUNCTION("""COMPUTED_VALUE"""),"ADANIGREEN.NS")</f>
        <v>ADANIGREEN.NS</v>
      </c>
      <c r="H1982" s="8">
        <f t="shared" si="1"/>
        <v>-0.00591775326</v>
      </c>
      <c r="I1982" s="8">
        <f t="shared" si="2"/>
        <v>0.00591775326</v>
      </c>
      <c r="J1982" s="7" t="str">
        <f t="shared" si="3"/>
        <v>Jul-2025</v>
      </c>
      <c r="K1982" s="9">
        <f t="shared" si="4"/>
        <v>45839</v>
      </c>
      <c r="L1982" s="7" t="str">
        <f t="shared" si="5"/>
        <v/>
      </c>
      <c r="M1982" s="7" t="str">
        <f>IFERROR(__xludf.DUMMYFUNCTION("IFERROR(
  IF(
    F1982 &gt;
    3*AVERAGE(
       FILTER($F$2:$F10491,
         $G$2:$G10491=G1982,
         $A$2:$A10491&gt;=A1982-20,
         $A$2:$A10491&lt;=A1982
       )
    ),
    ""VOL_SPIKE_3X"",""""
  ),
"""")
"),"")</f>
        <v/>
      </c>
      <c r="N1982" s="7" t="str">
        <f t="shared" si="6"/>
        <v/>
      </c>
      <c r="O1982" s="7" t="str">
        <f t="shared" si="7"/>
        <v/>
      </c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>
      <c r="A1983" s="5">
        <f>IFERROR(__xludf.DUMMYFUNCTION("""COMPUTED_VALUE"""),45845.0)</f>
        <v>45845</v>
      </c>
      <c r="B1983" s="6">
        <f>IFERROR(__xludf.DUMMYFUNCTION("""COMPUTED_VALUE"""),345.8)</f>
        <v>345.8</v>
      </c>
      <c r="C1983" s="6">
        <f>IFERROR(__xludf.DUMMYFUNCTION("""COMPUTED_VALUE"""),351.55)</f>
        <v>351.55</v>
      </c>
      <c r="D1983" s="6">
        <f>IFERROR(__xludf.DUMMYFUNCTION("""COMPUTED_VALUE"""),343.45)</f>
        <v>343.45</v>
      </c>
      <c r="E1983" s="6">
        <f>IFERROR(__xludf.DUMMYFUNCTION("""COMPUTED_VALUE"""),350.5)</f>
        <v>350.5</v>
      </c>
      <c r="F1983" s="7">
        <f>IFERROR(__xludf.DUMMYFUNCTION("""COMPUTED_VALUE"""),8603937.0)</f>
        <v>8603937</v>
      </c>
      <c r="G1983" s="7" t="str">
        <f>IFERROR(__xludf.DUMMYFUNCTION("""COMPUTED_VALUE"""),"BPCL.NS")</f>
        <v>BPCL.NS</v>
      </c>
      <c r="H1983" s="8">
        <f t="shared" si="1"/>
        <v>0.01359167149</v>
      </c>
      <c r="I1983" s="8">
        <f t="shared" si="2"/>
        <v>0.01359167149</v>
      </c>
      <c r="J1983" s="7" t="str">
        <f t="shared" si="3"/>
        <v>Jul-2025</v>
      </c>
      <c r="K1983" s="9">
        <f t="shared" si="4"/>
        <v>45839</v>
      </c>
      <c r="L1983" s="7" t="str">
        <f t="shared" si="5"/>
        <v/>
      </c>
      <c r="M1983" s="7" t="str">
        <f>IFERROR(__xludf.DUMMYFUNCTION("IFERROR(
  IF(
    F1983 &gt;
    3*AVERAGE(
       FILTER($F$2:$F10491,
         $G$2:$G10491=G1983,
         $A$2:$A10491&gt;=A1983-20,
         $A$2:$A10491&lt;=A1983
       )
    ),
    ""VOL_SPIKE_3X"",""""
  ),
"""")
"),"")</f>
        <v/>
      </c>
      <c r="N1983" s="7" t="str">
        <f t="shared" si="6"/>
        <v/>
      </c>
      <c r="O1983" s="7" t="str">
        <f t="shared" si="7"/>
        <v/>
      </c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>
      <c r="A1984" s="5">
        <f>IFERROR(__xludf.DUMMYFUNCTION("""COMPUTED_VALUE"""),45845.0)</f>
        <v>45845</v>
      </c>
      <c r="B1984" s="6">
        <f>IFERROR(__xludf.DUMMYFUNCTION("""COMPUTED_VALUE"""),386.5)</f>
        <v>386.5</v>
      </c>
      <c r="C1984" s="6">
        <f>IFERROR(__xludf.DUMMYFUNCTION("""COMPUTED_VALUE"""),386.5)</f>
        <v>386.5</v>
      </c>
      <c r="D1984" s="6">
        <f>IFERROR(__xludf.DUMMYFUNCTION("""COMPUTED_VALUE"""),384.0)</f>
        <v>384</v>
      </c>
      <c r="E1984" s="6">
        <f>IFERROR(__xludf.DUMMYFUNCTION("""COMPUTED_VALUE"""),384.25)</f>
        <v>384.25</v>
      </c>
      <c r="F1984" s="7">
        <f>IFERROR(__xludf.DUMMYFUNCTION("""COMPUTED_VALUE"""),2810768.0)</f>
        <v>2810768</v>
      </c>
      <c r="G1984" s="7" t="str">
        <f>IFERROR(__xludf.DUMMYFUNCTION("""COMPUTED_VALUE"""),"COALINDIA.NS")</f>
        <v>COALINDIA.NS</v>
      </c>
      <c r="H1984" s="8">
        <f t="shared" si="1"/>
        <v>-0.005821474774</v>
      </c>
      <c r="I1984" s="8">
        <f t="shared" si="2"/>
        <v>0.005821474774</v>
      </c>
      <c r="J1984" s="7" t="str">
        <f t="shared" si="3"/>
        <v>Jul-2025</v>
      </c>
      <c r="K1984" s="9">
        <f t="shared" si="4"/>
        <v>45839</v>
      </c>
      <c r="L1984" s="7" t="str">
        <f t="shared" si="5"/>
        <v/>
      </c>
      <c r="M1984" s="7" t="str">
        <f>IFERROR(__xludf.DUMMYFUNCTION("IFERROR(
  IF(
    F1984 &gt;
    3*AVERAGE(
       FILTER($F$2:$F10491,
         $G$2:$G10491=G1984,
         $A$2:$A10491&gt;=A1984-20,
         $A$2:$A10491&lt;=A1984
       )
    ),
    ""VOL_SPIKE_3X"",""""
  ),
"""")
"),"")</f>
        <v/>
      </c>
      <c r="N1984" s="7" t="str">
        <f t="shared" si="6"/>
        <v/>
      </c>
      <c r="O1984" s="7" t="str">
        <f t="shared" si="7"/>
        <v/>
      </c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>
      <c r="A1985" s="5">
        <f>IFERROR(__xludf.DUMMYFUNCTION("""COMPUTED_VALUE"""),45845.0)</f>
        <v>45845</v>
      </c>
      <c r="B1985" s="6">
        <f>IFERROR(__xludf.DUMMYFUNCTION("""COMPUTED_VALUE"""),448.0)</f>
        <v>448</v>
      </c>
      <c r="C1985" s="6">
        <f>IFERROR(__xludf.DUMMYFUNCTION("""COMPUTED_VALUE"""),455.2)</f>
        <v>455.2</v>
      </c>
      <c r="D1985" s="6">
        <f>IFERROR(__xludf.DUMMYFUNCTION("""COMPUTED_VALUE"""),441.25)</f>
        <v>441.25</v>
      </c>
      <c r="E1985" s="6">
        <f>IFERROR(__xludf.DUMMYFUNCTION("""COMPUTED_VALUE"""),447.9)</f>
        <v>447.9</v>
      </c>
      <c r="F1985" s="7">
        <f>IFERROR(__xludf.DUMMYFUNCTION("""COMPUTED_VALUE"""),8516084.0)</f>
        <v>8516084</v>
      </c>
      <c r="G1985" s="7" t="str">
        <f>IFERROR(__xludf.DUMMYFUNCTION("""COMPUTED_VALUE"""),"HINDPETRO.NS")</f>
        <v>HINDPETRO.NS</v>
      </c>
      <c r="H1985" s="8">
        <f t="shared" si="1"/>
        <v>-0.0002232142857</v>
      </c>
      <c r="I1985" s="8">
        <f t="shared" si="2"/>
        <v>0.0002232142857</v>
      </c>
      <c r="J1985" s="7" t="str">
        <f t="shared" si="3"/>
        <v>Jul-2025</v>
      </c>
      <c r="K1985" s="9">
        <f t="shared" si="4"/>
        <v>45839</v>
      </c>
      <c r="L1985" s="7" t="str">
        <f t="shared" si="5"/>
        <v/>
      </c>
      <c r="M1985" s="7" t="str">
        <f>IFERROR(__xludf.DUMMYFUNCTION("IFERROR(
  IF(
    F1985 &gt;
    3*AVERAGE(
       FILTER($F$2:$F10491,
         $G$2:$G10491=G1985,
         $A$2:$A10491&gt;=A1985-20,
         $A$2:$A10491&lt;=A1985
       )
    ),
    ""VOL_SPIKE_3X"",""""
  ),
"""")
"),"")</f>
        <v/>
      </c>
      <c r="N1985" s="7" t="str">
        <f t="shared" si="6"/>
        <v/>
      </c>
      <c r="O1985" s="7" t="str">
        <f t="shared" si="7"/>
        <v/>
      </c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>
      <c r="A1986" s="5">
        <f>IFERROR(__xludf.DUMMYFUNCTION("""COMPUTED_VALUE"""),45845.0)</f>
        <v>45845</v>
      </c>
      <c r="B1986" s="6">
        <f>IFERROR(__xludf.DUMMYFUNCTION("""COMPUTED_VALUE"""),152.02)</f>
        <v>152.02</v>
      </c>
      <c r="C1986" s="6">
        <f>IFERROR(__xludf.DUMMYFUNCTION("""COMPUTED_VALUE"""),154.9)</f>
        <v>154.9</v>
      </c>
      <c r="D1986" s="6">
        <f>IFERROR(__xludf.DUMMYFUNCTION("""COMPUTED_VALUE"""),151.81)</f>
        <v>151.81</v>
      </c>
      <c r="E1986" s="6">
        <f>IFERROR(__xludf.DUMMYFUNCTION("""COMPUTED_VALUE"""),153.75)</f>
        <v>153.75</v>
      </c>
      <c r="F1986" s="7">
        <f>IFERROR(__xludf.DUMMYFUNCTION("""COMPUTED_VALUE"""),2.4354631E7)</f>
        <v>24354631</v>
      </c>
      <c r="G1986" s="7" t="str">
        <f>IFERROR(__xludf.DUMMYFUNCTION("""COMPUTED_VALUE"""),"IOC.NS")</f>
        <v>IOC.NS</v>
      </c>
      <c r="H1986" s="8">
        <f t="shared" si="1"/>
        <v>0.01138008157</v>
      </c>
      <c r="I1986" s="8">
        <f t="shared" si="2"/>
        <v>0.01138008157</v>
      </c>
      <c r="J1986" s="7" t="str">
        <f t="shared" si="3"/>
        <v>Jul-2025</v>
      </c>
      <c r="K1986" s="9">
        <f t="shared" si="4"/>
        <v>45839</v>
      </c>
      <c r="L1986" s="7" t="str">
        <f t="shared" si="5"/>
        <v/>
      </c>
      <c r="M1986" s="7" t="str">
        <f>IFERROR(__xludf.DUMMYFUNCTION("IFERROR(
  IF(
    F1986 &gt;
    3*AVERAGE(
       FILTER($F$2:$F10491,
         $G$2:$G10491=G1986,
         $A$2:$A10491&gt;=A1986-20,
         $A$2:$A10491&lt;=A1986
       )
    ),
    ""VOL_SPIKE_3X"",""""
  ),
"""")
"),"")</f>
        <v/>
      </c>
      <c r="N1986" s="7" t="str">
        <f t="shared" si="6"/>
        <v/>
      </c>
      <c r="O1986" s="7" t="str">
        <f t="shared" si="7"/>
        <v/>
      </c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>
      <c r="A1987" s="5">
        <f>IFERROR(__xludf.DUMMYFUNCTION("""COMPUTED_VALUE"""),45845.0)</f>
        <v>45845</v>
      </c>
      <c r="B1987" s="6">
        <f>IFERROR(__xludf.DUMMYFUNCTION("""COMPUTED_VALUE"""),335.5)</f>
        <v>335.5</v>
      </c>
      <c r="C1987" s="6">
        <f>IFERROR(__xludf.DUMMYFUNCTION("""COMPUTED_VALUE"""),339.0)</f>
        <v>339</v>
      </c>
      <c r="D1987" s="6">
        <f>IFERROR(__xludf.DUMMYFUNCTION("""COMPUTED_VALUE"""),333.75)</f>
        <v>333.75</v>
      </c>
      <c r="E1987" s="6">
        <f>IFERROR(__xludf.DUMMYFUNCTION("""COMPUTED_VALUE"""),337.45)</f>
        <v>337.45</v>
      </c>
      <c r="F1987" s="7">
        <f>IFERROR(__xludf.DUMMYFUNCTION("""COMPUTED_VALUE"""),9454556.0)</f>
        <v>9454556</v>
      </c>
      <c r="G1987" s="7" t="str">
        <f>IFERROR(__xludf.DUMMYFUNCTION("""COMPUTED_VALUE"""),"NTPC.NS")</f>
        <v>NTPC.NS</v>
      </c>
      <c r="H1987" s="8">
        <f t="shared" si="1"/>
        <v>0.005812220566</v>
      </c>
      <c r="I1987" s="8">
        <f t="shared" si="2"/>
        <v>0.005812220566</v>
      </c>
      <c r="J1987" s="7" t="str">
        <f t="shared" si="3"/>
        <v>Jul-2025</v>
      </c>
      <c r="K1987" s="9">
        <f t="shared" si="4"/>
        <v>45839</v>
      </c>
      <c r="L1987" s="7" t="str">
        <f t="shared" si="5"/>
        <v/>
      </c>
      <c r="M1987" s="7" t="str">
        <f>IFERROR(__xludf.DUMMYFUNCTION("IFERROR(
  IF(
    F1987 &gt;
    3*AVERAGE(
       FILTER($F$2:$F10491,
         $G$2:$G10491=G1987,
         $A$2:$A10491&gt;=A1987-20,
         $A$2:$A10491&lt;=A1987
       )
    ),
    ""VOL_SPIKE_3X"",""""
  ),
"""")
"),"")</f>
        <v/>
      </c>
      <c r="N1987" s="7" t="str">
        <f t="shared" si="6"/>
        <v/>
      </c>
      <c r="O1987" s="7" t="str">
        <f t="shared" si="7"/>
        <v/>
      </c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>
      <c r="A1988" s="5">
        <f>IFERROR(__xludf.DUMMYFUNCTION("""COMPUTED_VALUE"""),45845.0)</f>
        <v>45845</v>
      </c>
      <c r="B1988" s="6">
        <f>IFERROR(__xludf.DUMMYFUNCTION("""COMPUTED_VALUE"""),245.5)</f>
        <v>245.5</v>
      </c>
      <c r="C1988" s="6">
        <f>IFERROR(__xludf.DUMMYFUNCTION("""COMPUTED_VALUE"""),245.5)</f>
        <v>245.5</v>
      </c>
      <c r="D1988" s="6">
        <f>IFERROR(__xludf.DUMMYFUNCTION("""COMPUTED_VALUE"""),240.83)</f>
        <v>240.83</v>
      </c>
      <c r="E1988" s="6">
        <f>IFERROR(__xludf.DUMMYFUNCTION("""COMPUTED_VALUE"""),241.52)</f>
        <v>241.52</v>
      </c>
      <c r="F1988" s="7">
        <f>IFERROR(__xludf.DUMMYFUNCTION("""COMPUTED_VALUE"""),9222263.0)</f>
        <v>9222263</v>
      </c>
      <c r="G1988" s="7" t="str">
        <f>IFERROR(__xludf.DUMMYFUNCTION("""COMPUTED_VALUE"""),"ONGC.NS")</f>
        <v>ONGC.NS</v>
      </c>
      <c r="H1988" s="8">
        <f t="shared" si="1"/>
        <v>-0.01621181263</v>
      </c>
      <c r="I1988" s="8">
        <f t="shared" si="2"/>
        <v>0.01621181263</v>
      </c>
      <c r="J1988" s="7" t="str">
        <f t="shared" si="3"/>
        <v>Jul-2025</v>
      </c>
      <c r="K1988" s="9">
        <f t="shared" si="4"/>
        <v>45839</v>
      </c>
      <c r="L1988" s="7" t="str">
        <f t="shared" si="5"/>
        <v/>
      </c>
      <c r="M1988" s="7" t="str">
        <f>IFERROR(__xludf.DUMMYFUNCTION("IFERROR(
  IF(
    F1988 &gt;
    3*AVERAGE(
       FILTER($F$2:$F10491,
         $G$2:$G10491=G1988,
         $A$2:$A10491&gt;=A1988-20,
         $A$2:$A10491&lt;=A1988
       )
    ),
    ""VOL_SPIKE_3X"",""""
  ),
"""")
"),"")</f>
        <v/>
      </c>
      <c r="N1988" s="7" t="str">
        <f t="shared" si="6"/>
        <v/>
      </c>
      <c r="O1988" s="7" t="str">
        <f t="shared" si="7"/>
        <v/>
      </c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>
      <c r="A1989" s="5">
        <f>IFERROR(__xludf.DUMMYFUNCTION("""COMPUTED_VALUE"""),45845.0)</f>
        <v>45845</v>
      </c>
      <c r="B1989" s="6">
        <f>IFERROR(__xludf.DUMMYFUNCTION("""COMPUTED_VALUE"""),294.7)</f>
        <v>294.7</v>
      </c>
      <c r="C1989" s="6">
        <f>IFERROR(__xludf.DUMMYFUNCTION("""COMPUTED_VALUE"""),296.65)</f>
        <v>296.65</v>
      </c>
      <c r="D1989" s="6">
        <f>IFERROR(__xludf.DUMMYFUNCTION("""COMPUTED_VALUE"""),293.5)</f>
        <v>293.5</v>
      </c>
      <c r="E1989" s="6">
        <f>IFERROR(__xludf.DUMMYFUNCTION("""COMPUTED_VALUE"""),295.9)</f>
        <v>295.9</v>
      </c>
      <c r="F1989" s="7">
        <f>IFERROR(__xludf.DUMMYFUNCTION("""COMPUTED_VALUE"""),6220756.0)</f>
        <v>6220756</v>
      </c>
      <c r="G1989" s="7" t="str">
        <f>IFERROR(__xludf.DUMMYFUNCTION("""COMPUTED_VALUE"""),"POWERGRID.NS")</f>
        <v>POWERGRID.NS</v>
      </c>
      <c r="H1989" s="8">
        <f t="shared" si="1"/>
        <v>0.004071937564</v>
      </c>
      <c r="I1989" s="8">
        <f t="shared" si="2"/>
        <v>0.004071937564</v>
      </c>
      <c r="J1989" s="7" t="str">
        <f t="shared" si="3"/>
        <v>Jul-2025</v>
      </c>
      <c r="K1989" s="9">
        <f t="shared" si="4"/>
        <v>45839</v>
      </c>
      <c r="L1989" s="7" t="str">
        <f t="shared" si="5"/>
        <v/>
      </c>
      <c r="M1989" s="7" t="str">
        <f>IFERROR(__xludf.DUMMYFUNCTION("IFERROR(
  IF(
    F1989 &gt;
    3*AVERAGE(
       FILTER($F$2:$F10491,
         $G$2:$G10491=G1989,
         $A$2:$A10491&gt;=A1989-20,
         $A$2:$A10491&lt;=A1989
       )
    ),
    ""VOL_SPIKE_3X"",""""
  ),
"""")
"),"")</f>
        <v/>
      </c>
      <c r="N1989" s="7" t="str">
        <f t="shared" si="6"/>
        <v/>
      </c>
      <c r="O1989" s="7" t="str">
        <f t="shared" si="7"/>
        <v/>
      </c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>
      <c r="A1990" s="5">
        <f>IFERROR(__xludf.DUMMYFUNCTION("""COMPUTED_VALUE"""),45845.0)</f>
        <v>45845</v>
      </c>
      <c r="B1990" s="6">
        <f>IFERROR(__xludf.DUMMYFUNCTION("""COMPUTED_VALUE"""),1526.6)</f>
        <v>1526.6</v>
      </c>
      <c r="C1990" s="6">
        <f>IFERROR(__xludf.DUMMYFUNCTION("""COMPUTED_VALUE"""),1544.8)</f>
        <v>1544.8</v>
      </c>
      <c r="D1990" s="6">
        <f>IFERROR(__xludf.DUMMYFUNCTION("""COMPUTED_VALUE"""),1525.0)</f>
        <v>1525</v>
      </c>
      <c r="E1990" s="6">
        <f>IFERROR(__xludf.DUMMYFUNCTION("""COMPUTED_VALUE"""),1541.5)</f>
        <v>1541.5</v>
      </c>
      <c r="F1990" s="7">
        <f>IFERROR(__xludf.DUMMYFUNCTION("""COMPUTED_VALUE"""),7251074.0)</f>
        <v>7251074</v>
      </c>
      <c r="G1990" s="7" t="str">
        <f>IFERROR(__xludf.DUMMYFUNCTION("""COMPUTED_VALUE"""),"RELIANCE.NS")</f>
        <v>RELIANCE.NS</v>
      </c>
      <c r="H1990" s="8">
        <f t="shared" si="1"/>
        <v>0.009760251539</v>
      </c>
      <c r="I1990" s="8">
        <f t="shared" si="2"/>
        <v>0.009760251539</v>
      </c>
      <c r="J1990" s="7" t="str">
        <f t="shared" si="3"/>
        <v>Jul-2025</v>
      </c>
      <c r="K1990" s="9">
        <f t="shared" si="4"/>
        <v>45839</v>
      </c>
      <c r="L1990" s="7" t="str">
        <f t="shared" si="5"/>
        <v/>
      </c>
      <c r="M1990" s="7" t="str">
        <f>IFERROR(__xludf.DUMMYFUNCTION("IFERROR(
  IF(
    F1990 &gt;
    3*AVERAGE(
       FILTER($F$2:$F10491,
         $G$2:$G10491=G1990,
         $A$2:$A10491&gt;=A1990-20,
         $A$2:$A10491&lt;=A1990
       )
    ),
    ""VOL_SPIKE_3X"",""""
  ),
"""")
"),"")</f>
        <v/>
      </c>
      <c r="N1990" s="7" t="str">
        <f t="shared" si="6"/>
        <v/>
      </c>
      <c r="O1990" s="7" t="str">
        <f t="shared" si="7"/>
        <v/>
      </c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>
      <c r="A1991" s="5">
        <f>IFERROR(__xludf.DUMMYFUNCTION("""COMPUTED_VALUE"""),45846.0)</f>
        <v>45846</v>
      </c>
      <c r="B1991" s="6">
        <f>IFERROR(__xludf.DUMMYFUNCTION("""COMPUTED_VALUE"""),886.0)</f>
        <v>886</v>
      </c>
      <c r="C1991" s="6">
        <f>IFERROR(__xludf.DUMMYFUNCTION("""COMPUTED_VALUE"""),892.5)</f>
        <v>892.5</v>
      </c>
      <c r="D1991" s="6">
        <f>IFERROR(__xludf.DUMMYFUNCTION("""COMPUTED_VALUE"""),876.0)</f>
        <v>876</v>
      </c>
      <c r="E1991" s="6">
        <f>IFERROR(__xludf.DUMMYFUNCTION("""COMPUTED_VALUE"""),881.25)</f>
        <v>881.25</v>
      </c>
      <c r="F1991" s="7">
        <f>IFERROR(__xludf.DUMMYFUNCTION("""COMPUTED_VALUE"""),2733928.0)</f>
        <v>2733928</v>
      </c>
      <c r="G1991" s="7" t="str">
        <f>IFERROR(__xludf.DUMMYFUNCTION("""COMPUTED_VALUE"""),"ADANIENSOL.NS")</f>
        <v>ADANIENSOL.NS</v>
      </c>
      <c r="H1991" s="8">
        <f t="shared" si="1"/>
        <v>-0.005361173815</v>
      </c>
      <c r="I1991" s="8">
        <f t="shared" si="2"/>
        <v>0.005361173815</v>
      </c>
      <c r="J1991" s="7" t="str">
        <f t="shared" si="3"/>
        <v>Jul-2025</v>
      </c>
      <c r="K1991" s="9">
        <f t="shared" si="4"/>
        <v>45839</v>
      </c>
      <c r="L1991" s="7" t="str">
        <f t="shared" si="5"/>
        <v/>
      </c>
      <c r="M1991" s="7" t="str">
        <f>IFERROR(__xludf.DUMMYFUNCTION("IFERROR(
  IF(
    F1991 &gt;
    3*AVERAGE(
       FILTER($F$2:$F10491,
         $G$2:$G10491=G1991,
         $A$2:$A10491&gt;=A1991-20,
         $A$2:$A10491&lt;=A1991
       )
    ),
    ""VOL_SPIKE_3X"",""""
  ),
"""")
"),"")</f>
        <v/>
      </c>
      <c r="N1991" s="7" t="str">
        <f t="shared" si="6"/>
        <v/>
      </c>
      <c r="O1991" s="7" t="str">
        <f t="shared" si="7"/>
        <v/>
      </c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>
      <c r="A1992" s="5">
        <f>IFERROR(__xludf.DUMMYFUNCTION("""COMPUTED_VALUE"""),45846.0)</f>
        <v>45846</v>
      </c>
      <c r="B1992" s="6">
        <f>IFERROR(__xludf.DUMMYFUNCTION("""COMPUTED_VALUE"""),991.8)</f>
        <v>991.8</v>
      </c>
      <c r="C1992" s="6">
        <f>IFERROR(__xludf.DUMMYFUNCTION("""COMPUTED_VALUE"""),1005.0)</f>
        <v>1005</v>
      </c>
      <c r="D1992" s="6">
        <f>IFERROR(__xludf.DUMMYFUNCTION("""COMPUTED_VALUE"""),981.3)</f>
        <v>981.3</v>
      </c>
      <c r="E1992" s="6">
        <f>IFERROR(__xludf.DUMMYFUNCTION("""COMPUTED_VALUE"""),992.0)</f>
        <v>992</v>
      </c>
      <c r="F1992" s="7">
        <f>IFERROR(__xludf.DUMMYFUNCTION("""COMPUTED_VALUE"""),1069668.0)</f>
        <v>1069668</v>
      </c>
      <c r="G1992" s="7" t="str">
        <f>IFERROR(__xludf.DUMMYFUNCTION("""COMPUTED_VALUE"""),"ADANIGREEN.NS")</f>
        <v>ADANIGREEN.NS</v>
      </c>
      <c r="H1992" s="8">
        <f t="shared" si="1"/>
        <v>0.0002016535592</v>
      </c>
      <c r="I1992" s="8">
        <f t="shared" si="2"/>
        <v>0.0002016535592</v>
      </c>
      <c r="J1992" s="7" t="str">
        <f t="shared" si="3"/>
        <v>Jul-2025</v>
      </c>
      <c r="K1992" s="9">
        <f t="shared" si="4"/>
        <v>45839</v>
      </c>
      <c r="L1992" s="7" t="str">
        <f t="shared" si="5"/>
        <v/>
      </c>
      <c r="M1992" s="7" t="str">
        <f>IFERROR(__xludf.DUMMYFUNCTION("IFERROR(
  IF(
    F1992 &gt;
    3*AVERAGE(
       FILTER($F$2:$F10491,
         $G$2:$G10491=G1992,
         $A$2:$A10491&gt;=A1992-20,
         $A$2:$A10491&lt;=A1992
       )
    ),
    ""VOL_SPIKE_3X"",""""
  ),
"""")
"),"")</f>
        <v/>
      </c>
      <c r="N1992" s="7" t="str">
        <f t="shared" si="6"/>
        <v/>
      </c>
      <c r="O1992" s="7" t="str">
        <f t="shared" si="7"/>
        <v/>
      </c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>
      <c r="A1993" s="5">
        <f>IFERROR(__xludf.DUMMYFUNCTION("""COMPUTED_VALUE"""),45846.0)</f>
        <v>45846</v>
      </c>
      <c r="B1993" s="6">
        <f>IFERROR(__xludf.DUMMYFUNCTION("""COMPUTED_VALUE"""),350.0)</f>
        <v>350</v>
      </c>
      <c r="C1993" s="6">
        <f>IFERROR(__xludf.DUMMYFUNCTION("""COMPUTED_VALUE"""),358.65)</f>
        <v>358.65</v>
      </c>
      <c r="D1993" s="6">
        <f>IFERROR(__xludf.DUMMYFUNCTION("""COMPUTED_VALUE"""),348.7)</f>
        <v>348.7</v>
      </c>
      <c r="E1993" s="6">
        <f>IFERROR(__xludf.DUMMYFUNCTION("""COMPUTED_VALUE"""),355.6)</f>
        <v>355.6</v>
      </c>
      <c r="F1993" s="7">
        <f>IFERROR(__xludf.DUMMYFUNCTION("""COMPUTED_VALUE"""),1.2905482E7)</f>
        <v>12905482</v>
      </c>
      <c r="G1993" s="7" t="str">
        <f>IFERROR(__xludf.DUMMYFUNCTION("""COMPUTED_VALUE"""),"BPCL.NS")</f>
        <v>BPCL.NS</v>
      </c>
      <c r="H1993" s="8">
        <f t="shared" si="1"/>
        <v>0.016</v>
      </c>
      <c r="I1993" s="8">
        <f t="shared" si="2"/>
        <v>0.016</v>
      </c>
      <c r="J1993" s="7" t="str">
        <f t="shared" si="3"/>
        <v>Jul-2025</v>
      </c>
      <c r="K1993" s="9">
        <f t="shared" si="4"/>
        <v>45839</v>
      </c>
      <c r="L1993" s="7" t="str">
        <f t="shared" si="5"/>
        <v/>
      </c>
      <c r="M1993" s="7" t="str">
        <f>IFERROR(__xludf.DUMMYFUNCTION("IFERROR(
  IF(
    F1993 &gt;
    3*AVERAGE(
       FILTER($F$2:$F10491,
         $G$2:$G10491=G1993,
         $A$2:$A10491&gt;=A1993-20,
         $A$2:$A10491&lt;=A1993
       )
    ),
    ""VOL_SPIKE_3X"",""""
  ),
"""")
"),"")</f>
        <v/>
      </c>
      <c r="N1993" s="7" t="str">
        <f t="shared" si="6"/>
        <v/>
      </c>
      <c r="O1993" s="7" t="str">
        <f t="shared" si="7"/>
        <v/>
      </c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>
      <c r="A1994" s="5">
        <f>IFERROR(__xludf.DUMMYFUNCTION("""COMPUTED_VALUE"""),45846.0)</f>
        <v>45846</v>
      </c>
      <c r="B1994" s="6">
        <f>IFERROR(__xludf.DUMMYFUNCTION("""COMPUTED_VALUE"""),384.95)</f>
        <v>384.95</v>
      </c>
      <c r="C1994" s="6">
        <f>IFERROR(__xludf.DUMMYFUNCTION("""COMPUTED_VALUE"""),385.5)</f>
        <v>385.5</v>
      </c>
      <c r="D1994" s="6">
        <f>IFERROR(__xludf.DUMMYFUNCTION("""COMPUTED_VALUE"""),382.3)</f>
        <v>382.3</v>
      </c>
      <c r="E1994" s="6">
        <f>IFERROR(__xludf.DUMMYFUNCTION("""COMPUTED_VALUE"""),382.85)</f>
        <v>382.85</v>
      </c>
      <c r="F1994" s="7">
        <f>IFERROR(__xludf.DUMMYFUNCTION("""COMPUTED_VALUE"""),5231160.0)</f>
        <v>5231160</v>
      </c>
      <c r="G1994" s="7" t="str">
        <f>IFERROR(__xludf.DUMMYFUNCTION("""COMPUTED_VALUE"""),"COALINDIA.NS")</f>
        <v>COALINDIA.NS</v>
      </c>
      <c r="H1994" s="8">
        <f t="shared" si="1"/>
        <v>-0.005455253929</v>
      </c>
      <c r="I1994" s="8">
        <f t="shared" si="2"/>
        <v>0.005455253929</v>
      </c>
      <c r="J1994" s="7" t="str">
        <f t="shared" si="3"/>
        <v>Jul-2025</v>
      </c>
      <c r="K1994" s="9">
        <f t="shared" si="4"/>
        <v>45839</v>
      </c>
      <c r="L1994" s="7" t="str">
        <f t="shared" si="5"/>
        <v/>
      </c>
      <c r="M1994" s="7" t="str">
        <f>IFERROR(__xludf.DUMMYFUNCTION("IFERROR(
  IF(
    F1994 &gt;
    3*AVERAGE(
       FILTER($F$2:$F10491,
         $G$2:$G10491=G1994,
         $A$2:$A10491&gt;=A1994-20,
         $A$2:$A10491&lt;=A1994
       )
    ),
    ""VOL_SPIKE_3X"",""""
  ),
"""")
"),"")</f>
        <v/>
      </c>
      <c r="N1994" s="7" t="str">
        <f t="shared" si="6"/>
        <v/>
      </c>
      <c r="O1994" s="7" t="str">
        <f t="shared" si="7"/>
        <v/>
      </c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>
      <c r="A1995" s="5">
        <f>IFERROR(__xludf.DUMMYFUNCTION("""COMPUTED_VALUE"""),45846.0)</f>
        <v>45846</v>
      </c>
      <c r="B1995" s="6">
        <f>IFERROR(__xludf.DUMMYFUNCTION("""COMPUTED_VALUE"""),447.0)</f>
        <v>447</v>
      </c>
      <c r="C1995" s="6">
        <f>IFERROR(__xludf.DUMMYFUNCTION("""COMPUTED_VALUE"""),455.0)</f>
        <v>455</v>
      </c>
      <c r="D1995" s="6">
        <f>IFERROR(__xludf.DUMMYFUNCTION("""COMPUTED_VALUE"""),444.7)</f>
        <v>444.7</v>
      </c>
      <c r="E1995" s="6">
        <f>IFERROR(__xludf.DUMMYFUNCTION("""COMPUTED_VALUE"""),452.7)</f>
        <v>452.7</v>
      </c>
      <c r="F1995" s="7">
        <f>IFERROR(__xludf.DUMMYFUNCTION("""COMPUTED_VALUE"""),3860453.0)</f>
        <v>3860453</v>
      </c>
      <c r="G1995" s="7" t="str">
        <f>IFERROR(__xludf.DUMMYFUNCTION("""COMPUTED_VALUE"""),"HINDPETRO.NS")</f>
        <v>HINDPETRO.NS</v>
      </c>
      <c r="H1995" s="8">
        <f t="shared" si="1"/>
        <v>0.01275167785</v>
      </c>
      <c r="I1995" s="8">
        <f t="shared" si="2"/>
        <v>0.01275167785</v>
      </c>
      <c r="J1995" s="7" t="str">
        <f t="shared" si="3"/>
        <v>Jul-2025</v>
      </c>
      <c r="K1995" s="9">
        <f t="shared" si="4"/>
        <v>45839</v>
      </c>
      <c r="L1995" s="7" t="str">
        <f t="shared" si="5"/>
        <v/>
      </c>
      <c r="M1995" s="7" t="str">
        <f>IFERROR(__xludf.DUMMYFUNCTION("IFERROR(
  IF(
    F1995 &gt;
    3*AVERAGE(
       FILTER($F$2:$F10491,
         $G$2:$G10491=G1995,
         $A$2:$A10491&gt;=A1995-20,
         $A$2:$A10491&lt;=A1995
       )
    ),
    ""VOL_SPIKE_3X"",""""
  ),
"""")
"),"")</f>
        <v/>
      </c>
      <c r="N1995" s="7" t="str">
        <f t="shared" si="6"/>
        <v/>
      </c>
      <c r="O1995" s="7" t="str">
        <f t="shared" si="7"/>
        <v/>
      </c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>
      <c r="A1996" s="5">
        <f>IFERROR(__xludf.DUMMYFUNCTION("""COMPUTED_VALUE"""),45846.0)</f>
        <v>45846</v>
      </c>
      <c r="B1996" s="6">
        <f>IFERROR(__xludf.DUMMYFUNCTION("""COMPUTED_VALUE"""),154.8)</f>
        <v>154.8</v>
      </c>
      <c r="C1996" s="6">
        <f>IFERROR(__xludf.DUMMYFUNCTION("""COMPUTED_VALUE"""),154.97)</f>
        <v>154.97</v>
      </c>
      <c r="D1996" s="6">
        <f>IFERROR(__xludf.DUMMYFUNCTION("""COMPUTED_VALUE"""),152.83)</f>
        <v>152.83</v>
      </c>
      <c r="E1996" s="6">
        <f>IFERROR(__xludf.DUMMYFUNCTION("""COMPUTED_VALUE"""),153.82)</f>
        <v>153.82</v>
      </c>
      <c r="F1996" s="7">
        <f>IFERROR(__xludf.DUMMYFUNCTION("""COMPUTED_VALUE"""),1.3876094E7)</f>
        <v>13876094</v>
      </c>
      <c r="G1996" s="7" t="str">
        <f>IFERROR(__xludf.DUMMYFUNCTION("""COMPUTED_VALUE"""),"IOC.NS")</f>
        <v>IOC.NS</v>
      </c>
      <c r="H1996" s="8">
        <f t="shared" si="1"/>
        <v>-0.006330749354</v>
      </c>
      <c r="I1996" s="8">
        <f t="shared" si="2"/>
        <v>0.006330749354</v>
      </c>
      <c r="J1996" s="7" t="str">
        <f t="shared" si="3"/>
        <v>Jul-2025</v>
      </c>
      <c r="K1996" s="9">
        <f t="shared" si="4"/>
        <v>45839</v>
      </c>
      <c r="L1996" s="7" t="str">
        <f t="shared" si="5"/>
        <v/>
      </c>
      <c r="M1996" s="7" t="str">
        <f>IFERROR(__xludf.DUMMYFUNCTION("IFERROR(
  IF(
    F1996 &gt;
    3*AVERAGE(
       FILTER($F$2:$F10491,
         $G$2:$G10491=G1996,
         $A$2:$A10491&gt;=A1996-20,
         $A$2:$A10491&lt;=A1996
       )
    ),
    ""VOL_SPIKE_3X"",""""
  ),
"""")
"),"")</f>
        <v/>
      </c>
      <c r="N1996" s="7" t="str">
        <f t="shared" si="6"/>
        <v/>
      </c>
      <c r="O1996" s="7" t="str">
        <f t="shared" si="7"/>
        <v/>
      </c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>
      <c r="A1997" s="5">
        <f>IFERROR(__xludf.DUMMYFUNCTION("""COMPUTED_VALUE"""),45846.0)</f>
        <v>45846</v>
      </c>
      <c r="B1997" s="6">
        <f>IFERROR(__xludf.DUMMYFUNCTION("""COMPUTED_VALUE"""),338.2)</f>
        <v>338.2</v>
      </c>
      <c r="C1997" s="6">
        <f>IFERROR(__xludf.DUMMYFUNCTION("""COMPUTED_VALUE"""),343.9)</f>
        <v>343.9</v>
      </c>
      <c r="D1997" s="6">
        <f>IFERROR(__xludf.DUMMYFUNCTION("""COMPUTED_VALUE"""),337.0)</f>
        <v>337</v>
      </c>
      <c r="E1997" s="6">
        <f>IFERROR(__xludf.DUMMYFUNCTION("""COMPUTED_VALUE"""),343.2)</f>
        <v>343.2</v>
      </c>
      <c r="F1997" s="7">
        <f>IFERROR(__xludf.DUMMYFUNCTION("""COMPUTED_VALUE"""),1.2092302E7)</f>
        <v>12092302</v>
      </c>
      <c r="G1997" s="7" t="str">
        <f>IFERROR(__xludf.DUMMYFUNCTION("""COMPUTED_VALUE"""),"NTPC.NS")</f>
        <v>NTPC.NS</v>
      </c>
      <c r="H1997" s="8">
        <f t="shared" si="1"/>
        <v>0.01478415139</v>
      </c>
      <c r="I1997" s="8">
        <f t="shared" si="2"/>
        <v>0.01478415139</v>
      </c>
      <c r="J1997" s="7" t="str">
        <f t="shared" si="3"/>
        <v>Jul-2025</v>
      </c>
      <c r="K1997" s="9">
        <f t="shared" si="4"/>
        <v>45839</v>
      </c>
      <c r="L1997" s="7" t="str">
        <f t="shared" si="5"/>
        <v/>
      </c>
      <c r="M1997" s="7" t="str">
        <f>IFERROR(__xludf.DUMMYFUNCTION("IFERROR(
  IF(
    F1997 &gt;
    3*AVERAGE(
       FILTER($F$2:$F10491,
         $G$2:$G10491=G1997,
         $A$2:$A10491&gt;=A1997-20,
         $A$2:$A10491&lt;=A1997
       )
    ),
    ""VOL_SPIKE_3X"",""""
  ),
"""")
"),"")</f>
        <v/>
      </c>
      <c r="N1997" s="7" t="str">
        <f t="shared" si="6"/>
        <v/>
      </c>
      <c r="O1997" s="7" t="str">
        <f t="shared" si="7"/>
        <v/>
      </c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>
      <c r="A1998" s="5">
        <f>IFERROR(__xludf.DUMMYFUNCTION("""COMPUTED_VALUE"""),45846.0)</f>
        <v>45846</v>
      </c>
      <c r="B1998" s="6">
        <f>IFERROR(__xludf.DUMMYFUNCTION("""COMPUTED_VALUE"""),242.41)</f>
        <v>242.41</v>
      </c>
      <c r="C1998" s="6">
        <f>IFERROR(__xludf.DUMMYFUNCTION("""COMPUTED_VALUE"""),243.7)</f>
        <v>243.7</v>
      </c>
      <c r="D1998" s="6">
        <f>IFERROR(__xludf.DUMMYFUNCTION("""COMPUTED_VALUE"""),240.65)</f>
        <v>240.65</v>
      </c>
      <c r="E1998" s="6">
        <f>IFERROR(__xludf.DUMMYFUNCTION("""COMPUTED_VALUE"""),243.24)</f>
        <v>243.24</v>
      </c>
      <c r="F1998" s="7">
        <f>IFERROR(__xludf.DUMMYFUNCTION("""COMPUTED_VALUE"""),7537067.0)</f>
        <v>7537067</v>
      </c>
      <c r="G1998" s="7" t="str">
        <f>IFERROR(__xludf.DUMMYFUNCTION("""COMPUTED_VALUE"""),"ONGC.NS")</f>
        <v>ONGC.NS</v>
      </c>
      <c r="H1998" s="8">
        <f t="shared" si="1"/>
        <v>0.003423951157</v>
      </c>
      <c r="I1998" s="8">
        <f t="shared" si="2"/>
        <v>0.003423951157</v>
      </c>
      <c r="J1998" s="7" t="str">
        <f t="shared" si="3"/>
        <v>Jul-2025</v>
      </c>
      <c r="K1998" s="9">
        <f t="shared" si="4"/>
        <v>45839</v>
      </c>
      <c r="L1998" s="7" t="str">
        <f t="shared" si="5"/>
        <v/>
      </c>
      <c r="M1998" s="7" t="str">
        <f>IFERROR(__xludf.DUMMYFUNCTION("IFERROR(
  IF(
    F1998 &gt;
    3*AVERAGE(
       FILTER($F$2:$F10491,
         $G$2:$G10491=G1998,
         $A$2:$A10491&gt;=A1998-20,
         $A$2:$A10491&lt;=A1998
       )
    ),
    ""VOL_SPIKE_3X"",""""
  ),
"""")
"),"")</f>
        <v/>
      </c>
      <c r="N1998" s="7" t="str">
        <f t="shared" si="6"/>
        <v/>
      </c>
      <c r="O1998" s="7" t="str">
        <f t="shared" si="7"/>
        <v/>
      </c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>
      <c r="A1999" s="5">
        <f>IFERROR(__xludf.DUMMYFUNCTION("""COMPUTED_VALUE"""),45846.0)</f>
        <v>45846</v>
      </c>
      <c r="B1999" s="6">
        <f>IFERROR(__xludf.DUMMYFUNCTION("""COMPUTED_VALUE"""),294.15)</f>
        <v>294.15</v>
      </c>
      <c r="C1999" s="6">
        <f>IFERROR(__xludf.DUMMYFUNCTION("""COMPUTED_VALUE"""),298.4)</f>
        <v>298.4</v>
      </c>
      <c r="D1999" s="6">
        <f>IFERROR(__xludf.DUMMYFUNCTION("""COMPUTED_VALUE"""),293.05)</f>
        <v>293.05</v>
      </c>
      <c r="E1999" s="6">
        <f>IFERROR(__xludf.DUMMYFUNCTION("""COMPUTED_VALUE"""),297.75)</f>
        <v>297.75</v>
      </c>
      <c r="F1999" s="7">
        <f>IFERROR(__xludf.DUMMYFUNCTION("""COMPUTED_VALUE"""),6254288.0)</f>
        <v>6254288</v>
      </c>
      <c r="G1999" s="7" t="str">
        <f>IFERROR(__xludf.DUMMYFUNCTION("""COMPUTED_VALUE"""),"POWERGRID.NS")</f>
        <v>POWERGRID.NS</v>
      </c>
      <c r="H1999" s="8">
        <f t="shared" si="1"/>
        <v>0.01223865375</v>
      </c>
      <c r="I1999" s="8">
        <f t="shared" si="2"/>
        <v>0.01223865375</v>
      </c>
      <c r="J1999" s="7" t="str">
        <f t="shared" si="3"/>
        <v>Jul-2025</v>
      </c>
      <c r="K1999" s="9">
        <f t="shared" si="4"/>
        <v>45839</v>
      </c>
      <c r="L1999" s="7" t="str">
        <f t="shared" si="5"/>
        <v/>
      </c>
      <c r="M1999" s="7" t="str">
        <f>IFERROR(__xludf.DUMMYFUNCTION("IFERROR(
  IF(
    F1999 &gt;
    3*AVERAGE(
       FILTER($F$2:$F10491,
         $G$2:$G10491=G1999,
         $A$2:$A10491&gt;=A1999-20,
         $A$2:$A10491&lt;=A1999
       )
    ),
    ""VOL_SPIKE_3X"",""""
  ),
"""")
"),"")</f>
        <v/>
      </c>
      <c r="N1999" s="7" t="str">
        <f t="shared" si="6"/>
        <v/>
      </c>
      <c r="O1999" s="7" t="str">
        <f t="shared" si="7"/>
        <v/>
      </c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>
      <c r="A2000" s="5">
        <f>IFERROR(__xludf.DUMMYFUNCTION("""COMPUTED_VALUE"""),45846.0)</f>
        <v>45846</v>
      </c>
      <c r="B2000" s="6">
        <f>IFERROR(__xludf.DUMMYFUNCTION("""COMPUTED_VALUE"""),1536.0)</f>
        <v>1536</v>
      </c>
      <c r="C2000" s="6">
        <f>IFERROR(__xludf.DUMMYFUNCTION("""COMPUTED_VALUE"""),1544.9)</f>
        <v>1544.9</v>
      </c>
      <c r="D2000" s="6">
        <f>IFERROR(__xludf.DUMMYFUNCTION("""COMPUTED_VALUE"""),1530.2)</f>
        <v>1530.2</v>
      </c>
      <c r="E2000" s="6">
        <f>IFERROR(__xludf.DUMMYFUNCTION("""COMPUTED_VALUE"""),1537.6)</f>
        <v>1537.6</v>
      </c>
      <c r="F2000" s="7">
        <f>IFERROR(__xludf.DUMMYFUNCTION("""COMPUTED_VALUE"""),7171261.0)</f>
        <v>7171261</v>
      </c>
      <c r="G2000" s="7" t="str">
        <f>IFERROR(__xludf.DUMMYFUNCTION("""COMPUTED_VALUE"""),"RELIANCE.NS")</f>
        <v>RELIANCE.NS</v>
      </c>
      <c r="H2000" s="8">
        <f t="shared" si="1"/>
        <v>0.001041666667</v>
      </c>
      <c r="I2000" s="8">
        <f t="shared" si="2"/>
        <v>0.001041666667</v>
      </c>
      <c r="J2000" s="7" t="str">
        <f t="shared" si="3"/>
        <v>Jul-2025</v>
      </c>
      <c r="K2000" s="9">
        <f t="shared" si="4"/>
        <v>45839</v>
      </c>
      <c r="L2000" s="7" t="str">
        <f t="shared" si="5"/>
        <v/>
      </c>
      <c r="M2000" s="7" t="str">
        <f>IFERROR(__xludf.DUMMYFUNCTION("IFERROR(
  IF(
    F2000 &gt;
    3*AVERAGE(
       FILTER($F$2:$F10491,
         $G$2:$G10491=G2000,
         $A$2:$A10491&gt;=A2000-20,
         $A$2:$A10491&lt;=A2000
       )
    ),
    ""VOL_SPIKE_3X"",""""
  ),
"""")
"),"")</f>
        <v/>
      </c>
      <c r="N2000" s="7" t="str">
        <f t="shared" si="6"/>
        <v/>
      </c>
      <c r="O2000" s="7" t="str">
        <f t="shared" si="7"/>
        <v/>
      </c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>
      <c r="A2001" s="5">
        <f>IFERROR(__xludf.DUMMYFUNCTION("""COMPUTED_VALUE"""),45847.0)</f>
        <v>45847</v>
      </c>
      <c r="B2001" s="6">
        <f>IFERROR(__xludf.DUMMYFUNCTION("""COMPUTED_VALUE"""),886.7)</f>
        <v>886.7</v>
      </c>
      <c r="C2001" s="6">
        <f>IFERROR(__xludf.DUMMYFUNCTION("""COMPUTED_VALUE"""),904.5)</f>
        <v>904.5</v>
      </c>
      <c r="D2001" s="6">
        <f>IFERROR(__xludf.DUMMYFUNCTION("""COMPUTED_VALUE"""),885.55)</f>
        <v>885.55</v>
      </c>
      <c r="E2001" s="6">
        <f>IFERROR(__xludf.DUMMYFUNCTION("""COMPUTED_VALUE"""),890.15)</f>
        <v>890.15</v>
      </c>
      <c r="F2001" s="7">
        <f>IFERROR(__xludf.DUMMYFUNCTION("""COMPUTED_VALUE"""),3094384.0)</f>
        <v>3094384</v>
      </c>
      <c r="G2001" s="7" t="str">
        <f>IFERROR(__xludf.DUMMYFUNCTION("""COMPUTED_VALUE"""),"ADANIENSOL.NS")</f>
        <v>ADANIENSOL.NS</v>
      </c>
      <c r="H2001" s="8">
        <f t="shared" si="1"/>
        <v>0.003890831172</v>
      </c>
      <c r="I2001" s="8">
        <f t="shared" si="2"/>
        <v>0.003890831172</v>
      </c>
      <c r="J2001" s="7" t="str">
        <f t="shared" si="3"/>
        <v>Jul-2025</v>
      </c>
      <c r="K2001" s="9">
        <f t="shared" si="4"/>
        <v>45839</v>
      </c>
      <c r="L2001" s="7" t="str">
        <f t="shared" si="5"/>
        <v/>
      </c>
      <c r="M2001" s="7" t="str">
        <f>IFERROR(__xludf.DUMMYFUNCTION("IFERROR(
  IF(
    F2001 &gt;
    3*AVERAGE(
       FILTER($F$2:$F10491,
         $G$2:$G10491=G2001,
         $A$2:$A10491&gt;=A2001-20,
         $A$2:$A10491&lt;=A2001
       )
    ),
    ""VOL_SPIKE_3X"",""""
  ),
"""")
"),"")</f>
        <v/>
      </c>
      <c r="N2001" s="7" t="str">
        <f t="shared" si="6"/>
        <v/>
      </c>
      <c r="O2001" s="7" t="str">
        <f t="shared" si="7"/>
        <v/>
      </c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>
      <c r="A2002" s="5">
        <f>IFERROR(__xludf.DUMMYFUNCTION("""COMPUTED_VALUE"""),45847.0)</f>
        <v>45847</v>
      </c>
      <c r="B2002" s="6">
        <f>IFERROR(__xludf.DUMMYFUNCTION("""COMPUTED_VALUE"""),997.1)</f>
        <v>997.1</v>
      </c>
      <c r="C2002" s="6">
        <f>IFERROR(__xludf.DUMMYFUNCTION("""COMPUTED_VALUE"""),1011.0)</f>
        <v>1011</v>
      </c>
      <c r="D2002" s="6">
        <f>IFERROR(__xludf.DUMMYFUNCTION("""COMPUTED_VALUE"""),993.2)</f>
        <v>993.2</v>
      </c>
      <c r="E2002" s="6">
        <f>IFERROR(__xludf.DUMMYFUNCTION("""COMPUTED_VALUE"""),995.2)</f>
        <v>995.2</v>
      </c>
      <c r="F2002" s="7">
        <f>IFERROR(__xludf.DUMMYFUNCTION("""COMPUTED_VALUE"""),1480019.0)</f>
        <v>1480019</v>
      </c>
      <c r="G2002" s="7" t="str">
        <f>IFERROR(__xludf.DUMMYFUNCTION("""COMPUTED_VALUE"""),"ADANIGREEN.NS")</f>
        <v>ADANIGREEN.NS</v>
      </c>
      <c r="H2002" s="8">
        <f t="shared" si="1"/>
        <v>-0.001905526025</v>
      </c>
      <c r="I2002" s="8">
        <f t="shared" si="2"/>
        <v>0.001905526025</v>
      </c>
      <c r="J2002" s="7" t="str">
        <f t="shared" si="3"/>
        <v>Jul-2025</v>
      </c>
      <c r="K2002" s="9">
        <f t="shared" si="4"/>
        <v>45839</v>
      </c>
      <c r="L2002" s="7" t="str">
        <f t="shared" si="5"/>
        <v/>
      </c>
      <c r="M2002" s="7" t="str">
        <f>IFERROR(__xludf.DUMMYFUNCTION("IFERROR(
  IF(
    F2002 &gt;
    3*AVERAGE(
       FILTER($F$2:$F10491,
         $G$2:$G10491=G2002,
         $A$2:$A10491&gt;=A2002-20,
         $A$2:$A10491&lt;=A2002
       )
    ),
    ""VOL_SPIKE_3X"",""""
  ),
"""")
"),"")</f>
        <v/>
      </c>
      <c r="N2002" s="7" t="str">
        <f t="shared" si="6"/>
        <v/>
      </c>
      <c r="O2002" s="7" t="str">
        <f t="shared" si="7"/>
        <v/>
      </c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>
      <c r="A2003" s="5">
        <f>IFERROR(__xludf.DUMMYFUNCTION("""COMPUTED_VALUE"""),45847.0)</f>
        <v>45847</v>
      </c>
      <c r="B2003" s="6">
        <f>IFERROR(__xludf.DUMMYFUNCTION("""COMPUTED_VALUE"""),355.6)</f>
        <v>355.6</v>
      </c>
      <c r="C2003" s="6">
        <f>IFERROR(__xludf.DUMMYFUNCTION("""COMPUTED_VALUE"""),356.35)</f>
        <v>356.35</v>
      </c>
      <c r="D2003" s="6">
        <f>IFERROR(__xludf.DUMMYFUNCTION("""COMPUTED_VALUE"""),347.65)</f>
        <v>347.65</v>
      </c>
      <c r="E2003" s="6">
        <f>IFERROR(__xludf.DUMMYFUNCTION("""COMPUTED_VALUE"""),348.5)</f>
        <v>348.5</v>
      </c>
      <c r="F2003" s="7">
        <f>IFERROR(__xludf.DUMMYFUNCTION("""COMPUTED_VALUE"""),8039090.0)</f>
        <v>8039090</v>
      </c>
      <c r="G2003" s="7" t="str">
        <f>IFERROR(__xludf.DUMMYFUNCTION("""COMPUTED_VALUE"""),"BPCL.NS")</f>
        <v>BPCL.NS</v>
      </c>
      <c r="H2003" s="8">
        <f t="shared" si="1"/>
        <v>-0.01996625422</v>
      </c>
      <c r="I2003" s="8">
        <f t="shared" si="2"/>
        <v>0.01996625422</v>
      </c>
      <c r="J2003" s="7" t="str">
        <f t="shared" si="3"/>
        <v>Jul-2025</v>
      </c>
      <c r="K2003" s="9">
        <f t="shared" si="4"/>
        <v>45839</v>
      </c>
      <c r="L2003" s="7" t="str">
        <f t="shared" si="5"/>
        <v/>
      </c>
      <c r="M2003" s="7" t="str">
        <f>IFERROR(__xludf.DUMMYFUNCTION("IFERROR(
  IF(
    F2003 &gt;
    3*AVERAGE(
       FILTER($F$2:$F10491,
         $G$2:$G10491=G2003,
         $A$2:$A10491&gt;=A2003-20,
         $A$2:$A10491&lt;=A2003
       )
    ),
    ""VOL_SPIKE_3X"",""""
  ),
"""")
"),"")</f>
        <v/>
      </c>
      <c r="N2003" s="7" t="str">
        <f t="shared" si="6"/>
        <v/>
      </c>
      <c r="O2003" s="7" t="str">
        <f t="shared" si="7"/>
        <v/>
      </c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>
      <c r="A2004" s="5">
        <f>IFERROR(__xludf.DUMMYFUNCTION("""COMPUTED_VALUE"""),45847.0)</f>
        <v>45847</v>
      </c>
      <c r="B2004" s="6">
        <f>IFERROR(__xludf.DUMMYFUNCTION("""COMPUTED_VALUE"""),383.05)</f>
        <v>383.05</v>
      </c>
      <c r="C2004" s="6">
        <f>IFERROR(__xludf.DUMMYFUNCTION("""COMPUTED_VALUE"""),388.15)</f>
        <v>388.15</v>
      </c>
      <c r="D2004" s="6">
        <f>IFERROR(__xludf.DUMMYFUNCTION("""COMPUTED_VALUE"""),382.85)</f>
        <v>382.85</v>
      </c>
      <c r="E2004" s="6">
        <f>IFERROR(__xludf.DUMMYFUNCTION("""COMPUTED_VALUE"""),387.45)</f>
        <v>387.45</v>
      </c>
      <c r="F2004" s="7">
        <f>IFERROR(__xludf.DUMMYFUNCTION("""COMPUTED_VALUE"""),4497121.0)</f>
        <v>4497121</v>
      </c>
      <c r="G2004" s="7" t="str">
        <f>IFERROR(__xludf.DUMMYFUNCTION("""COMPUTED_VALUE"""),"COALINDIA.NS")</f>
        <v>COALINDIA.NS</v>
      </c>
      <c r="H2004" s="8">
        <f t="shared" si="1"/>
        <v>0.01148675108</v>
      </c>
      <c r="I2004" s="8">
        <f t="shared" si="2"/>
        <v>0.01148675108</v>
      </c>
      <c r="J2004" s="7" t="str">
        <f t="shared" si="3"/>
        <v>Jul-2025</v>
      </c>
      <c r="K2004" s="9">
        <f t="shared" si="4"/>
        <v>45839</v>
      </c>
      <c r="L2004" s="7" t="str">
        <f t="shared" si="5"/>
        <v/>
      </c>
      <c r="M2004" s="7" t="str">
        <f>IFERROR(__xludf.DUMMYFUNCTION("IFERROR(
  IF(
    F2004 &gt;
    3*AVERAGE(
       FILTER($F$2:$F10491,
         $G$2:$G10491=G2004,
         $A$2:$A10491&gt;=A2004-20,
         $A$2:$A10491&lt;=A2004
       )
    ),
    ""VOL_SPIKE_3X"",""""
  ),
"""")
"),"")</f>
        <v/>
      </c>
      <c r="N2004" s="7" t="str">
        <f t="shared" si="6"/>
        <v/>
      </c>
      <c r="O2004" s="7" t="str">
        <f t="shared" si="7"/>
        <v/>
      </c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>
      <c r="A2005" s="5">
        <f>IFERROR(__xludf.DUMMYFUNCTION("""COMPUTED_VALUE"""),45847.0)</f>
        <v>45847</v>
      </c>
      <c r="B2005" s="6">
        <f>IFERROR(__xludf.DUMMYFUNCTION("""COMPUTED_VALUE"""),453.0)</f>
        <v>453</v>
      </c>
      <c r="C2005" s="6">
        <f>IFERROR(__xludf.DUMMYFUNCTION("""COMPUTED_VALUE"""),454.65)</f>
        <v>454.65</v>
      </c>
      <c r="D2005" s="6">
        <f>IFERROR(__xludf.DUMMYFUNCTION("""COMPUTED_VALUE"""),442.65)</f>
        <v>442.65</v>
      </c>
      <c r="E2005" s="6">
        <f>IFERROR(__xludf.DUMMYFUNCTION("""COMPUTED_VALUE"""),445.45)</f>
        <v>445.45</v>
      </c>
      <c r="F2005" s="7">
        <f>IFERROR(__xludf.DUMMYFUNCTION("""COMPUTED_VALUE"""),5207942.0)</f>
        <v>5207942</v>
      </c>
      <c r="G2005" s="7" t="str">
        <f>IFERROR(__xludf.DUMMYFUNCTION("""COMPUTED_VALUE"""),"HINDPETRO.NS")</f>
        <v>HINDPETRO.NS</v>
      </c>
      <c r="H2005" s="8">
        <f t="shared" si="1"/>
        <v>-0.01666666667</v>
      </c>
      <c r="I2005" s="8">
        <f t="shared" si="2"/>
        <v>0.01666666667</v>
      </c>
      <c r="J2005" s="7" t="str">
        <f t="shared" si="3"/>
        <v>Jul-2025</v>
      </c>
      <c r="K2005" s="9">
        <f t="shared" si="4"/>
        <v>45839</v>
      </c>
      <c r="L2005" s="7" t="str">
        <f t="shared" si="5"/>
        <v/>
      </c>
      <c r="M2005" s="7" t="str">
        <f>IFERROR(__xludf.DUMMYFUNCTION("IFERROR(
  IF(
    F2005 &gt;
    3*AVERAGE(
       FILTER($F$2:$F10491,
         $G$2:$G10491=G2005,
         $A$2:$A10491&gt;=A2005-20,
         $A$2:$A10491&lt;=A2005
       )
    ),
    ""VOL_SPIKE_3X"",""""
  ),
"""")
"),"")</f>
        <v/>
      </c>
      <c r="N2005" s="7" t="str">
        <f t="shared" si="6"/>
        <v/>
      </c>
      <c r="O2005" s="7" t="str">
        <f t="shared" si="7"/>
        <v/>
      </c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>
      <c r="A2006" s="5">
        <f>IFERROR(__xludf.DUMMYFUNCTION("""COMPUTED_VALUE"""),45847.0)</f>
        <v>45847</v>
      </c>
      <c r="B2006" s="6">
        <f>IFERROR(__xludf.DUMMYFUNCTION("""COMPUTED_VALUE"""),153.46)</f>
        <v>153.46</v>
      </c>
      <c r="C2006" s="6">
        <f>IFERROR(__xludf.DUMMYFUNCTION("""COMPUTED_VALUE"""),153.73)</f>
        <v>153.73</v>
      </c>
      <c r="D2006" s="6">
        <f>IFERROR(__xludf.DUMMYFUNCTION("""COMPUTED_VALUE"""),150.09)</f>
        <v>150.09</v>
      </c>
      <c r="E2006" s="6">
        <f>IFERROR(__xludf.DUMMYFUNCTION("""COMPUTED_VALUE"""),150.25)</f>
        <v>150.25</v>
      </c>
      <c r="F2006" s="7">
        <f>IFERROR(__xludf.DUMMYFUNCTION("""COMPUTED_VALUE"""),1.244015E7)</f>
        <v>12440150</v>
      </c>
      <c r="G2006" s="7" t="str">
        <f>IFERROR(__xludf.DUMMYFUNCTION("""COMPUTED_VALUE"""),"IOC.NS")</f>
        <v>IOC.NS</v>
      </c>
      <c r="H2006" s="8">
        <f t="shared" si="1"/>
        <v>-0.02091750293</v>
      </c>
      <c r="I2006" s="8">
        <f t="shared" si="2"/>
        <v>0.02091750293</v>
      </c>
      <c r="J2006" s="7" t="str">
        <f t="shared" si="3"/>
        <v>Jul-2025</v>
      </c>
      <c r="K2006" s="9">
        <f t="shared" si="4"/>
        <v>45839</v>
      </c>
      <c r="L2006" s="7" t="str">
        <f t="shared" si="5"/>
        <v/>
      </c>
      <c r="M2006" s="7" t="str">
        <f>IFERROR(__xludf.DUMMYFUNCTION("IFERROR(
  IF(
    F2006 &gt;
    3*AVERAGE(
       FILTER($F$2:$F10491,
         $G$2:$G10491=G2006,
         $A$2:$A10491&gt;=A2006-20,
         $A$2:$A10491&lt;=A2006
       )
    ),
    ""VOL_SPIKE_3X"",""""
  ),
"""")
"),"")</f>
        <v/>
      </c>
      <c r="N2006" s="7" t="str">
        <f t="shared" si="6"/>
        <v/>
      </c>
      <c r="O2006" s="7" t="str">
        <f t="shared" si="7"/>
        <v/>
      </c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>
      <c r="A2007" s="5">
        <f>IFERROR(__xludf.DUMMYFUNCTION("""COMPUTED_VALUE"""),45847.0)</f>
        <v>45847</v>
      </c>
      <c r="B2007" s="6">
        <f>IFERROR(__xludf.DUMMYFUNCTION("""COMPUTED_VALUE"""),343.25)</f>
        <v>343.25</v>
      </c>
      <c r="C2007" s="6">
        <f>IFERROR(__xludf.DUMMYFUNCTION("""COMPUTED_VALUE"""),345.6)</f>
        <v>345.6</v>
      </c>
      <c r="D2007" s="6">
        <f>IFERROR(__xludf.DUMMYFUNCTION("""COMPUTED_VALUE"""),342.8)</f>
        <v>342.8</v>
      </c>
      <c r="E2007" s="6">
        <f>IFERROR(__xludf.DUMMYFUNCTION("""COMPUTED_VALUE"""),344.0)</f>
        <v>344</v>
      </c>
      <c r="F2007" s="7">
        <f>IFERROR(__xludf.DUMMYFUNCTION("""COMPUTED_VALUE"""),9079872.0)</f>
        <v>9079872</v>
      </c>
      <c r="G2007" s="7" t="str">
        <f>IFERROR(__xludf.DUMMYFUNCTION("""COMPUTED_VALUE"""),"NTPC.NS")</f>
        <v>NTPC.NS</v>
      </c>
      <c r="H2007" s="8">
        <f t="shared" si="1"/>
        <v>0.002184996358</v>
      </c>
      <c r="I2007" s="8">
        <f t="shared" si="2"/>
        <v>0.002184996358</v>
      </c>
      <c r="J2007" s="7" t="str">
        <f t="shared" si="3"/>
        <v>Jul-2025</v>
      </c>
      <c r="K2007" s="9">
        <f t="shared" si="4"/>
        <v>45839</v>
      </c>
      <c r="L2007" s="7" t="str">
        <f t="shared" si="5"/>
        <v/>
      </c>
      <c r="M2007" s="7" t="str">
        <f>IFERROR(__xludf.DUMMYFUNCTION("IFERROR(
  IF(
    F2007 &gt;
    3*AVERAGE(
       FILTER($F$2:$F10491,
         $G$2:$G10491=G2007,
         $A$2:$A10491&gt;=A2007-20,
         $A$2:$A10491&lt;=A2007
       )
    ),
    ""VOL_SPIKE_3X"",""""
  ),
"""")
"),"")</f>
        <v/>
      </c>
      <c r="N2007" s="7" t="str">
        <f t="shared" si="6"/>
        <v/>
      </c>
      <c r="O2007" s="7" t="str">
        <f t="shared" si="7"/>
        <v/>
      </c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>
      <c r="A2008" s="5">
        <f>IFERROR(__xludf.DUMMYFUNCTION("""COMPUTED_VALUE"""),45847.0)</f>
        <v>45847</v>
      </c>
      <c r="B2008" s="6">
        <f>IFERROR(__xludf.DUMMYFUNCTION("""COMPUTED_VALUE"""),243.35)</f>
        <v>243.35</v>
      </c>
      <c r="C2008" s="6">
        <f>IFERROR(__xludf.DUMMYFUNCTION("""COMPUTED_VALUE"""),244.59)</f>
        <v>244.59</v>
      </c>
      <c r="D2008" s="6">
        <f>IFERROR(__xludf.DUMMYFUNCTION("""COMPUTED_VALUE"""),242.27)</f>
        <v>242.27</v>
      </c>
      <c r="E2008" s="6">
        <f>IFERROR(__xludf.DUMMYFUNCTION("""COMPUTED_VALUE"""),243.35)</f>
        <v>243.35</v>
      </c>
      <c r="F2008" s="7">
        <f>IFERROR(__xludf.DUMMYFUNCTION("""COMPUTED_VALUE"""),9590680.0)</f>
        <v>9590680</v>
      </c>
      <c r="G2008" s="7" t="str">
        <f>IFERROR(__xludf.DUMMYFUNCTION("""COMPUTED_VALUE"""),"ONGC.NS")</f>
        <v>ONGC.NS</v>
      </c>
      <c r="H2008" s="8">
        <f t="shared" si="1"/>
        <v>0</v>
      </c>
      <c r="I2008" s="8">
        <f t="shared" si="2"/>
        <v>0</v>
      </c>
      <c r="J2008" s="7" t="str">
        <f t="shared" si="3"/>
        <v>Jul-2025</v>
      </c>
      <c r="K2008" s="9">
        <f t="shared" si="4"/>
        <v>45839</v>
      </c>
      <c r="L2008" s="7" t="str">
        <f t="shared" si="5"/>
        <v/>
      </c>
      <c r="M2008" s="7" t="str">
        <f>IFERROR(__xludf.DUMMYFUNCTION("IFERROR(
  IF(
    F2008 &gt;
    3*AVERAGE(
       FILTER($F$2:$F10491,
         $G$2:$G10491=G2008,
         $A$2:$A10491&gt;=A2008-20,
         $A$2:$A10491&lt;=A2008
       )
    ),
    ""VOL_SPIKE_3X"",""""
  ),
"""")
"),"")</f>
        <v/>
      </c>
      <c r="N2008" s="7" t="str">
        <f t="shared" si="6"/>
        <v/>
      </c>
      <c r="O2008" s="7" t="str">
        <f t="shared" si="7"/>
        <v/>
      </c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>
      <c r="A2009" s="5">
        <f>IFERROR(__xludf.DUMMYFUNCTION("""COMPUTED_VALUE"""),45847.0)</f>
        <v>45847</v>
      </c>
      <c r="B2009" s="6">
        <f>IFERROR(__xludf.DUMMYFUNCTION("""COMPUTED_VALUE"""),298.25)</f>
        <v>298.25</v>
      </c>
      <c r="C2009" s="6">
        <f>IFERROR(__xludf.DUMMYFUNCTION("""COMPUTED_VALUE"""),300.0)</f>
        <v>300</v>
      </c>
      <c r="D2009" s="6">
        <f>IFERROR(__xludf.DUMMYFUNCTION("""COMPUTED_VALUE"""),296.4)</f>
        <v>296.4</v>
      </c>
      <c r="E2009" s="6">
        <f>IFERROR(__xludf.DUMMYFUNCTION("""COMPUTED_VALUE"""),299.65)</f>
        <v>299.65</v>
      </c>
      <c r="F2009" s="7">
        <f>IFERROR(__xludf.DUMMYFUNCTION("""COMPUTED_VALUE"""),5650646.0)</f>
        <v>5650646</v>
      </c>
      <c r="G2009" s="7" t="str">
        <f>IFERROR(__xludf.DUMMYFUNCTION("""COMPUTED_VALUE"""),"POWERGRID.NS")</f>
        <v>POWERGRID.NS</v>
      </c>
      <c r="H2009" s="8">
        <f t="shared" si="1"/>
        <v>0.004694048617</v>
      </c>
      <c r="I2009" s="8">
        <f t="shared" si="2"/>
        <v>0.004694048617</v>
      </c>
      <c r="J2009" s="7" t="str">
        <f t="shared" si="3"/>
        <v>Jul-2025</v>
      </c>
      <c r="K2009" s="9">
        <f t="shared" si="4"/>
        <v>45839</v>
      </c>
      <c r="L2009" s="7" t="str">
        <f t="shared" si="5"/>
        <v/>
      </c>
      <c r="M2009" s="7" t="str">
        <f>IFERROR(__xludf.DUMMYFUNCTION("IFERROR(
  IF(
    F2009 &gt;
    3*AVERAGE(
       FILTER($F$2:$F10491,
         $G$2:$G10491=G2009,
         $A$2:$A10491&gt;=A2009-20,
         $A$2:$A10491&lt;=A2009
       )
    ),
    ""VOL_SPIKE_3X"",""""
  ),
"""")
"),"")</f>
        <v/>
      </c>
      <c r="N2009" s="7" t="str">
        <f t="shared" si="6"/>
        <v/>
      </c>
      <c r="O2009" s="7" t="str">
        <f t="shared" si="7"/>
        <v/>
      </c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>
      <c r="A2010" s="5">
        <f>IFERROR(__xludf.DUMMYFUNCTION("""COMPUTED_VALUE"""),45847.0)</f>
        <v>45847</v>
      </c>
      <c r="B2010" s="6">
        <f>IFERROR(__xludf.DUMMYFUNCTION("""COMPUTED_VALUE"""),1536.7)</f>
        <v>1536.7</v>
      </c>
      <c r="C2010" s="6">
        <f>IFERROR(__xludf.DUMMYFUNCTION("""COMPUTED_VALUE"""),1551.0)</f>
        <v>1551</v>
      </c>
      <c r="D2010" s="6">
        <f>IFERROR(__xludf.DUMMYFUNCTION("""COMPUTED_VALUE"""),1510.1)</f>
        <v>1510.1</v>
      </c>
      <c r="E2010" s="6">
        <f>IFERROR(__xludf.DUMMYFUNCTION("""COMPUTED_VALUE"""),1519.0)</f>
        <v>1519</v>
      </c>
      <c r="F2010" s="7">
        <f>IFERROR(__xludf.DUMMYFUNCTION("""COMPUTED_VALUE"""),8870660.0)</f>
        <v>8870660</v>
      </c>
      <c r="G2010" s="7" t="str">
        <f>IFERROR(__xludf.DUMMYFUNCTION("""COMPUTED_VALUE"""),"RELIANCE.NS")</f>
        <v>RELIANCE.NS</v>
      </c>
      <c r="H2010" s="8">
        <f t="shared" si="1"/>
        <v>-0.01151818833</v>
      </c>
      <c r="I2010" s="8">
        <f t="shared" si="2"/>
        <v>0.01151818833</v>
      </c>
      <c r="J2010" s="7" t="str">
        <f t="shared" si="3"/>
        <v>Jul-2025</v>
      </c>
      <c r="K2010" s="9">
        <f t="shared" si="4"/>
        <v>45839</v>
      </c>
      <c r="L2010" s="7" t="str">
        <f t="shared" si="5"/>
        <v/>
      </c>
      <c r="M2010" s="7" t="str">
        <f>IFERROR(__xludf.DUMMYFUNCTION("IFERROR(
  IF(
    F2010 &gt;
    3*AVERAGE(
       FILTER($F$2:$F10491,
         $G$2:$G10491=G2010,
         $A$2:$A10491&gt;=A2010-20,
         $A$2:$A10491&lt;=A2010
       )
    ),
    ""VOL_SPIKE_3X"",""""
  ),
"""")
"),"")</f>
        <v/>
      </c>
      <c r="N2010" s="7" t="str">
        <f t="shared" si="6"/>
        <v/>
      </c>
      <c r="O2010" s="7" t="str">
        <f t="shared" si="7"/>
        <v/>
      </c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>
      <c r="A2011" s="5">
        <f>IFERROR(__xludf.DUMMYFUNCTION("""COMPUTED_VALUE"""),45848.0)</f>
        <v>45848</v>
      </c>
      <c r="B2011" s="6">
        <f>IFERROR(__xludf.DUMMYFUNCTION("""COMPUTED_VALUE"""),893.9)</f>
        <v>893.9</v>
      </c>
      <c r="C2011" s="6">
        <f>IFERROR(__xludf.DUMMYFUNCTION("""COMPUTED_VALUE"""),907.7)</f>
        <v>907.7</v>
      </c>
      <c r="D2011" s="6">
        <f>IFERROR(__xludf.DUMMYFUNCTION("""COMPUTED_VALUE"""),887.0)</f>
        <v>887</v>
      </c>
      <c r="E2011" s="6">
        <f>IFERROR(__xludf.DUMMYFUNCTION("""COMPUTED_VALUE"""),891.05)</f>
        <v>891.05</v>
      </c>
      <c r="F2011" s="7">
        <f>IFERROR(__xludf.DUMMYFUNCTION("""COMPUTED_VALUE"""),1367248.0)</f>
        <v>1367248</v>
      </c>
      <c r="G2011" s="7" t="str">
        <f>IFERROR(__xludf.DUMMYFUNCTION("""COMPUTED_VALUE"""),"ADANIENSOL.NS")</f>
        <v>ADANIENSOL.NS</v>
      </c>
      <c r="H2011" s="8">
        <f t="shared" si="1"/>
        <v>-0.003188276094</v>
      </c>
      <c r="I2011" s="8">
        <f t="shared" si="2"/>
        <v>0.003188276094</v>
      </c>
      <c r="J2011" s="7" t="str">
        <f t="shared" si="3"/>
        <v>Jul-2025</v>
      </c>
      <c r="K2011" s="9">
        <f t="shared" si="4"/>
        <v>45839</v>
      </c>
      <c r="L2011" s="7" t="str">
        <f t="shared" si="5"/>
        <v/>
      </c>
      <c r="M2011" s="7" t="str">
        <f>IFERROR(__xludf.DUMMYFUNCTION("IFERROR(
  IF(
    F2011 &gt;
    3*AVERAGE(
       FILTER($F$2:$F10491,
         $G$2:$G10491=G2011,
         $A$2:$A10491&gt;=A2011-20,
         $A$2:$A10491&lt;=A2011
       )
    ),
    ""VOL_SPIKE_3X"",""""
  ),
"""")
"),"")</f>
        <v/>
      </c>
      <c r="N2011" s="7" t="str">
        <f t="shared" si="6"/>
        <v/>
      </c>
      <c r="O2011" s="7" t="str">
        <f t="shared" si="7"/>
        <v/>
      </c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>
      <c r="A2012" s="5">
        <f>IFERROR(__xludf.DUMMYFUNCTION("""COMPUTED_VALUE"""),45848.0)</f>
        <v>45848</v>
      </c>
      <c r="B2012" s="6">
        <f>IFERROR(__xludf.DUMMYFUNCTION("""COMPUTED_VALUE"""),999.7)</f>
        <v>999.7</v>
      </c>
      <c r="C2012" s="6">
        <f>IFERROR(__xludf.DUMMYFUNCTION("""COMPUTED_VALUE"""),1007.9)</f>
        <v>1007.9</v>
      </c>
      <c r="D2012" s="6">
        <f>IFERROR(__xludf.DUMMYFUNCTION("""COMPUTED_VALUE"""),992.3)</f>
        <v>992.3</v>
      </c>
      <c r="E2012" s="6">
        <f>IFERROR(__xludf.DUMMYFUNCTION("""COMPUTED_VALUE"""),995.8)</f>
        <v>995.8</v>
      </c>
      <c r="F2012" s="7">
        <f>IFERROR(__xludf.DUMMYFUNCTION("""COMPUTED_VALUE"""),1057492.0)</f>
        <v>1057492</v>
      </c>
      <c r="G2012" s="7" t="str">
        <f>IFERROR(__xludf.DUMMYFUNCTION("""COMPUTED_VALUE"""),"ADANIGREEN.NS")</f>
        <v>ADANIGREEN.NS</v>
      </c>
      <c r="H2012" s="8">
        <f t="shared" si="1"/>
        <v>-0.003901170351</v>
      </c>
      <c r="I2012" s="8">
        <f t="shared" si="2"/>
        <v>0.003901170351</v>
      </c>
      <c r="J2012" s="7" t="str">
        <f t="shared" si="3"/>
        <v>Jul-2025</v>
      </c>
      <c r="K2012" s="9">
        <f t="shared" si="4"/>
        <v>45839</v>
      </c>
      <c r="L2012" s="7" t="str">
        <f t="shared" si="5"/>
        <v/>
      </c>
      <c r="M2012" s="7" t="str">
        <f>IFERROR(__xludf.DUMMYFUNCTION("IFERROR(
  IF(
    F2012 &gt;
    3*AVERAGE(
       FILTER($F$2:$F10491,
         $G$2:$G10491=G2012,
         $A$2:$A10491&gt;=A2012-20,
         $A$2:$A10491&lt;=A2012
       )
    ),
    ""VOL_SPIKE_3X"",""""
  ),
"""")
"),"")</f>
        <v/>
      </c>
      <c r="N2012" s="7" t="str">
        <f t="shared" si="6"/>
        <v/>
      </c>
      <c r="O2012" s="7" t="str">
        <f t="shared" si="7"/>
        <v/>
      </c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>
      <c r="A2013" s="5">
        <f>IFERROR(__xludf.DUMMYFUNCTION("""COMPUTED_VALUE"""),45848.0)</f>
        <v>45848</v>
      </c>
      <c r="B2013" s="6">
        <f>IFERROR(__xludf.DUMMYFUNCTION("""COMPUTED_VALUE"""),351.8)</f>
        <v>351.8</v>
      </c>
      <c r="C2013" s="6">
        <f>IFERROR(__xludf.DUMMYFUNCTION("""COMPUTED_VALUE"""),352.85)</f>
        <v>352.85</v>
      </c>
      <c r="D2013" s="6">
        <f>IFERROR(__xludf.DUMMYFUNCTION("""COMPUTED_VALUE"""),348.05)</f>
        <v>348.05</v>
      </c>
      <c r="E2013" s="6">
        <f>IFERROR(__xludf.DUMMYFUNCTION("""COMPUTED_VALUE"""),350.95)</f>
        <v>350.95</v>
      </c>
      <c r="F2013" s="7">
        <f>IFERROR(__xludf.DUMMYFUNCTION("""COMPUTED_VALUE"""),6580919.0)</f>
        <v>6580919</v>
      </c>
      <c r="G2013" s="7" t="str">
        <f>IFERROR(__xludf.DUMMYFUNCTION("""COMPUTED_VALUE"""),"BPCL.NS")</f>
        <v>BPCL.NS</v>
      </c>
      <c r="H2013" s="8">
        <f t="shared" si="1"/>
        <v>-0.002416145537</v>
      </c>
      <c r="I2013" s="8">
        <f t="shared" si="2"/>
        <v>0.002416145537</v>
      </c>
      <c r="J2013" s="7" t="str">
        <f t="shared" si="3"/>
        <v>Jul-2025</v>
      </c>
      <c r="K2013" s="9">
        <f t="shared" si="4"/>
        <v>45839</v>
      </c>
      <c r="L2013" s="7" t="str">
        <f t="shared" si="5"/>
        <v/>
      </c>
      <c r="M2013" s="7" t="str">
        <f>IFERROR(__xludf.DUMMYFUNCTION("IFERROR(
  IF(
    F2013 &gt;
    3*AVERAGE(
       FILTER($F$2:$F10491,
         $G$2:$G10491=G2013,
         $A$2:$A10491&gt;=A2013-20,
         $A$2:$A10491&lt;=A2013
       )
    ),
    ""VOL_SPIKE_3X"",""""
  ),
"""")
"),"")</f>
        <v/>
      </c>
      <c r="N2013" s="7" t="str">
        <f t="shared" si="6"/>
        <v/>
      </c>
      <c r="O2013" s="7" t="str">
        <f t="shared" si="7"/>
        <v/>
      </c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>
      <c r="A2014" s="5">
        <f>IFERROR(__xludf.DUMMYFUNCTION("""COMPUTED_VALUE"""),45848.0)</f>
        <v>45848</v>
      </c>
      <c r="B2014" s="6">
        <f>IFERROR(__xludf.DUMMYFUNCTION("""COMPUTED_VALUE"""),388.05)</f>
        <v>388.05</v>
      </c>
      <c r="C2014" s="6">
        <f>IFERROR(__xludf.DUMMYFUNCTION("""COMPUTED_VALUE"""),388.85)</f>
        <v>388.85</v>
      </c>
      <c r="D2014" s="6">
        <f>IFERROR(__xludf.DUMMYFUNCTION("""COMPUTED_VALUE"""),382.55)</f>
        <v>382.55</v>
      </c>
      <c r="E2014" s="6">
        <f>IFERROR(__xludf.DUMMYFUNCTION("""COMPUTED_VALUE"""),384.05)</f>
        <v>384.05</v>
      </c>
      <c r="F2014" s="7">
        <f>IFERROR(__xludf.DUMMYFUNCTION("""COMPUTED_VALUE"""),4668066.0)</f>
        <v>4668066</v>
      </c>
      <c r="G2014" s="7" t="str">
        <f>IFERROR(__xludf.DUMMYFUNCTION("""COMPUTED_VALUE"""),"COALINDIA.NS")</f>
        <v>COALINDIA.NS</v>
      </c>
      <c r="H2014" s="8">
        <f t="shared" si="1"/>
        <v>-0.01030795001</v>
      </c>
      <c r="I2014" s="8">
        <f t="shared" si="2"/>
        <v>0.01030795001</v>
      </c>
      <c r="J2014" s="7" t="str">
        <f t="shared" si="3"/>
        <v>Jul-2025</v>
      </c>
      <c r="K2014" s="9">
        <f t="shared" si="4"/>
        <v>45839</v>
      </c>
      <c r="L2014" s="7" t="str">
        <f t="shared" si="5"/>
        <v/>
      </c>
      <c r="M2014" s="7" t="str">
        <f>IFERROR(__xludf.DUMMYFUNCTION("IFERROR(
  IF(
    F2014 &gt;
    3*AVERAGE(
       FILTER($F$2:$F10491,
         $G$2:$G10491=G2014,
         $A$2:$A10491&gt;=A2014-20,
         $A$2:$A10491&lt;=A2014
       )
    ),
    ""VOL_SPIKE_3X"",""""
  ),
"""")
"),"")</f>
        <v/>
      </c>
      <c r="N2014" s="7" t="str">
        <f t="shared" si="6"/>
        <v/>
      </c>
      <c r="O2014" s="7" t="str">
        <f t="shared" si="7"/>
        <v/>
      </c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>
      <c r="A2015" s="5">
        <f>IFERROR(__xludf.DUMMYFUNCTION("""COMPUTED_VALUE"""),45848.0)</f>
        <v>45848</v>
      </c>
      <c r="B2015" s="6">
        <f>IFERROR(__xludf.DUMMYFUNCTION("""COMPUTED_VALUE"""),445.45)</f>
        <v>445.45</v>
      </c>
      <c r="C2015" s="6">
        <f>IFERROR(__xludf.DUMMYFUNCTION("""COMPUTED_VALUE"""),450.5)</f>
        <v>450.5</v>
      </c>
      <c r="D2015" s="6">
        <f>IFERROR(__xludf.DUMMYFUNCTION("""COMPUTED_VALUE"""),440.05)</f>
        <v>440.05</v>
      </c>
      <c r="E2015" s="6">
        <f>IFERROR(__xludf.DUMMYFUNCTION("""COMPUTED_VALUE"""),441.25)</f>
        <v>441.25</v>
      </c>
      <c r="F2015" s="7">
        <f>IFERROR(__xludf.DUMMYFUNCTION("""COMPUTED_VALUE"""),4470700.0)</f>
        <v>4470700</v>
      </c>
      <c r="G2015" s="7" t="str">
        <f>IFERROR(__xludf.DUMMYFUNCTION("""COMPUTED_VALUE"""),"HINDPETRO.NS")</f>
        <v>HINDPETRO.NS</v>
      </c>
      <c r="H2015" s="8">
        <f t="shared" si="1"/>
        <v>-0.009428667639</v>
      </c>
      <c r="I2015" s="8">
        <f t="shared" si="2"/>
        <v>0.009428667639</v>
      </c>
      <c r="J2015" s="7" t="str">
        <f t="shared" si="3"/>
        <v>Jul-2025</v>
      </c>
      <c r="K2015" s="9">
        <f t="shared" si="4"/>
        <v>45839</v>
      </c>
      <c r="L2015" s="7" t="str">
        <f t="shared" si="5"/>
        <v/>
      </c>
      <c r="M2015" s="7" t="str">
        <f>IFERROR(__xludf.DUMMYFUNCTION("IFERROR(
  IF(
    F2015 &gt;
    3*AVERAGE(
       FILTER($F$2:$F10491,
         $G$2:$G10491=G2015,
         $A$2:$A10491&gt;=A2015-20,
         $A$2:$A10491&lt;=A2015
       )
    ),
    ""VOL_SPIKE_3X"",""""
  ),
"""")
"),"")</f>
        <v/>
      </c>
      <c r="N2015" s="7" t="str">
        <f t="shared" si="6"/>
        <v/>
      </c>
      <c r="O2015" s="7" t="str">
        <f t="shared" si="7"/>
        <v/>
      </c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>
      <c r="A2016" s="5">
        <f>IFERROR(__xludf.DUMMYFUNCTION("""COMPUTED_VALUE"""),45848.0)</f>
        <v>45848</v>
      </c>
      <c r="B2016" s="6">
        <f>IFERROR(__xludf.DUMMYFUNCTION("""COMPUTED_VALUE"""),150.75)</f>
        <v>150.75</v>
      </c>
      <c r="C2016" s="6">
        <f>IFERROR(__xludf.DUMMYFUNCTION("""COMPUTED_VALUE"""),152.65)</f>
        <v>152.65</v>
      </c>
      <c r="D2016" s="6">
        <f>IFERROR(__xludf.DUMMYFUNCTION("""COMPUTED_VALUE"""),150.0)</f>
        <v>150</v>
      </c>
      <c r="E2016" s="6">
        <f>IFERROR(__xludf.DUMMYFUNCTION("""COMPUTED_VALUE"""),152.33)</f>
        <v>152.33</v>
      </c>
      <c r="F2016" s="7">
        <f>IFERROR(__xludf.DUMMYFUNCTION("""COMPUTED_VALUE"""),1.4545796E7)</f>
        <v>14545796</v>
      </c>
      <c r="G2016" s="7" t="str">
        <f>IFERROR(__xludf.DUMMYFUNCTION("""COMPUTED_VALUE"""),"IOC.NS")</f>
        <v>IOC.NS</v>
      </c>
      <c r="H2016" s="8">
        <f t="shared" si="1"/>
        <v>0.01048092869</v>
      </c>
      <c r="I2016" s="8">
        <f t="shared" si="2"/>
        <v>0.01048092869</v>
      </c>
      <c r="J2016" s="7" t="str">
        <f t="shared" si="3"/>
        <v>Jul-2025</v>
      </c>
      <c r="K2016" s="9">
        <f t="shared" si="4"/>
        <v>45839</v>
      </c>
      <c r="L2016" s="7" t="str">
        <f t="shared" si="5"/>
        <v/>
      </c>
      <c r="M2016" s="7" t="str">
        <f>IFERROR(__xludf.DUMMYFUNCTION("IFERROR(
  IF(
    F2016 &gt;
    3*AVERAGE(
       FILTER($F$2:$F10491,
         $G$2:$G10491=G2016,
         $A$2:$A10491&gt;=A2016-20,
         $A$2:$A10491&lt;=A2016
       )
    ),
    ""VOL_SPIKE_3X"",""""
  ),
"""")
"),"")</f>
        <v/>
      </c>
      <c r="N2016" s="7" t="str">
        <f t="shared" si="6"/>
        <v/>
      </c>
      <c r="O2016" s="7" t="str">
        <f t="shared" si="7"/>
        <v/>
      </c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>
      <c r="A2017" s="5">
        <f>IFERROR(__xludf.DUMMYFUNCTION("""COMPUTED_VALUE"""),45848.0)</f>
        <v>45848</v>
      </c>
      <c r="B2017" s="6">
        <f>IFERROR(__xludf.DUMMYFUNCTION("""COMPUTED_VALUE"""),344.0)</f>
        <v>344</v>
      </c>
      <c r="C2017" s="6">
        <f>IFERROR(__xludf.DUMMYFUNCTION("""COMPUTED_VALUE"""),345.0)</f>
        <v>345</v>
      </c>
      <c r="D2017" s="6">
        <f>IFERROR(__xludf.DUMMYFUNCTION("""COMPUTED_VALUE"""),341.2)</f>
        <v>341.2</v>
      </c>
      <c r="E2017" s="6">
        <f>IFERROR(__xludf.DUMMYFUNCTION("""COMPUTED_VALUE"""),341.45)</f>
        <v>341.45</v>
      </c>
      <c r="F2017" s="7">
        <f>IFERROR(__xludf.DUMMYFUNCTION("""COMPUTED_VALUE"""),6426072.0)</f>
        <v>6426072</v>
      </c>
      <c r="G2017" s="7" t="str">
        <f>IFERROR(__xludf.DUMMYFUNCTION("""COMPUTED_VALUE"""),"NTPC.NS")</f>
        <v>NTPC.NS</v>
      </c>
      <c r="H2017" s="8">
        <f t="shared" si="1"/>
        <v>-0.007412790698</v>
      </c>
      <c r="I2017" s="8">
        <f t="shared" si="2"/>
        <v>0.007412790698</v>
      </c>
      <c r="J2017" s="7" t="str">
        <f t="shared" si="3"/>
        <v>Jul-2025</v>
      </c>
      <c r="K2017" s="9">
        <f t="shared" si="4"/>
        <v>45839</v>
      </c>
      <c r="L2017" s="7" t="str">
        <f t="shared" si="5"/>
        <v/>
      </c>
      <c r="M2017" s="7" t="str">
        <f>IFERROR(__xludf.DUMMYFUNCTION("IFERROR(
  IF(
    F2017 &gt;
    3*AVERAGE(
       FILTER($F$2:$F10491,
         $G$2:$G10491=G2017,
         $A$2:$A10491&gt;=A2017-20,
         $A$2:$A10491&lt;=A2017
       )
    ),
    ""VOL_SPIKE_3X"",""""
  ),
"""")
"),"")</f>
        <v/>
      </c>
      <c r="N2017" s="7" t="str">
        <f t="shared" si="6"/>
        <v/>
      </c>
      <c r="O2017" s="7" t="str">
        <f t="shared" si="7"/>
        <v/>
      </c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>
      <c r="A2018" s="5">
        <f>IFERROR(__xludf.DUMMYFUNCTION("""COMPUTED_VALUE"""),45848.0)</f>
        <v>45848</v>
      </c>
      <c r="B2018" s="6">
        <f>IFERROR(__xludf.DUMMYFUNCTION("""COMPUTED_VALUE"""),243.51)</f>
        <v>243.51</v>
      </c>
      <c r="C2018" s="6">
        <f>IFERROR(__xludf.DUMMYFUNCTION("""COMPUTED_VALUE"""),244.69)</f>
        <v>244.69</v>
      </c>
      <c r="D2018" s="6">
        <f>IFERROR(__xludf.DUMMYFUNCTION("""COMPUTED_VALUE"""),242.33)</f>
        <v>242.33</v>
      </c>
      <c r="E2018" s="6">
        <f>IFERROR(__xludf.DUMMYFUNCTION("""COMPUTED_VALUE"""),243.09)</f>
        <v>243.09</v>
      </c>
      <c r="F2018" s="7">
        <f>IFERROR(__xludf.DUMMYFUNCTION("""COMPUTED_VALUE"""),8012201.0)</f>
        <v>8012201</v>
      </c>
      <c r="G2018" s="7" t="str">
        <f>IFERROR(__xludf.DUMMYFUNCTION("""COMPUTED_VALUE"""),"ONGC.NS")</f>
        <v>ONGC.NS</v>
      </c>
      <c r="H2018" s="8">
        <f t="shared" si="1"/>
        <v>-0.001724775163</v>
      </c>
      <c r="I2018" s="8">
        <f t="shared" si="2"/>
        <v>0.001724775163</v>
      </c>
      <c r="J2018" s="7" t="str">
        <f t="shared" si="3"/>
        <v>Jul-2025</v>
      </c>
      <c r="K2018" s="9">
        <f t="shared" si="4"/>
        <v>45839</v>
      </c>
      <c r="L2018" s="7" t="str">
        <f t="shared" si="5"/>
        <v/>
      </c>
      <c r="M2018" s="7" t="str">
        <f>IFERROR(__xludf.DUMMYFUNCTION("IFERROR(
  IF(
    F2018 &gt;
    3*AVERAGE(
       FILTER($F$2:$F10491,
         $G$2:$G10491=G2018,
         $A$2:$A10491&gt;=A2018-20,
         $A$2:$A10491&lt;=A2018
       )
    ),
    ""VOL_SPIKE_3X"",""""
  ),
"""")
"),"")</f>
        <v/>
      </c>
      <c r="N2018" s="7" t="str">
        <f t="shared" si="6"/>
        <v/>
      </c>
      <c r="O2018" s="7" t="str">
        <f t="shared" si="7"/>
        <v/>
      </c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>
      <c r="A2019" s="5">
        <f>IFERROR(__xludf.DUMMYFUNCTION("""COMPUTED_VALUE"""),45848.0)</f>
        <v>45848</v>
      </c>
      <c r="B2019" s="6">
        <f>IFERROR(__xludf.DUMMYFUNCTION("""COMPUTED_VALUE"""),300.0)</f>
        <v>300</v>
      </c>
      <c r="C2019" s="6">
        <f>IFERROR(__xludf.DUMMYFUNCTION("""COMPUTED_VALUE"""),302.7)</f>
        <v>302.7</v>
      </c>
      <c r="D2019" s="6">
        <f>IFERROR(__xludf.DUMMYFUNCTION("""COMPUTED_VALUE"""),298.0)</f>
        <v>298</v>
      </c>
      <c r="E2019" s="6">
        <f>IFERROR(__xludf.DUMMYFUNCTION("""COMPUTED_VALUE"""),299.25)</f>
        <v>299.25</v>
      </c>
      <c r="F2019" s="7">
        <f>IFERROR(__xludf.DUMMYFUNCTION("""COMPUTED_VALUE"""),9307817.0)</f>
        <v>9307817</v>
      </c>
      <c r="G2019" s="7" t="str">
        <f>IFERROR(__xludf.DUMMYFUNCTION("""COMPUTED_VALUE"""),"POWERGRID.NS")</f>
        <v>POWERGRID.NS</v>
      </c>
      <c r="H2019" s="8">
        <f t="shared" si="1"/>
        <v>-0.0025</v>
      </c>
      <c r="I2019" s="8">
        <f t="shared" si="2"/>
        <v>0.0025</v>
      </c>
      <c r="J2019" s="7" t="str">
        <f t="shared" si="3"/>
        <v>Jul-2025</v>
      </c>
      <c r="K2019" s="9">
        <f t="shared" si="4"/>
        <v>45839</v>
      </c>
      <c r="L2019" s="7" t="str">
        <f t="shared" si="5"/>
        <v/>
      </c>
      <c r="M2019" s="7" t="str">
        <f>IFERROR(__xludf.DUMMYFUNCTION("IFERROR(
  IF(
    F2019 &gt;
    3*AVERAGE(
       FILTER($F$2:$F10491,
         $G$2:$G10491=G2019,
         $A$2:$A10491&gt;=A2019-20,
         $A$2:$A10491&lt;=A2019
       )
    ),
    ""VOL_SPIKE_3X"",""""
  ),
"""")
"),"")</f>
        <v/>
      </c>
      <c r="N2019" s="7" t="str">
        <f t="shared" si="6"/>
        <v/>
      </c>
      <c r="O2019" s="7" t="str">
        <f t="shared" si="7"/>
        <v/>
      </c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>
      <c r="A2020" s="5">
        <f>IFERROR(__xludf.DUMMYFUNCTION("""COMPUTED_VALUE"""),45848.0)</f>
        <v>45848</v>
      </c>
      <c r="B2020" s="6">
        <f>IFERROR(__xludf.DUMMYFUNCTION("""COMPUTED_VALUE"""),1519.7)</f>
        <v>1519.7</v>
      </c>
      <c r="C2020" s="6">
        <f>IFERROR(__xludf.DUMMYFUNCTION("""COMPUTED_VALUE"""),1524.7)</f>
        <v>1524.7</v>
      </c>
      <c r="D2020" s="6">
        <f>IFERROR(__xludf.DUMMYFUNCTION("""COMPUTED_VALUE"""),1507.5)</f>
        <v>1507.5</v>
      </c>
      <c r="E2020" s="6">
        <f>IFERROR(__xludf.DUMMYFUNCTION("""COMPUTED_VALUE"""),1517.2)</f>
        <v>1517.2</v>
      </c>
      <c r="F2020" s="7">
        <f>IFERROR(__xludf.DUMMYFUNCTION("""COMPUTED_VALUE"""),1.0047129E7)</f>
        <v>10047129</v>
      </c>
      <c r="G2020" s="7" t="str">
        <f>IFERROR(__xludf.DUMMYFUNCTION("""COMPUTED_VALUE"""),"RELIANCE.NS")</f>
        <v>RELIANCE.NS</v>
      </c>
      <c r="H2020" s="8">
        <f t="shared" si="1"/>
        <v>-0.001645061525</v>
      </c>
      <c r="I2020" s="8">
        <f t="shared" si="2"/>
        <v>0.001645061525</v>
      </c>
      <c r="J2020" s="7" t="str">
        <f t="shared" si="3"/>
        <v>Jul-2025</v>
      </c>
      <c r="K2020" s="9">
        <f t="shared" si="4"/>
        <v>45839</v>
      </c>
      <c r="L2020" s="7" t="str">
        <f t="shared" si="5"/>
        <v/>
      </c>
      <c r="M2020" s="7" t="str">
        <f>IFERROR(__xludf.DUMMYFUNCTION("IFERROR(
  IF(
    F2020 &gt;
    3*AVERAGE(
       FILTER($F$2:$F10491,
         $G$2:$G10491=G2020,
         $A$2:$A10491&gt;=A2020-20,
         $A$2:$A10491&lt;=A2020
       )
    ),
    ""VOL_SPIKE_3X"",""""
  ),
"""")
"),"")</f>
        <v/>
      </c>
      <c r="N2020" s="7" t="str">
        <f t="shared" si="6"/>
        <v/>
      </c>
      <c r="O2020" s="7" t="str">
        <f t="shared" si="7"/>
        <v/>
      </c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>
      <c r="A2021" s="5">
        <f>IFERROR(__xludf.DUMMYFUNCTION("""COMPUTED_VALUE"""),45849.0)</f>
        <v>45849</v>
      </c>
      <c r="B2021" s="6">
        <f>IFERROR(__xludf.DUMMYFUNCTION("""COMPUTED_VALUE"""),894.0)</f>
        <v>894</v>
      </c>
      <c r="C2021" s="6">
        <f>IFERROR(__xludf.DUMMYFUNCTION("""COMPUTED_VALUE"""),895.55)</f>
        <v>895.55</v>
      </c>
      <c r="D2021" s="6">
        <f>IFERROR(__xludf.DUMMYFUNCTION("""COMPUTED_VALUE"""),869.1)</f>
        <v>869.1</v>
      </c>
      <c r="E2021" s="6">
        <f>IFERROR(__xludf.DUMMYFUNCTION("""COMPUTED_VALUE"""),874.05)</f>
        <v>874.05</v>
      </c>
      <c r="F2021" s="7">
        <f>IFERROR(__xludf.DUMMYFUNCTION("""COMPUTED_VALUE"""),989521.0)</f>
        <v>989521</v>
      </c>
      <c r="G2021" s="7" t="str">
        <f>IFERROR(__xludf.DUMMYFUNCTION("""COMPUTED_VALUE"""),"ADANIENSOL.NS")</f>
        <v>ADANIENSOL.NS</v>
      </c>
      <c r="H2021" s="8">
        <f t="shared" si="1"/>
        <v>-0.02231543624</v>
      </c>
      <c r="I2021" s="8">
        <f t="shared" si="2"/>
        <v>0.02231543624</v>
      </c>
      <c r="J2021" s="7" t="str">
        <f t="shared" si="3"/>
        <v>Jul-2025</v>
      </c>
      <c r="K2021" s="9">
        <f t="shared" si="4"/>
        <v>45839</v>
      </c>
      <c r="L2021" s="7" t="str">
        <f t="shared" si="5"/>
        <v/>
      </c>
      <c r="M2021" s="7" t="str">
        <f>IFERROR(__xludf.DUMMYFUNCTION("IFERROR(
  IF(
    F2021 &gt;
    3*AVERAGE(
       FILTER($F$2:$F10491,
         $G$2:$G10491=G2021,
         $A$2:$A10491&gt;=A2021-20,
         $A$2:$A10491&lt;=A2021
       )
    ),
    ""VOL_SPIKE_3X"",""""
  ),
"""")
"),"")</f>
        <v/>
      </c>
      <c r="N2021" s="7" t="str">
        <f t="shared" si="6"/>
        <v/>
      </c>
      <c r="O2021" s="7" t="str">
        <f t="shared" si="7"/>
        <v/>
      </c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>
      <c r="A2022" s="5">
        <f>IFERROR(__xludf.DUMMYFUNCTION("""COMPUTED_VALUE"""),45849.0)</f>
        <v>45849</v>
      </c>
      <c r="B2022" s="6">
        <f>IFERROR(__xludf.DUMMYFUNCTION("""COMPUTED_VALUE"""),999.8)</f>
        <v>999.8</v>
      </c>
      <c r="C2022" s="6">
        <f>IFERROR(__xludf.DUMMYFUNCTION("""COMPUTED_VALUE"""),1010.9)</f>
        <v>1010.9</v>
      </c>
      <c r="D2022" s="6">
        <f>IFERROR(__xludf.DUMMYFUNCTION("""COMPUTED_VALUE"""),985.2)</f>
        <v>985.2</v>
      </c>
      <c r="E2022" s="6">
        <f>IFERROR(__xludf.DUMMYFUNCTION("""COMPUTED_VALUE"""),995.2)</f>
        <v>995.2</v>
      </c>
      <c r="F2022" s="7">
        <f>IFERROR(__xludf.DUMMYFUNCTION("""COMPUTED_VALUE"""),1850757.0)</f>
        <v>1850757</v>
      </c>
      <c r="G2022" s="7" t="str">
        <f>IFERROR(__xludf.DUMMYFUNCTION("""COMPUTED_VALUE"""),"ADANIGREEN.NS")</f>
        <v>ADANIGREEN.NS</v>
      </c>
      <c r="H2022" s="8">
        <f t="shared" si="1"/>
        <v>-0.004600920184</v>
      </c>
      <c r="I2022" s="8">
        <f t="shared" si="2"/>
        <v>0.004600920184</v>
      </c>
      <c r="J2022" s="7" t="str">
        <f t="shared" si="3"/>
        <v>Jul-2025</v>
      </c>
      <c r="K2022" s="9">
        <f t="shared" si="4"/>
        <v>45839</v>
      </c>
      <c r="L2022" s="7" t="str">
        <f t="shared" si="5"/>
        <v/>
      </c>
      <c r="M2022" s="7" t="str">
        <f>IFERROR(__xludf.DUMMYFUNCTION("IFERROR(
  IF(
    F2022 &gt;
    3*AVERAGE(
       FILTER($F$2:$F10491,
         $G$2:$G10491=G2022,
         $A$2:$A10491&gt;=A2022-20,
         $A$2:$A10491&lt;=A2022
       )
    ),
    ""VOL_SPIKE_3X"",""""
  ),
"""")
"),"")</f>
        <v/>
      </c>
      <c r="N2022" s="7" t="str">
        <f t="shared" si="6"/>
        <v/>
      </c>
      <c r="O2022" s="7" t="str">
        <f t="shared" si="7"/>
        <v/>
      </c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>
      <c r="A2023" s="5">
        <f>IFERROR(__xludf.DUMMYFUNCTION("""COMPUTED_VALUE"""),45849.0)</f>
        <v>45849</v>
      </c>
      <c r="B2023" s="6">
        <f>IFERROR(__xludf.DUMMYFUNCTION("""COMPUTED_VALUE"""),351.8)</f>
        <v>351.8</v>
      </c>
      <c r="C2023" s="6">
        <f>IFERROR(__xludf.DUMMYFUNCTION("""COMPUTED_VALUE"""),352.65)</f>
        <v>352.65</v>
      </c>
      <c r="D2023" s="6">
        <f>IFERROR(__xludf.DUMMYFUNCTION("""COMPUTED_VALUE"""),343.3)</f>
        <v>343.3</v>
      </c>
      <c r="E2023" s="6">
        <f>IFERROR(__xludf.DUMMYFUNCTION("""COMPUTED_VALUE"""),344.85)</f>
        <v>344.85</v>
      </c>
      <c r="F2023" s="7">
        <f>IFERROR(__xludf.DUMMYFUNCTION("""COMPUTED_VALUE"""),4803470.0)</f>
        <v>4803470</v>
      </c>
      <c r="G2023" s="7" t="str">
        <f>IFERROR(__xludf.DUMMYFUNCTION("""COMPUTED_VALUE"""),"BPCL.NS")</f>
        <v>BPCL.NS</v>
      </c>
      <c r="H2023" s="8">
        <f t="shared" si="1"/>
        <v>-0.01975554292</v>
      </c>
      <c r="I2023" s="8">
        <f t="shared" si="2"/>
        <v>0.01975554292</v>
      </c>
      <c r="J2023" s="7" t="str">
        <f t="shared" si="3"/>
        <v>Jul-2025</v>
      </c>
      <c r="K2023" s="9">
        <f t="shared" si="4"/>
        <v>45839</v>
      </c>
      <c r="L2023" s="7" t="str">
        <f t="shared" si="5"/>
        <v/>
      </c>
      <c r="M2023" s="7" t="str">
        <f>IFERROR(__xludf.DUMMYFUNCTION("IFERROR(
  IF(
    F2023 &gt;
    3*AVERAGE(
       FILTER($F$2:$F10491,
         $G$2:$G10491=G2023,
         $A$2:$A10491&gt;=A2023-20,
         $A$2:$A10491&lt;=A2023
       )
    ),
    ""VOL_SPIKE_3X"",""""
  ),
"""")
"),"")</f>
        <v/>
      </c>
      <c r="N2023" s="7" t="str">
        <f t="shared" si="6"/>
        <v/>
      </c>
      <c r="O2023" s="7" t="str">
        <f t="shared" si="7"/>
        <v/>
      </c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>
      <c r="A2024" s="5">
        <f>IFERROR(__xludf.DUMMYFUNCTION("""COMPUTED_VALUE"""),45849.0)</f>
        <v>45849</v>
      </c>
      <c r="B2024" s="6">
        <f>IFERROR(__xludf.DUMMYFUNCTION("""COMPUTED_VALUE"""),384.05)</f>
        <v>384.05</v>
      </c>
      <c r="C2024" s="6">
        <f>IFERROR(__xludf.DUMMYFUNCTION("""COMPUTED_VALUE"""),384.3)</f>
        <v>384.3</v>
      </c>
      <c r="D2024" s="6">
        <f>IFERROR(__xludf.DUMMYFUNCTION("""COMPUTED_VALUE"""),380.6)</f>
        <v>380.6</v>
      </c>
      <c r="E2024" s="6">
        <f>IFERROR(__xludf.DUMMYFUNCTION("""COMPUTED_VALUE"""),380.95)</f>
        <v>380.95</v>
      </c>
      <c r="F2024" s="7">
        <f>IFERROR(__xludf.DUMMYFUNCTION("""COMPUTED_VALUE"""),4677164.0)</f>
        <v>4677164</v>
      </c>
      <c r="G2024" s="7" t="str">
        <f>IFERROR(__xludf.DUMMYFUNCTION("""COMPUTED_VALUE"""),"COALINDIA.NS")</f>
        <v>COALINDIA.NS</v>
      </c>
      <c r="H2024" s="8">
        <f t="shared" si="1"/>
        <v>-0.008071865642</v>
      </c>
      <c r="I2024" s="8">
        <f t="shared" si="2"/>
        <v>0.008071865642</v>
      </c>
      <c r="J2024" s="7" t="str">
        <f t="shared" si="3"/>
        <v>Jul-2025</v>
      </c>
      <c r="K2024" s="9">
        <f t="shared" si="4"/>
        <v>45839</v>
      </c>
      <c r="L2024" s="7" t="str">
        <f t="shared" si="5"/>
        <v/>
      </c>
      <c r="M2024" s="7" t="str">
        <f>IFERROR(__xludf.DUMMYFUNCTION("IFERROR(
  IF(
    F2024 &gt;
    3*AVERAGE(
       FILTER($F$2:$F10491,
         $G$2:$G10491=G2024,
         $A$2:$A10491&gt;=A2024-20,
         $A$2:$A10491&lt;=A2024
       )
    ),
    ""VOL_SPIKE_3X"",""""
  ),
"""")
"),"")</f>
        <v/>
      </c>
      <c r="N2024" s="7" t="str">
        <f t="shared" si="6"/>
        <v/>
      </c>
      <c r="O2024" s="7" t="str">
        <f t="shared" si="7"/>
        <v/>
      </c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>
      <c r="A2025" s="5">
        <f>IFERROR(__xludf.DUMMYFUNCTION("""COMPUTED_VALUE"""),45849.0)</f>
        <v>45849</v>
      </c>
      <c r="B2025" s="6">
        <f>IFERROR(__xludf.DUMMYFUNCTION("""COMPUTED_VALUE"""),444.5)</f>
        <v>444.5</v>
      </c>
      <c r="C2025" s="6">
        <f>IFERROR(__xludf.DUMMYFUNCTION("""COMPUTED_VALUE"""),444.5)</f>
        <v>444.5</v>
      </c>
      <c r="D2025" s="6">
        <f>IFERROR(__xludf.DUMMYFUNCTION("""COMPUTED_VALUE"""),433.05)</f>
        <v>433.05</v>
      </c>
      <c r="E2025" s="6">
        <f>IFERROR(__xludf.DUMMYFUNCTION("""COMPUTED_VALUE"""),435.9)</f>
        <v>435.9</v>
      </c>
      <c r="F2025" s="7">
        <f>IFERROR(__xludf.DUMMYFUNCTION("""COMPUTED_VALUE"""),2627116.0)</f>
        <v>2627116</v>
      </c>
      <c r="G2025" s="7" t="str">
        <f>IFERROR(__xludf.DUMMYFUNCTION("""COMPUTED_VALUE"""),"HINDPETRO.NS")</f>
        <v>HINDPETRO.NS</v>
      </c>
      <c r="H2025" s="8">
        <f t="shared" si="1"/>
        <v>-0.01934758155</v>
      </c>
      <c r="I2025" s="8">
        <f t="shared" si="2"/>
        <v>0.01934758155</v>
      </c>
      <c r="J2025" s="7" t="str">
        <f t="shared" si="3"/>
        <v>Jul-2025</v>
      </c>
      <c r="K2025" s="9">
        <f t="shared" si="4"/>
        <v>45839</v>
      </c>
      <c r="L2025" s="7" t="str">
        <f t="shared" si="5"/>
        <v/>
      </c>
      <c r="M2025" s="7" t="str">
        <f>IFERROR(__xludf.DUMMYFUNCTION("IFERROR(
  IF(
    F2025 &gt;
    3*AVERAGE(
       FILTER($F$2:$F10491,
         $G$2:$G10491=G2025,
         $A$2:$A10491&gt;=A2025-20,
         $A$2:$A10491&lt;=A2025
       )
    ),
    ""VOL_SPIKE_3X"",""""
  ),
"""")
"),"")</f>
        <v/>
      </c>
      <c r="N2025" s="7" t="str">
        <f t="shared" si="6"/>
        <v/>
      </c>
      <c r="O2025" s="7" t="str">
        <f t="shared" si="7"/>
        <v/>
      </c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>
      <c r="A2026" s="5">
        <f>IFERROR(__xludf.DUMMYFUNCTION("""COMPUTED_VALUE"""),45849.0)</f>
        <v>45849</v>
      </c>
      <c r="B2026" s="6">
        <f>IFERROR(__xludf.DUMMYFUNCTION("""COMPUTED_VALUE"""),155.0)</f>
        <v>155</v>
      </c>
      <c r="C2026" s="6">
        <f>IFERROR(__xludf.DUMMYFUNCTION("""COMPUTED_VALUE"""),155.0)</f>
        <v>155</v>
      </c>
      <c r="D2026" s="6">
        <f>IFERROR(__xludf.DUMMYFUNCTION("""COMPUTED_VALUE"""),150.26)</f>
        <v>150.26</v>
      </c>
      <c r="E2026" s="6">
        <f>IFERROR(__xludf.DUMMYFUNCTION("""COMPUTED_VALUE"""),150.65)</f>
        <v>150.65</v>
      </c>
      <c r="F2026" s="7">
        <f>IFERROR(__xludf.DUMMYFUNCTION("""COMPUTED_VALUE"""),1.2767735E7)</f>
        <v>12767735</v>
      </c>
      <c r="G2026" s="7" t="str">
        <f>IFERROR(__xludf.DUMMYFUNCTION("""COMPUTED_VALUE"""),"IOC.NS")</f>
        <v>IOC.NS</v>
      </c>
      <c r="H2026" s="8">
        <f t="shared" si="1"/>
        <v>-0.02806451613</v>
      </c>
      <c r="I2026" s="8">
        <f t="shared" si="2"/>
        <v>0.02806451613</v>
      </c>
      <c r="J2026" s="7" t="str">
        <f t="shared" si="3"/>
        <v>Jul-2025</v>
      </c>
      <c r="K2026" s="9">
        <f t="shared" si="4"/>
        <v>45839</v>
      </c>
      <c r="L2026" s="7" t="str">
        <f t="shared" si="5"/>
        <v/>
      </c>
      <c r="M2026" s="7" t="str">
        <f>IFERROR(__xludf.DUMMYFUNCTION("IFERROR(
  IF(
    F2026 &gt;
    3*AVERAGE(
       FILTER($F$2:$F10491,
         $G$2:$G10491=G2026,
         $A$2:$A10491&gt;=A2026-20,
         $A$2:$A10491&lt;=A2026
       )
    ),
    ""VOL_SPIKE_3X"",""""
  ),
"""")
"),"")</f>
        <v/>
      </c>
      <c r="N2026" s="7" t="str">
        <f t="shared" si="6"/>
        <v/>
      </c>
      <c r="O2026" s="7" t="str">
        <f t="shared" si="7"/>
        <v/>
      </c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>
      <c r="A2027" s="5">
        <f>IFERROR(__xludf.DUMMYFUNCTION("""COMPUTED_VALUE"""),45849.0)</f>
        <v>45849</v>
      </c>
      <c r="B2027" s="6">
        <f>IFERROR(__xludf.DUMMYFUNCTION("""COMPUTED_VALUE"""),340.5)</f>
        <v>340.5</v>
      </c>
      <c r="C2027" s="6">
        <f>IFERROR(__xludf.DUMMYFUNCTION("""COMPUTED_VALUE"""),344.0)</f>
        <v>344</v>
      </c>
      <c r="D2027" s="6">
        <f>IFERROR(__xludf.DUMMYFUNCTION("""COMPUTED_VALUE"""),339.5)</f>
        <v>339.5</v>
      </c>
      <c r="E2027" s="6">
        <f>IFERROR(__xludf.DUMMYFUNCTION("""COMPUTED_VALUE"""),342.7)</f>
        <v>342.7</v>
      </c>
      <c r="F2027" s="7">
        <f>IFERROR(__xludf.DUMMYFUNCTION("""COMPUTED_VALUE"""),1.7234194E7)</f>
        <v>17234194</v>
      </c>
      <c r="G2027" s="7" t="str">
        <f>IFERROR(__xludf.DUMMYFUNCTION("""COMPUTED_VALUE"""),"NTPC.NS")</f>
        <v>NTPC.NS</v>
      </c>
      <c r="H2027" s="8">
        <f t="shared" si="1"/>
        <v>0.006461086637</v>
      </c>
      <c r="I2027" s="8">
        <f t="shared" si="2"/>
        <v>0.006461086637</v>
      </c>
      <c r="J2027" s="7" t="str">
        <f t="shared" si="3"/>
        <v>Jul-2025</v>
      </c>
      <c r="K2027" s="9">
        <f t="shared" si="4"/>
        <v>45839</v>
      </c>
      <c r="L2027" s="7" t="str">
        <f t="shared" si="5"/>
        <v/>
      </c>
      <c r="M2027" s="7" t="str">
        <f>IFERROR(__xludf.DUMMYFUNCTION("IFERROR(
  IF(
    F2027 &gt;
    3*AVERAGE(
       FILTER($F$2:$F10491,
         $G$2:$G10491=G2027,
         $A$2:$A10491&gt;=A2027-20,
         $A$2:$A10491&lt;=A2027
       )
    ),
    ""VOL_SPIKE_3X"",""""
  ),
"""")
"),"")</f>
        <v/>
      </c>
      <c r="N2027" s="7" t="str">
        <f t="shared" si="6"/>
        <v/>
      </c>
      <c r="O2027" s="7" t="str">
        <f t="shared" si="7"/>
        <v/>
      </c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>
      <c r="A2028" s="5">
        <f>IFERROR(__xludf.DUMMYFUNCTION("""COMPUTED_VALUE"""),45849.0)</f>
        <v>45849</v>
      </c>
      <c r="B2028" s="6">
        <f>IFERROR(__xludf.DUMMYFUNCTION("""COMPUTED_VALUE"""),243.05)</f>
        <v>243.05</v>
      </c>
      <c r="C2028" s="6">
        <f>IFERROR(__xludf.DUMMYFUNCTION("""COMPUTED_VALUE"""),243.09)</f>
        <v>243.09</v>
      </c>
      <c r="D2028" s="6">
        <f>IFERROR(__xludf.DUMMYFUNCTION("""COMPUTED_VALUE"""),240.8)</f>
        <v>240.8</v>
      </c>
      <c r="E2028" s="6">
        <f>IFERROR(__xludf.DUMMYFUNCTION("""COMPUTED_VALUE"""),241.76)</f>
        <v>241.76</v>
      </c>
      <c r="F2028" s="7">
        <f>IFERROR(__xludf.DUMMYFUNCTION("""COMPUTED_VALUE"""),5608382.0)</f>
        <v>5608382</v>
      </c>
      <c r="G2028" s="7" t="str">
        <f>IFERROR(__xludf.DUMMYFUNCTION("""COMPUTED_VALUE"""),"ONGC.NS")</f>
        <v>ONGC.NS</v>
      </c>
      <c r="H2028" s="8">
        <f t="shared" si="1"/>
        <v>-0.005307549887</v>
      </c>
      <c r="I2028" s="8">
        <f t="shared" si="2"/>
        <v>0.005307549887</v>
      </c>
      <c r="J2028" s="7" t="str">
        <f t="shared" si="3"/>
        <v>Jul-2025</v>
      </c>
      <c r="K2028" s="9">
        <f t="shared" si="4"/>
        <v>45839</v>
      </c>
      <c r="L2028" s="7" t="str">
        <f t="shared" si="5"/>
        <v/>
      </c>
      <c r="M2028" s="7" t="str">
        <f>IFERROR(__xludf.DUMMYFUNCTION("IFERROR(
  IF(
    F2028 &gt;
    3*AVERAGE(
       FILTER($F$2:$F10491,
         $G$2:$G10491=G2028,
         $A$2:$A10491&gt;=A2028-20,
         $A$2:$A10491&lt;=A2028
       )
    ),
    ""VOL_SPIKE_3X"",""""
  ),
"""")
"),"")</f>
        <v/>
      </c>
      <c r="N2028" s="7" t="str">
        <f t="shared" si="6"/>
        <v/>
      </c>
      <c r="O2028" s="7" t="str">
        <f t="shared" si="7"/>
        <v/>
      </c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>
      <c r="A2029" s="5">
        <f>IFERROR(__xludf.DUMMYFUNCTION("""COMPUTED_VALUE"""),45849.0)</f>
        <v>45849</v>
      </c>
      <c r="B2029" s="6">
        <f>IFERROR(__xludf.DUMMYFUNCTION("""COMPUTED_VALUE"""),299.25)</f>
        <v>299.25</v>
      </c>
      <c r="C2029" s="6">
        <f>IFERROR(__xludf.DUMMYFUNCTION("""COMPUTED_VALUE"""),300.9)</f>
        <v>300.9</v>
      </c>
      <c r="D2029" s="6">
        <f>IFERROR(__xludf.DUMMYFUNCTION("""COMPUTED_VALUE"""),296.95)</f>
        <v>296.95</v>
      </c>
      <c r="E2029" s="6">
        <f>IFERROR(__xludf.DUMMYFUNCTION("""COMPUTED_VALUE"""),298.55)</f>
        <v>298.55</v>
      </c>
      <c r="F2029" s="7">
        <f>IFERROR(__xludf.DUMMYFUNCTION("""COMPUTED_VALUE"""),7073217.0)</f>
        <v>7073217</v>
      </c>
      <c r="G2029" s="7" t="str">
        <f>IFERROR(__xludf.DUMMYFUNCTION("""COMPUTED_VALUE"""),"POWERGRID.NS")</f>
        <v>POWERGRID.NS</v>
      </c>
      <c r="H2029" s="8">
        <f t="shared" si="1"/>
        <v>-0.002339181287</v>
      </c>
      <c r="I2029" s="8">
        <f t="shared" si="2"/>
        <v>0.002339181287</v>
      </c>
      <c r="J2029" s="7" t="str">
        <f t="shared" si="3"/>
        <v>Jul-2025</v>
      </c>
      <c r="K2029" s="9">
        <f t="shared" si="4"/>
        <v>45839</v>
      </c>
      <c r="L2029" s="7" t="str">
        <f t="shared" si="5"/>
        <v/>
      </c>
      <c r="M2029" s="7" t="str">
        <f>IFERROR(__xludf.DUMMYFUNCTION("IFERROR(
  IF(
    F2029 &gt;
    3*AVERAGE(
       FILTER($F$2:$F10491,
         $G$2:$G10491=G2029,
         $A$2:$A10491&gt;=A2029-20,
         $A$2:$A10491&lt;=A2029
       )
    ),
    ""VOL_SPIKE_3X"",""""
  ),
"""")
"),"")</f>
        <v/>
      </c>
      <c r="N2029" s="7" t="str">
        <f t="shared" si="6"/>
        <v/>
      </c>
      <c r="O2029" s="7" t="str">
        <f t="shared" si="7"/>
        <v/>
      </c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>
      <c r="A2030" s="5">
        <f>IFERROR(__xludf.DUMMYFUNCTION("""COMPUTED_VALUE"""),45849.0)</f>
        <v>45849</v>
      </c>
      <c r="B2030" s="6">
        <f>IFERROR(__xludf.DUMMYFUNCTION("""COMPUTED_VALUE"""),1512.0)</f>
        <v>1512</v>
      </c>
      <c r="C2030" s="6">
        <f>IFERROR(__xludf.DUMMYFUNCTION("""COMPUTED_VALUE"""),1515.0)</f>
        <v>1515</v>
      </c>
      <c r="D2030" s="6">
        <f>IFERROR(__xludf.DUMMYFUNCTION("""COMPUTED_VALUE"""),1490.3)</f>
        <v>1490.3</v>
      </c>
      <c r="E2030" s="6">
        <f>IFERROR(__xludf.DUMMYFUNCTION("""COMPUTED_VALUE"""),1495.2)</f>
        <v>1495.2</v>
      </c>
      <c r="F2030" s="7">
        <f>IFERROR(__xludf.DUMMYFUNCTION("""COMPUTED_VALUE"""),7234991.0)</f>
        <v>7234991</v>
      </c>
      <c r="G2030" s="7" t="str">
        <f>IFERROR(__xludf.DUMMYFUNCTION("""COMPUTED_VALUE"""),"RELIANCE.NS")</f>
        <v>RELIANCE.NS</v>
      </c>
      <c r="H2030" s="8">
        <f t="shared" si="1"/>
        <v>-0.01111111111</v>
      </c>
      <c r="I2030" s="8">
        <f t="shared" si="2"/>
        <v>0.01111111111</v>
      </c>
      <c r="J2030" s="7" t="str">
        <f t="shared" si="3"/>
        <v>Jul-2025</v>
      </c>
      <c r="K2030" s="9">
        <f t="shared" si="4"/>
        <v>45839</v>
      </c>
      <c r="L2030" s="7" t="str">
        <f t="shared" si="5"/>
        <v/>
      </c>
      <c r="M2030" s="7" t="str">
        <f>IFERROR(__xludf.DUMMYFUNCTION("IFERROR(
  IF(
    F2030 &gt;
    3*AVERAGE(
       FILTER($F$2:$F10491,
         $G$2:$G10491=G2030,
         $A$2:$A10491&gt;=A2030-20,
         $A$2:$A10491&lt;=A2030
       )
    ),
    ""VOL_SPIKE_3X"",""""
  ),
"""")
"),"")</f>
        <v/>
      </c>
      <c r="N2030" s="7" t="str">
        <f t="shared" si="6"/>
        <v/>
      </c>
      <c r="O2030" s="7" t="str">
        <f t="shared" si="7"/>
        <v/>
      </c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>
      <c r="A2031" s="5">
        <f>IFERROR(__xludf.DUMMYFUNCTION("""COMPUTED_VALUE"""),45852.0)</f>
        <v>45852</v>
      </c>
      <c r="B2031" s="6">
        <f>IFERROR(__xludf.DUMMYFUNCTION("""COMPUTED_VALUE"""),876.8)</f>
        <v>876.8</v>
      </c>
      <c r="C2031" s="6">
        <f>IFERROR(__xludf.DUMMYFUNCTION("""COMPUTED_VALUE"""),886.55)</f>
        <v>886.55</v>
      </c>
      <c r="D2031" s="6">
        <f>IFERROR(__xludf.DUMMYFUNCTION("""COMPUTED_VALUE"""),867.3)</f>
        <v>867.3</v>
      </c>
      <c r="E2031" s="6">
        <f>IFERROR(__xludf.DUMMYFUNCTION("""COMPUTED_VALUE"""),880.5)</f>
        <v>880.5</v>
      </c>
      <c r="F2031" s="7">
        <f>IFERROR(__xludf.DUMMYFUNCTION("""COMPUTED_VALUE"""),857740.0)</f>
        <v>857740</v>
      </c>
      <c r="G2031" s="7" t="str">
        <f>IFERROR(__xludf.DUMMYFUNCTION("""COMPUTED_VALUE"""),"ADANIENSOL.NS")</f>
        <v>ADANIENSOL.NS</v>
      </c>
      <c r="H2031" s="8">
        <f t="shared" si="1"/>
        <v>0.004219890511</v>
      </c>
      <c r="I2031" s="8">
        <f t="shared" si="2"/>
        <v>0.004219890511</v>
      </c>
      <c r="J2031" s="7" t="str">
        <f t="shared" si="3"/>
        <v>Jul-2025</v>
      </c>
      <c r="K2031" s="9">
        <f t="shared" si="4"/>
        <v>45839</v>
      </c>
      <c r="L2031" s="7" t="str">
        <f t="shared" si="5"/>
        <v/>
      </c>
      <c r="M2031" s="7" t="str">
        <f>IFERROR(__xludf.DUMMYFUNCTION("IFERROR(
  IF(
    F2031 &gt;
    3*AVERAGE(
       FILTER($F$2:$F10491,
         $G$2:$G10491=G2031,
         $A$2:$A10491&gt;=A2031-20,
         $A$2:$A10491&lt;=A2031
       )
    ),
    ""VOL_SPIKE_3X"",""""
  ),
"""")
"),"")</f>
        <v/>
      </c>
      <c r="N2031" s="7" t="str">
        <f t="shared" si="6"/>
        <v/>
      </c>
      <c r="O2031" s="7" t="str">
        <f t="shared" si="7"/>
        <v/>
      </c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>
      <c r="A2032" s="5">
        <f>IFERROR(__xludf.DUMMYFUNCTION("""COMPUTED_VALUE"""),45852.0)</f>
        <v>45852</v>
      </c>
      <c r="B2032" s="6">
        <f>IFERROR(__xludf.DUMMYFUNCTION("""COMPUTED_VALUE"""),995.8)</f>
        <v>995.8</v>
      </c>
      <c r="C2032" s="6">
        <f>IFERROR(__xludf.DUMMYFUNCTION("""COMPUTED_VALUE"""),1036.0)</f>
        <v>1036</v>
      </c>
      <c r="D2032" s="6">
        <f>IFERROR(__xludf.DUMMYFUNCTION("""COMPUTED_VALUE"""),994.2)</f>
        <v>994.2</v>
      </c>
      <c r="E2032" s="6">
        <f>IFERROR(__xludf.DUMMYFUNCTION("""COMPUTED_VALUE"""),1025.9)</f>
        <v>1025.9</v>
      </c>
      <c r="F2032" s="7">
        <f>IFERROR(__xludf.DUMMYFUNCTION("""COMPUTED_VALUE"""),5134094.0)</f>
        <v>5134094</v>
      </c>
      <c r="G2032" s="7" t="str">
        <f>IFERROR(__xludf.DUMMYFUNCTION("""COMPUTED_VALUE"""),"ADANIGREEN.NS")</f>
        <v>ADANIGREEN.NS</v>
      </c>
      <c r="H2032" s="8">
        <f t="shared" si="1"/>
        <v>0.0302269532</v>
      </c>
      <c r="I2032" s="8">
        <f t="shared" si="2"/>
        <v>0.0302269532</v>
      </c>
      <c r="J2032" s="7" t="str">
        <f t="shared" si="3"/>
        <v>Jul-2025</v>
      </c>
      <c r="K2032" s="9">
        <f t="shared" si="4"/>
        <v>45839</v>
      </c>
      <c r="L2032" s="7" t="str">
        <f t="shared" si="5"/>
        <v/>
      </c>
      <c r="M2032" s="7" t="str">
        <f>IFERROR(__xludf.DUMMYFUNCTION("IFERROR(
  IF(
    F2032 &gt;
    3*AVERAGE(
       FILTER($F$2:$F10491,
         $G$2:$G10491=G2032,
         $A$2:$A10491&gt;=A2032-20,
         $A$2:$A10491&lt;=A2032
       )
    ),
    ""VOL_SPIKE_3X"",""""
  ),
"""")
"),"")</f>
        <v/>
      </c>
      <c r="N2032" s="7" t="str">
        <f t="shared" si="6"/>
        <v/>
      </c>
      <c r="O2032" s="7" t="str">
        <f t="shared" si="7"/>
        <v/>
      </c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>
      <c r="A2033" s="5">
        <f>IFERROR(__xludf.DUMMYFUNCTION("""COMPUTED_VALUE"""),45852.0)</f>
        <v>45852</v>
      </c>
      <c r="B2033" s="6">
        <f>IFERROR(__xludf.DUMMYFUNCTION("""COMPUTED_VALUE"""),345.85)</f>
        <v>345.85</v>
      </c>
      <c r="C2033" s="6">
        <f>IFERROR(__xludf.DUMMYFUNCTION("""COMPUTED_VALUE"""),348.2)</f>
        <v>348.2</v>
      </c>
      <c r="D2033" s="6">
        <f>IFERROR(__xludf.DUMMYFUNCTION("""COMPUTED_VALUE"""),342.85)</f>
        <v>342.85</v>
      </c>
      <c r="E2033" s="6">
        <f>IFERROR(__xludf.DUMMYFUNCTION("""COMPUTED_VALUE"""),344.4)</f>
        <v>344.4</v>
      </c>
      <c r="F2033" s="7">
        <f>IFERROR(__xludf.DUMMYFUNCTION("""COMPUTED_VALUE"""),5372218.0)</f>
        <v>5372218</v>
      </c>
      <c r="G2033" s="7" t="str">
        <f>IFERROR(__xludf.DUMMYFUNCTION("""COMPUTED_VALUE"""),"BPCL.NS")</f>
        <v>BPCL.NS</v>
      </c>
      <c r="H2033" s="8">
        <f t="shared" si="1"/>
        <v>-0.004192569033</v>
      </c>
      <c r="I2033" s="8">
        <f t="shared" si="2"/>
        <v>0.004192569033</v>
      </c>
      <c r="J2033" s="7" t="str">
        <f t="shared" si="3"/>
        <v>Jul-2025</v>
      </c>
      <c r="K2033" s="9">
        <f t="shared" si="4"/>
        <v>45839</v>
      </c>
      <c r="L2033" s="7" t="str">
        <f t="shared" si="5"/>
        <v/>
      </c>
      <c r="M2033" s="7" t="str">
        <f>IFERROR(__xludf.DUMMYFUNCTION("IFERROR(
  IF(
    F2033 &gt;
    3*AVERAGE(
       FILTER($F$2:$F10491,
         $G$2:$G10491=G2033,
         $A$2:$A10491&gt;=A2033-20,
         $A$2:$A10491&lt;=A2033
       )
    ),
    ""VOL_SPIKE_3X"",""""
  ),
"""")
"),"")</f>
        <v/>
      </c>
      <c r="N2033" s="7" t="str">
        <f t="shared" si="6"/>
        <v/>
      </c>
      <c r="O2033" s="7" t="str">
        <f t="shared" si="7"/>
        <v/>
      </c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>
      <c r="A2034" s="5">
        <f>IFERROR(__xludf.DUMMYFUNCTION("""COMPUTED_VALUE"""),45852.0)</f>
        <v>45852</v>
      </c>
      <c r="B2034" s="6">
        <f>IFERROR(__xludf.DUMMYFUNCTION("""COMPUTED_VALUE"""),382.0)</f>
        <v>382</v>
      </c>
      <c r="C2034" s="6">
        <f>IFERROR(__xludf.DUMMYFUNCTION("""COMPUTED_VALUE"""),385.9)</f>
        <v>385.9</v>
      </c>
      <c r="D2034" s="6">
        <f>IFERROR(__xludf.DUMMYFUNCTION("""COMPUTED_VALUE"""),381.5)</f>
        <v>381.5</v>
      </c>
      <c r="E2034" s="6">
        <f>IFERROR(__xludf.DUMMYFUNCTION("""COMPUTED_VALUE"""),383.85)</f>
        <v>383.85</v>
      </c>
      <c r="F2034" s="7">
        <f>IFERROR(__xludf.DUMMYFUNCTION("""COMPUTED_VALUE"""),5109504.0)</f>
        <v>5109504</v>
      </c>
      <c r="G2034" s="7" t="str">
        <f>IFERROR(__xludf.DUMMYFUNCTION("""COMPUTED_VALUE"""),"COALINDIA.NS")</f>
        <v>COALINDIA.NS</v>
      </c>
      <c r="H2034" s="8">
        <f t="shared" si="1"/>
        <v>0.004842931937</v>
      </c>
      <c r="I2034" s="8">
        <f t="shared" si="2"/>
        <v>0.004842931937</v>
      </c>
      <c r="J2034" s="7" t="str">
        <f t="shared" si="3"/>
        <v>Jul-2025</v>
      </c>
      <c r="K2034" s="9">
        <f t="shared" si="4"/>
        <v>45839</v>
      </c>
      <c r="L2034" s="7" t="str">
        <f t="shared" si="5"/>
        <v/>
      </c>
      <c r="M2034" s="7" t="str">
        <f>IFERROR(__xludf.DUMMYFUNCTION("IFERROR(
  IF(
    F2034 &gt;
    3*AVERAGE(
       FILTER($F$2:$F10491,
         $G$2:$G10491=G2034,
         $A$2:$A10491&gt;=A2034-20,
         $A$2:$A10491&lt;=A2034
       )
    ),
    ""VOL_SPIKE_3X"",""""
  ),
"""")
"),"")</f>
        <v/>
      </c>
      <c r="N2034" s="7" t="str">
        <f t="shared" si="6"/>
        <v/>
      </c>
      <c r="O2034" s="7" t="str">
        <f t="shared" si="7"/>
        <v/>
      </c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>
      <c r="A2035" s="5">
        <f>IFERROR(__xludf.DUMMYFUNCTION("""COMPUTED_VALUE"""),45852.0)</f>
        <v>45852</v>
      </c>
      <c r="B2035" s="6">
        <f>IFERROR(__xludf.DUMMYFUNCTION("""COMPUTED_VALUE"""),435.9)</f>
        <v>435.9</v>
      </c>
      <c r="C2035" s="6">
        <f>IFERROR(__xludf.DUMMYFUNCTION("""COMPUTED_VALUE"""),437.5)</f>
        <v>437.5</v>
      </c>
      <c r="D2035" s="6">
        <f>IFERROR(__xludf.DUMMYFUNCTION("""COMPUTED_VALUE"""),428.0)</f>
        <v>428</v>
      </c>
      <c r="E2035" s="6">
        <f>IFERROR(__xludf.DUMMYFUNCTION("""COMPUTED_VALUE"""),429.9)</f>
        <v>429.9</v>
      </c>
      <c r="F2035" s="7">
        <f>IFERROR(__xludf.DUMMYFUNCTION("""COMPUTED_VALUE"""),4575393.0)</f>
        <v>4575393</v>
      </c>
      <c r="G2035" s="7" t="str">
        <f>IFERROR(__xludf.DUMMYFUNCTION("""COMPUTED_VALUE"""),"HINDPETRO.NS")</f>
        <v>HINDPETRO.NS</v>
      </c>
      <c r="H2035" s="8">
        <f t="shared" si="1"/>
        <v>-0.01376462491</v>
      </c>
      <c r="I2035" s="8">
        <f t="shared" si="2"/>
        <v>0.01376462491</v>
      </c>
      <c r="J2035" s="7" t="str">
        <f t="shared" si="3"/>
        <v>Jul-2025</v>
      </c>
      <c r="K2035" s="9">
        <f t="shared" si="4"/>
        <v>45839</v>
      </c>
      <c r="L2035" s="7" t="str">
        <f t="shared" si="5"/>
        <v/>
      </c>
      <c r="M2035" s="7" t="str">
        <f>IFERROR(__xludf.DUMMYFUNCTION("IFERROR(
  IF(
    F2035 &gt;
    3*AVERAGE(
       FILTER($F$2:$F10491,
         $G$2:$G10491=G2035,
         $A$2:$A10491&gt;=A2035-20,
         $A$2:$A10491&lt;=A2035
       )
    ),
    ""VOL_SPIKE_3X"",""""
  ),
"""")
"),"")</f>
        <v/>
      </c>
      <c r="N2035" s="7" t="str">
        <f t="shared" si="6"/>
        <v/>
      </c>
      <c r="O2035" s="7" t="str">
        <f t="shared" si="7"/>
        <v/>
      </c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>
      <c r="A2036" s="5">
        <f>IFERROR(__xludf.DUMMYFUNCTION("""COMPUTED_VALUE"""),45852.0)</f>
        <v>45852</v>
      </c>
      <c r="B2036" s="6">
        <f>IFERROR(__xludf.DUMMYFUNCTION("""COMPUTED_VALUE"""),150.65)</f>
        <v>150.65</v>
      </c>
      <c r="C2036" s="6">
        <f>IFERROR(__xludf.DUMMYFUNCTION("""COMPUTED_VALUE"""),151.6)</f>
        <v>151.6</v>
      </c>
      <c r="D2036" s="6">
        <f>IFERROR(__xludf.DUMMYFUNCTION("""COMPUTED_VALUE"""),149.62)</f>
        <v>149.62</v>
      </c>
      <c r="E2036" s="6">
        <f>IFERROR(__xludf.DUMMYFUNCTION("""COMPUTED_VALUE"""),150.1)</f>
        <v>150.1</v>
      </c>
      <c r="F2036" s="7">
        <f>IFERROR(__xludf.DUMMYFUNCTION("""COMPUTED_VALUE"""),8021902.0)</f>
        <v>8021902</v>
      </c>
      <c r="G2036" s="7" t="str">
        <f>IFERROR(__xludf.DUMMYFUNCTION("""COMPUTED_VALUE"""),"IOC.NS")</f>
        <v>IOC.NS</v>
      </c>
      <c r="H2036" s="8">
        <f t="shared" si="1"/>
        <v>-0.003650846333</v>
      </c>
      <c r="I2036" s="8">
        <f t="shared" si="2"/>
        <v>0.003650846333</v>
      </c>
      <c r="J2036" s="7" t="str">
        <f t="shared" si="3"/>
        <v>Jul-2025</v>
      </c>
      <c r="K2036" s="9">
        <f t="shared" si="4"/>
        <v>45839</v>
      </c>
      <c r="L2036" s="7" t="str">
        <f t="shared" si="5"/>
        <v/>
      </c>
      <c r="M2036" s="7" t="str">
        <f>IFERROR(__xludf.DUMMYFUNCTION("IFERROR(
  IF(
    F2036 &gt;
    3*AVERAGE(
       FILTER($F$2:$F10491,
         $G$2:$G10491=G2036,
         $A$2:$A10491&gt;=A2036-20,
         $A$2:$A10491&lt;=A2036
       )
    ),
    ""VOL_SPIKE_3X"",""""
  ),
"""")
"),"")</f>
        <v/>
      </c>
      <c r="N2036" s="7" t="str">
        <f t="shared" si="6"/>
        <v/>
      </c>
      <c r="O2036" s="7" t="str">
        <f t="shared" si="7"/>
        <v/>
      </c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>
      <c r="A2037" s="5">
        <f>IFERROR(__xludf.DUMMYFUNCTION("""COMPUTED_VALUE"""),45852.0)</f>
        <v>45852</v>
      </c>
      <c r="B2037" s="6">
        <f>IFERROR(__xludf.DUMMYFUNCTION("""COMPUTED_VALUE"""),343.05)</f>
        <v>343.05</v>
      </c>
      <c r="C2037" s="6">
        <f>IFERROR(__xludf.DUMMYFUNCTION("""COMPUTED_VALUE"""),345.0)</f>
        <v>345</v>
      </c>
      <c r="D2037" s="6">
        <f>IFERROR(__xludf.DUMMYFUNCTION("""COMPUTED_VALUE"""),339.95)</f>
        <v>339.95</v>
      </c>
      <c r="E2037" s="6">
        <f>IFERROR(__xludf.DUMMYFUNCTION("""COMPUTED_VALUE"""),342.1)</f>
        <v>342.1</v>
      </c>
      <c r="F2037" s="7">
        <f>IFERROR(__xludf.DUMMYFUNCTION("""COMPUTED_VALUE"""),1.1516965E7)</f>
        <v>11516965</v>
      </c>
      <c r="G2037" s="7" t="str">
        <f>IFERROR(__xludf.DUMMYFUNCTION("""COMPUTED_VALUE"""),"NTPC.NS")</f>
        <v>NTPC.NS</v>
      </c>
      <c r="H2037" s="8">
        <f t="shared" si="1"/>
        <v>-0.002769275616</v>
      </c>
      <c r="I2037" s="8">
        <f t="shared" si="2"/>
        <v>0.002769275616</v>
      </c>
      <c r="J2037" s="7" t="str">
        <f t="shared" si="3"/>
        <v>Jul-2025</v>
      </c>
      <c r="K2037" s="9">
        <f t="shared" si="4"/>
        <v>45839</v>
      </c>
      <c r="L2037" s="7" t="str">
        <f t="shared" si="5"/>
        <v/>
      </c>
      <c r="M2037" s="7" t="str">
        <f>IFERROR(__xludf.DUMMYFUNCTION("IFERROR(
  IF(
    F2037 &gt;
    3*AVERAGE(
       FILTER($F$2:$F10491,
         $G$2:$G10491=G2037,
         $A$2:$A10491&gt;=A2037-20,
         $A$2:$A10491&lt;=A2037
       )
    ),
    ""VOL_SPIKE_3X"",""""
  ),
"""")
"),"")</f>
        <v/>
      </c>
      <c r="N2037" s="7" t="str">
        <f t="shared" si="6"/>
        <v/>
      </c>
      <c r="O2037" s="7" t="str">
        <f t="shared" si="7"/>
        <v/>
      </c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>
      <c r="A2038" s="5">
        <f>IFERROR(__xludf.DUMMYFUNCTION("""COMPUTED_VALUE"""),45852.0)</f>
        <v>45852</v>
      </c>
      <c r="B2038" s="6">
        <f>IFERROR(__xludf.DUMMYFUNCTION("""COMPUTED_VALUE"""),242.9)</f>
        <v>242.9</v>
      </c>
      <c r="C2038" s="6">
        <f>IFERROR(__xludf.DUMMYFUNCTION("""COMPUTED_VALUE"""),244.89)</f>
        <v>244.89</v>
      </c>
      <c r="D2038" s="6">
        <f>IFERROR(__xludf.DUMMYFUNCTION("""COMPUTED_VALUE"""),241.14)</f>
        <v>241.14</v>
      </c>
      <c r="E2038" s="6">
        <f>IFERROR(__xludf.DUMMYFUNCTION("""COMPUTED_VALUE"""),244.22)</f>
        <v>244.22</v>
      </c>
      <c r="F2038" s="7">
        <f>IFERROR(__xludf.DUMMYFUNCTION("""COMPUTED_VALUE"""),7568906.0)</f>
        <v>7568906</v>
      </c>
      <c r="G2038" s="7" t="str">
        <f>IFERROR(__xludf.DUMMYFUNCTION("""COMPUTED_VALUE"""),"ONGC.NS")</f>
        <v>ONGC.NS</v>
      </c>
      <c r="H2038" s="8">
        <f t="shared" si="1"/>
        <v>0.005434335117</v>
      </c>
      <c r="I2038" s="8">
        <f t="shared" si="2"/>
        <v>0.005434335117</v>
      </c>
      <c r="J2038" s="7" t="str">
        <f t="shared" si="3"/>
        <v>Jul-2025</v>
      </c>
      <c r="K2038" s="9">
        <f t="shared" si="4"/>
        <v>45839</v>
      </c>
      <c r="L2038" s="7" t="str">
        <f t="shared" si="5"/>
        <v/>
      </c>
      <c r="M2038" s="7" t="str">
        <f>IFERROR(__xludf.DUMMYFUNCTION("IFERROR(
  IF(
    F2038 &gt;
    3*AVERAGE(
       FILTER($F$2:$F10491,
         $G$2:$G10491=G2038,
         $A$2:$A10491&gt;=A2038-20,
         $A$2:$A10491&lt;=A2038
       )
    ),
    ""VOL_SPIKE_3X"",""""
  ),
"""")
"),"")</f>
        <v/>
      </c>
      <c r="N2038" s="7" t="str">
        <f t="shared" si="6"/>
        <v/>
      </c>
      <c r="O2038" s="7" t="str">
        <f t="shared" si="7"/>
        <v/>
      </c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>
      <c r="A2039" s="5">
        <f>IFERROR(__xludf.DUMMYFUNCTION("""COMPUTED_VALUE"""),45852.0)</f>
        <v>45852</v>
      </c>
      <c r="B2039" s="6">
        <f>IFERROR(__xludf.DUMMYFUNCTION("""COMPUTED_VALUE"""),299.5)</f>
        <v>299.5</v>
      </c>
      <c r="C2039" s="6">
        <f>IFERROR(__xludf.DUMMYFUNCTION("""COMPUTED_VALUE"""),300.45)</f>
        <v>300.45</v>
      </c>
      <c r="D2039" s="6">
        <f>IFERROR(__xludf.DUMMYFUNCTION("""COMPUTED_VALUE"""),297.45)</f>
        <v>297.45</v>
      </c>
      <c r="E2039" s="6">
        <f>IFERROR(__xludf.DUMMYFUNCTION("""COMPUTED_VALUE"""),298.2)</f>
        <v>298.2</v>
      </c>
      <c r="F2039" s="7">
        <f>IFERROR(__xludf.DUMMYFUNCTION("""COMPUTED_VALUE"""),5484223.0)</f>
        <v>5484223</v>
      </c>
      <c r="G2039" s="7" t="str">
        <f>IFERROR(__xludf.DUMMYFUNCTION("""COMPUTED_VALUE"""),"POWERGRID.NS")</f>
        <v>POWERGRID.NS</v>
      </c>
      <c r="H2039" s="8">
        <f t="shared" si="1"/>
        <v>-0.004340567613</v>
      </c>
      <c r="I2039" s="8">
        <f t="shared" si="2"/>
        <v>0.004340567613</v>
      </c>
      <c r="J2039" s="7" t="str">
        <f t="shared" si="3"/>
        <v>Jul-2025</v>
      </c>
      <c r="K2039" s="9">
        <f t="shared" si="4"/>
        <v>45839</v>
      </c>
      <c r="L2039" s="7" t="str">
        <f t="shared" si="5"/>
        <v/>
      </c>
      <c r="M2039" s="7" t="str">
        <f>IFERROR(__xludf.DUMMYFUNCTION("IFERROR(
  IF(
    F2039 &gt;
    3*AVERAGE(
       FILTER($F$2:$F10491,
         $G$2:$G10491=G2039,
         $A$2:$A10491&gt;=A2039-20,
         $A$2:$A10491&lt;=A2039
       )
    ),
    ""VOL_SPIKE_3X"",""""
  ),
"""")
"),"")</f>
        <v/>
      </c>
      <c r="N2039" s="7" t="str">
        <f t="shared" si="6"/>
        <v/>
      </c>
      <c r="O2039" s="7" t="str">
        <f t="shared" si="7"/>
        <v/>
      </c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>
      <c r="A2040" s="5">
        <f>IFERROR(__xludf.DUMMYFUNCTION("""COMPUTED_VALUE"""),45852.0)</f>
        <v>45852</v>
      </c>
      <c r="B2040" s="6">
        <f>IFERROR(__xludf.DUMMYFUNCTION("""COMPUTED_VALUE"""),1492.2)</f>
        <v>1492.2</v>
      </c>
      <c r="C2040" s="6">
        <f>IFERROR(__xludf.DUMMYFUNCTION("""COMPUTED_VALUE"""),1500.0)</f>
        <v>1500</v>
      </c>
      <c r="D2040" s="6">
        <f>IFERROR(__xludf.DUMMYFUNCTION("""COMPUTED_VALUE"""),1479.1)</f>
        <v>1479.1</v>
      </c>
      <c r="E2040" s="6">
        <f>IFERROR(__xludf.DUMMYFUNCTION("""COMPUTED_VALUE"""),1483.7)</f>
        <v>1483.7</v>
      </c>
      <c r="F2040" s="7">
        <f>IFERROR(__xludf.DUMMYFUNCTION("""COMPUTED_VALUE"""),1.0311846E7)</f>
        <v>10311846</v>
      </c>
      <c r="G2040" s="7" t="str">
        <f>IFERROR(__xludf.DUMMYFUNCTION("""COMPUTED_VALUE"""),"RELIANCE.NS")</f>
        <v>RELIANCE.NS</v>
      </c>
      <c r="H2040" s="8">
        <f t="shared" si="1"/>
        <v>-0.005696287361</v>
      </c>
      <c r="I2040" s="8">
        <f t="shared" si="2"/>
        <v>0.005696287361</v>
      </c>
      <c r="J2040" s="7" t="str">
        <f t="shared" si="3"/>
        <v>Jul-2025</v>
      </c>
      <c r="K2040" s="9">
        <f t="shared" si="4"/>
        <v>45839</v>
      </c>
      <c r="L2040" s="7" t="str">
        <f t="shared" si="5"/>
        <v/>
      </c>
      <c r="M2040" s="7" t="str">
        <f>IFERROR(__xludf.DUMMYFUNCTION("IFERROR(
  IF(
    F2040 &gt;
    3*AVERAGE(
       FILTER($F$2:$F10491,
         $G$2:$G10491=G2040,
         $A$2:$A10491&gt;=A2040-20,
         $A$2:$A10491&lt;=A2040
       )
    ),
    ""VOL_SPIKE_3X"",""""
  ),
"""")
"),"")</f>
        <v/>
      </c>
      <c r="N2040" s="7" t="str">
        <f t="shared" si="6"/>
        <v/>
      </c>
      <c r="O2040" s="7" t="str">
        <f t="shared" si="7"/>
        <v/>
      </c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>
      <c r="A2041" s="5">
        <f>IFERROR(__xludf.DUMMYFUNCTION("""COMPUTED_VALUE"""),45853.0)</f>
        <v>45853</v>
      </c>
      <c r="B2041" s="6">
        <f>IFERROR(__xludf.DUMMYFUNCTION("""COMPUTED_VALUE"""),881.0)</f>
        <v>881</v>
      </c>
      <c r="C2041" s="6">
        <f>IFERROR(__xludf.DUMMYFUNCTION("""COMPUTED_VALUE"""),887.8)</f>
        <v>887.8</v>
      </c>
      <c r="D2041" s="6">
        <f>IFERROR(__xludf.DUMMYFUNCTION("""COMPUTED_VALUE"""),873.3)</f>
        <v>873.3</v>
      </c>
      <c r="E2041" s="6">
        <f>IFERROR(__xludf.DUMMYFUNCTION("""COMPUTED_VALUE"""),879.75)</f>
        <v>879.75</v>
      </c>
      <c r="F2041" s="7">
        <f>IFERROR(__xludf.DUMMYFUNCTION("""COMPUTED_VALUE"""),767520.0)</f>
        <v>767520</v>
      </c>
      <c r="G2041" s="7" t="str">
        <f>IFERROR(__xludf.DUMMYFUNCTION("""COMPUTED_VALUE"""),"ADANIENSOL.NS")</f>
        <v>ADANIENSOL.NS</v>
      </c>
      <c r="H2041" s="8">
        <f t="shared" si="1"/>
        <v>-0.001418842225</v>
      </c>
      <c r="I2041" s="8">
        <f t="shared" si="2"/>
        <v>0.001418842225</v>
      </c>
      <c r="J2041" s="7" t="str">
        <f t="shared" si="3"/>
        <v>Jul-2025</v>
      </c>
      <c r="K2041" s="9">
        <f t="shared" si="4"/>
        <v>45839</v>
      </c>
      <c r="L2041" s="7" t="str">
        <f t="shared" si="5"/>
        <v/>
      </c>
      <c r="M2041" s="7" t="str">
        <f>IFERROR(__xludf.DUMMYFUNCTION("IFERROR(
  IF(
    F2041 &gt;
    3*AVERAGE(
       FILTER($F$2:$F10491,
         $G$2:$G10491=G2041,
         $A$2:$A10491&gt;=A2041-20,
         $A$2:$A10491&lt;=A2041
       )
    ),
    ""VOL_SPIKE_3X"",""""
  ),
"""")
"),"")</f>
        <v/>
      </c>
      <c r="N2041" s="7" t="str">
        <f t="shared" si="6"/>
        <v/>
      </c>
      <c r="O2041" s="7" t="str">
        <f t="shared" si="7"/>
        <v/>
      </c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>
      <c r="A2042" s="5">
        <f>IFERROR(__xludf.DUMMYFUNCTION("""COMPUTED_VALUE"""),45853.0)</f>
        <v>45853</v>
      </c>
      <c r="B2042" s="6">
        <f>IFERROR(__xludf.DUMMYFUNCTION("""COMPUTED_VALUE"""),1027.0)</f>
        <v>1027</v>
      </c>
      <c r="C2042" s="6">
        <f>IFERROR(__xludf.DUMMYFUNCTION("""COMPUTED_VALUE"""),1042.0)</f>
        <v>1042</v>
      </c>
      <c r="D2042" s="6">
        <f>IFERROR(__xludf.DUMMYFUNCTION("""COMPUTED_VALUE"""),1026.0)</f>
        <v>1026</v>
      </c>
      <c r="E2042" s="6">
        <f>IFERROR(__xludf.DUMMYFUNCTION("""COMPUTED_VALUE"""),1033.1)</f>
        <v>1033.1</v>
      </c>
      <c r="F2042" s="7">
        <f>IFERROR(__xludf.DUMMYFUNCTION("""COMPUTED_VALUE"""),2064201.0)</f>
        <v>2064201</v>
      </c>
      <c r="G2042" s="7" t="str">
        <f>IFERROR(__xludf.DUMMYFUNCTION("""COMPUTED_VALUE"""),"ADANIGREEN.NS")</f>
        <v>ADANIGREEN.NS</v>
      </c>
      <c r="H2042" s="8">
        <f t="shared" si="1"/>
        <v>0.00593962999</v>
      </c>
      <c r="I2042" s="8">
        <f t="shared" si="2"/>
        <v>0.00593962999</v>
      </c>
      <c r="J2042" s="7" t="str">
        <f t="shared" si="3"/>
        <v>Jul-2025</v>
      </c>
      <c r="K2042" s="9">
        <f t="shared" si="4"/>
        <v>45839</v>
      </c>
      <c r="L2042" s="7" t="str">
        <f t="shared" si="5"/>
        <v/>
      </c>
      <c r="M2042" s="7" t="str">
        <f>IFERROR(__xludf.DUMMYFUNCTION("IFERROR(
  IF(
    F2042 &gt;
    3*AVERAGE(
       FILTER($F$2:$F10491,
         $G$2:$G10491=G2042,
         $A$2:$A10491&gt;=A2042-20,
         $A$2:$A10491&lt;=A2042
       )
    ),
    ""VOL_SPIKE_3X"",""""
  ),
"""")
"),"")</f>
        <v/>
      </c>
      <c r="N2042" s="7" t="str">
        <f t="shared" si="6"/>
        <v/>
      </c>
      <c r="O2042" s="7" t="str">
        <f t="shared" si="7"/>
        <v/>
      </c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>
      <c r="A2043" s="5">
        <f>IFERROR(__xludf.DUMMYFUNCTION("""COMPUTED_VALUE"""),45853.0)</f>
        <v>45853</v>
      </c>
      <c r="B2043" s="6">
        <f>IFERROR(__xludf.DUMMYFUNCTION("""COMPUTED_VALUE"""),347.65)</f>
        <v>347.65</v>
      </c>
      <c r="C2043" s="6">
        <f>IFERROR(__xludf.DUMMYFUNCTION("""COMPUTED_VALUE"""),350.5)</f>
        <v>350.5</v>
      </c>
      <c r="D2043" s="6">
        <f>IFERROR(__xludf.DUMMYFUNCTION("""COMPUTED_VALUE"""),346.15)</f>
        <v>346.15</v>
      </c>
      <c r="E2043" s="6">
        <f>IFERROR(__xludf.DUMMYFUNCTION("""COMPUTED_VALUE"""),348.05)</f>
        <v>348.05</v>
      </c>
      <c r="F2043" s="7">
        <f>IFERROR(__xludf.DUMMYFUNCTION("""COMPUTED_VALUE"""),6270256.0)</f>
        <v>6270256</v>
      </c>
      <c r="G2043" s="7" t="str">
        <f>IFERROR(__xludf.DUMMYFUNCTION("""COMPUTED_VALUE"""),"BPCL.NS")</f>
        <v>BPCL.NS</v>
      </c>
      <c r="H2043" s="8">
        <f t="shared" si="1"/>
        <v>0.001150582482</v>
      </c>
      <c r="I2043" s="8">
        <f t="shared" si="2"/>
        <v>0.001150582482</v>
      </c>
      <c r="J2043" s="7" t="str">
        <f t="shared" si="3"/>
        <v>Jul-2025</v>
      </c>
      <c r="K2043" s="9">
        <f t="shared" si="4"/>
        <v>45839</v>
      </c>
      <c r="L2043" s="7" t="str">
        <f t="shared" si="5"/>
        <v/>
      </c>
      <c r="M2043" s="7" t="str">
        <f>IFERROR(__xludf.DUMMYFUNCTION("IFERROR(
  IF(
    F2043 &gt;
    3*AVERAGE(
       FILTER($F$2:$F10491,
         $G$2:$G10491=G2043,
         $A$2:$A10491&gt;=A2043-20,
         $A$2:$A10491&lt;=A2043
       )
    ),
    ""VOL_SPIKE_3X"",""""
  ),
"""")
"),"")</f>
        <v/>
      </c>
      <c r="N2043" s="7" t="str">
        <f t="shared" si="6"/>
        <v/>
      </c>
      <c r="O2043" s="7" t="str">
        <f t="shared" si="7"/>
        <v/>
      </c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>
      <c r="A2044" s="5">
        <f>IFERROR(__xludf.DUMMYFUNCTION("""COMPUTED_VALUE"""),45853.0)</f>
        <v>45853</v>
      </c>
      <c r="B2044" s="6">
        <f>IFERROR(__xludf.DUMMYFUNCTION("""COMPUTED_VALUE"""),383.9)</f>
        <v>383.9</v>
      </c>
      <c r="C2044" s="6">
        <f>IFERROR(__xludf.DUMMYFUNCTION("""COMPUTED_VALUE"""),387.25)</f>
        <v>387.25</v>
      </c>
      <c r="D2044" s="6">
        <f>IFERROR(__xludf.DUMMYFUNCTION("""COMPUTED_VALUE"""),383.45)</f>
        <v>383.45</v>
      </c>
      <c r="E2044" s="6">
        <f>IFERROR(__xludf.DUMMYFUNCTION("""COMPUTED_VALUE"""),386.45)</f>
        <v>386.45</v>
      </c>
      <c r="F2044" s="7">
        <f>IFERROR(__xludf.DUMMYFUNCTION("""COMPUTED_VALUE"""),4586811.0)</f>
        <v>4586811</v>
      </c>
      <c r="G2044" s="7" t="str">
        <f>IFERROR(__xludf.DUMMYFUNCTION("""COMPUTED_VALUE"""),"COALINDIA.NS")</f>
        <v>COALINDIA.NS</v>
      </c>
      <c r="H2044" s="8">
        <f t="shared" si="1"/>
        <v>0.00664235478</v>
      </c>
      <c r="I2044" s="8">
        <f t="shared" si="2"/>
        <v>0.00664235478</v>
      </c>
      <c r="J2044" s="7" t="str">
        <f t="shared" si="3"/>
        <v>Jul-2025</v>
      </c>
      <c r="K2044" s="9">
        <f t="shared" si="4"/>
        <v>45839</v>
      </c>
      <c r="L2044" s="7" t="str">
        <f t="shared" si="5"/>
        <v/>
      </c>
      <c r="M2044" s="7" t="str">
        <f>IFERROR(__xludf.DUMMYFUNCTION("IFERROR(
  IF(
    F2044 &gt;
    3*AVERAGE(
       FILTER($F$2:$F10491,
         $G$2:$G10491=G2044,
         $A$2:$A10491&gt;=A2044-20,
         $A$2:$A10491&lt;=A2044
       )
    ),
    ""VOL_SPIKE_3X"",""""
  ),
"""")
"),"")</f>
        <v/>
      </c>
      <c r="N2044" s="7" t="str">
        <f t="shared" si="6"/>
        <v/>
      </c>
      <c r="O2044" s="7" t="str">
        <f t="shared" si="7"/>
        <v/>
      </c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>
      <c r="A2045" s="5">
        <f>IFERROR(__xludf.DUMMYFUNCTION("""COMPUTED_VALUE"""),45853.0)</f>
        <v>45853</v>
      </c>
      <c r="B2045" s="6">
        <f>IFERROR(__xludf.DUMMYFUNCTION("""COMPUTED_VALUE"""),433.5)</f>
        <v>433.5</v>
      </c>
      <c r="C2045" s="6">
        <f>IFERROR(__xludf.DUMMYFUNCTION("""COMPUTED_VALUE"""),441.0)</f>
        <v>441</v>
      </c>
      <c r="D2045" s="6">
        <f>IFERROR(__xludf.DUMMYFUNCTION("""COMPUTED_VALUE"""),429.1)</f>
        <v>429.1</v>
      </c>
      <c r="E2045" s="6">
        <f>IFERROR(__xludf.DUMMYFUNCTION("""COMPUTED_VALUE"""),433.45)</f>
        <v>433.45</v>
      </c>
      <c r="F2045" s="7">
        <f>IFERROR(__xludf.DUMMYFUNCTION("""COMPUTED_VALUE"""),6427673.0)</f>
        <v>6427673</v>
      </c>
      <c r="G2045" s="7" t="str">
        <f>IFERROR(__xludf.DUMMYFUNCTION("""COMPUTED_VALUE"""),"HINDPETRO.NS")</f>
        <v>HINDPETRO.NS</v>
      </c>
      <c r="H2045" s="8">
        <f t="shared" si="1"/>
        <v>-0.0001153402537</v>
      </c>
      <c r="I2045" s="8">
        <f t="shared" si="2"/>
        <v>0.0001153402537</v>
      </c>
      <c r="J2045" s="7" t="str">
        <f t="shared" si="3"/>
        <v>Jul-2025</v>
      </c>
      <c r="K2045" s="9">
        <f t="shared" si="4"/>
        <v>45839</v>
      </c>
      <c r="L2045" s="7" t="str">
        <f t="shared" si="5"/>
        <v/>
      </c>
      <c r="M2045" s="7" t="str">
        <f>IFERROR(__xludf.DUMMYFUNCTION("IFERROR(
  IF(
    F2045 &gt;
    3*AVERAGE(
       FILTER($F$2:$F10491,
         $G$2:$G10491=G2045,
         $A$2:$A10491&gt;=A2045-20,
         $A$2:$A10491&lt;=A2045
       )
    ),
    ""VOL_SPIKE_3X"",""""
  ),
"""")
"),"")</f>
        <v/>
      </c>
      <c r="N2045" s="7" t="str">
        <f t="shared" si="6"/>
        <v/>
      </c>
      <c r="O2045" s="7" t="str">
        <f t="shared" si="7"/>
        <v/>
      </c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>
      <c r="A2046" s="5">
        <f>IFERROR(__xludf.DUMMYFUNCTION("""COMPUTED_VALUE"""),45853.0)</f>
        <v>45853</v>
      </c>
      <c r="B2046" s="6">
        <f>IFERROR(__xludf.DUMMYFUNCTION("""COMPUTED_VALUE"""),150.55)</f>
        <v>150.55</v>
      </c>
      <c r="C2046" s="6">
        <f>IFERROR(__xludf.DUMMYFUNCTION("""COMPUTED_VALUE"""),151.9)</f>
        <v>151.9</v>
      </c>
      <c r="D2046" s="6">
        <f>IFERROR(__xludf.DUMMYFUNCTION("""COMPUTED_VALUE"""),150.54)</f>
        <v>150.54</v>
      </c>
      <c r="E2046" s="6">
        <f>IFERROR(__xludf.DUMMYFUNCTION("""COMPUTED_VALUE"""),151.4)</f>
        <v>151.4</v>
      </c>
      <c r="F2046" s="7">
        <f>IFERROR(__xludf.DUMMYFUNCTION("""COMPUTED_VALUE"""),4853043.0)</f>
        <v>4853043</v>
      </c>
      <c r="G2046" s="7" t="str">
        <f>IFERROR(__xludf.DUMMYFUNCTION("""COMPUTED_VALUE"""),"IOC.NS")</f>
        <v>IOC.NS</v>
      </c>
      <c r="H2046" s="8">
        <f t="shared" si="1"/>
        <v>0.005645964796</v>
      </c>
      <c r="I2046" s="8">
        <f t="shared" si="2"/>
        <v>0.005645964796</v>
      </c>
      <c r="J2046" s="7" t="str">
        <f t="shared" si="3"/>
        <v>Jul-2025</v>
      </c>
      <c r="K2046" s="9">
        <f t="shared" si="4"/>
        <v>45839</v>
      </c>
      <c r="L2046" s="7" t="str">
        <f t="shared" si="5"/>
        <v/>
      </c>
      <c r="M2046" s="7" t="str">
        <f>IFERROR(__xludf.DUMMYFUNCTION("IFERROR(
  IF(
    F2046 &gt;
    3*AVERAGE(
       FILTER($F$2:$F10491,
         $G$2:$G10491=G2046,
         $A$2:$A10491&gt;=A2046-20,
         $A$2:$A10491&lt;=A2046
       )
    ),
    ""VOL_SPIKE_3X"",""""
  ),
"""")
"),"")</f>
        <v/>
      </c>
      <c r="N2046" s="7" t="str">
        <f t="shared" si="6"/>
        <v/>
      </c>
      <c r="O2046" s="7" t="str">
        <f t="shared" si="7"/>
        <v/>
      </c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>
      <c r="A2047" s="5">
        <f>IFERROR(__xludf.DUMMYFUNCTION("""COMPUTED_VALUE"""),45853.0)</f>
        <v>45853</v>
      </c>
      <c r="B2047" s="6">
        <f>IFERROR(__xludf.DUMMYFUNCTION("""COMPUTED_VALUE"""),343.15)</f>
        <v>343.15</v>
      </c>
      <c r="C2047" s="6">
        <f>IFERROR(__xludf.DUMMYFUNCTION("""COMPUTED_VALUE"""),344.1)</f>
        <v>344.1</v>
      </c>
      <c r="D2047" s="6">
        <f>IFERROR(__xludf.DUMMYFUNCTION("""COMPUTED_VALUE"""),340.95)</f>
        <v>340.95</v>
      </c>
      <c r="E2047" s="6">
        <f>IFERROR(__xludf.DUMMYFUNCTION("""COMPUTED_VALUE"""),342.0)</f>
        <v>342</v>
      </c>
      <c r="F2047" s="7">
        <f>IFERROR(__xludf.DUMMYFUNCTION("""COMPUTED_VALUE"""),8450777.0)</f>
        <v>8450777</v>
      </c>
      <c r="G2047" s="7" t="str">
        <f>IFERROR(__xludf.DUMMYFUNCTION("""COMPUTED_VALUE"""),"NTPC.NS")</f>
        <v>NTPC.NS</v>
      </c>
      <c r="H2047" s="8">
        <f t="shared" si="1"/>
        <v>-0.003351304094</v>
      </c>
      <c r="I2047" s="8">
        <f t="shared" si="2"/>
        <v>0.003351304094</v>
      </c>
      <c r="J2047" s="7" t="str">
        <f t="shared" si="3"/>
        <v>Jul-2025</v>
      </c>
      <c r="K2047" s="9">
        <f t="shared" si="4"/>
        <v>45839</v>
      </c>
      <c r="L2047" s="7" t="str">
        <f t="shared" si="5"/>
        <v/>
      </c>
      <c r="M2047" s="7" t="str">
        <f>IFERROR(__xludf.DUMMYFUNCTION("IFERROR(
  IF(
    F2047 &gt;
    3*AVERAGE(
       FILTER($F$2:$F10491,
         $G$2:$G10491=G2047,
         $A$2:$A10491&gt;=A2047-20,
         $A$2:$A10491&lt;=A2047
       )
    ),
    ""VOL_SPIKE_3X"",""""
  ),
"""")
"),"")</f>
        <v/>
      </c>
      <c r="N2047" s="7" t="str">
        <f t="shared" si="6"/>
        <v/>
      </c>
      <c r="O2047" s="7" t="str">
        <f t="shared" si="7"/>
        <v/>
      </c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>
      <c r="A2048" s="5">
        <f>IFERROR(__xludf.DUMMYFUNCTION("""COMPUTED_VALUE"""),45853.0)</f>
        <v>45853</v>
      </c>
      <c r="B2048" s="6">
        <f>IFERROR(__xludf.DUMMYFUNCTION("""COMPUTED_VALUE"""),244.48)</f>
        <v>244.48</v>
      </c>
      <c r="C2048" s="6">
        <f>IFERROR(__xludf.DUMMYFUNCTION("""COMPUTED_VALUE"""),245.37)</f>
        <v>245.37</v>
      </c>
      <c r="D2048" s="6">
        <f>IFERROR(__xludf.DUMMYFUNCTION("""COMPUTED_VALUE"""),242.7)</f>
        <v>242.7</v>
      </c>
      <c r="E2048" s="6">
        <f>IFERROR(__xludf.DUMMYFUNCTION("""COMPUTED_VALUE"""),243.67)</f>
        <v>243.67</v>
      </c>
      <c r="F2048" s="7">
        <f>IFERROR(__xludf.DUMMYFUNCTION("""COMPUTED_VALUE"""),7843083.0)</f>
        <v>7843083</v>
      </c>
      <c r="G2048" s="7" t="str">
        <f>IFERROR(__xludf.DUMMYFUNCTION("""COMPUTED_VALUE"""),"ONGC.NS")</f>
        <v>ONGC.NS</v>
      </c>
      <c r="H2048" s="8">
        <f t="shared" si="1"/>
        <v>-0.00331315445</v>
      </c>
      <c r="I2048" s="8">
        <f t="shared" si="2"/>
        <v>0.00331315445</v>
      </c>
      <c r="J2048" s="7" t="str">
        <f t="shared" si="3"/>
        <v>Jul-2025</v>
      </c>
      <c r="K2048" s="9">
        <f t="shared" si="4"/>
        <v>45839</v>
      </c>
      <c r="L2048" s="7" t="str">
        <f t="shared" si="5"/>
        <v/>
      </c>
      <c r="M2048" s="7" t="str">
        <f>IFERROR(__xludf.DUMMYFUNCTION("IFERROR(
  IF(
    F2048 &gt;
    3*AVERAGE(
       FILTER($F$2:$F10491,
         $G$2:$G10491=G2048,
         $A$2:$A10491&gt;=A2048-20,
         $A$2:$A10491&lt;=A2048
       )
    ),
    ""VOL_SPIKE_3X"",""""
  ),
"""")
"),"")</f>
        <v/>
      </c>
      <c r="N2048" s="7" t="str">
        <f t="shared" si="6"/>
        <v/>
      </c>
      <c r="O2048" s="7" t="str">
        <f t="shared" si="7"/>
        <v/>
      </c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>
      <c r="A2049" s="5">
        <f>IFERROR(__xludf.DUMMYFUNCTION("""COMPUTED_VALUE"""),45853.0)</f>
        <v>45853</v>
      </c>
      <c r="B2049" s="6">
        <f>IFERROR(__xludf.DUMMYFUNCTION("""COMPUTED_VALUE"""),298.1)</f>
        <v>298.1</v>
      </c>
      <c r="C2049" s="6">
        <f>IFERROR(__xludf.DUMMYFUNCTION("""COMPUTED_VALUE"""),300.0)</f>
        <v>300</v>
      </c>
      <c r="D2049" s="6">
        <f>IFERROR(__xludf.DUMMYFUNCTION("""COMPUTED_VALUE"""),296.85)</f>
        <v>296.85</v>
      </c>
      <c r="E2049" s="6">
        <f>IFERROR(__xludf.DUMMYFUNCTION("""COMPUTED_VALUE"""),298.05)</f>
        <v>298.05</v>
      </c>
      <c r="F2049" s="7">
        <f>IFERROR(__xludf.DUMMYFUNCTION("""COMPUTED_VALUE"""),6173407.0)</f>
        <v>6173407</v>
      </c>
      <c r="G2049" s="7" t="str">
        <f>IFERROR(__xludf.DUMMYFUNCTION("""COMPUTED_VALUE"""),"POWERGRID.NS")</f>
        <v>POWERGRID.NS</v>
      </c>
      <c r="H2049" s="8">
        <f t="shared" si="1"/>
        <v>-0.00016772895</v>
      </c>
      <c r="I2049" s="8">
        <f t="shared" si="2"/>
        <v>0.00016772895</v>
      </c>
      <c r="J2049" s="7" t="str">
        <f t="shared" si="3"/>
        <v>Jul-2025</v>
      </c>
      <c r="K2049" s="9">
        <f t="shared" si="4"/>
        <v>45839</v>
      </c>
      <c r="L2049" s="7" t="str">
        <f t="shared" si="5"/>
        <v/>
      </c>
      <c r="M2049" s="7" t="str">
        <f>IFERROR(__xludf.DUMMYFUNCTION("IFERROR(
  IF(
    F2049 &gt;
    3*AVERAGE(
       FILTER($F$2:$F10491,
         $G$2:$G10491=G2049,
         $A$2:$A10491&gt;=A2049-20,
         $A$2:$A10491&lt;=A2049
       )
    ),
    ""VOL_SPIKE_3X"",""""
  ),
"""")
"),"")</f>
        <v/>
      </c>
      <c r="N2049" s="7" t="str">
        <f t="shared" si="6"/>
        <v/>
      </c>
      <c r="O2049" s="7" t="str">
        <f t="shared" si="7"/>
        <v/>
      </c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>
      <c r="A2050" s="5">
        <f>IFERROR(__xludf.DUMMYFUNCTION("""COMPUTED_VALUE"""),45853.0)</f>
        <v>45853</v>
      </c>
      <c r="B2050" s="6">
        <f>IFERROR(__xludf.DUMMYFUNCTION("""COMPUTED_VALUE"""),1486.2)</f>
        <v>1486.2</v>
      </c>
      <c r="C2050" s="6">
        <f>IFERROR(__xludf.DUMMYFUNCTION("""COMPUTED_VALUE"""),1496.5)</f>
        <v>1496.5</v>
      </c>
      <c r="D2050" s="6">
        <f>IFERROR(__xludf.DUMMYFUNCTION("""COMPUTED_VALUE"""),1482.4)</f>
        <v>1482.4</v>
      </c>
      <c r="E2050" s="6">
        <f>IFERROR(__xludf.DUMMYFUNCTION("""COMPUTED_VALUE"""),1485.4)</f>
        <v>1485.4</v>
      </c>
      <c r="F2050" s="7">
        <f>IFERROR(__xludf.DUMMYFUNCTION("""COMPUTED_VALUE"""),8132454.0)</f>
        <v>8132454</v>
      </c>
      <c r="G2050" s="7" t="str">
        <f>IFERROR(__xludf.DUMMYFUNCTION("""COMPUTED_VALUE"""),"RELIANCE.NS")</f>
        <v>RELIANCE.NS</v>
      </c>
      <c r="H2050" s="8">
        <f t="shared" si="1"/>
        <v>-0.0005382855605</v>
      </c>
      <c r="I2050" s="8">
        <f t="shared" si="2"/>
        <v>0.0005382855605</v>
      </c>
      <c r="J2050" s="7" t="str">
        <f t="shared" si="3"/>
        <v>Jul-2025</v>
      </c>
      <c r="K2050" s="9">
        <f t="shared" si="4"/>
        <v>45839</v>
      </c>
      <c r="L2050" s="7" t="str">
        <f t="shared" si="5"/>
        <v/>
      </c>
      <c r="M2050" s="7" t="str">
        <f>IFERROR(__xludf.DUMMYFUNCTION("IFERROR(
  IF(
    F2050 &gt;
    3*AVERAGE(
       FILTER($F$2:$F10491,
         $G$2:$G10491=G2050,
         $A$2:$A10491&gt;=A2050-20,
         $A$2:$A10491&lt;=A2050
       )
    ),
    ""VOL_SPIKE_3X"",""""
  ),
"""")
"),"")</f>
        <v/>
      </c>
      <c r="N2050" s="7" t="str">
        <f t="shared" si="6"/>
        <v/>
      </c>
      <c r="O2050" s="7" t="str">
        <f t="shared" si="7"/>
        <v/>
      </c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>
      <c r="A2051" s="5">
        <f>IFERROR(__xludf.DUMMYFUNCTION("""COMPUTED_VALUE"""),45854.0)</f>
        <v>45854</v>
      </c>
      <c r="B2051" s="6">
        <f>IFERROR(__xludf.DUMMYFUNCTION("""COMPUTED_VALUE"""),880.5)</f>
        <v>880.5</v>
      </c>
      <c r="C2051" s="6">
        <f>IFERROR(__xludf.DUMMYFUNCTION("""COMPUTED_VALUE"""),886.85)</f>
        <v>886.85</v>
      </c>
      <c r="D2051" s="6">
        <f>IFERROR(__xludf.DUMMYFUNCTION("""COMPUTED_VALUE"""),875.05)</f>
        <v>875.05</v>
      </c>
      <c r="E2051" s="6">
        <f>IFERROR(__xludf.DUMMYFUNCTION("""COMPUTED_VALUE"""),876.6)</f>
        <v>876.6</v>
      </c>
      <c r="F2051" s="7">
        <f>IFERROR(__xludf.DUMMYFUNCTION("""COMPUTED_VALUE"""),593638.0)</f>
        <v>593638</v>
      </c>
      <c r="G2051" s="7" t="str">
        <f>IFERROR(__xludf.DUMMYFUNCTION("""COMPUTED_VALUE"""),"ADANIENSOL.NS")</f>
        <v>ADANIENSOL.NS</v>
      </c>
      <c r="H2051" s="8">
        <f t="shared" si="1"/>
        <v>-0.004429301533</v>
      </c>
      <c r="I2051" s="8">
        <f t="shared" si="2"/>
        <v>0.004429301533</v>
      </c>
      <c r="J2051" s="7" t="str">
        <f t="shared" si="3"/>
        <v>Jul-2025</v>
      </c>
      <c r="K2051" s="9">
        <f t="shared" si="4"/>
        <v>45839</v>
      </c>
      <c r="L2051" s="7" t="str">
        <f t="shared" si="5"/>
        <v/>
      </c>
      <c r="M2051" s="7" t="str">
        <f>IFERROR(__xludf.DUMMYFUNCTION("IFERROR(
  IF(
    F2051 &gt;
    3*AVERAGE(
       FILTER($F$2:$F10491,
         $G$2:$G10491=G2051,
         $A$2:$A10491&gt;=A2051-20,
         $A$2:$A10491&lt;=A2051
       )
    ),
    ""VOL_SPIKE_3X"",""""
  ),
"""")
"),"")</f>
        <v/>
      </c>
      <c r="N2051" s="7" t="str">
        <f t="shared" si="6"/>
        <v/>
      </c>
      <c r="O2051" s="7" t="str">
        <f t="shared" si="7"/>
        <v/>
      </c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>
      <c r="A2052" s="5">
        <f>IFERROR(__xludf.DUMMYFUNCTION("""COMPUTED_VALUE"""),45854.0)</f>
        <v>45854</v>
      </c>
      <c r="B2052" s="6">
        <f>IFERROR(__xludf.DUMMYFUNCTION("""COMPUTED_VALUE"""),1033.1)</f>
        <v>1033.1</v>
      </c>
      <c r="C2052" s="6">
        <f>IFERROR(__xludf.DUMMYFUNCTION("""COMPUTED_VALUE"""),1049.5)</f>
        <v>1049.5</v>
      </c>
      <c r="D2052" s="6">
        <f>IFERROR(__xludf.DUMMYFUNCTION("""COMPUTED_VALUE"""),1033.1)</f>
        <v>1033.1</v>
      </c>
      <c r="E2052" s="6">
        <f>IFERROR(__xludf.DUMMYFUNCTION("""COMPUTED_VALUE"""),1038.6)</f>
        <v>1038.6</v>
      </c>
      <c r="F2052" s="7">
        <f>IFERROR(__xludf.DUMMYFUNCTION("""COMPUTED_VALUE"""),2548383.0)</f>
        <v>2548383</v>
      </c>
      <c r="G2052" s="7" t="str">
        <f>IFERROR(__xludf.DUMMYFUNCTION("""COMPUTED_VALUE"""),"ADANIGREEN.NS")</f>
        <v>ADANIGREEN.NS</v>
      </c>
      <c r="H2052" s="8">
        <f t="shared" si="1"/>
        <v>0.00532378279</v>
      </c>
      <c r="I2052" s="8">
        <f t="shared" si="2"/>
        <v>0.00532378279</v>
      </c>
      <c r="J2052" s="7" t="str">
        <f t="shared" si="3"/>
        <v>Jul-2025</v>
      </c>
      <c r="K2052" s="9">
        <f t="shared" si="4"/>
        <v>45839</v>
      </c>
      <c r="L2052" s="7" t="str">
        <f t="shared" si="5"/>
        <v/>
      </c>
      <c r="M2052" s="7" t="str">
        <f>IFERROR(__xludf.DUMMYFUNCTION("IFERROR(
  IF(
    F2052 &gt;
    3*AVERAGE(
       FILTER($F$2:$F10491,
         $G$2:$G10491=G2052,
         $A$2:$A10491&gt;=A2052-20,
         $A$2:$A10491&lt;=A2052
       )
    ),
    ""VOL_SPIKE_3X"",""""
  ),
"""")
"),"")</f>
        <v/>
      </c>
      <c r="N2052" s="7" t="str">
        <f t="shared" si="6"/>
        <v/>
      </c>
      <c r="O2052" s="7" t="str">
        <f t="shared" si="7"/>
        <v/>
      </c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>
      <c r="A2053" s="5">
        <f>IFERROR(__xludf.DUMMYFUNCTION("""COMPUTED_VALUE"""),45854.0)</f>
        <v>45854</v>
      </c>
      <c r="B2053" s="6">
        <f>IFERROR(__xludf.DUMMYFUNCTION("""COMPUTED_VALUE"""),350.05)</f>
        <v>350.05</v>
      </c>
      <c r="C2053" s="6">
        <f>IFERROR(__xludf.DUMMYFUNCTION("""COMPUTED_VALUE"""),351.7)</f>
        <v>351.7</v>
      </c>
      <c r="D2053" s="6">
        <f>IFERROR(__xludf.DUMMYFUNCTION("""COMPUTED_VALUE"""),347.4)</f>
        <v>347.4</v>
      </c>
      <c r="E2053" s="6">
        <f>IFERROR(__xludf.DUMMYFUNCTION("""COMPUTED_VALUE"""),347.85)</f>
        <v>347.85</v>
      </c>
      <c r="F2053" s="7">
        <f>IFERROR(__xludf.DUMMYFUNCTION("""COMPUTED_VALUE"""),8426412.0)</f>
        <v>8426412</v>
      </c>
      <c r="G2053" s="7" t="str">
        <f>IFERROR(__xludf.DUMMYFUNCTION("""COMPUTED_VALUE"""),"BPCL.NS")</f>
        <v>BPCL.NS</v>
      </c>
      <c r="H2053" s="8">
        <f t="shared" si="1"/>
        <v>-0.006284816455</v>
      </c>
      <c r="I2053" s="8">
        <f t="shared" si="2"/>
        <v>0.006284816455</v>
      </c>
      <c r="J2053" s="7" t="str">
        <f t="shared" si="3"/>
        <v>Jul-2025</v>
      </c>
      <c r="K2053" s="9">
        <f t="shared" si="4"/>
        <v>45839</v>
      </c>
      <c r="L2053" s="7" t="str">
        <f t="shared" si="5"/>
        <v/>
      </c>
      <c r="M2053" s="7" t="str">
        <f>IFERROR(__xludf.DUMMYFUNCTION("IFERROR(
  IF(
    F2053 &gt;
    3*AVERAGE(
       FILTER($F$2:$F10491,
         $G$2:$G10491=G2053,
         $A$2:$A10491&gt;=A2053-20,
         $A$2:$A10491&lt;=A2053
       )
    ),
    ""VOL_SPIKE_3X"",""""
  ),
"""")
"),"")</f>
        <v/>
      </c>
      <c r="N2053" s="7" t="str">
        <f t="shared" si="6"/>
        <v/>
      </c>
      <c r="O2053" s="7" t="str">
        <f t="shared" si="7"/>
        <v/>
      </c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>
      <c r="A2054" s="5">
        <f>IFERROR(__xludf.DUMMYFUNCTION("""COMPUTED_VALUE"""),45854.0)</f>
        <v>45854</v>
      </c>
      <c r="B2054" s="6">
        <f>IFERROR(__xludf.DUMMYFUNCTION("""COMPUTED_VALUE"""),386.65)</f>
        <v>386.65</v>
      </c>
      <c r="C2054" s="6">
        <f>IFERROR(__xludf.DUMMYFUNCTION("""COMPUTED_VALUE"""),388.0)</f>
        <v>388</v>
      </c>
      <c r="D2054" s="6">
        <f>IFERROR(__xludf.DUMMYFUNCTION("""COMPUTED_VALUE"""),384.95)</f>
        <v>384.95</v>
      </c>
      <c r="E2054" s="6">
        <f>IFERROR(__xludf.DUMMYFUNCTION("""COMPUTED_VALUE"""),386.45)</f>
        <v>386.45</v>
      </c>
      <c r="F2054" s="7">
        <f>IFERROR(__xludf.DUMMYFUNCTION("""COMPUTED_VALUE"""),5205724.0)</f>
        <v>5205724</v>
      </c>
      <c r="G2054" s="7" t="str">
        <f>IFERROR(__xludf.DUMMYFUNCTION("""COMPUTED_VALUE"""),"COALINDIA.NS")</f>
        <v>COALINDIA.NS</v>
      </c>
      <c r="H2054" s="8">
        <f t="shared" si="1"/>
        <v>-0.0005172636752</v>
      </c>
      <c r="I2054" s="8">
        <f t="shared" si="2"/>
        <v>0.0005172636752</v>
      </c>
      <c r="J2054" s="7" t="str">
        <f t="shared" si="3"/>
        <v>Jul-2025</v>
      </c>
      <c r="K2054" s="9">
        <f t="shared" si="4"/>
        <v>45839</v>
      </c>
      <c r="L2054" s="7" t="str">
        <f t="shared" si="5"/>
        <v/>
      </c>
      <c r="M2054" s="7" t="str">
        <f>IFERROR(__xludf.DUMMYFUNCTION("IFERROR(
  IF(
    F2054 &gt;
    3*AVERAGE(
       FILTER($F$2:$F10491,
         $G$2:$G10491=G2054,
         $A$2:$A10491&gt;=A2054-20,
         $A$2:$A10491&lt;=A2054
       )
    ),
    ""VOL_SPIKE_3X"",""""
  ),
"""")
"),"")</f>
        <v/>
      </c>
      <c r="N2054" s="7" t="str">
        <f t="shared" si="6"/>
        <v/>
      </c>
      <c r="O2054" s="7" t="str">
        <f t="shared" si="7"/>
        <v/>
      </c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>
      <c r="A2055" s="5">
        <f>IFERROR(__xludf.DUMMYFUNCTION("""COMPUTED_VALUE"""),45854.0)</f>
        <v>45854</v>
      </c>
      <c r="B2055" s="6">
        <f>IFERROR(__xludf.DUMMYFUNCTION("""COMPUTED_VALUE"""),434.45)</f>
        <v>434.45</v>
      </c>
      <c r="C2055" s="6">
        <f>IFERROR(__xludf.DUMMYFUNCTION("""COMPUTED_VALUE"""),448.55)</f>
        <v>448.55</v>
      </c>
      <c r="D2055" s="6">
        <f>IFERROR(__xludf.DUMMYFUNCTION("""COMPUTED_VALUE"""),433.7)</f>
        <v>433.7</v>
      </c>
      <c r="E2055" s="6">
        <f>IFERROR(__xludf.DUMMYFUNCTION("""COMPUTED_VALUE"""),446.1)</f>
        <v>446.1</v>
      </c>
      <c r="F2055" s="7">
        <f>IFERROR(__xludf.DUMMYFUNCTION("""COMPUTED_VALUE"""),6690619.0)</f>
        <v>6690619</v>
      </c>
      <c r="G2055" s="7" t="str">
        <f>IFERROR(__xludf.DUMMYFUNCTION("""COMPUTED_VALUE"""),"HINDPETRO.NS")</f>
        <v>HINDPETRO.NS</v>
      </c>
      <c r="H2055" s="8">
        <f t="shared" si="1"/>
        <v>0.02681551387</v>
      </c>
      <c r="I2055" s="8">
        <f t="shared" si="2"/>
        <v>0.02681551387</v>
      </c>
      <c r="J2055" s="7" t="str">
        <f t="shared" si="3"/>
        <v>Jul-2025</v>
      </c>
      <c r="K2055" s="9">
        <f t="shared" si="4"/>
        <v>45839</v>
      </c>
      <c r="L2055" s="7" t="str">
        <f t="shared" si="5"/>
        <v/>
      </c>
      <c r="M2055" s="7" t="str">
        <f>IFERROR(__xludf.DUMMYFUNCTION("IFERROR(
  IF(
    F2055 &gt;
    3*AVERAGE(
       FILTER($F$2:$F10491,
         $G$2:$G10491=G2055,
         $A$2:$A10491&gt;=A2055-20,
         $A$2:$A10491&lt;=A2055
       )
    ),
    ""VOL_SPIKE_3X"",""""
  ),
"""")
"),"")</f>
        <v/>
      </c>
      <c r="N2055" s="7" t="str">
        <f t="shared" si="6"/>
        <v/>
      </c>
      <c r="O2055" s="7" t="str">
        <f t="shared" si="7"/>
        <v/>
      </c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>
      <c r="A2056" s="5">
        <f>IFERROR(__xludf.DUMMYFUNCTION("""COMPUTED_VALUE"""),45854.0)</f>
        <v>45854</v>
      </c>
      <c r="B2056" s="6">
        <f>IFERROR(__xludf.DUMMYFUNCTION("""COMPUTED_VALUE"""),151.2)</f>
        <v>151.2</v>
      </c>
      <c r="C2056" s="6">
        <f>IFERROR(__xludf.DUMMYFUNCTION("""COMPUTED_VALUE"""),152.68)</f>
        <v>152.68</v>
      </c>
      <c r="D2056" s="6">
        <f>IFERROR(__xludf.DUMMYFUNCTION("""COMPUTED_VALUE"""),150.63)</f>
        <v>150.63</v>
      </c>
      <c r="E2056" s="6">
        <f>IFERROR(__xludf.DUMMYFUNCTION("""COMPUTED_VALUE"""),152.04)</f>
        <v>152.04</v>
      </c>
      <c r="F2056" s="7">
        <f>IFERROR(__xludf.DUMMYFUNCTION("""COMPUTED_VALUE"""),7218210.0)</f>
        <v>7218210</v>
      </c>
      <c r="G2056" s="7" t="str">
        <f>IFERROR(__xludf.DUMMYFUNCTION("""COMPUTED_VALUE"""),"IOC.NS")</f>
        <v>IOC.NS</v>
      </c>
      <c r="H2056" s="8">
        <f t="shared" si="1"/>
        <v>0.005555555556</v>
      </c>
      <c r="I2056" s="8">
        <f t="shared" si="2"/>
        <v>0.005555555556</v>
      </c>
      <c r="J2056" s="7" t="str">
        <f t="shared" si="3"/>
        <v>Jul-2025</v>
      </c>
      <c r="K2056" s="9">
        <f t="shared" si="4"/>
        <v>45839</v>
      </c>
      <c r="L2056" s="7" t="str">
        <f t="shared" si="5"/>
        <v/>
      </c>
      <c r="M2056" s="7" t="str">
        <f>IFERROR(__xludf.DUMMYFUNCTION("IFERROR(
  IF(
    F2056 &gt;
    3*AVERAGE(
       FILTER($F$2:$F10491,
         $G$2:$G10491=G2056,
         $A$2:$A10491&gt;=A2056-20,
         $A$2:$A10491&lt;=A2056
       )
    ),
    ""VOL_SPIKE_3X"",""""
  ),
"""")
"),"")</f>
        <v/>
      </c>
      <c r="N2056" s="7" t="str">
        <f t="shared" si="6"/>
        <v/>
      </c>
      <c r="O2056" s="7" t="str">
        <f t="shared" si="7"/>
        <v/>
      </c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>
      <c r="A2057" s="5">
        <f>IFERROR(__xludf.DUMMYFUNCTION("""COMPUTED_VALUE"""),45854.0)</f>
        <v>45854</v>
      </c>
      <c r="B2057" s="6">
        <f>IFERROR(__xludf.DUMMYFUNCTION("""COMPUTED_VALUE"""),342.0)</f>
        <v>342</v>
      </c>
      <c r="C2057" s="6">
        <f>IFERROR(__xludf.DUMMYFUNCTION("""COMPUTED_VALUE"""),343.8)</f>
        <v>343.8</v>
      </c>
      <c r="D2057" s="6">
        <f>IFERROR(__xludf.DUMMYFUNCTION("""COMPUTED_VALUE"""),340.8)</f>
        <v>340.8</v>
      </c>
      <c r="E2057" s="6">
        <f>IFERROR(__xludf.DUMMYFUNCTION("""COMPUTED_VALUE"""),342.45)</f>
        <v>342.45</v>
      </c>
      <c r="F2057" s="7">
        <f>IFERROR(__xludf.DUMMYFUNCTION("""COMPUTED_VALUE"""),6001484.0)</f>
        <v>6001484</v>
      </c>
      <c r="G2057" s="7" t="str">
        <f>IFERROR(__xludf.DUMMYFUNCTION("""COMPUTED_VALUE"""),"NTPC.NS")</f>
        <v>NTPC.NS</v>
      </c>
      <c r="H2057" s="8">
        <f t="shared" si="1"/>
        <v>0.001315789474</v>
      </c>
      <c r="I2057" s="8">
        <f t="shared" si="2"/>
        <v>0.001315789474</v>
      </c>
      <c r="J2057" s="7" t="str">
        <f t="shared" si="3"/>
        <v>Jul-2025</v>
      </c>
      <c r="K2057" s="9">
        <f t="shared" si="4"/>
        <v>45839</v>
      </c>
      <c r="L2057" s="7" t="str">
        <f t="shared" si="5"/>
        <v/>
      </c>
      <c r="M2057" s="7" t="str">
        <f>IFERROR(__xludf.DUMMYFUNCTION("IFERROR(
  IF(
    F2057 &gt;
    3*AVERAGE(
       FILTER($F$2:$F10491,
         $G$2:$G10491=G2057,
         $A$2:$A10491&gt;=A2057-20,
         $A$2:$A10491&lt;=A2057
       )
    ),
    ""VOL_SPIKE_3X"",""""
  ),
"""")
"),"")</f>
        <v/>
      </c>
      <c r="N2057" s="7" t="str">
        <f t="shared" si="6"/>
        <v/>
      </c>
      <c r="O2057" s="7" t="str">
        <f t="shared" si="7"/>
        <v/>
      </c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>
      <c r="A2058" s="5">
        <f>IFERROR(__xludf.DUMMYFUNCTION("""COMPUTED_VALUE"""),45854.0)</f>
        <v>45854</v>
      </c>
      <c r="B2058" s="6">
        <f>IFERROR(__xludf.DUMMYFUNCTION("""COMPUTED_VALUE"""),244.0)</f>
        <v>244</v>
      </c>
      <c r="C2058" s="6">
        <f>IFERROR(__xludf.DUMMYFUNCTION("""COMPUTED_VALUE"""),244.15)</f>
        <v>244.15</v>
      </c>
      <c r="D2058" s="6">
        <f>IFERROR(__xludf.DUMMYFUNCTION("""COMPUTED_VALUE"""),242.3)</f>
        <v>242.3</v>
      </c>
      <c r="E2058" s="6">
        <f>IFERROR(__xludf.DUMMYFUNCTION("""COMPUTED_VALUE"""),242.85)</f>
        <v>242.85</v>
      </c>
      <c r="F2058" s="7">
        <f>IFERROR(__xludf.DUMMYFUNCTION("""COMPUTED_VALUE"""),5656962.0)</f>
        <v>5656962</v>
      </c>
      <c r="G2058" s="7" t="str">
        <f>IFERROR(__xludf.DUMMYFUNCTION("""COMPUTED_VALUE"""),"ONGC.NS")</f>
        <v>ONGC.NS</v>
      </c>
      <c r="H2058" s="8">
        <f t="shared" si="1"/>
        <v>-0.004713114754</v>
      </c>
      <c r="I2058" s="8">
        <f t="shared" si="2"/>
        <v>0.004713114754</v>
      </c>
      <c r="J2058" s="7" t="str">
        <f t="shared" si="3"/>
        <v>Jul-2025</v>
      </c>
      <c r="K2058" s="9">
        <f t="shared" si="4"/>
        <v>45839</v>
      </c>
      <c r="L2058" s="7" t="str">
        <f t="shared" si="5"/>
        <v/>
      </c>
      <c r="M2058" s="7" t="str">
        <f>IFERROR(__xludf.DUMMYFUNCTION("IFERROR(
  IF(
    F2058 &gt;
    3*AVERAGE(
       FILTER($F$2:$F10491,
         $G$2:$G10491=G2058,
         $A$2:$A10491&gt;=A2058-20,
         $A$2:$A10491&lt;=A2058
       )
    ),
    ""VOL_SPIKE_3X"",""""
  ),
"""")
"),"")</f>
        <v/>
      </c>
      <c r="N2058" s="7" t="str">
        <f t="shared" si="6"/>
        <v/>
      </c>
      <c r="O2058" s="7" t="str">
        <f t="shared" si="7"/>
        <v/>
      </c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>
      <c r="A2059" s="5">
        <f>IFERROR(__xludf.DUMMYFUNCTION("""COMPUTED_VALUE"""),45854.0)</f>
        <v>45854</v>
      </c>
      <c r="B2059" s="6">
        <f>IFERROR(__xludf.DUMMYFUNCTION("""COMPUTED_VALUE"""),298.95)</f>
        <v>298.95</v>
      </c>
      <c r="C2059" s="6">
        <f>IFERROR(__xludf.DUMMYFUNCTION("""COMPUTED_VALUE"""),298.95)</f>
        <v>298.95</v>
      </c>
      <c r="D2059" s="6">
        <f>IFERROR(__xludf.DUMMYFUNCTION("""COMPUTED_VALUE"""),295.7)</f>
        <v>295.7</v>
      </c>
      <c r="E2059" s="6">
        <f>IFERROR(__xludf.DUMMYFUNCTION("""COMPUTED_VALUE"""),297.05)</f>
        <v>297.05</v>
      </c>
      <c r="F2059" s="7">
        <f>IFERROR(__xludf.DUMMYFUNCTION("""COMPUTED_VALUE"""),8144630.0)</f>
        <v>8144630</v>
      </c>
      <c r="G2059" s="7" t="str">
        <f>IFERROR(__xludf.DUMMYFUNCTION("""COMPUTED_VALUE"""),"POWERGRID.NS")</f>
        <v>POWERGRID.NS</v>
      </c>
      <c r="H2059" s="8">
        <f t="shared" si="1"/>
        <v>-0.006355577856</v>
      </c>
      <c r="I2059" s="8">
        <f t="shared" si="2"/>
        <v>0.006355577856</v>
      </c>
      <c r="J2059" s="7" t="str">
        <f t="shared" si="3"/>
        <v>Jul-2025</v>
      </c>
      <c r="K2059" s="9">
        <f t="shared" si="4"/>
        <v>45839</v>
      </c>
      <c r="L2059" s="7" t="str">
        <f t="shared" si="5"/>
        <v/>
      </c>
      <c r="M2059" s="7" t="str">
        <f>IFERROR(__xludf.DUMMYFUNCTION("IFERROR(
  IF(
    F2059 &gt;
    3*AVERAGE(
       FILTER($F$2:$F10491,
         $G$2:$G10491=G2059,
         $A$2:$A10491&gt;=A2059-20,
         $A$2:$A10491&lt;=A2059
       )
    ),
    ""VOL_SPIKE_3X"",""""
  ),
"""")
"),"")</f>
        <v/>
      </c>
      <c r="N2059" s="7" t="str">
        <f t="shared" si="6"/>
        <v/>
      </c>
      <c r="O2059" s="7" t="str">
        <f t="shared" si="7"/>
        <v/>
      </c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>
      <c r="A2060" s="5">
        <f>IFERROR(__xludf.DUMMYFUNCTION("""COMPUTED_VALUE"""),45854.0)</f>
        <v>45854</v>
      </c>
      <c r="B2060" s="6">
        <f>IFERROR(__xludf.DUMMYFUNCTION("""COMPUTED_VALUE"""),1473.0)</f>
        <v>1473</v>
      </c>
      <c r="C2060" s="6">
        <f>IFERROR(__xludf.DUMMYFUNCTION("""COMPUTED_VALUE"""),1491.0)</f>
        <v>1491</v>
      </c>
      <c r="D2060" s="6">
        <f>IFERROR(__xludf.DUMMYFUNCTION("""COMPUTED_VALUE"""),1471.5)</f>
        <v>1471.5</v>
      </c>
      <c r="E2060" s="6">
        <f>IFERROR(__xludf.DUMMYFUNCTION("""COMPUTED_VALUE"""),1485.6)</f>
        <v>1485.6</v>
      </c>
      <c r="F2060" s="7">
        <f>IFERROR(__xludf.DUMMYFUNCTION("""COMPUTED_VALUE"""),1.0409983E7)</f>
        <v>10409983</v>
      </c>
      <c r="G2060" s="7" t="str">
        <f>IFERROR(__xludf.DUMMYFUNCTION("""COMPUTED_VALUE"""),"RELIANCE.NS")</f>
        <v>RELIANCE.NS</v>
      </c>
      <c r="H2060" s="8">
        <f t="shared" si="1"/>
        <v>0.008553971487</v>
      </c>
      <c r="I2060" s="8">
        <f t="shared" si="2"/>
        <v>0.008553971487</v>
      </c>
      <c r="J2060" s="7" t="str">
        <f t="shared" si="3"/>
        <v>Jul-2025</v>
      </c>
      <c r="K2060" s="9">
        <f t="shared" si="4"/>
        <v>45839</v>
      </c>
      <c r="L2060" s="7" t="str">
        <f t="shared" si="5"/>
        <v/>
      </c>
      <c r="M2060" s="7" t="str">
        <f>IFERROR(__xludf.DUMMYFUNCTION("IFERROR(
  IF(
    F2060 &gt;
    3*AVERAGE(
       FILTER($F$2:$F10491,
         $G$2:$G10491=G2060,
         $A$2:$A10491&gt;=A2060-20,
         $A$2:$A10491&lt;=A2060
       )
    ),
    ""VOL_SPIKE_3X"",""""
  ),
"""")
"),"")</f>
        <v/>
      </c>
      <c r="N2060" s="7" t="str">
        <f t="shared" si="6"/>
        <v/>
      </c>
      <c r="O2060" s="7" t="str">
        <f t="shared" si="7"/>
        <v/>
      </c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>
      <c r="A2061" s="5">
        <f>IFERROR(__xludf.DUMMYFUNCTION("""COMPUTED_VALUE"""),45855.0)</f>
        <v>45855</v>
      </c>
      <c r="B2061" s="6">
        <f>IFERROR(__xludf.DUMMYFUNCTION("""COMPUTED_VALUE"""),879.95)</f>
        <v>879.95</v>
      </c>
      <c r="C2061" s="6">
        <f>IFERROR(__xludf.DUMMYFUNCTION("""COMPUTED_VALUE"""),884.0)</f>
        <v>884</v>
      </c>
      <c r="D2061" s="6">
        <f>IFERROR(__xludf.DUMMYFUNCTION("""COMPUTED_VALUE"""),872.0)</f>
        <v>872</v>
      </c>
      <c r="E2061" s="6">
        <f>IFERROR(__xludf.DUMMYFUNCTION("""COMPUTED_VALUE"""),873.35)</f>
        <v>873.35</v>
      </c>
      <c r="F2061" s="7">
        <f>IFERROR(__xludf.DUMMYFUNCTION("""COMPUTED_VALUE"""),614709.0)</f>
        <v>614709</v>
      </c>
      <c r="G2061" s="7" t="str">
        <f>IFERROR(__xludf.DUMMYFUNCTION("""COMPUTED_VALUE"""),"ADANIENSOL.NS")</f>
        <v>ADANIENSOL.NS</v>
      </c>
      <c r="H2061" s="8">
        <f t="shared" si="1"/>
        <v>-0.007500426161</v>
      </c>
      <c r="I2061" s="8">
        <f t="shared" si="2"/>
        <v>0.007500426161</v>
      </c>
      <c r="J2061" s="7" t="str">
        <f t="shared" si="3"/>
        <v>Jul-2025</v>
      </c>
      <c r="K2061" s="9">
        <f t="shared" si="4"/>
        <v>45839</v>
      </c>
      <c r="L2061" s="7" t="str">
        <f t="shared" si="5"/>
        <v/>
      </c>
      <c r="M2061" s="7" t="str">
        <f>IFERROR(__xludf.DUMMYFUNCTION("IFERROR(
  IF(
    F2061 &gt;
    3*AVERAGE(
       FILTER($F$2:$F10491,
         $G$2:$G10491=G2061,
         $A$2:$A10491&gt;=A2061-20,
         $A$2:$A10491&lt;=A2061
       )
    ),
    ""VOL_SPIKE_3X"",""""
  ),
"""")
"),"")</f>
        <v/>
      </c>
      <c r="N2061" s="7" t="str">
        <f t="shared" si="6"/>
        <v/>
      </c>
      <c r="O2061" s="7" t="str">
        <f t="shared" si="7"/>
        <v/>
      </c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>
      <c r="A2062" s="5">
        <f>IFERROR(__xludf.DUMMYFUNCTION("""COMPUTED_VALUE"""),45855.0)</f>
        <v>45855</v>
      </c>
      <c r="B2062" s="6">
        <f>IFERROR(__xludf.DUMMYFUNCTION("""COMPUTED_VALUE"""),1039.0)</f>
        <v>1039</v>
      </c>
      <c r="C2062" s="6">
        <f>IFERROR(__xludf.DUMMYFUNCTION("""COMPUTED_VALUE"""),1054.9)</f>
        <v>1054.9</v>
      </c>
      <c r="D2062" s="6">
        <f>IFERROR(__xludf.DUMMYFUNCTION("""COMPUTED_VALUE"""),1033.4)</f>
        <v>1033.4</v>
      </c>
      <c r="E2062" s="6">
        <f>IFERROR(__xludf.DUMMYFUNCTION("""COMPUTED_VALUE"""),1050.1)</f>
        <v>1050.1</v>
      </c>
      <c r="F2062" s="7">
        <f>IFERROR(__xludf.DUMMYFUNCTION("""COMPUTED_VALUE"""),2304002.0)</f>
        <v>2304002</v>
      </c>
      <c r="G2062" s="7" t="str">
        <f>IFERROR(__xludf.DUMMYFUNCTION("""COMPUTED_VALUE"""),"ADANIGREEN.NS")</f>
        <v>ADANIGREEN.NS</v>
      </c>
      <c r="H2062" s="8">
        <f t="shared" si="1"/>
        <v>0.01068334937</v>
      </c>
      <c r="I2062" s="8">
        <f t="shared" si="2"/>
        <v>0.01068334937</v>
      </c>
      <c r="J2062" s="7" t="str">
        <f t="shared" si="3"/>
        <v>Jul-2025</v>
      </c>
      <c r="K2062" s="9">
        <f t="shared" si="4"/>
        <v>45839</v>
      </c>
      <c r="L2062" s="7" t="str">
        <f t="shared" si="5"/>
        <v/>
      </c>
      <c r="M2062" s="7" t="str">
        <f>IFERROR(__xludf.DUMMYFUNCTION("IFERROR(
  IF(
    F2062 &gt;
    3*AVERAGE(
       FILTER($F$2:$F10491,
         $G$2:$G10491=G2062,
         $A$2:$A10491&gt;=A2062-20,
         $A$2:$A10491&lt;=A2062
       )
    ),
    ""VOL_SPIKE_3X"",""""
  ),
"""")
"),"")</f>
        <v/>
      </c>
      <c r="N2062" s="7" t="str">
        <f t="shared" si="6"/>
        <v/>
      </c>
      <c r="O2062" s="7" t="str">
        <f t="shared" si="7"/>
        <v/>
      </c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>
      <c r="A2063" s="5">
        <f>IFERROR(__xludf.DUMMYFUNCTION("""COMPUTED_VALUE"""),45855.0)</f>
        <v>45855</v>
      </c>
      <c r="B2063" s="6">
        <f>IFERROR(__xludf.DUMMYFUNCTION("""COMPUTED_VALUE"""),349.6)</f>
        <v>349.6</v>
      </c>
      <c r="C2063" s="6">
        <f>IFERROR(__xludf.DUMMYFUNCTION("""COMPUTED_VALUE"""),349.9)</f>
        <v>349.9</v>
      </c>
      <c r="D2063" s="6">
        <f>IFERROR(__xludf.DUMMYFUNCTION("""COMPUTED_VALUE"""),344.25)</f>
        <v>344.25</v>
      </c>
      <c r="E2063" s="6">
        <f>IFERROR(__xludf.DUMMYFUNCTION("""COMPUTED_VALUE"""),346.75)</f>
        <v>346.75</v>
      </c>
      <c r="F2063" s="7">
        <f>IFERROR(__xludf.DUMMYFUNCTION("""COMPUTED_VALUE"""),4026086.0)</f>
        <v>4026086</v>
      </c>
      <c r="G2063" s="7" t="str">
        <f>IFERROR(__xludf.DUMMYFUNCTION("""COMPUTED_VALUE"""),"BPCL.NS")</f>
        <v>BPCL.NS</v>
      </c>
      <c r="H2063" s="8">
        <f t="shared" si="1"/>
        <v>-0.008152173913</v>
      </c>
      <c r="I2063" s="8">
        <f t="shared" si="2"/>
        <v>0.008152173913</v>
      </c>
      <c r="J2063" s="7" t="str">
        <f t="shared" si="3"/>
        <v>Jul-2025</v>
      </c>
      <c r="K2063" s="9">
        <f t="shared" si="4"/>
        <v>45839</v>
      </c>
      <c r="L2063" s="7" t="str">
        <f t="shared" si="5"/>
        <v/>
      </c>
      <c r="M2063" s="7" t="str">
        <f>IFERROR(__xludf.DUMMYFUNCTION("IFERROR(
  IF(
    F2063 &gt;
    3*AVERAGE(
       FILTER($F$2:$F10491,
         $G$2:$G10491=G2063,
         $A$2:$A10491&gt;=A2063-20,
         $A$2:$A10491&lt;=A2063
       )
    ),
    ""VOL_SPIKE_3X"",""""
  ),
"""")
"),"")</f>
        <v/>
      </c>
      <c r="N2063" s="7" t="str">
        <f t="shared" si="6"/>
        <v/>
      </c>
      <c r="O2063" s="7" t="str">
        <f t="shared" si="7"/>
        <v/>
      </c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>
      <c r="A2064" s="5">
        <f>IFERROR(__xludf.DUMMYFUNCTION("""COMPUTED_VALUE"""),45855.0)</f>
        <v>45855</v>
      </c>
      <c r="B2064" s="6">
        <f>IFERROR(__xludf.DUMMYFUNCTION("""COMPUTED_VALUE"""),387.05)</f>
        <v>387.05</v>
      </c>
      <c r="C2064" s="6">
        <f>IFERROR(__xludf.DUMMYFUNCTION("""COMPUTED_VALUE"""),388.2)</f>
        <v>388.2</v>
      </c>
      <c r="D2064" s="6">
        <f>IFERROR(__xludf.DUMMYFUNCTION("""COMPUTED_VALUE"""),384.9)</f>
        <v>384.9</v>
      </c>
      <c r="E2064" s="6">
        <f>IFERROR(__xludf.DUMMYFUNCTION("""COMPUTED_VALUE"""),385.9)</f>
        <v>385.9</v>
      </c>
      <c r="F2064" s="7">
        <f>IFERROR(__xludf.DUMMYFUNCTION("""COMPUTED_VALUE"""),3749218.0)</f>
        <v>3749218</v>
      </c>
      <c r="G2064" s="7" t="str">
        <f>IFERROR(__xludf.DUMMYFUNCTION("""COMPUTED_VALUE"""),"COALINDIA.NS")</f>
        <v>COALINDIA.NS</v>
      </c>
      <c r="H2064" s="8">
        <f t="shared" si="1"/>
        <v>-0.002971192352</v>
      </c>
      <c r="I2064" s="8">
        <f t="shared" si="2"/>
        <v>0.002971192352</v>
      </c>
      <c r="J2064" s="7" t="str">
        <f t="shared" si="3"/>
        <v>Jul-2025</v>
      </c>
      <c r="K2064" s="9">
        <f t="shared" si="4"/>
        <v>45839</v>
      </c>
      <c r="L2064" s="7" t="str">
        <f t="shared" si="5"/>
        <v/>
      </c>
      <c r="M2064" s="7" t="str">
        <f>IFERROR(__xludf.DUMMYFUNCTION("IFERROR(
  IF(
    F2064 &gt;
    3*AVERAGE(
       FILTER($F$2:$F10491,
         $G$2:$G10491=G2064,
         $A$2:$A10491&gt;=A2064-20,
         $A$2:$A10491&lt;=A2064
       )
    ),
    ""VOL_SPIKE_3X"",""""
  ),
"""")
"),"")</f>
        <v/>
      </c>
      <c r="N2064" s="7" t="str">
        <f t="shared" si="6"/>
        <v/>
      </c>
      <c r="O2064" s="7" t="str">
        <f t="shared" si="7"/>
        <v/>
      </c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>
      <c r="A2065" s="5">
        <f>IFERROR(__xludf.DUMMYFUNCTION("""COMPUTED_VALUE"""),45855.0)</f>
        <v>45855</v>
      </c>
      <c r="B2065" s="6">
        <f>IFERROR(__xludf.DUMMYFUNCTION("""COMPUTED_VALUE"""),446.05)</f>
        <v>446.05</v>
      </c>
      <c r="C2065" s="6">
        <f>IFERROR(__xludf.DUMMYFUNCTION("""COMPUTED_VALUE"""),446.4)</f>
        <v>446.4</v>
      </c>
      <c r="D2065" s="6">
        <f>IFERROR(__xludf.DUMMYFUNCTION("""COMPUTED_VALUE"""),438.35)</f>
        <v>438.35</v>
      </c>
      <c r="E2065" s="6">
        <f>IFERROR(__xludf.DUMMYFUNCTION("""COMPUTED_VALUE"""),440.0)</f>
        <v>440</v>
      </c>
      <c r="F2065" s="7">
        <f>IFERROR(__xludf.DUMMYFUNCTION("""COMPUTED_VALUE"""),2643122.0)</f>
        <v>2643122</v>
      </c>
      <c r="G2065" s="7" t="str">
        <f>IFERROR(__xludf.DUMMYFUNCTION("""COMPUTED_VALUE"""),"HINDPETRO.NS")</f>
        <v>HINDPETRO.NS</v>
      </c>
      <c r="H2065" s="8">
        <f t="shared" si="1"/>
        <v>-0.01356350185</v>
      </c>
      <c r="I2065" s="8">
        <f t="shared" si="2"/>
        <v>0.01356350185</v>
      </c>
      <c r="J2065" s="7" t="str">
        <f t="shared" si="3"/>
        <v>Jul-2025</v>
      </c>
      <c r="K2065" s="9">
        <f t="shared" si="4"/>
        <v>45839</v>
      </c>
      <c r="L2065" s="7" t="str">
        <f t="shared" si="5"/>
        <v/>
      </c>
      <c r="M2065" s="7" t="str">
        <f>IFERROR(__xludf.DUMMYFUNCTION("IFERROR(
  IF(
    F2065 &gt;
    3*AVERAGE(
       FILTER($F$2:$F10491,
         $G$2:$G10491=G2065,
         $A$2:$A10491&gt;=A2065-20,
         $A$2:$A10491&lt;=A2065
       )
    ),
    ""VOL_SPIKE_3X"",""""
  ),
"""")
"),"")</f>
        <v/>
      </c>
      <c r="N2065" s="7" t="str">
        <f t="shared" si="6"/>
        <v/>
      </c>
      <c r="O2065" s="7" t="str">
        <f t="shared" si="7"/>
        <v/>
      </c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>
      <c r="A2066" s="5">
        <f>IFERROR(__xludf.DUMMYFUNCTION("""COMPUTED_VALUE"""),45855.0)</f>
        <v>45855</v>
      </c>
      <c r="B2066" s="6">
        <f>IFERROR(__xludf.DUMMYFUNCTION("""COMPUTED_VALUE"""),152.37)</f>
        <v>152.37</v>
      </c>
      <c r="C2066" s="6">
        <f>IFERROR(__xludf.DUMMYFUNCTION("""COMPUTED_VALUE"""),152.47)</f>
        <v>152.47</v>
      </c>
      <c r="D2066" s="6">
        <f>IFERROR(__xludf.DUMMYFUNCTION("""COMPUTED_VALUE"""),150.62)</f>
        <v>150.62</v>
      </c>
      <c r="E2066" s="6">
        <f>IFERROR(__xludf.DUMMYFUNCTION("""COMPUTED_VALUE"""),150.96)</f>
        <v>150.96</v>
      </c>
      <c r="F2066" s="7">
        <f>IFERROR(__xludf.DUMMYFUNCTION("""COMPUTED_VALUE"""),6727858.0)</f>
        <v>6727858</v>
      </c>
      <c r="G2066" s="7" t="str">
        <f>IFERROR(__xludf.DUMMYFUNCTION("""COMPUTED_VALUE"""),"IOC.NS")</f>
        <v>IOC.NS</v>
      </c>
      <c r="H2066" s="8">
        <f t="shared" si="1"/>
        <v>-0.009253790116</v>
      </c>
      <c r="I2066" s="8">
        <f t="shared" si="2"/>
        <v>0.009253790116</v>
      </c>
      <c r="J2066" s="7" t="str">
        <f t="shared" si="3"/>
        <v>Jul-2025</v>
      </c>
      <c r="K2066" s="9">
        <f t="shared" si="4"/>
        <v>45839</v>
      </c>
      <c r="L2066" s="7" t="str">
        <f t="shared" si="5"/>
        <v/>
      </c>
      <c r="M2066" s="7" t="str">
        <f>IFERROR(__xludf.DUMMYFUNCTION("IFERROR(
  IF(
    F2066 &gt;
    3*AVERAGE(
       FILTER($F$2:$F10491,
         $G$2:$G10491=G2066,
         $A$2:$A10491&gt;=A2066-20,
         $A$2:$A10491&lt;=A2066
       )
    ),
    ""VOL_SPIKE_3X"",""""
  ),
"""")
"),"")</f>
        <v/>
      </c>
      <c r="N2066" s="7" t="str">
        <f t="shared" si="6"/>
        <v/>
      </c>
      <c r="O2066" s="7" t="str">
        <f t="shared" si="7"/>
        <v/>
      </c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>
      <c r="A2067" s="5">
        <f>IFERROR(__xludf.DUMMYFUNCTION("""COMPUTED_VALUE"""),45855.0)</f>
        <v>45855</v>
      </c>
      <c r="B2067" s="6">
        <f>IFERROR(__xludf.DUMMYFUNCTION("""COMPUTED_VALUE"""),344.2)</f>
        <v>344.2</v>
      </c>
      <c r="C2067" s="6">
        <f>IFERROR(__xludf.DUMMYFUNCTION("""COMPUTED_VALUE"""),344.5)</f>
        <v>344.5</v>
      </c>
      <c r="D2067" s="6">
        <f>IFERROR(__xludf.DUMMYFUNCTION("""COMPUTED_VALUE"""),342.0)</f>
        <v>342</v>
      </c>
      <c r="E2067" s="6">
        <f>IFERROR(__xludf.DUMMYFUNCTION("""COMPUTED_VALUE"""),342.65)</f>
        <v>342.65</v>
      </c>
      <c r="F2067" s="7">
        <f>IFERROR(__xludf.DUMMYFUNCTION("""COMPUTED_VALUE"""),7562006.0)</f>
        <v>7562006</v>
      </c>
      <c r="G2067" s="7" t="str">
        <f>IFERROR(__xludf.DUMMYFUNCTION("""COMPUTED_VALUE"""),"NTPC.NS")</f>
        <v>NTPC.NS</v>
      </c>
      <c r="H2067" s="8">
        <f t="shared" si="1"/>
        <v>-0.004503195816</v>
      </c>
      <c r="I2067" s="8">
        <f t="shared" si="2"/>
        <v>0.004503195816</v>
      </c>
      <c r="J2067" s="7" t="str">
        <f t="shared" si="3"/>
        <v>Jul-2025</v>
      </c>
      <c r="K2067" s="9">
        <f t="shared" si="4"/>
        <v>45839</v>
      </c>
      <c r="L2067" s="7" t="str">
        <f t="shared" si="5"/>
        <v/>
      </c>
      <c r="M2067" s="7" t="str">
        <f>IFERROR(__xludf.DUMMYFUNCTION("IFERROR(
  IF(
    F2067 &gt;
    3*AVERAGE(
       FILTER($F$2:$F10491,
         $G$2:$G10491=G2067,
         $A$2:$A10491&gt;=A2067-20,
         $A$2:$A10491&lt;=A2067
       )
    ),
    ""VOL_SPIKE_3X"",""""
  ),
"""")
"),"")</f>
        <v/>
      </c>
      <c r="N2067" s="7" t="str">
        <f t="shared" si="6"/>
        <v/>
      </c>
      <c r="O2067" s="7" t="str">
        <f t="shared" si="7"/>
        <v/>
      </c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>
      <c r="A2068" s="5">
        <f>IFERROR(__xludf.DUMMYFUNCTION("""COMPUTED_VALUE"""),45855.0)</f>
        <v>45855</v>
      </c>
      <c r="B2068" s="6">
        <f>IFERROR(__xludf.DUMMYFUNCTION("""COMPUTED_VALUE"""),243.0)</f>
        <v>243</v>
      </c>
      <c r="C2068" s="6">
        <f>IFERROR(__xludf.DUMMYFUNCTION("""COMPUTED_VALUE"""),244.56)</f>
        <v>244.56</v>
      </c>
      <c r="D2068" s="6">
        <f>IFERROR(__xludf.DUMMYFUNCTION("""COMPUTED_VALUE"""),242.82)</f>
        <v>242.82</v>
      </c>
      <c r="E2068" s="6">
        <f>IFERROR(__xludf.DUMMYFUNCTION("""COMPUTED_VALUE"""),243.87)</f>
        <v>243.87</v>
      </c>
      <c r="F2068" s="7">
        <f>IFERROR(__xludf.DUMMYFUNCTION("""COMPUTED_VALUE"""),7006298.0)</f>
        <v>7006298</v>
      </c>
      <c r="G2068" s="7" t="str">
        <f>IFERROR(__xludf.DUMMYFUNCTION("""COMPUTED_VALUE"""),"ONGC.NS")</f>
        <v>ONGC.NS</v>
      </c>
      <c r="H2068" s="8">
        <f t="shared" si="1"/>
        <v>0.003580246914</v>
      </c>
      <c r="I2068" s="8">
        <f t="shared" si="2"/>
        <v>0.003580246914</v>
      </c>
      <c r="J2068" s="7" t="str">
        <f t="shared" si="3"/>
        <v>Jul-2025</v>
      </c>
      <c r="K2068" s="9">
        <f t="shared" si="4"/>
        <v>45839</v>
      </c>
      <c r="L2068" s="7" t="str">
        <f t="shared" si="5"/>
        <v/>
      </c>
      <c r="M2068" s="7" t="str">
        <f>IFERROR(__xludf.DUMMYFUNCTION("IFERROR(
  IF(
    F2068 &gt;
    3*AVERAGE(
       FILTER($F$2:$F10491,
         $G$2:$G10491=G2068,
         $A$2:$A10491&gt;=A2068-20,
         $A$2:$A10491&lt;=A2068
       )
    ),
    ""VOL_SPIKE_3X"",""""
  ),
"""")
"),"")</f>
        <v/>
      </c>
      <c r="N2068" s="7" t="str">
        <f t="shared" si="6"/>
        <v/>
      </c>
      <c r="O2068" s="7" t="str">
        <f t="shared" si="7"/>
        <v/>
      </c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>
      <c r="A2069" s="5">
        <f>IFERROR(__xludf.DUMMYFUNCTION("""COMPUTED_VALUE"""),45855.0)</f>
        <v>45855</v>
      </c>
      <c r="B2069" s="6">
        <f>IFERROR(__xludf.DUMMYFUNCTION("""COMPUTED_VALUE"""),297.55)</f>
        <v>297.55</v>
      </c>
      <c r="C2069" s="6">
        <f>IFERROR(__xludf.DUMMYFUNCTION("""COMPUTED_VALUE"""),298.2)</f>
        <v>298.2</v>
      </c>
      <c r="D2069" s="6">
        <f>IFERROR(__xludf.DUMMYFUNCTION("""COMPUTED_VALUE"""),295.8)</f>
        <v>295.8</v>
      </c>
      <c r="E2069" s="6">
        <f>IFERROR(__xludf.DUMMYFUNCTION("""COMPUTED_VALUE"""),296.6)</f>
        <v>296.6</v>
      </c>
      <c r="F2069" s="7">
        <f>IFERROR(__xludf.DUMMYFUNCTION("""COMPUTED_VALUE"""),8318287.0)</f>
        <v>8318287</v>
      </c>
      <c r="G2069" s="7" t="str">
        <f>IFERROR(__xludf.DUMMYFUNCTION("""COMPUTED_VALUE"""),"POWERGRID.NS")</f>
        <v>POWERGRID.NS</v>
      </c>
      <c r="H2069" s="8">
        <f t="shared" si="1"/>
        <v>-0.003192740716</v>
      </c>
      <c r="I2069" s="8">
        <f t="shared" si="2"/>
        <v>0.003192740716</v>
      </c>
      <c r="J2069" s="7" t="str">
        <f t="shared" si="3"/>
        <v>Jul-2025</v>
      </c>
      <c r="K2069" s="9">
        <f t="shared" si="4"/>
        <v>45839</v>
      </c>
      <c r="L2069" s="7" t="str">
        <f t="shared" si="5"/>
        <v/>
      </c>
      <c r="M2069" s="7" t="str">
        <f>IFERROR(__xludf.DUMMYFUNCTION("IFERROR(
  IF(
    F2069 &gt;
    3*AVERAGE(
       FILTER($F$2:$F10491,
         $G$2:$G10491=G2069,
         $A$2:$A10491&gt;=A2069-20,
         $A$2:$A10491&lt;=A2069
       )
    ),
    ""VOL_SPIKE_3X"",""""
  ),
"""")
"),"")</f>
        <v/>
      </c>
      <c r="N2069" s="7" t="str">
        <f t="shared" si="6"/>
        <v/>
      </c>
      <c r="O2069" s="7" t="str">
        <f t="shared" si="7"/>
        <v/>
      </c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>
      <c r="A2070" s="5">
        <f>IFERROR(__xludf.DUMMYFUNCTION("""COMPUTED_VALUE"""),45855.0)</f>
        <v>45855</v>
      </c>
      <c r="B2070" s="6">
        <f>IFERROR(__xludf.DUMMYFUNCTION("""COMPUTED_VALUE"""),1487.4)</f>
        <v>1487.4</v>
      </c>
      <c r="C2070" s="6">
        <f>IFERROR(__xludf.DUMMYFUNCTION("""COMPUTED_VALUE"""),1489.6)</f>
        <v>1489.6</v>
      </c>
      <c r="D2070" s="6">
        <f>IFERROR(__xludf.DUMMYFUNCTION("""COMPUTED_VALUE"""),1473.9)</f>
        <v>1473.9</v>
      </c>
      <c r="E2070" s="6">
        <f>IFERROR(__xludf.DUMMYFUNCTION("""COMPUTED_VALUE"""),1476.4)</f>
        <v>1476.4</v>
      </c>
      <c r="F2070" s="7">
        <f>IFERROR(__xludf.DUMMYFUNCTION("""COMPUTED_VALUE"""),1.1854613E7)</f>
        <v>11854613</v>
      </c>
      <c r="G2070" s="7" t="str">
        <f>IFERROR(__xludf.DUMMYFUNCTION("""COMPUTED_VALUE"""),"RELIANCE.NS")</f>
        <v>RELIANCE.NS</v>
      </c>
      <c r="H2070" s="8">
        <f t="shared" si="1"/>
        <v>-0.007395455157</v>
      </c>
      <c r="I2070" s="8">
        <f t="shared" si="2"/>
        <v>0.007395455157</v>
      </c>
      <c r="J2070" s="7" t="str">
        <f t="shared" si="3"/>
        <v>Jul-2025</v>
      </c>
      <c r="K2070" s="9">
        <f t="shared" si="4"/>
        <v>45839</v>
      </c>
      <c r="L2070" s="7" t="str">
        <f t="shared" si="5"/>
        <v/>
      </c>
      <c r="M2070" s="7" t="str">
        <f>IFERROR(__xludf.DUMMYFUNCTION("IFERROR(
  IF(
    F2070 &gt;
    3*AVERAGE(
       FILTER($F$2:$F10491,
         $G$2:$G10491=G2070,
         $A$2:$A10491&gt;=A2070-20,
         $A$2:$A10491&lt;=A2070
       )
    ),
    ""VOL_SPIKE_3X"",""""
  ),
"""")
"),"")</f>
        <v/>
      </c>
      <c r="N2070" s="7" t="str">
        <f t="shared" si="6"/>
        <v/>
      </c>
      <c r="O2070" s="7" t="str">
        <f t="shared" si="7"/>
        <v/>
      </c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>
      <c r="A2071" s="5">
        <f>IFERROR(__xludf.DUMMYFUNCTION("""COMPUTED_VALUE"""),45856.0)</f>
        <v>45856</v>
      </c>
      <c r="B2071" s="6">
        <f>IFERROR(__xludf.DUMMYFUNCTION("""COMPUTED_VALUE"""),876.9)</f>
        <v>876.9</v>
      </c>
      <c r="C2071" s="6">
        <f>IFERROR(__xludf.DUMMYFUNCTION("""COMPUTED_VALUE"""),882.95)</f>
        <v>882.95</v>
      </c>
      <c r="D2071" s="6">
        <f>IFERROR(__xludf.DUMMYFUNCTION("""COMPUTED_VALUE"""),867.0)</f>
        <v>867</v>
      </c>
      <c r="E2071" s="6">
        <f>IFERROR(__xludf.DUMMYFUNCTION("""COMPUTED_VALUE"""),869.35)</f>
        <v>869.35</v>
      </c>
      <c r="F2071" s="7">
        <f>IFERROR(__xludf.DUMMYFUNCTION("""COMPUTED_VALUE"""),1444579.0)</f>
        <v>1444579</v>
      </c>
      <c r="G2071" s="7" t="str">
        <f>IFERROR(__xludf.DUMMYFUNCTION("""COMPUTED_VALUE"""),"ADANIENSOL.NS")</f>
        <v>ADANIENSOL.NS</v>
      </c>
      <c r="H2071" s="8">
        <f t="shared" si="1"/>
        <v>-0.008609875698</v>
      </c>
      <c r="I2071" s="8">
        <f t="shared" si="2"/>
        <v>0.008609875698</v>
      </c>
      <c r="J2071" s="7" t="str">
        <f t="shared" si="3"/>
        <v>Jul-2025</v>
      </c>
      <c r="K2071" s="9">
        <f t="shared" si="4"/>
        <v>45839</v>
      </c>
      <c r="L2071" s="7" t="str">
        <f t="shared" si="5"/>
        <v/>
      </c>
      <c r="M2071" s="7" t="str">
        <f>IFERROR(__xludf.DUMMYFUNCTION("IFERROR(
  IF(
    F2071 &gt;
    3*AVERAGE(
       FILTER($F$2:$F10491,
         $G$2:$G10491=G2071,
         $A$2:$A10491&gt;=A2071-20,
         $A$2:$A10491&lt;=A2071
       )
    ),
    ""VOL_SPIKE_3X"",""""
  ),
"""")
"),"")</f>
        <v/>
      </c>
      <c r="N2071" s="7" t="str">
        <f t="shared" si="6"/>
        <v/>
      </c>
      <c r="O2071" s="7" t="str">
        <f t="shared" si="7"/>
        <v/>
      </c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>
      <c r="A2072" s="5">
        <f>IFERROR(__xludf.DUMMYFUNCTION("""COMPUTED_VALUE"""),45856.0)</f>
        <v>45856</v>
      </c>
      <c r="B2072" s="6">
        <f>IFERROR(__xludf.DUMMYFUNCTION("""COMPUTED_VALUE"""),1042.7)</f>
        <v>1042.7</v>
      </c>
      <c r="C2072" s="6">
        <f>IFERROR(__xludf.DUMMYFUNCTION("""COMPUTED_VALUE"""),1051.0)</f>
        <v>1051</v>
      </c>
      <c r="D2072" s="6">
        <f>IFERROR(__xludf.DUMMYFUNCTION("""COMPUTED_VALUE"""),1024.4)</f>
        <v>1024.4</v>
      </c>
      <c r="E2072" s="6">
        <f>IFERROR(__xludf.DUMMYFUNCTION("""COMPUTED_VALUE"""),1030.2)</f>
        <v>1030.2</v>
      </c>
      <c r="F2072" s="7">
        <f>IFERROR(__xludf.DUMMYFUNCTION("""COMPUTED_VALUE"""),1787665.0)</f>
        <v>1787665</v>
      </c>
      <c r="G2072" s="7" t="str">
        <f>IFERROR(__xludf.DUMMYFUNCTION("""COMPUTED_VALUE"""),"ADANIGREEN.NS")</f>
        <v>ADANIGREEN.NS</v>
      </c>
      <c r="H2072" s="8">
        <f t="shared" si="1"/>
        <v>-0.0119881078</v>
      </c>
      <c r="I2072" s="8">
        <f t="shared" si="2"/>
        <v>0.0119881078</v>
      </c>
      <c r="J2072" s="7" t="str">
        <f t="shared" si="3"/>
        <v>Jul-2025</v>
      </c>
      <c r="K2072" s="9">
        <f t="shared" si="4"/>
        <v>45839</v>
      </c>
      <c r="L2072" s="7" t="str">
        <f t="shared" si="5"/>
        <v/>
      </c>
      <c r="M2072" s="7" t="str">
        <f>IFERROR(__xludf.DUMMYFUNCTION("IFERROR(
  IF(
    F2072 &gt;
    3*AVERAGE(
       FILTER($F$2:$F10491,
         $G$2:$G10491=G2072,
         $A$2:$A10491&gt;=A2072-20,
         $A$2:$A10491&lt;=A2072
       )
    ),
    ""VOL_SPIKE_3X"",""""
  ),
"""")
"),"")</f>
        <v/>
      </c>
      <c r="N2072" s="7" t="str">
        <f t="shared" si="6"/>
        <v/>
      </c>
      <c r="O2072" s="7" t="str">
        <f t="shared" si="7"/>
        <v/>
      </c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>
      <c r="A2073" s="5">
        <f>IFERROR(__xludf.DUMMYFUNCTION("""COMPUTED_VALUE"""),45856.0)</f>
        <v>45856</v>
      </c>
      <c r="B2073" s="6">
        <f>IFERROR(__xludf.DUMMYFUNCTION("""COMPUTED_VALUE"""),347.5)</f>
        <v>347.5</v>
      </c>
      <c r="C2073" s="6">
        <f>IFERROR(__xludf.DUMMYFUNCTION("""COMPUTED_VALUE"""),351.45)</f>
        <v>351.45</v>
      </c>
      <c r="D2073" s="6">
        <f>IFERROR(__xludf.DUMMYFUNCTION("""COMPUTED_VALUE"""),342.1)</f>
        <v>342.1</v>
      </c>
      <c r="E2073" s="6">
        <f>IFERROR(__xludf.DUMMYFUNCTION("""COMPUTED_VALUE"""),343.5)</f>
        <v>343.5</v>
      </c>
      <c r="F2073" s="7">
        <f>IFERROR(__xludf.DUMMYFUNCTION("""COMPUTED_VALUE"""),5631392.0)</f>
        <v>5631392</v>
      </c>
      <c r="G2073" s="7" t="str">
        <f>IFERROR(__xludf.DUMMYFUNCTION("""COMPUTED_VALUE"""),"BPCL.NS")</f>
        <v>BPCL.NS</v>
      </c>
      <c r="H2073" s="8">
        <f t="shared" si="1"/>
        <v>-0.01151079137</v>
      </c>
      <c r="I2073" s="8">
        <f t="shared" si="2"/>
        <v>0.01151079137</v>
      </c>
      <c r="J2073" s="7" t="str">
        <f t="shared" si="3"/>
        <v>Jul-2025</v>
      </c>
      <c r="K2073" s="9">
        <f t="shared" si="4"/>
        <v>45839</v>
      </c>
      <c r="L2073" s="7" t="str">
        <f t="shared" si="5"/>
        <v/>
      </c>
      <c r="M2073" s="7" t="str">
        <f>IFERROR(__xludf.DUMMYFUNCTION("IFERROR(
  IF(
    F2073 &gt;
    3*AVERAGE(
       FILTER($F$2:$F10491,
         $G$2:$G10491=G2073,
         $A$2:$A10491&gt;=A2073-20,
         $A$2:$A10491&lt;=A2073
       )
    ),
    ""VOL_SPIKE_3X"",""""
  ),
"""")
"),"")</f>
        <v/>
      </c>
      <c r="N2073" s="7" t="str">
        <f t="shared" si="6"/>
        <v/>
      </c>
      <c r="O2073" s="7" t="str">
        <f t="shared" si="7"/>
        <v/>
      </c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>
      <c r="A2074" s="5">
        <f>IFERROR(__xludf.DUMMYFUNCTION("""COMPUTED_VALUE"""),45856.0)</f>
        <v>45856</v>
      </c>
      <c r="B2074" s="6">
        <f>IFERROR(__xludf.DUMMYFUNCTION("""COMPUTED_VALUE"""),387.0)</f>
        <v>387</v>
      </c>
      <c r="C2074" s="6">
        <f>IFERROR(__xludf.DUMMYFUNCTION("""COMPUTED_VALUE"""),389.25)</f>
        <v>389.25</v>
      </c>
      <c r="D2074" s="6">
        <f>IFERROR(__xludf.DUMMYFUNCTION("""COMPUTED_VALUE"""),384.1)</f>
        <v>384.1</v>
      </c>
      <c r="E2074" s="6">
        <f>IFERROR(__xludf.DUMMYFUNCTION("""COMPUTED_VALUE"""),388.5)</f>
        <v>388.5</v>
      </c>
      <c r="F2074" s="7">
        <f>IFERROR(__xludf.DUMMYFUNCTION("""COMPUTED_VALUE"""),5172481.0)</f>
        <v>5172481</v>
      </c>
      <c r="G2074" s="7" t="str">
        <f>IFERROR(__xludf.DUMMYFUNCTION("""COMPUTED_VALUE"""),"COALINDIA.NS")</f>
        <v>COALINDIA.NS</v>
      </c>
      <c r="H2074" s="8">
        <f t="shared" si="1"/>
        <v>0.003875968992</v>
      </c>
      <c r="I2074" s="8">
        <f t="shared" si="2"/>
        <v>0.003875968992</v>
      </c>
      <c r="J2074" s="7" t="str">
        <f t="shared" si="3"/>
        <v>Jul-2025</v>
      </c>
      <c r="K2074" s="9">
        <f t="shared" si="4"/>
        <v>45839</v>
      </c>
      <c r="L2074" s="7" t="str">
        <f t="shared" si="5"/>
        <v/>
      </c>
      <c r="M2074" s="7" t="str">
        <f>IFERROR(__xludf.DUMMYFUNCTION("IFERROR(
  IF(
    F2074 &gt;
    3*AVERAGE(
       FILTER($F$2:$F10491,
         $G$2:$G10491=G2074,
         $A$2:$A10491&gt;=A2074-20,
         $A$2:$A10491&lt;=A2074
       )
    ),
    ""VOL_SPIKE_3X"",""""
  ),
"""")
"),"")</f>
        <v/>
      </c>
      <c r="N2074" s="7" t="str">
        <f t="shared" si="6"/>
        <v/>
      </c>
      <c r="O2074" s="7" t="str">
        <f t="shared" si="7"/>
        <v/>
      </c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>
      <c r="A2075" s="5">
        <f>IFERROR(__xludf.DUMMYFUNCTION("""COMPUTED_VALUE"""),45856.0)</f>
        <v>45856</v>
      </c>
      <c r="B2075" s="6">
        <f>IFERROR(__xludf.DUMMYFUNCTION("""COMPUTED_VALUE"""),440.0)</f>
        <v>440</v>
      </c>
      <c r="C2075" s="6">
        <f>IFERROR(__xludf.DUMMYFUNCTION("""COMPUTED_VALUE"""),441.85)</f>
        <v>441.85</v>
      </c>
      <c r="D2075" s="6">
        <f>IFERROR(__xludf.DUMMYFUNCTION("""COMPUTED_VALUE"""),429.5)</f>
        <v>429.5</v>
      </c>
      <c r="E2075" s="6">
        <f>IFERROR(__xludf.DUMMYFUNCTION("""COMPUTED_VALUE"""),430.6)</f>
        <v>430.6</v>
      </c>
      <c r="F2075" s="7">
        <f>IFERROR(__xludf.DUMMYFUNCTION("""COMPUTED_VALUE"""),3796647.0)</f>
        <v>3796647</v>
      </c>
      <c r="G2075" s="7" t="str">
        <f>IFERROR(__xludf.DUMMYFUNCTION("""COMPUTED_VALUE"""),"HINDPETRO.NS")</f>
        <v>HINDPETRO.NS</v>
      </c>
      <c r="H2075" s="8">
        <f t="shared" si="1"/>
        <v>-0.02136363636</v>
      </c>
      <c r="I2075" s="8">
        <f t="shared" si="2"/>
        <v>0.02136363636</v>
      </c>
      <c r="J2075" s="7" t="str">
        <f t="shared" si="3"/>
        <v>Jul-2025</v>
      </c>
      <c r="K2075" s="9">
        <f t="shared" si="4"/>
        <v>45839</v>
      </c>
      <c r="L2075" s="7" t="str">
        <f t="shared" si="5"/>
        <v/>
      </c>
      <c r="M2075" s="7" t="str">
        <f>IFERROR(__xludf.DUMMYFUNCTION("IFERROR(
  IF(
    F2075 &gt;
    3*AVERAGE(
       FILTER($F$2:$F10491,
         $G$2:$G10491=G2075,
         $A$2:$A10491&gt;=A2075-20,
         $A$2:$A10491&lt;=A2075
       )
    ),
    ""VOL_SPIKE_3X"",""""
  ),
"""")
"),"")</f>
        <v/>
      </c>
      <c r="N2075" s="7" t="str">
        <f t="shared" si="6"/>
        <v/>
      </c>
      <c r="O2075" s="7" t="str">
        <f t="shared" si="7"/>
        <v/>
      </c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>
      <c r="A2076" s="5">
        <f>IFERROR(__xludf.DUMMYFUNCTION("""COMPUTED_VALUE"""),45856.0)</f>
        <v>45856</v>
      </c>
      <c r="B2076" s="6">
        <f>IFERROR(__xludf.DUMMYFUNCTION("""COMPUTED_VALUE"""),150.51)</f>
        <v>150.51</v>
      </c>
      <c r="C2076" s="6">
        <f>IFERROR(__xludf.DUMMYFUNCTION("""COMPUTED_VALUE"""),151.61)</f>
        <v>151.61</v>
      </c>
      <c r="D2076" s="6">
        <f>IFERROR(__xludf.DUMMYFUNCTION("""COMPUTED_VALUE"""),148.6)</f>
        <v>148.6</v>
      </c>
      <c r="E2076" s="6">
        <f>IFERROR(__xludf.DUMMYFUNCTION("""COMPUTED_VALUE"""),150.06)</f>
        <v>150.06</v>
      </c>
      <c r="F2076" s="7">
        <f>IFERROR(__xludf.DUMMYFUNCTION("""COMPUTED_VALUE"""),9017783.0)</f>
        <v>9017783</v>
      </c>
      <c r="G2076" s="7" t="str">
        <f>IFERROR(__xludf.DUMMYFUNCTION("""COMPUTED_VALUE"""),"IOC.NS")</f>
        <v>IOC.NS</v>
      </c>
      <c r="H2076" s="8">
        <f t="shared" si="1"/>
        <v>-0.002989834562</v>
      </c>
      <c r="I2076" s="8">
        <f t="shared" si="2"/>
        <v>0.002989834562</v>
      </c>
      <c r="J2076" s="7" t="str">
        <f t="shared" si="3"/>
        <v>Jul-2025</v>
      </c>
      <c r="K2076" s="9">
        <f t="shared" si="4"/>
        <v>45839</v>
      </c>
      <c r="L2076" s="7" t="str">
        <f t="shared" si="5"/>
        <v/>
      </c>
      <c r="M2076" s="7" t="str">
        <f>IFERROR(__xludf.DUMMYFUNCTION("IFERROR(
  IF(
    F2076 &gt;
    3*AVERAGE(
       FILTER($F$2:$F10491,
         $G$2:$G10491=G2076,
         $A$2:$A10491&gt;=A2076-20,
         $A$2:$A10491&lt;=A2076
       )
    ),
    ""VOL_SPIKE_3X"",""""
  ),
"""")
"),"")</f>
        <v/>
      </c>
      <c r="N2076" s="7" t="str">
        <f t="shared" si="6"/>
        <v/>
      </c>
      <c r="O2076" s="7" t="str">
        <f t="shared" si="7"/>
        <v/>
      </c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>
      <c r="A2077" s="5">
        <f>IFERROR(__xludf.DUMMYFUNCTION("""COMPUTED_VALUE"""),45856.0)</f>
        <v>45856</v>
      </c>
      <c r="B2077" s="6">
        <f>IFERROR(__xludf.DUMMYFUNCTION("""COMPUTED_VALUE"""),343.0)</f>
        <v>343</v>
      </c>
      <c r="C2077" s="6">
        <f>IFERROR(__xludf.DUMMYFUNCTION("""COMPUTED_VALUE"""),343.9)</f>
        <v>343.9</v>
      </c>
      <c r="D2077" s="6">
        <f>IFERROR(__xludf.DUMMYFUNCTION("""COMPUTED_VALUE"""),340.65)</f>
        <v>340.65</v>
      </c>
      <c r="E2077" s="6">
        <f>IFERROR(__xludf.DUMMYFUNCTION("""COMPUTED_VALUE"""),342.1)</f>
        <v>342.1</v>
      </c>
      <c r="F2077" s="7">
        <f>IFERROR(__xludf.DUMMYFUNCTION("""COMPUTED_VALUE"""),6370338.0)</f>
        <v>6370338</v>
      </c>
      <c r="G2077" s="7" t="str">
        <f>IFERROR(__xludf.DUMMYFUNCTION("""COMPUTED_VALUE"""),"NTPC.NS")</f>
        <v>NTPC.NS</v>
      </c>
      <c r="H2077" s="8">
        <f t="shared" si="1"/>
        <v>-0.002623906706</v>
      </c>
      <c r="I2077" s="8">
        <f t="shared" si="2"/>
        <v>0.002623906706</v>
      </c>
      <c r="J2077" s="7" t="str">
        <f t="shared" si="3"/>
        <v>Jul-2025</v>
      </c>
      <c r="K2077" s="9">
        <f t="shared" si="4"/>
        <v>45839</v>
      </c>
      <c r="L2077" s="7" t="str">
        <f t="shared" si="5"/>
        <v/>
      </c>
      <c r="M2077" s="7" t="str">
        <f>IFERROR(__xludf.DUMMYFUNCTION("IFERROR(
  IF(
    F2077 &gt;
    3*AVERAGE(
       FILTER($F$2:$F10491,
         $G$2:$G10491=G2077,
         $A$2:$A10491&gt;=A2077-20,
         $A$2:$A10491&lt;=A2077
       )
    ),
    ""VOL_SPIKE_3X"",""""
  ),
"""")
"),"")</f>
        <v/>
      </c>
      <c r="N2077" s="7" t="str">
        <f t="shared" si="6"/>
        <v/>
      </c>
      <c r="O2077" s="7" t="str">
        <f t="shared" si="7"/>
        <v/>
      </c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>
      <c r="A2078" s="5">
        <f>IFERROR(__xludf.DUMMYFUNCTION("""COMPUTED_VALUE"""),45856.0)</f>
        <v>45856</v>
      </c>
      <c r="B2078" s="6">
        <f>IFERROR(__xludf.DUMMYFUNCTION("""COMPUTED_VALUE"""),244.74)</f>
        <v>244.74</v>
      </c>
      <c r="C2078" s="6">
        <f>IFERROR(__xludf.DUMMYFUNCTION("""COMPUTED_VALUE"""),247.35)</f>
        <v>247.35</v>
      </c>
      <c r="D2078" s="6">
        <f>IFERROR(__xludf.DUMMYFUNCTION("""COMPUTED_VALUE"""),243.46)</f>
        <v>243.46</v>
      </c>
      <c r="E2078" s="6">
        <f>IFERROR(__xludf.DUMMYFUNCTION("""COMPUTED_VALUE"""),246.31)</f>
        <v>246.31</v>
      </c>
      <c r="F2078" s="7">
        <f>IFERROR(__xludf.DUMMYFUNCTION("""COMPUTED_VALUE"""),1.0293817E7)</f>
        <v>10293817</v>
      </c>
      <c r="G2078" s="7" t="str">
        <f>IFERROR(__xludf.DUMMYFUNCTION("""COMPUTED_VALUE"""),"ONGC.NS")</f>
        <v>ONGC.NS</v>
      </c>
      <c r="H2078" s="8">
        <f t="shared" si="1"/>
        <v>0.00641497099</v>
      </c>
      <c r="I2078" s="8">
        <f t="shared" si="2"/>
        <v>0.00641497099</v>
      </c>
      <c r="J2078" s="7" t="str">
        <f t="shared" si="3"/>
        <v>Jul-2025</v>
      </c>
      <c r="K2078" s="9">
        <f t="shared" si="4"/>
        <v>45839</v>
      </c>
      <c r="L2078" s="7" t="str">
        <f t="shared" si="5"/>
        <v/>
      </c>
      <c r="M2078" s="7" t="str">
        <f>IFERROR(__xludf.DUMMYFUNCTION("IFERROR(
  IF(
    F2078 &gt;
    3*AVERAGE(
       FILTER($F$2:$F10491,
         $G$2:$G10491=G2078,
         $A$2:$A10491&gt;=A2078-20,
         $A$2:$A10491&lt;=A2078
       )
    ),
    ""VOL_SPIKE_3X"",""""
  ),
"""")
"),"")</f>
        <v/>
      </c>
      <c r="N2078" s="7" t="str">
        <f t="shared" si="6"/>
        <v/>
      </c>
      <c r="O2078" s="7" t="str">
        <f t="shared" si="7"/>
        <v/>
      </c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>
      <c r="A2079" s="5">
        <f>IFERROR(__xludf.DUMMYFUNCTION("""COMPUTED_VALUE"""),45856.0)</f>
        <v>45856</v>
      </c>
      <c r="B2079" s="6">
        <f>IFERROR(__xludf.DUMMYFUNCTION("""COMPUTED_VALUE"""),296.5)</f>
        <v>296.5</v>
      </c>
      <c r="C2079" s="6">
        <f>IFERROR(__xludf.DUMMYFUNCTION("""COMPUTED_VALUE"""),301.5)</f>
        <v>301.5</v>
      </c>
      <c r="D2079" s="6">
        <f>IFERROR(__xludf.DUMMYFUNCTION("""COMPUTED_VALUE"""),293.5)</f>
        <v>293.5</v>
      </c>
      <c r="E2079" s="6">
        <f>IFERROR(__xludf.DUMMYFUNCTION("""COMPUTED_VALUE"""),294.15)</f>
        <v>294.15</v>
      </c>
      <c r="F2079" s="7">
        <f>IFERROR(__xludf.DUMMYFUNCTION("""COMPUTED_VALUE"""),8702106.0)</f>
        <v>8702106</v>
      </c>
      <c r="G2079" s="7" t="str">
        <f>IFERROR(__xludf.DUMMYFUNCTION("""COMPUTED_VALUE"""),"POWERGRID.NS")</f>
        <v>POWERGRID.NS</v>
      </c>
      <c r="H2079" s="8">
        <f t="shared" si="1"/>
        <v>-0.007925801012</v>
      </c>
      <c r="I2079" s="8">
        <f t="shared" si="2"/>
        <v>0.007925801012</v>
      </c>
      <c r="J2079" s="7" t="str">
        <f t="shared" si="3"/>
        <v>Jul-2025</v>
      </c>
      <c r="K2079" s="9">
        <f t="shared" si="4"/>
        <v>45839</v>
      </c>
      <c r="L2079" s="7" t="str">
        <f t="shared" si="5"/>
        <v/>
      </c>
      <c r="M2079" s="7" t="str">
        <f>IFERROR(__xludf.DUMMYFUNCTION("IFERROR(
  IF(
    F2079 &gt;
    3*AVERAGE(
       FILTER($F$2:$F10491,
         $G$2:$G10491=G2079,
         $A$2:$A10491&gt;=A2079-20,
         $A$2:$A10491&lt;=A2079
       )
    ),
    ""VOL_SPIKE_3X"",""""
  ),
"""")
"),"")</f>
        <v/>
      </c>
      <c r="N2079" s="7" t="str">
        <f t="shared" si="6"/>
        <v/>
      </c>
      <c r="O2079" s="7" t="str">
        <f t="shared" si="7"/>
        <v/>
      </c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>
      <c r="A2080" s="5">
        <f>IFERROR(__xludf.DUMMYFUNCTION("""COMPUTED_VALUE"""),45856.0)</f>
        <v>45856</v>
      </c>
      <c r="B2080" s="6">
        <f>IFERROR(__xludf.DUMMYFUNCTION("""COMPUTED_VALUE"""),1484.8)</f>
        <v>1484.8</v>
      </c>
      <c r="C2080" s="6">
        <f>IFERROR(__xludf.DUMMYFUNCTION("""COMPUTED_VALUE"""),1484.8)</f>
        <v>1484.8</v>
      </c>
      <c r="D2080" s="6">
        <f>IFERROR(__xludf.DUMMYFUNCTION("""COMPUTED_VALUE"""),1469.1)</f>
        <v>1469.1</v>
      </c>
      <c r="E2080" s="6">
        <f>IFERROR(__xludf.DUMMYFUNCTION("""COMPUTED_VALUE"""),1476.0)</f>
        <v>1476</v>
      </c>
      <c r="F2080" s="7">
        <f>IFERROR(__xludf.DUMMYFUNCTION("""COMPUTED_VALUE"""),1.0296318E7)</f>
        <v>10296318</v>
      </c>
      <c r="G2080" s="7" t="str">
        <f>IFERROR(__xludf.DUMMYFUNCTION("""COMPUTED_VALUE"""),"RELIANCE.NS")</f>
        <v>RELIANCE.NS</v>
      </c>
      <c r="H2080" s="8">
        <f t="shared" si="1"/>
        <v>-0.005926724138</v>
      </c>
      <c r="I2080" s="8">
        <f t="shared" si="2"/>
        <v>0.005926724138</v>
      </c>
      <c r="J2080" s="7" t="str">
        <f t="shared" si="3"/>
        <v>Jul-2025</v>
      </c>
      <c r="K2080" s="9">
        <f t="shared" si="4"/>
        <v>45839</v>
      </c>
      <c r="L2080" s="7" t="str">
        <f t="shared" si="5"/>
        <v/>
      </c>
      <c r="M2080" s="7" t="str">
        <f>IFERROR(__xludf.DUMMYFUNCTION("IFERROR(
  IF(
    F2080 &gt;
    3*AVERAGE(
       FILTER($F$2:$F10491,
         $G$2:$G10491=G2080,
         $A$2:$A10491&gt;=A2080-20,
         $A$2:$A10491&lt;=A2080
       )
    ),
    ""VOL_SPIKE_3X"",""""
  ),
"""")
"),"")</f>
        <v/>
      </c>
      <c r="N2080" s="7" t="str">
        <f t="shared" si="6"/>
        <v/>
      </c>
      <c r="O2080" s="7" t="str">
        <f t="shared" si="7"/>
        <v/>
      </c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>
      <c r="A2081" s="5">
        <f>IFERROR(__xludf.DUMMYFUNCTION("""COMPUTED_VALUE"""),45859.0)</f>
        <v>45859</v>
      </c>
      <c r="B2081" s="6">
        <f>IFERROR(__xludf.DUMMYFUNCTION("""COMPUTED_VALUE"""),870.95)</f>
        <v>870.95</v>
      </c>
      <c r="C2081" s="6">
        <f>IFERROR(__xludf.DUMMYFUNCTION("""COMPUTED_VALUE"""),881.0)</f>
        <v>881</v>
      </c>
      <c r="D2081" s="6">
        <f>IFERROR(__xludf.DUMMYFUNCTION("""COMPUTED_VALUE"""),862.1)</f>
        <v>862.1</v>
      </c>
      <c r="E2081" s="6">
        <f>IFERROR(__xludf.DUMMYFUNCTION("""COMPUTED_VALUE"""),871.65)</f>
        <v>871.65</v>
      </c>
      <c r="F2081" s="7">
        <f>IFERROR(__xludf.DUMMYFUNCTION("""COMPUTED_VALUE"""),833172.0)</f>
        <v>833172</v>
      </c>
      <c r="G2081" s="7" t="str">
        <f>IFERROR(__xludf.DUMMYFUNCTION("""COMPUTED_VALUE"""),"ADANIENSOL.NS")</f>
        <v>ADANIENSOL.NS</v>
      </c>
      <c r="H2081" s="8">
        <f t="shared" si="1"/>
        <v>0.0008037200758</v>
      </c>
      <c r="I2081" s="8">
        <f t="shared" si="2"/>
        <v>0.0008037200758</v>
      </c>
      <c r="J2081" s="7" t="str">
        <f t="shared" si="3"/>
        <v>Jul-2025</v>
      </c>
      <c r="K2081" s="9">
        <f t="shared" si="4"/>
        <v>45839</v>
      </c>
      <c r="L2081" s="7" t="str">
        <f t="shared" si="5"/>
        <v/>
      </c>
      <c r="M2081" s="7" t="str">
        <f>IFERROR(__xludf.DUMMYFUNCTION("IFERROR(
  IF(
    F2081 &gt;
    3*AVERAGE(
       FILTER($F$2:$F10491,
         $G$2:$G10491=G2081,
         $A$2:$A10491&gt;=A2081-20,
         $A$2:$A10491&lt;=A2081
       )
    ),
    ""VOL_SPIKE_3X"",""""
  ),
"""")
"),"")</f>
        <v/>
      </c>
      <c r="N2081" s="7" t="str">
        <f t="shared" si="6"/>
        <v/>
      </c>
      <c r="O2081" s="7" t="str">
        <f t="shared" si="7"/>
        <v/>
      </c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>
      <c r="A2082" s="5">
        <f>IFERROR(__xludf.DUMMYFUNCTION("""COMPUTED_VALUE"""),45859.0)</f>
        <v>45859</v>
      </c>
      <c r="B2082" s="6">
        <f>IFERROR(__xludf.DUMMYFUNCTION("""COMPUTED_VALUE"""),1031.2)</f>
        <v>1031.2</v>
      </c>
      <c r="C2082" s="6">
        <f>IFERROR(__xludf.DUMMYFUNCTION("""COMPUTED_VALUE"""),1042.1)</f>
        <v>1042.1</v>
      </c>
      <c r="D2082" s="6">
        <f>IFERROR(__xludf.DUMMYFUNCTION("""COMPUTED_VALUE"""),1024.1)</f>
        <v>1024.1</v>
      </c>
      <c r="E2082" s="6">
        <f>IFERROR(__xludf.DUMMYFUNCTION("""COMPUTED_VALUE"""),1036.6)</f>
        <v>1036.6</v>
      </c>
      <c r="F2082" s="7">
        <f>IFERROR(__xludf.DUMMYFUNCTION("""COMPUTED_VALUE"""),877276.0)</f>
        <v>877276</v>
      </c>
      <c r="G2082" s="7" t="str">
        <f>IFERROR(__xludf.DUMMYFUNCTION("""COMPUTED_VALUE"""),"ADANIGREEN.NS")</f>
        <v>ADANIGREEN.NS</v>
      </c>
      <c r="H2082" s="8">
        <f t="shared" si="1"/>
        <v>0.005236617533</v>
      </c>
      <c r="I2082" s="8">
        <f t="shared" si="2"/>
        <v>0.005236617533</v>
      </c>
      <c r="J2082" s="7" t="str">
        <f t="shared" si="3"/>
        <v>Jul-2025</v>
      </c>
      <c r="K2082" s="9">
        <f t="shared" si="4"/>
        <v>45839</v>
      </c>
      <c r="L2082" s="7" t="str">
        <f t="shared" si="5"/>
        <v/>
      </c>
      <c r="M2082" s="7" t="str">
        <f>IFERROR(__xludf.DUMMYFUNCTION("IFERROR(
  IF(
    F2082 &gt;
    3*AVERAGE(
       FILTER($F$2:$F10491,
         $G$2:$G10491=G2082,
         $A$2:$A10491&gt;=A2082-20,
         $A$2:$A10491&lt;=A2082
       )
    ),
    ""VOL_SPIKE_3X"",""""
  ),
"""")
"),"")</f>
        <v/>
      </c>
      <c r="N2082" s="7" t="str">
        <f t="shared" si="6"/>
        <v/>
      </c>
      <c r="O2082" s="7" t="str">
        <f t="shared" si="7"/>
        <v/>
      </c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>
      <c r="A2083" s="5">
        <f>IFERROR(__xludf.DUMMYFUNCTION("""COMPUTED_VALUE"""),45859.0)</f>
        <v>45859</v>
      </c>
      <c r="B2083" s="6">
        <f>IFERROR(__xludf.DUMMYFUNCTION("""COMPUTED_VALUE"""),343.5)</f>
        <v>343.5</v>
      </c>
      <c r="C2083" s="6">
        <f>IFERROR(__xludf.DUMMYFUNCTION("""COMPUTED_VALUE"""),344.7)</f>
        <v>344.7</v>
      </c>
      <c r="D2083" s="6">
        <f>IFERROR(__xludf.DUMMYFUNCTION("""COMPUTED_VALUE"""),339.45)</f>
        <v>339.45</v>
      </c>
      <c r="E2083" s="6">
        <f>IFERROR(__xludf.DUMMYFUNCTION("""COMPUTED_VALUE"""),342.6)</f>
        <v>342.6</v>
      </c>
      <c r="F2083" s="7">
        <f>IFERROR(__xludf.DUMMYFUNCTION("""COMPUTED_VALUE"""),5051058.0)</f>
        <v>5051058</v>
      </c>
      <c r="G2083" s="7" t="str">
        <f>IFERROR(__xludf.DUMMYFUNCTION("""COMPUTED_VALUE"""),"BPCL.NS")</f>
        <v>BPCL.NS</v>
      </c>
      <c r="H2083" s="8">
        <f t="shared" si="1"/>
        <v>-0.002620087336</v>
      </c>
      <c r="I2083" s="8">
        <f t="shared" si="2"/>
        <v>0.002620087336</v>
      </c>
      <c r="J2083" s="7" t="str">
        <f t="shared" si="3"/>
        <v>Jul-2025</v>
      </c>
      <c r="K2083" s="9">
        <f t="shared" si="4"/>
        <v>45839</v>
      </c>
      <c r="L2083" s="7" t="str">
        <f t="shared" si="5"/>
        <v/>
      </c>
      <c r="M2083" s="7" t="str">
        <f>IFERROR(__xludf.DUMMYFUNCTION("IFERROR(
  IF(
    F2083 &gt;
    3*AVERAGE(
       FILTER($F$2:$F10491,
         $G$2:$G10491=G2083,
         $A$2:$A10491&gt;=A2083-20,
         $A$2:$A10491&lt;=A2083
       )
    ),
    ""VOL_SPIKE_3X"",""""
  ),
"""")
"),"")</f>
        <v/>
      </c>
      <c r="N2083" s="7" t="str">
        <f t="shared" si="6"/>
        <v/>
      </c>
      <c r="O2083" s="7" t="str">
        <f t="shared" si="7"/>
        <v/>
      </c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>
      <c r="A2084" s="5">
        <f>IFERROR(__xludf.DUMMYFUNCTION("""COMPUTED_VALUE"""),45859.0)</f>
        <v>45859</v>
      </c>
      <c r="B2084" s="6">
        <f>IFERROR(__xludf.DUMMYFUNCTION("""COMPUTED_VALUE"""),389.0)</f>
        <v>389</v>
      </c>
      <c r="C2084" s="6">
        <f>IFERROR(__xludf.DUMMYFUNCTION("""COMPUTED_VALUE"""),389.4)</f>
        <v>389.4</v>
      </c>
      <c r="D2084" s="6">
        <f>IFERROR(__xludf.DUMMYFUNCTION("""COMPUTED_VALUE"""),385.4)</f>
        <v>385.4</v>
      </c>
      <c r="E2084" s="6">
        <f>IFERROR(__xludf.DUMMYFUNCTION("""COMPUTED_VALUE"""),386.8)</f>
        <v>386.8</v>
      </c>
      <c r="F2084" s="7">
        <f>IFERROR(__xludf.DUMMYFUNCTION("""COMPUTED_VALUE"""),4396850.0)</f>
        <v>4396850</v>
      </c>
      <c r="G2084" s="7" t="str">
        <f>IFERROR(__xludf.DUMMYFUNCTION("""COMPUTED_VALUE"""),"COALINDIA.NS")</f>
        <v>COALINDIA.NS</v>
      </c>
      <c r="H2084" s="8">
        <f t="shared" si="1"/>
        <v>-0.005655526992</v>
      </c>
      <c r="I2084" s="8">
        <f t="shared" si="2"/>
        <v>0.005655526992</v>
      </c>
      <c r="J2084" s="7" t="str">
        <f t="shared" si="3"/>
        <v>Jul-2025</v>
      </c>
      <c r="K2084" s="9">
        <f t="shared" si="4"/>
        <v>45839</v>
      </c>
      <c r="L2084" s="7" t="str">
        <f t="shared" si="5"/>
        <v/>
      </c>
      <c r="M2084" s="7" t="str">
        <f>IFERROR(__xludf.DUMMYFUNCTION("IFERROR(
  IF(
    F2084 &gt;
    3*AVERAGE(
       FILTER($F$2:$F10491,
         $G$2:$G10491=G2084,
         $A$2:$A10491&gt;=A2084-20,
         $A$2:$A10491&lt;=A2084
       )
    ),
    ""VOL_SPIKE_3X"",""""
  ),
"""")
"),"")</f>
        <v/>
      </c>
      <c r="N2084" s="7" t="str">
        <f t="shared" si="6"/>
        <v/>
      </c>
      <c r="O2084" s="7" t="str">
        <f t="shared" si="7"/>
        <v/>
      </c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>
      <c r="A2085" s="5">
        <f>IFERROR(__xludf.DUMMYFUNCTION("""COMPUTED_VALUE"""),45859.0)</f>
        <v>45859</v>
      </c>
      <c r="B2085" s="6">
        <f>IFERROR(__xludf.DUMMYFUNCTION("""COMPUTED_VALUE"""),433.0)</f>
        <v>433</v>
      </c>
      <c r="C2085" s="6">
        <f>IFERROR(__xludf.DUMMYFUNCTION("""COMPUTED_VALUE"""),434.6)</f>
        <v>434.6</v>
      </c>
      <c r="D2085" s="6">
        <f>IFERROR(__xludf.DUMMYFUNCTION("""COMPUTED_VALUE"""),428.05)</f>
        <v>428.05</v>
      </c>
      <c r="E2085" s="6">
        <f>IFERROR(__xludf.DUMMYFUNCTION("""COMPUTED_VALUE"""),431.7)</f>
        <v>431.7</v>
      </c>
      <c r="F2085" s="7">
        <f>IFERROR(__xludf.DUMMYFUNCTION("""COMPUTED_VALUE"""),3426999.0)</f>
        <v>3426999</v>
      </c>
      <c r="G2085" s="7" t="str">
        <f>IFERROR(__xludf.DUMMYFUNCTION("""COMPUTED_VALUE"""),"HINDPETRO.NS")</f>
        <v>HINDPETRO.NS</v>
      </c>
      <c r="H2085" s="8">
        <f t="shared" si="1"/>
        <v>-0.003002309469</v>
      </c>
      <c r="I2085" s="8">
        <f t="shared" si="2"/>
        <v>0.003002309469</v>
      </c>
      <c r="J2085" s="7" t="str">
        <f t="shared" si="3"/>
        <v>Jul-2025</v>
      </c>
      <c r="K2085" s="9">
        <f t="shared" si="4"/>
        <v>45839</v>
      </c>
      <c r="L2085" s="7" t="str">
        <f t="shared" si="5"/>
        <v/>
      </c>
      <c r="M2085" s="7" t="str">
        <f>IFERROR(__xludf.DUMMYFUNCTION("IFERROR(
  IF(
    F2085 &gt;
    3*AVERAGE(
       FILTER($F$2:$F10491,
         $G$2:$G10491=G2085,
         $A$2:$A10491&gt;=A2085-20,
         $A$2:$A10491&lt;=A2085
       )
    ),
    ""VOL_SPIKE_3X"",""""
  ),
"""")
"),"")</f>
        <v/>
      </c>
      <c r="N2085" s="7" t="str">
        <f t="shared" si="6"/>
        <v/>
      </c>
      <c r="O2085" s="7" t="str">
        <f t="shared" si="7"/>
        <v/>
      </c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>
      <c r="A2086" s="5">
        <f>IFERROR(__xludf.DUMMYFUNCTION("""COMPUTED_VALUE"""),45859.0)</f>
        <v>45859</v>
      </c>
      <c r="B2086" s="6">
        <f>IFERROR(__xludf.DUMMYFUNCTION("""COMPUTED_VALUE"""),149.52)</f>
        <v>149.52</v>
      </c>
      <c r="C2086" s="6">
        <f>IFERROR(__xludf.DUMMYFUNCTION("""COMPUTED_VALUE"""),151.2)</f>
        <v>151.2</v>
      </c>
      <c r="D2086" s="6">
        <f>IFERROR(__xludf.DUMMYFUNCTION("""COMPUTED_VALUE"""),149.07)</f>
        <v>149.07</v>
      </c>
      <c r="E2086" s="6">
        <f>IFERROR(__xludf.DUMMYFUNCTION("""COMPUTED_VALUE"""),151.07)</f>
        <v>151.07</v>
      </c>
      <c r="F2086" s="7">
        <f>IFERROR(__xludf.DUMMYFUNCTION("""COMPUTED_VALUE"""),5030900.0)</f>
        <v>5030900</v>
      </c>
      <c r="G2086" s="7" t="str">
        <f>IFERROR(__xludf.DUMMYFUNCTION("""COMPUTED_VALUE"""),"IOC.NS")</f>
        <v>IOC.NS</v>
      </c>
      <c r="H2086" s="8">
        <f t="shared" si="1"/>
        <v>0.01036650615</v>
      </c>
      <c r="I2086" s="8">
        <f t="shared" si="2"/>
        <v>0.01036650615</v>
      </c>
      <c r="J2086" s="7" t="str">
        <f t="shared" si="3"/>
        <v>Jul-2025</v>
      </c>
      <c r="K2086" s="9">
        <f t="shared" si="4"/>
        <v>45839</v>
      </c>
      <c r="L2086" s="7" t="str">
        <f t="shared" si="5"/>
        <v/>
      </c>
      <c r="M2086" s="7" t="str">
        <f>IFERROR(__xludf.DUMMYFUNCTION("IFERROR(
  IF(
    F2086 &gt;
    3*AVERAGE(
       FILTER($F$2:$F10491,
         $G$2:$G10491=G2086,
         $A$2:$A10491&gt;=A2086-20,
         $A$2:$A10491&lt;=A2086
       )
    ),
    ""VOL_SPIKE_3X"",""""
  ),
"""")
"),"")</f>
        <v/>
      </c>
      <c r="N2086" s="7" t="str">
        <f t="shared" si="6"/>
        <v/>
      </c>
      <c r="O2086" s="7" t="str">
        <f t="shared" si="7"/>
        <v/>
      </c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>
      <c r="A2087" s="5">
        <f>IFERROR(__xludf.DUMMYFUNCTION("""COMPUTED_VALUE"""),45859.0)</f>
        <v>45859</v>
      </c>
      <c r="B2087" s="6">
        <f>IFERROR(__xludf.DUMMYFUNCTION("""COMPUTED_VALUE"""),342.1)</f>
        <v>342.1</v>
      </c>
      <c r="C2087" s="6">
        <f>IFERROR(__xludf.DUMMYFUNCTION("""COMPUTED_VALUE"""),342.8)</f>
        <v>342.8</v>
      </c>
      <c r="D2087" s="6">
        <f>IFERROR(__xludf.DUMMYFUNCTION("""COMPUTED_VALUE"""),339.3)</f>
        <v>339.3</v>
      </c>
      <c r="E2087" s="6">
        <f>IFERROR(__xludf.DUMMYFUNCTION("""COMPUTED_VALUE"""),341.55)</f>
        <v>341.55</v>
      </c>
      <c r="F2087" s="7">
        <f>IFERROR(__xludf.DUMMYFUNCTION("""COMPUTED_VALUE"""),4463318.0)</f>
        <v>4463318</v>
      </c>
      <c r="G2087" s="7" t="str">
        <f>IFERROR(__xludf.DUMMYFUNCTION("""COMPUTED_VALUE"""),"NTPC.NS")</f>
        <v>NTPC.NS</v>
      </c>
      <c r="H2087" s="8">
        <f t="shared" si="1"/>
        <v>-0.001607717042</v>
      </c>
      <c r="I2087" s="8">
        <f t="shared" si="2"/>
        <v>0.001607717042</v>
      </c>
      <c r="J2087" s="7" t="str">
        <f t="shared" si="3"/>
        <v>Jul-2025</v>
      </c>
      <c r="K2087" s="9">
        <f t="shared" si="4"/>
        <v>45839</v>
      </c>
      <c r="L2087" s="7" t="str">
        <f t="shared" si="5"/>
        <v/>
      </c>
      <c r="M2087" s="7" t="str">
        <f>IFERROR(__xludf.DUMMYFUNCTION("IFERROR(
  IF(
    F2087 &gt;
    3*AVERAGE(
       FILTER($F$2:$F10491,
         $G$2:$G10491=G2087,
         $A$2:$A10491&gt;=A2087-20,
         $A$2:$A10491&lt;=A2087
       )
    ),
    ""VOL_SPIKE_3X"",""""
  ),
"""")
"),"")</f>
        <v/>
      </c>
      <c r="N2087" s="7" t="str">
        <f t="shared" si="6"/>
        <v/>
      </c>
      <c r="O2087" s="7" t="str">
        <f t="shared" si="7"/>
        <v/>
      </c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>
      <c r="A2088" s="5">
        <f>IFERROR(__xludf.DUMMYFUNCTION("""COMPUTED_VALUE"""),45859.0)</f>
        <v>45859</v>
      </c>
      <c r="B2088" s="6">
        <f>IFERROR(__xludf.DUMMYFUNCTION("""COMPUTED_VALUE"""),246.0)</f>
        <v>246</v>
      </c>
      <c r="C2088" s="6">
        <f>IFERROR(__xludf.DUMMYFUNCTION("""COMPUTED_VALUE"""),246.3)</f>
        <v>246.3</v>
      </c>
      <c r="D2088" s="6">
        <f>IFERROR(__xludf.DUMMYFUNCTION("""COMPUTED_VALUE"""),244.43)</f>
        <v>244.43</v>
      </c>
      <c r="E2088" s="6">
        <f>IFERROR(__xludf.DUMMYFUNCTION("""COMPUTED_VALUE"""),245.04)</f>
        <v>245.04</v>
      </c>
      <c r="F2088" s="7">
        <f>IFERROR(__xludf.DUMMYFUNCTION("""COMPUTED_VALUE"""),5424455.0)</f>
        <v>5424455</v>
      </c>
      <c r="G2088" s="7" t="str">
        <f>IFERROR(__xludf.DUMMYFUNCTION("""COMPUTED_VALUE"""),"ONGC.NS")</f>
        <v>ONGC.NS</v>
      </c>
      <c r="H2088" s="8">
        <f t="shared" si="1"/>
        <v>-0.003902439024</v>
      </c>
      <c r="I2088" s="8">
        <f t="shared" si="2"/>
        <v>0.003902439024</v>
      </c>
      <c r="J2088" s="7" t="str">
        <f t="shared" si="3"/>
        <v>Jul-2025</v>
      </c>
      <c r="K2088" s="9">
        <f t="shared" si="4"/>
        <v>45839</v>
      </c>
      <c r="L2088" s="7" t="str">
        <f t="shared" si="5"/>
        <v/>
      </c>
      <c r="M2088" s="7" t="str">
        <f>IFERROR(__xludf.DUMMYFUNCTION("IFERROR(
  IF(
    F2088 &gt;
    3*AVERAGE(
       FILTER($F$2:$F10491,
         $G$2:$G10491=G2088,
         $A$2:$A10491&gt;=A2088-20,
         $A$2:$A10491&lt;=A2088
       )
    ),
    ""VOL_SPIKE_3X"",""""
  ),
"""")
"),"")</f>
        <v/>
      </c>
      <c r="N2088" s="7" t="str">
        <f t="shared" si="6"/>
        <v/>
      </c>
      <c r="O2088" s="7" t="str">
        <f t="shared" si="7"/>
        <v/>
      </c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>
      <c r="A2089" s="5">
        <f>IFERROR(__xludf.DUMMYFUNCTION("""COMPUTED_VALUE"""),45859.0)</f>
        <v>45859</v>
      </c>
      <c r="B2089" s="6">
        <f>IFERROR(__xludf.DUMMYFUNCTION("""COMPUTED_VALUE"""),294.0)</f>
        <v>294</v>
      </c>
      <c r="C2089" s="6">
        <f>IFERROR(__xludf.DUMMYFUNCTION("""COMPUTED_VALUE"""),297.25)</f>
        <v>297.25</v>
      </c>
      <c r="D2089" s="6">
        <f>IFERROR(__xludf.DUMMYFUNCTION("""COMPUTED_VALUE"""),292.25)</f>
        <v>292.25</v>
      </c>
      <c r="E2089" s="6">
        <f>IFERROR(__xludf.DUMMYFUNCTION("""COMPUTED_VALUE"""),297.0)</f>
        <v>297</v>
      </c>
      <c r="F2089" s="7">
        <f>IFERROR(__xludf.DUMMYFUNCTION("""COMPUTED_VALUE"""),5298012.0)</f>
        <v>5298012</v>
      </c>
      <c r="G2089" s="7" t="str">
        <f>IFERROR(__xludf.DUMMYFUNCTION("""COMPUTED_VALUE"""),"POWERGRID.NS")</f>
        <v>POWERGRID.NS</v>
      </c>
      <c r="H2089" s="8">
        <f t="shared" si="1"/>
        <v>0.01020408163</v>
      </c>
      <c r="I2089" s="8">
        <f t="shared" si="2"/>
        <v>0.01020408163</v>
      </c>
      <c r="J2089" s="7" t="str">
        <f t="shared" si="3"/>
        <v>Jul-2025</v>
      </c>
      <c r="K2089" s="9">
        <f t="shared" si="4"/>
        <v>45839</v>
      </c>
      <c r="L2089" s="7" t="str">
        <f t="shared" si="5"/>
        <v/>
      </c>
      <c r="M2089" s="7" t="str">
        <f>IFERROR(__xludf.DUMMYFUNCTION("IFERROR(
  IF(
    F2089 &gt;
    3*AVERAGE(
       FILTER($F$2:$F10491,
         $G$2:$G10491=G2089,
         $A$2:$A10491&gt;=A2089-20,
         $A$2:$A10491&lt;=A2089
       )
    ),
    ""VOL_SPIKE_3X"",""""
  ),
"""")
"),"")</f>
        <v/>
      </c>
      <c r="N2089" s="7" t="str">
        <f t="shared" si="6"/>
        <v/>
      </c>
      <c r="O2089" s="7" t="str">
        <f t="shared" si="7"/>
        <v/>
      </c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>
      <c r="A2090" s="5">
        <f>IFERROR(__xludf.DUMMYFUNCTION("""COMPUTED_VALUE"""),45859.0)</f>
        <v>45859</v>
      </c>
      <c r="B2090" s="6">
        <f>IFERROR(__xludf.DUMMYFUNCTION("""COMPUTED_VALUE"""),1465.0)</f>
        <v>1465</v>
      </c>
      <c r="C2090" s="6">
        <f>IFERROR(__xludf.DUMMYFUNCTION("""COMPUTED_VALUE"""),1476.0)</f>
        <v>1476</v>
      </c>
      <c r="D2090" s="6">
        <f>IFERROR(__xludf.DUMMYFUNCTION("""COMPUTED_VALUE"""),1423.1)</f>
        <v>1423.1</v>
      </c>
      <c r="E2090" s="6">
        <f>IFERROR(__xludf.DUMMYFUNCTION("""COMPUTED_VALUE"""),1428.6)</f>
        <v>1428.6</v>
      </c>
      <c r="F2090" s="7">
        <f>IFERROR(__xludf.DUMMYFUNCTION("""COMPUTED_VALUE"""),2.2442744E7)</f>
        <v>22442744</v>
      </c>
      <c r="G2090" s="7" t="str">
        <f>IFERROR(__xludf.DUMMYFUNCTION("""COMPUTED_VALUE"""),"RELIANCE.NS")</f>
        <v>RELIANCE.NS</v>
      </c>
      <c r="H2090" s="8">
        <f t="shared" si="1"/>
        <v>-0.02484641638</v>
      </c>
      <c r="I2090" s="8">
        <f t="shared" si="2"/>
        <v>0.02484641638</v>
      </c>
      <c r="J2090" s="7" t="str">
        <f t="shared" si="3"/>
        <v>Jul-2025</v>
      </c>
      <c r="K2090" s="9">
        <f t="shared" si="4"/>
        <v>45839</v>
      </c>
      <c r="L2090" s="7" t="str">
        <f t="shared" si="5"/>
        <v/>
      </c>
      <c r="M2090" s="7" t="str">
        <f>IFERROR(__xludf.DUMMYFUNCTION("IFERROR(
  IF(
    F2090 &gt;
    3*AVERAGE(
       FILTER($F$2:$F10491,
         $G$2:$G10491=G2090,
         $A$2:$A10491&gt;=A2090-20,
         $A$2:$A10491&lt;=A2090
       )
    ),
    ""VOL_SPIKE_3X"",""""
  ),
"""")
"),"")</f>
        <v/>
      </c>
      <c r="N2090" s="7" t="str">
        <f t="shared" si="6"/>
        <v/>
      </c>
      <c r="O2090" s="7" t="str">
        <f t="shared" si="7"/>
        <v/>
      </c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>
      <c r="A2091" s="5">
        <f>IFERROR(__xludf.DUMMYFUNCTION("""COMPUTED_VALUE"""),45860.0)</f>
        <v>45860</v>
      </c>
      <c r="B2091" s="6">
        <f>IFERROR(__xludf.DUMMYFUNCTION("""COMPUTED_VALUE"""),876.0)</f>
        <v>876</v>
      </c>
      <c r="C2091" s="6">
        <f>IFERROR(__xludf.DUMMYFUNCTION("""COMPUTED_VALUE"""),879.8)</f>
        <v>879.8</v>
      </c>
      <c r="D2091" s="6">
        <f>IFERROR(__xludf.DUMMYFUNCTION("""COMPUTED_VALUE"""),864.2)</f>
        <v>864.2</v>
      </c>
      <c r="E2091" s="6">
        <f>IFERROR(__xludf.DUMMYFUNCTION("""COMPUTED_VALUE"""),867.2)</f>
        <v>867.2</v>
      </c>
      <c r="F2091" s="7">
        <f>IFERROR(__xludf.DUMMYFUNCTION("""COMPUTED_VALUE"""),650289.0)</f>
        <v>650289</v>
      </c>
      <c r="G2091" s="7" t="str">
        <f>IFERROR(__xludf.DUMMYFUNCTION("""COMPUTED_VALUE"""),"ADANIENSOL.NS")</f>
        <v>ADANIENSOL.NS</v>
      </c>
      <c r="H2091" s="8">
        <f t="shared" si="1"/>
        <v>-0.0100456621</v>
      </c>
      <c r="I2091" s="8">
        <f t="shared" si="2"/>
        <v>0.0100456621</v>
      </c>
      <c r="J2091" s="7" t="str">
        <f t="shared" si="3"/>
        <v>Jul-2025</v>
      </c>
      <c r="K2091" s="9">
        <f t="shared" si="4"/>
        <v>45839</v>
      </c>
      <c r="L2091" s="7" t="str">
        <f t="shared" si="5"/>
        <v/>
      </c>
      <c r="M2091" s="7" t="str">
        <f>IFERROR(__xludf.DUMMYFUNCTION("IFERROR(
  IF(
    F2091 &gt;
    3*AVERAGE(
       FILTER($F$2:$F10491,
         $G$2:$G10491=G2091,
         $A$2:$A10491&gt;=A2091-20,
         $A$2:$A10491&lt;=A2091
       )
    ),
    ""VOL_SPIKE_3X"",""""
  ),
"""")
"),"")</f>
        <v/>
      </c>
      <c r="N2091" s="7" t="str">
        <f t="shared" si="6"/>
        <v/>
      </c>
      <c r="O2091" s="7" t="str">
        <f t="shared" si="7"/>
        <v/>
      </c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>
      <c r="A2092" s="5">
        <f>IFERROR(__xludf.DUMMYFUNCTION("""COMPUTED_VALUE"""),45860.0)</f>
        <v>45860</v>
      </c>
      <c r="B2092" s="6">
        <f>IFERROR(__xludf.DUMMYFUNCTION("""COMPUTED_VALUE"""),1037.0)</f>
        <v>1037</v>
      </c>
      <c r="C2092" s="6">
        <f>IFERROR(__xludf.DUMMYFUNCTION("""COMPUTED_VALUE"""),1042.2)</f>
        <v>1042.2</v>
      </c>
      <c r="D2092" s="6">
        <f>IFERROR(__xludf.DUMMYFUNCTION("""COMPUTED_VALUE"""),1006.6)</f>
        <v>1006.6</v>
      </c>
      <c r="E2092" s="6">
        <f>IFERROR(__xludf.DUMMYFUNCTION("""COMPUTED_VALUE"""),1013.7)</f>
        <v>1013.7</v>
      </c>
      <c r="F2092" s="7">
        <f>IFERROR(__xludf.DUMMYFUNCTION("""COMPUTED_VALUE"""),1332756.0)</f>
        <v>1332756</v>
      </c>
      <c r="G2092" s="7" t="str">
        <f>IFERROR(__xludf.DUMMYFUNCTION("""COMPUTED_VALUE"""),"ADANIGREEN.NS")</f>
        <v>ADANIGREEN.NS</v>
      </c>
      <c r="H2092" s="8">
        <f t="shared" si="1"/>
        <v>-0.02246865959</v>
      </c>
      <c r="I2092" s="8">
        <f t="shared" si="2"/>
        <v>0.02246865959</v>
      </c>
      <c r="J2092" s="7" t="str">
        <f t="shared" si="3"/>
        <v>Jul-2025</v>
      </c>
      <c r="K2092" s="9">
        <f t="shared" si="4"/>
        <v>45839</v>
      </c>
      <c r="L2092" s="7" t="str">
        <f t="shared" si="5"/>
        <v/>
      </c>
      <c r="M2092" s="7" t="str">
        <f>IFERROR(__xludf.DUMMYFUNCTION("IFERROR(
  IF(
    F2092 &gt;
    3*AVERAGE(
       FILTER($F$2:$F10491,
         $G$2:$G10491=G2092,
         $A$2:$A10491&gt;=A2092-20,
         $A$2:$A10491&lt;=A2092
       )
    ),
    ""VOL_SPIKE_3X"",""""
  ),
"""")
"),"")</f>
        <v/>
      </c>
      <c r="N2092" s="7" t="str">
        <f t="shared" si="6"/>
        <v/>
      </c>
      <c r="O2092" s="7" t="str">
        <f t="shared" si="7"/>
        <v/>
      </c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>
      <c r="A2093" s="5">
        <f>IFERROR(__xludf.DUMMYFUNCTION("""COMPUTED_VALUE"""),45860.0)</f>
        <v>45860</v>
      </c>
      <c r="B2093" s="6">
        <f>IFERROR(__xludf.DUMMYFUNCTION("""COMPUTED_VALUE"""),342.6)</f>
        <v>342.6</v>
      </c>
      <c r="C2093" s="6">
        <f>IFERROR(__xludf.DUMMYFUNCTION("""COMPUTED_VALUE"""),344.35)</f>
        <v>344.35</v>
      </c>
      <c r="D2093" s="6">
        <f>IFERROR(__xludf.DUMMYFUNCTION("""COMPUTED_VALUE"""),339.95)</f>
        <v>339.95</v>
      </c>
      <c r="E2093" s="6">
        <f>IFERROR(__xludf.DUMMYFUNCTION("""COMPUTED_VALUE"""),340.35)</f>
        <v>340.35</v>
      </c>
      <c r="F2093" s="7">
        <f>IFERROR(__xludf.DUMMYFUNCTION("""COMPUTED_VALUE"""),4447293.0)</f>
        <v>4447293</v>
      </c>
      <c r="G2093" s="7" t="str">
        <f>IFERROR(__xludf.DUMMYFUNCTION("""COMPUTED_VALUE"""),"BPCL.NS")</f>
        <v>BPCL.NS</v>
      </c>
      <c r="H2093" s="8">
        <f t="shared" si="1"/>
        <v>-0.006567425569</v>
      </c>
      <c r="I2093" s="8">
        <f t="shared" si="2"/>
        <v>0.006567425569</v>
      </c>
      <c r="J2093" s="7" t="str">
        <f t="shared" si="3"/>
        <v>Jul-2025</v>
      </c>
      <c r="K2093" s="9">
        <f t="shared" si="4"/>
        <v>45839</v>
      </c>
      <c r="L2093" s="7" t="str">
        <f t="shared" si="5"/>
        <v/>
      </c>
      <c r="M2093" s="7" t="str">
        <f>IFERROR(__xludf.DUMMYFUNCTION("IFERROR(
  IF(
    F2093 &gt;
    3*AVERAGE(
       FILTER($F$2:$F10491,
         $G$2:$G10491=G2093,
         $A$2:$A10491&gt;=A2093-20,
         $A$2:$A10491&lt;=A2093
       )
    ),
    ""VOL_SPIKE_3X"",""""
  ),
"""")
"),"")</f>
        <v/>
      </c>
      <c r="N2093" s="7" t="str">
        <f t="shared" si="6"/>
        <v/>
      </c>
      <c r="O2093" s="7" t="str">
        <f t="shared" si="7"/>
        <v/>
      </c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>
      <c r="A2094" s="5">
        <f>IFERROR(__xludf.DUMMYFUNCTION("""COMPUTED_VALUE"""),45860.0)</f>
        <v>45860</v>
      </c>
      <c r="B2094" s="6">
        <f>IFERROR(__xludf.DUMMYFUNCTION("""COMPUTED_VALUE"""),386.8)</f>
        <v>386.8</v>
      </c>
      <c r="C2094" s="6">
        <f>IFERROR(__xludf.DUMMYFUNCTION("""COMPUTED_VALUE"""),391.75)</f>
        <v>391.75</v>
      </c>
      <c r="D2094" s="6">
        <f>IFERROR(__xludf.DUMMYFUNCTION("""COMPUTED_VALUE"""),385.5)</f>
        <v>385.5</v>
      </c>
      <c r="E2094" s="6">
        <f>IFERROR(__xludf.DUMMYFUNCTION("""COMPUTED_VALUE"""),389.1)</f>
        <v>389.1</v>
      </c>
      <c r="F2094" s="7">
        <f>IFERROR(__xludf.DUMMYFUNCTION("""COMPUTED_VALUE"""),5043629.0)</f>
        <v>5043629</v>
      </c>
      <c r="G2094" s="7" t="str">
        <f>IFERROR(__xludf.DUMMYFUNCTION("""COMPUTED_VALUE"""),"COALINDIA.NS")</f>
        <v>COALINDIA.NS</v>
      </c>
      <c r="H2094" s="8">
        <f t="shared" si="1"/>
        <v>0.00594622544</v>
      </c>
      <c r="I2094" s="8">
        <f t="shared" si="2"/>
        <v>0.00594622544</v>
      </c>
      <c r="J2094" s="7" t="str">
        <f t="shared" si="3"/>
        <v>Jul-2025</v>
      </c>
      <c r="K2094" s="9">
        <f t="shared" si="4"/>
        <v>45839</v>
      </c>
      <c r="L2094" s="7" t="str">
        <f t="shared" si="5"/>
        <v/>
      </c>
      <c r="M2094" s="7" t="str">
        <f>IFERROR(__xludf.DUMMYFUNCTION("IFERROR(
  IF(
    F2094 &gt;
    3*AVERAGE(
       FILTER($F$2:$F10491,
         $G$2:$G10491=G2094,
         $A$2:$A10491&gt;=A2094-20,
         $A$2:$A10491&lt;=A2094
       )
    ),
    ""VOL_SPIKE_3X"",""""
  ),
"""")
"),"")</f>
        <v/>
      </c>
      <c r="N2094" s="7" t="str">
        <f t="shared" si="6"/>
        <v/>
      </c>
      <c r="O2094" s="7" t="str">
        <f t="shared" si="7"/>
        <v/>
      </c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>
      <c r="A2095" s="5">
        <f>IFERROR(__xludf.DUMMYFUNCTION("""COMPUTED_VALUE"""),45860.0)</f>
        <v>45860</v>
      </c>
      <c r="B2095" s="6">
        <f>IFERROR(__xludf.DUMMYFUNCTION("""COMPUTED_VALUE"""),433.0)</f>
        <v>433</v>
      </c>
      <c r="C2095" s="6">
        <f>IFERROR(__xludf.DUMMYFUNCTION("""COMPUTED_VALUE"""),437.6)</f>
        <v>437.6</v>
      </c>
      <c r="D2095" s="6">
        <f>IFERROR(__xludf.DUMMYFUNCTION("""COMPUTED_VALUE"""),428.45)</f>
        <v>428.45</v>
      </c>
      <c r="E2095" s="6">
        <f>IFERROR(__xludf.DUMMYFUNCTION("""COMPUTED_VALUE"""),429.25)</f>
        <v>429.25</v>
      </c>
      <c r="F2095" s="7">
        <f>IFERROR(__xludf.DUMMYFUNCTION("""COMPUTED_VALUE"""),4216517.0)</f>
        <v>4216517</v>
      </c>
      <c r="G2095" s="7" t="str">
        <f>IFERROR(__xludf.DUMMYFUNCTION("""COMPUTED_VALUE"""),"HINDPETRO.NS")</f>
        <v>HINDPETRO.NS</v>
      </c>
      <c r="H2095" s="8">
        <f t="shared" si="1"/>
        <v>-0.008660508083</v>
      </c>
      <c r="I2095" s="8">
        <f t="shared" si="2"/>
        <v>0.008660508083</v>
      </c>
      <c r="J2095" s="7" t="str">
        <f t="shared" si="3"/>
        <v>Jul-2025</v>
      </c>
      <c r="K2095" s="9">
        <f t="shared" si="4"/>
        <v>45839</v>
      </c>
      <c r="L2095" s="7" t="str">
        <f t="shared" si="5"/>
        <v/>
      </c>
      <c r="M2095" s="7" t="str">
        <f>IFERROR(__xludf.DUMMYFUNCTION("IFERROR(
  IF(
    F2095 &gt;
    3*AVERAGE(
       FILTER($F$2:$F10491,
         $G$2:$G10491=G2095,
         $A$2:$A10491&gt;=A2095-20,
         $A$2:$A10491&lt;=A2095
       )
    ),
    ""VOL_SPIKE_3X"",""""
  ),
"""")
"),"")</f>
        <v/>
      </c>
      <c r="N2095" s="7" t="str">
        <f t="shared" si="6"/>
        <v/>
      </c>
      <c r="O2095" s="7" t="str">
        <f t="shared" si="7"/>
        <v/>
      </c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>
      <c r="A2096" s="5">
        <f>IFERROR(__xludf.DUMMYFUNCTION("""COMPUTED_VALUE"""),45860.0)</f>
        <v>45860</v>
      </c>
      <c r="B2096" s="6">
        <f>IFERROR(__xludf.DUMMYFUNCTION("""COMPUTED_VALUE"""),151.3)</f>
        <v>151.3</v>
      </c>
      <c r="C2096" s="6">
        <f>IFERROR(__xludf.DUMMYFUNCTION("""COMPUTED_VALUE"""),152.44)</f>
        <v>152.44</v>
      </c>
      <c r="D2096" s="6">
        <f>IFERROR(__xludf.DUMMYFUNCTION("""COMPUTED_VALUE"""),150.65)</f>
        <v>150.65</v>
      </c>
      <c r="E2096" s="6">
        <f>IFERROR(__xludf.DUMMYFUNCTION("""COMPUTED_VALUE"""),151.98)</f>
        <v>151.98</v>
      </c>
      <c r="F2096" s="7">
        <f>IFERROR(__xludf.DUMMYFUNCTION("""COMPUTED_VALUE"""),1.1381024E7)</f>
        <v>11381024</v>
      </c>
      <c r="G2096" s="7" t="str">
        <f>IFERROR(__xludf.DUMMYFUNCTION("""COMPUTED_VALUE"""),"IOC.NS")</f>
        <v>IOC.NS</v>
      </c>
      <c r="H2096" s="8">
        <f t="shared" si="1"/>
        <v>0.004494382022</v>
      </c>
      <c r="I2096" s="8">
        <f t="shared" si="2"/>
        <v>0.004494382022</v>
      </c>
      <c r="J2096" s="7" t="str">
        <f t="shared" si="3"/>
        <v>Jul-2025</v>
      </c>
      <c r="K2096" s="9">
        <f t="shared" si="4"/>
        <v>45839</v>
      </c>
      <c r="L2096" s="7" t="str">
        <f t="shared" si="5"/>
        <v/>
      </c>
      <c r="M2096" s="7" t="str">
        <f>IFERROR(__xludf.DUMMYFUNCTION("IFERROR(
  IF(
    F2096 &gt;
    3*AVERAGE(
       FILTER($F$2:$F10491,
         $G$2:$G10491=G2096,
         $A$2:$A10491&gt;=A2096-20,
         $A$2:$A10491&lt;=A2096
       )
    ),
    ""VOL_SPIKE_3X"",""""
  ),
"""")
"),"")</f>
        <v/>
      </c>
      <c r="N2096" s="7" t="str">
        <f t="shared" si="6"/>
        <v/>
      </c>
      <c r="O2096" s="7" t="str">
        <f t="shared" si="7"/>
        <v/>
      </c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>
      <c r="A2097" s="5">
        <f>IFERROR(__xludf.DUMMYFUNCTION("""COMPUTED_VALUE"""),45860.0)</f>
        <v>45860</v>
      </c>
      <c r="B2097" s="6">
        <f>IFERROR(__xludf.DUMMYFUNCTION("""COMPUTED_VALUE"""),341.55)</f>
        <v>341.55</v>
      </c>
      <c r="C2097" s="6">
        <f>IFERROR(__xludf.DUMMYFUNCTION("""COMPUTED_VALUE"""),342.6)</f>
        <v>342.6</v>
      </c>
      <c r="D2097" s="6">
        <f>IFERROR(__xludf.DUMMYFUNCTION("""COMPUTED_VALUE"""),340.05)</f>
        <v>340.05</v>
      </c>
      <c r="E2097" s="6">
        <f>IFERROR(__xludf.DUMMYFUNCTION("""COMPUTED_VALUE"""),340.85)</f>
        <v>340.85</v>
      </c>
      <c r="F2097" s="7">
        <f>IFERROR(__xludf.DUMMYFUNCTION("""COMPUTED_VALUE"""),4728372.0)</f>
        <v>4728372</v>
      </c>
      <c r="G2097" s="7" t="str">
        <f>IFERROR(__xludf.DUMMYFUNCTION("""COMPUTED_VALUE"""),"NTPC.NS")</f>
        <v>NTPC.NS</v>
      </c>
      <c r="H2097" s="8">
        <f t="shared" si="1"/>
        <v>-0.00204948031</v>
      </c>
      <c r="I2097" s="8">
        <f t="shared" si="2"/>
        <v>0.00204948031</v>
      </c>
      <c r="J2097" s="7" t="str">
        <f t="shared" si="3"/>
        <v>Jul-2025</v>
      </c>
      <c r="K2097" s="9">
        <f t="shared" si="4"/>
        <v>45839</v>
      </c>
      <c r="L2097" s="7" t="str">
        <f t="shared" si="5"/>
        <v/>
      </c>
      <c r="M2097" s="7" t="str">
        <f>IFERROR(__xludf.DUMMYFUNCTION("IFERROR(
  IF(
    F2097 &gt;
    3*AVERAGE(
       FILTER($F$2:$F10491,
         $G$2:$G10491=G2097,
         $A$2:$A10491&gt;=A2097-20,
         $A$2:$A10491&lt;=A2097
       )
    ),
    ""VOL_SPIKE_3X"",""""
  ),
"""")
"),"")</f>
        <v/>
      </c>
      <c r="N2097" s="7" t="str">
        <f t="shared" si="6"/>
        <v/>
      </c>
      <c r="O2097" s="7" t="str">
        <f t="shared" si="7"/>
        <v/>
      </c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>
      <c r="A2098" s="5">
        <f>IFERROR(__xludf.DUMMYFUNCTION("""COMPUTED_VALUE"""),45860.0)</f>
        <v>45860</v>
      </c>
      <c r="B2098" s="6">
        <f>IFERROR(__xludf.DUMMYFUNCTION("""COMPUTED_VALUE"""),245.04)</f>
        <v>245.04</v>
      </c>
      <c r="C2098" s="6">
        <f>IFERROR(__xludf.DUMMYFUNCTION("""COMPUTED_VALUE"""),246.87)</f>
        <v>246.87</v>
      </c>
      <c r="D2098" s="6">
        <f>IFERROR(__xludf.DUMMYFUNCTION("""COMPUTED_VALUE"""),244.07)</f>
        <v>244.07</v>
      </c>
      <c r="E2098" s="6">
        <f>IFERROR(__xludf.DUMMYFUNCTION("""COMPUTED_VALUE"""),246.41)</f>
        <v>246.41</v>
      </c>
      <c r="F2098" s="7">
        <f>IFERROR(__xludf.DUMMYFUNCTION("""COMPUTED_VALUE"""),5869862.0)</f>
        <v>5869862</v>
      </c>
      <c r="G2098" s="7" t="str">
        <f>IFERROR(__xludf.DUMMYFUNCTION("""COMPUTED_VALUE"""),"ONGC.NS")</f>
        <v>ONGC.NS</v>
      </c>
      <c r="H2098" s="8">
        <f t="shared" si="1"/>
        <v>0.005590923931</v>
      </c>
      <c r="I2098" s="8">
        <f t="shared" si="2"/>
        <v>0.005590923931</v>
      </c>
      <c r="J2098" s="7" t="str">
        <f t="shared" si="3"/>
        <v>Jul-2025</v>
      </c>
      <c r="K2098" s="9">
        <f t="shared" si="4"/>
        <v>45839</v>
      </c>
      <c r="L2098" s="7" t="str">
        <f t="shared" si="5"/>
        <v/>
      </c>
      <c r="M2098" s="7" t="str">
        <f>IFERROR(__xludf.DUMMYFUNCTION("IFERROR(
  IF(
    F2098 &gt;
    3*AVERAGE(
       FILTER($F$2:$F10491,
         $G$2:$G10491=G2098,
         $A$2:$A10491&gt;=A2098-20,
         $A$2:$A10491&lt;=A2098
       )
    ),
    ""VOL_SPIKE_3X"",""""
  ),
"""")
"),"")</f>
        <v/>
      </c>
      <c r="N2098" s="7" t="str">
        <f t="shared" si="6"/>
        <v/>
      </c>
      <c r="O2098" s="7" t="str">
        <f t="shared" si="7"/>
        <v/>
      </c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>
      <c r="A2099" s="5">
        <f>IFERROR(__xludf.DUMMYFUNCTION("""COMPUTED_VALUE"""),45860.0)</f>
        <v>45860</v>
      </c>
      <c r="B2099" s="6">
        <f>IFERROR(__xludf.DUMMYFUNCTION("""COMPUTED_VALUE"""),297.1)</f>
        <v>297.1</v>
      </c>
      <c r="C2099" s="6">
        <f>IFERROR(__xludf.DUMMYFUNCTION("""COMPUTED_VALUE"""),298.85)</f>
        <v>298.85</v>
      </c>
      <c r="D2099" s="6">
        <f>IFERROR(__xludf.DUMMYFUNCTION("""COMPUTED_VALUE"""),294.55)</f>
        <v>294.55</v>
      </c>
      <c r="E2099" s="6">
        <f>IFERROR(__xludf.DUMMYFUNCTION("""COMPUTED_VALUE"""),297.8)</f>
        <v>297.8</v>
      </c>
      <c r="F2099" s="7">
        <f>IFERROR(__xludf.DUMMYFUNCTION("""COMPUTED_VALUE"""),7775653.0)</f>
        <v>7775653</v>
      </c>
      <c r="G2099" s="7" t="str">
        <f>IFERROR(__xludf.DUMMYFUNCTION("""COMPUTED_VALUE"""),"POWERGRID.NS")</f>
        <v>POWERGRID.NS</v>
      </c>
      <c r="H2099" s="8">
        <f t="shared" si="1"/>
        <v>0.002356109054</v>
      </c>
      <c r="I2099" s="8">
        <f t="shared" si="2"/>
        <v>0.002356109054</v>
      </c>
      <c r="J2099" s="7" t="str">
        <f t="shared" si="3"/>
        <v>Jul-2025</v>
      </c>
      <c r="K2099" s="9">
        <f t="shared" si="4"/>
        <v>45839</v>
      </c>
      <c r="L2099" s="7" t="str">
        <f t="shared" si="5"/>
        <v/>
      </c>
      <c r="M2099" s="7" t="str">
        <f>IFERROR(__xludf.DUMMYFUNCTION("IFERROR(
  IF(
    F2099 &gt;
    3*AVERAGE(
       FILTER($F$2:$F10491,
         $G$2:$G10491=G2099,
         $A$2:$A10491&gt;=A2099-20,
         $A$2:$A10491&lt;=A2099
       )
    ),
    ""VOL_SPIKE_3X"",""""
  ),
"""")
"),"")</f>
        <v/>
      </c>
      <c r="N2099" s="7" t="str">
        <f t="shared" si="6"/>
        <v/>
      </c>
      <c r="O2099" s="7" t="str">
        <f t="shared" si="7"/>
        <v/>
      </c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>
      <c r="A2100" s="5">
        <f>IFERROR(__xludf.DUMMYFUNCTION("""COMPUTED_VALUE"""),45860.0)</f>
        <v>45860</v>
      </c>
      <c r="B2100" s="6">
        <f>IFERROR(__xludf.DUMMYFUNCTION("""COMPUTED_VALUE"""),1427.4)</f>
        <v>1427.4</v>
      </c>
      <c r="C2100" s="6">
        <f>IFERROR(__xludf.DUMMYFUNCTION("""COMPUTED_VALUE"""),1431.9)</f>
        <v>1431.9</v>
      </c>
      <c r="D2100" s="6">
        <f>IFERROR(__xludf.DUMMYFUNCTION("""COMPUTED_VALUE"""),1410.7)</f>
        <v>1410.7</v>
      </c>
      <c r="E2100" s="6">
        <f>IFERROR(__xludf.DUMMYFUNCTION("""COMPUTED_VALUE"""),1412.8)</f>
        <v>1412.8</v>
      </c>
      <c r="F2100" s="7">
        <f>IFERROR(__xludf.DUMMYFUNCTION("""COMPUTED_VALUE"""),2.039632E7)</f>
        <v>20396320</v>
      </c>
      <c r="G2100" s="7" t="str">
        <f>IFERROR(__xludf.DUMMYFUNCTION("""COMPUTED_VALUE"""),"RELIANCE.NS")</f>
        <v>RELIANCE.NS</v>
      </c>
      <c r="H2100" s="8">
        <f t="shared" si="1"/>
        <v>-0.01022838728</v>
      </c>
      <c r="I2100" s="8">
        <f t="shared" si="2"/>
        <v>0.01022838728</v>
      </c>
      <c r="J2100" s="7" t="str">
        <f t="shared" si="3"/>
        <v>Jul-2025</v>
      </c>
      <c r="K2100" s="9">
        <f t="shared" si="4"/>
        <v>45839</v>
      </c>
      <c r="L2100" s="7" t="str">
        <f t="shared" si="5"/>
        <v/>
      </c>
      <c r="M2100" s="7" t="str">
        <f>IFERROR(__xludf.DUMMYFUNCTION("IFERROR(
  IF(
    F2100 &gt;
    3*AVERAGE(
       FILTER($F$2:$F10491,
         $G$2:$G10491=G2100,
         $A$2:$A10491&gt;=A2100-20,
         $A$2:$A10491&lt;=A2100
       )
    ),
    ""VOL_SPIKE_3X"",""""
  ),
"""")
"),"")</f>
        <v/>
      </c>
      <c r="N2100" s="7" t="str">
        <f t="shared" si="6"/>
        <v/>
      </c>
      <c r="O2100" s="7" t="str">
        <f t="shared" si="7"/>
        <v/>
      </c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>
      <c r="A2101" s="5">
        <f>IFERROR(__xludf.DUMMYFUNCTION("""COMPUTED_VALUE"""),45861.0)</f>
        <v>45861</v>
      </c>
      <c r="B2101" s="6">
        <f>IFERROR(__xludf.DUMMYFUNCTION("""COMPUTED_VALUE"""),871.7)</f>
        <v>871.7</v>
      </c>
      <c r="C2101" s="6">
        <f>IFERROR(__xludf.DUMMYFUNCTION("""COMPUTED_VALUE"""),874.1)</f>
        <v>874.1</v>
      </c>
      <c r="D2101" s="6">
        <f>IFERROR(__xludf.DUMMYFUNCTION("""COMPUTED_VALUE"""),861.5)</f>
        <v>861.5</v>
      </c>
      <c r="E2101" s="6">
        <f>IFERROR(__xludf.DUMMYFUNCTION("""COMPUTED_VALUE"""),863.1)</f>
        <v>863.1</v>
      </c>
      <c r="F2101" s="7">
        <f>IFERROR(__xludf.DUMMYFUNCTION("""COMPUTED_VALUE"""),724832.0)</f>
        <v>724832</v>
      </c>
      <c r="G2101" s="7" t="str">
        <f>IFERROR(__xludf.DUMMYFUNCTION("""COMPUTED_VALUE"""),"ADANIENSOL.NS")</f>
        <v>ADANIENSOL.NS</v>
      </c>
      <c r="H2101" s="8">
        <f t="shared" si="1"/>
        <v>-0.009865779511</v>
      </c>
      <c r="I2101" s="8">
        <f t="shared" si="2"/>
        <v>0.009865779511</v>
      </c>
      <c r="J2101" s="7" t="str">
        <f t="shared" si="3"/>
        <v>Jul-2025</v>
      </c>
      <c r="K2101" s="9">
        <f t="shared" si="4"/>
        <v>45839</v>
      </c>
      <c r="L2101" s="7" t="str">
        <f t="shared" si="5"/>
        <v/>
      </c>
      <c r="M2101" s="7" t="str">
        <f>IFERROR(__xludf.DUMMYFUNCTION("IFERROR(
  IF(
    F2101 &gt;
    3*AVERAGE(
       FILTER($F$2:$F10491,
         $G$2:$G10491=G2101,
         $A$2:$A10491&gt;=A2101-20,
         $A$2:$A10491&lt;=A2101
       )
    ),
    ""VOL_SPIKE_3X"",""""
  ),
"""")
"),"")</f>
        <v/>
      </c>
      <c r="N2101" s="7" t="str">
        <f t="shared" si="6"/>
        <v/>
      </c>
      <c r="O2101" s="7" t="str">
        <f t="shared" si="7"/>
        <v/>
      </c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>
      <c r="A2102" s="5">
        <f>IFERROR(__xludf.DUMMYFUNCTION("""COMPUTED_VALUE"""),45861.0)</f>
        <v>45861</v>
      </c>
      <c r="B2102" s="6">
        <f>IFERROR(__xludf.DUMMYFUNCTION("""COMPUTED_VALUE"""),1018.4)</f>
        <v>1018.4</v>
      </c>
      <c r="C2102" s="6">
        <f>IFERROR(__xludf.DUMMYFUNCTION("""COMPUTED_VALUE"""),1038.3)</f>
        <v>1038.3</v>
      </c>
      <c r="D2102" s="6">
        <f>IFERROR(__xludf.DUMMYFUNCTION("""COMPUTED_VALUE"""),1017.0)</f>
        <v>1017</v>
      </c>
      <c r="E2102" s="6">
        <f>IFERROR(__xludf.DUMMYFUNCTION("""COMPUTED_VALUE"""),1033.9)</f>
        <v>1033.9</v>
      </c>
      <c r="F2102" s="7">
        <f>IFERROR(__xludf.DUMMYFUNCTION("""COMPUTED_VALUE"""),1733780.0)</f>
        <v>1733780</v>
      </c>
      <c r="G2102" s="7" t="str">
        <f>IFERROR(__xludf.DUMMYFUNCTION("""COMPUTED_VALUE"""),"ADANIGREEN.NS")</f>
        <v>ADANIGREEN.NS</v>
      </c>
      <c r="H2102" s="8">
        <f t="shared" si="1"/>
        <v>0.01521995287</v>
      </c>
      <c r="I2102" s="8">
        <f t="shared" si="2"/>
        <v>0.01521995287</v>
      </c>
      <c r="J2102" s="7" t="str">
        <f t="shared" si="3"/>
        <v>Jul-2025</v>
      </c>
      <c r="K2102" s="9">
        <f t="shared" si="4"/>
        <v>45839</v>
      </c>
      <c r="L2102" s="7" t="str">
        <f t="shared" si="5"/>
        <v/>
      </c>
      <c r="M2102" s="7" t="str">
        <f>IFERROR(__xludf.DUMMYFUNCTION("IFERROR(
  IF(
    F2102 &gt;
    3*AVERAGE(
       FILTER($F$2:$F10491,
         $G$2:$G10491=G2102,
         $A$2:$A10491&gt;=A2102-20,
         $A$2:$A10491&lt;=A2102
       )
    ),
    ""VOL_SPIKE_3X"",""""
  ),
"""")
"),"")</f>
        <v/>
      </c>
      <c r="N2102" s="7" t="str">
        <f t="shared" si="6"/>
        <v/>
      </c>
      <c r="O2102" s="7" t="str">
        <f t="shared" si="7"/>
        <v/>
      </c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>
      <c r="A2103" s="5">
        <f>IFERROR(__xludf.DUMMYFUNCTION("""COMPUTED_VALUE"""),45861.0)</f>
        <v>45861</v>
      </c>
      <c r="B2103" s="6">
        <f>IFERROR(__xludf.DUMMYFUNCTION("""COMPUTED_VALUE"""),341.85)</f>
        <v>341.85</v>
      </c>
      <c r="C2103" s="6">
        <f>IFERROR(__xludf.DUMMYFUNCTION("""COMPUTED_VALUE"""),345.0)</f>
        <v>345</v>
      </c>
      <c r="D2103" s="6">
        <f>IFERROR(__xludf.DUMMYFUNCTION("""COMPUTED_VALUE"""),336.8)</f>
        <v>336.8</v>
      </c>
      <c r="E2103" s="6">
        <f>IFERROR(__xludf.DUMMYFUNCTION("""COMPUTED_VALUE"""),344.45)</f>
        <v>344.45</v>
      </c>
      <c r="F2103" s="7">
        <f>IFERROR(__xludf.DUMMYFUNCTION("""COMPUTED_VALUE"""),5089227.0)</f>
        <v>5089227</v>
      </c>
      <c r="G2103" s="7" t="str">
        <f>IFERROR(__xludf.DUMMYFUNCTION("""COMPUTED_VALUE"""),"BPCL.NS")</f>
        <v>BPCL.NS</v>
      </c>
      <c r="H2103" s="8">
        <f t="shared" si="1"/>
        <v>0.007605675004</v>
      </c>
      <c r="I2103" s="8">
        <f t="shared" si="2"/>
        <v>0.007605675004</v>
      </c>
      <c r="J2103" s="7" t="str">
        <f t="shared" si="3"/>
        <v>Jul-2025</v>
      </c>
      <c r="K2103" s="9">
        <f t="shared" si="4"/>
        <v>45839</v>
      </c>
      <c r="L2103" s="7" t="str">
        <f t="shared" si="5"/>
        <v/>
      </c>
      <c r="M2103" s="7" t="str">
        <f>IFERROR(__xludf.DUMMYFUNCTION("IFERROR(
  IF(
    F2103 &gt;
    3*AVERAGE(
       FILTER($F$2:$F10491,
         $G$2:$G10491=G2103,
         $A$2:$A10491&gt;=A2103-20,
         $A$2:$A10491&lt;=A2103
       )
    ),
    ""VOL_SPIKE_3X"",""""
  ),
"""")
"),"")</f>
        <v/>
      </c>
      <c r="N2103" s="7" t="str">
        <f t="shared" si="6"/>
        <v/>
      </c>
      <c r="O2103" s="7" t="str">
        <f t="shared" si="7"/>
        <v/>
      </c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>
      <c r="A2104" s="5">
        <f>IFERROR(__xludf.DUMMYFUNCTION("""COMPUTED_VALUE"""),45861.0)</f>
        <v>45861</v>
      </c>
      <c r="B2104" s="6">
        <f>IFERROR(__xludf.DUMMYFUNCTION("""COMPUTED_VALUE"""),389.4)</f>
        <v>389.4</v>
      </c>
      <c r="C2104" s="6">
        <f>IFERROR(__xludf.DUMMYFUNCTION("""COMPUTED_VALUE"""),392.45)</f>
        <v>392.45</v>
      </c>
      <c r="D2104" s="6">
        <f>IFERROR(__xludf.DUMMYFUNCTION("""COMPUTED_VALUE"""),388.85)</f>
        <v>388.85</v>
      </c>
      <c r="E2104" s="6">
        <f>IFERROR(__xludf.DUMMYFUNCTION("""COMPUTED_VALUE"""),390.75)</f>
        <v>390.75</v>
      </c>
      <c r="F2104" s="7">
        <f>IFERROR(__xludf.DUMMYFUNCTION("""COMPUTED_VALUE"""),3670943.0)</f>
        <v>3670943</v>
      </c>
      <c r="G2104" s="7" t="str">
        <f>IFERROR(__xludf.DUMMYFUNCTION("""COMPUTED_VALUE"""),"COALINDIA.NS")</f>
        <v>COALINDIA.NS</v>
      </c>
      <c r="H2104" s="8">
        <f t="shared" si="1"/>
        <v>0.003466872111</v>
      </c>
      <c r="I2104" s="8">
        <f t="shared" si="2"/>
        <v>0.003466872111</v>
      </c>
      <c r="J2104" s="7" t="str">
        <f t="shared" si="3"/>
        <v>Jul-2025</v>
      </c>
      <c r="K2104" s="9">
        <f t="shared" si="4"/>
        <v>45839</v>
      </c>
      <c r="L2104" s="7" t="str">
        <f t="shared" si="5"/>
        <v/>
      </c>
      <c r="M2104" s="7" t="str">
        <f>IFERROR(__xludf.DUMMYFUNCTION("IFERROR(
  IF(
    F2104 &gt;
    3*AVERAGE(
       FILTER($F$2:$F10491,
         $G$2:$G10491=G2104,
         $A$2:$A10491&gt;=A2104-20,
         $A$2:$A10491&lt;=A2104
       )
    ),
    ""VOL_SPIKE_3X"",""""
  ),
"""")
"),"")</f>
        <v/>
      </c>
      <c r="N2104" s="7" t="str">
        <f t="shared" si="6"/>
        <v/>
      </c>
      <c r="O2104" s="7" t="str">
        <f t="shared" si="7"/>
        <v/>
      </c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>
      <c r="A2105" s="5">
        <f>IFERROR(__xludf.DUMMYFUNCTION("""COMPUTED_VALUE"""),45861.0)</f>
        <v>45861</v>
      </c>
      <c r="B2105" s="6">
        <f>IFERROR(__xludf.DUMMYFUNCTION("""COMPUTED_VALUE"""),430.5)</f>
        <v>430.5</v>
      </c>
      <c r="C2105" s="6">
        <f>IFERROR(__xludf.DUMMYFUNCTION("""COMPUTED_VALUE"""),436.0)</f>
        <v>436</v>
      </c>
      <c r="D2105" s="6">
        <f>IFERROR(__xludf.DUMMYFUNCTION("""COMPUTED_VALUE"""),428.35)</f>
        <v>428.35</v>
      </c>
      <c r="E2105" s="6">
        <f>IFERROR(__xludf.DUMMYFUNCTION("""COMPUTED_VALUE"""),434.5)</f>
        <v>434.5</v>
      </c>
      <c r="F2105" s="7">
        <f>IFERROR(__xludf.DUMMYFUNCTION("""COMPUTED_VALUE"""),2793895.0)</f>
        <v>2793895</v>
      </c>
      <c r="G2105" s="7" t="str">
        <f>IFERROR(__xludf.DUMMYFUNCTION("""COMPUTED_VALUE"""),"HINDPETRO.NS")</f>
        <v>HINDPETRO.NS</v>
      </c>
      <c r="H2105" s="8">
        <f t="shared" si="1"/>
        <v>0.009291521487</v>
      </c>
      <c r="I2105" s="8">
        <f t="shared" si="2"/>
        <v>0.009291521487</v>
      </c>
      <c r="J2105" s="7" t="str">
        <f t="shared" si="3"/>
        <v>Jul-2025</v>
      </c>
      <c r="K2105" s="9">
        <f t="shared" si="4"/>
        <v>45839</v>
      </c>
      <c r="L2105" s="7" t="str">
        <f t="shared" si="5"/>
        <v/>
      </c>
      <c r="M2105" s="7" t="str">
        <f>IFERROR(__xludf.DUMMYFUNCTION("IFERROR(
  IF(
    F2105 &gt;
    3*AVERAGE(
       FILTER($F$2:$F10491,
         $G$2:$G10491=G2105,
         $A$2:$A10491&gt;=A2105-20,
         $A$2:$A10491&lt;=A2105
       )
    ),
    ""VOL_SPIKE_3X"",""""
  ),
"""")
"),"")</f>
        <v/>
      </c>
      <c r="N2105" s="7" t="str">
        <f t="shared" si="6"/>
        <v/>
      </c>
      <c r="O2105" s="7" t="str">
        <f t="shared" si="7"/>
        <v/>
      </c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>
      <c r="A2106" s="5">
        <f>IFERROR(__xludf.DUMMYFUNCTION("""COMPUTED_VALUE"""),45861.0)</f>
        <v>45861</v>
      </c>
      <c r="B2106" s="6">
        <f>IFERROR(__xludf.DUMMYFUNCTION("""COMPUTED_VALUE"""),152.01)</f>
        <v>152.01</v>
      </c>
      <c r="C2106" s="6">
        <f>IFERROR(__xludf.DUMMYFUNCTION("""COMPUTED_VALUE"""),152.6)</f>
        <v>152.6</v>
      </c>
      <c r="D2106" s="6">
        <f>IFERROR(__xludf.DUMMYFUNCTION("""COMPUTED_VALUE"""),150.72)</f>
        <v>150.72</v>
      </c>
      <c r="E2106" s="6">
        <f>IFERROR(__xludf.DUMMYFUNCTION("""COMPUTED_VALUE"""),152.35)</f>
        <v>152.35</v>
      </c>
      <c r="F2106" s="7">
        <f>IFERROR(__xludf.DUMMYFUNCTION("""COMPUTED_VALUE"""),7597121.0)</f>
        <v>7597121</v>
      </c>
      <c r="G2106" s="7" t="str">
        <f>IFERROR(__xludf.DUMMYFUNCTION("""COMPUTED_VALUE"""),"IOC.NS")</f>
        <v>IOC.NS</v>
      </c>
      <c r="H2106" s="8">
        <f t="shared" si="1"/>
        <v>0.002236694954</v>
      </c>
      <c r="I2106" s="8">
        <f t="shared" si="2"/>
        <v>0.002236694954</v>
      </c>
      <c r="J2106" s="7" t="str">
        <f t="shared" si="3"/>
        <v>Jul-2025</v>
      </c>
      <c r="K2106" s="9">
        <f t="shared" si="4"/>
        <v>45839</v>
      </c>
      <c r="L2106" s="7" t="str">
        <f t="shared" si="5"/>
        <v/>
      </c>
      <c r="M2106" s="7" t="str">
        <f>IFERROR(__xludf.DUMMYFUNCTION("IFERROR(
  IF(
    F2106 &gt;
    3*AVERAGE(
       FILTER($F$2:$F10491,
         $G$2:$G10491=G2106,
         $A$2:$A10491&gt;=A2106-20,
         $A$2:$A10491&lt;=A2106
       )
    ),
    ""VOL_SPIKE_3X"",""""
  ),
"""")
"),"")</f>
        <v/>
      </c>
      <c r="N2106" s="7" t="str">
        <f t="shared" si="6"/>
        <v/>
      </c>
      <c r="O2106" s="7" t="str">
        <f t="shared" si="7"/>
        <v/>
      </c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>
      <c r="A2107" s="5">
        <f>IFERROR(__xludf.DUMMYFUNCTION("""COMPUTED_VALUE"""),45861.0)</f>
        <v>45861</v>
      </c>
      <c r="B2107" s="6">
        <f>IFERROR(__xludf.DUMMYFUNCTION("""COMPUTED_VALUE"""),341.8)</f>
        <v>341.8</v>
      </c>
      <c r="C2107" s="6">
        <f>IFERROR(__xludf.DUMMYFUNCTION("""COMPUTED_VALUE"""),344.0)</f>
        <v>344</v>
      </c>
      <c r="D2107" s="6">
        <f>IFERROR(__xludf.DUMMYFUNCTION("""COMPUTED_VALUE"""),340.95)</f>
        <v>340.95</v>
      </c>
      <c r="E2107" s="6">
        <f>IFERROR(__xludf.DUMMYFUNCTION("""COMPUTED_VALUE"""),343.05)</f>
        <v>343.05</v>
      </c>
      <c r="F2107" s="7">
        <f>IFERROR(__xludf.DUMMYFUNCTION("""COMPUTED_VALUE"""),5058422.0)</f>
        <v>5058422</v>
      </c>
      <c r="G2107" s="7" t="str">
        <f>IFERROR(__xludf.DUMMYFUNCTION("""COMPUTED_VALUE"""),"NTPC.NS")</f>
        <v>NTPC.NS</v>
      </c>
      <c r="H2107" s="8">
        <f t="shared" si="1"/>
        <v>0.003657109421</v>
      </c>
      <c r="I2107" s="8">
        <f t="shared" si="2"/>
        <v>0.003657109421</v>
      </c>
      <c r="J2107" s="7" t="str">
        <f t="shared" si="3"/>
        <v>Jul-2025</v>
      </c>
      <c r="K2107" s="9">
        <f t="shared" si="4"/>
        <v>45839</v>
      </c>
      <c r="L2107" s="7" t="str">
        <f t="shared" si="5"/>
        <v/>
      </c>
      <c r="M2107" s="7" t="str">
        <f>IFERROR(__xludf.DUMMYFUNCTION("IFERROR(
  IF(
    F2107 &gt;
    3*AVERAGE(
       FILTER($F$2:$F10491,
         $G$2:$G10491=G2107,
         $A$2:$A10491&gt;=A2107-20,
         $A$2:$A10491&lt;=A2107
       )
    ),
    ""VOL_SPIKE_3X"",""""
  ),
"""")
"),"")</f>
        <v/>
      </c>
      <c r="N2107" s="7" t="str">
        <f t="shared" si="6"/>
        <v/>
      </c>
      <c r="O2107" s="7" t="str">
        <f t="shared" si="7"/>
        <v/>
      </c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>
      <c r="A2108" s="5">
        <f>IFERROR(__xludf.DUMMYFUNCTION("""COMPUTED_VALUE"""),45861.0)</f>
        <v>45861</v>
      </c>
      <c r="B2108" s="6">
        <f>IFERROR(__xludf.DUMMYFUNCTION("""COMPUTED_VALUE"""),246.0)</f>
        <v>246</v>
      </c>
      <c r="C2108" s="6">
        <f>IFERROR(__xludf.DUMMYFUNCTION("""COMPUTED_VALUE"""),247.2)</f>
        <v>247.2</v>
      </c>
      <c r="D2108" s="6">
        <f>IFERROR(__xludf.DUMMYFUNCTION("""COMPUTED_VALUE"""),244.26)</f>
        <v>244.26</v>
      </c>
      <c r="E2108" s="6">
        <f>IFERROR(__xludf.DUMMYFUNCTION("""COMPUTED_VALUE"""),245.55)</f>
        <v>245.55</v>
      </c>
      <c r="F2108" s="7">
        <f>IFERROR(__xludf.DUMMYFUNCTION("""COMPUTED_VALUE"""),7357753.0)</f>
        <v>7357753</v>
      </c>
      <c r="G2108" s="7" t="str">
        <f>IFERROR(__xludf.DUMMYFUNCTION("""COMPUTED_VALUE"""),"ONGC.NS")</f>
        <v>ONGC.NS</v>
      </c>
      <c r="H2108" s="8">
        <f t="shared" si="1"/>
        <v>-0.001829268293</v>
      </c>
      <c r="I2108" s="8">
        <f t="shared" si="2"/>
        <v>0.001829268293</v>
      </c>
      <c r="J2108" s="7" t="str">
        <f t="shared" si="3"/>
        <v>Jul-2025</v>
      </c>
      <c r="K2108" s="9">
        <f t="shared" si="4"/>
        <v>45839</v>
      </c>
      <c r="L2108" s="7" t="str">
        <f t="shared" si="5"/>
        <v/>
      </c>
      <c r="M2108" s="7" t="str">
        <f>IFERROR(__xludf.DUMMYFUNCTION("IFERROR(
  IF(
    F2108 &gt;
    3*AVERAGE(
       FILTER($F$2:$F10491,
         $G$2:$G10491=G2108,
         $A$2:$A10491&gt;=A2108-20,
         $A$2:$A10491&lt;=A2108
       )
    ),
    ""VOL_SPIKE_3X"",""""
  ),
"""")
"),"")</f>
        <v/>
      </c>
      <c r="N2108" s="7" t="str">
        <f t="shared" si="6"/>
        <v/>
      </c>
      <c r="O2108" s="7" t="str">
        <f t="shared" si="7"/>
        <v/>
      </c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>
      <c r="A2109" s="5">
        <f>IFERROR(__xludf.DUMMYFUNCTION("""COMPUTED_VALUE"""),45861.0)</f>
        <v>45861</v>
      </c>
      <c r="B2109" s="6">
        <f>IFERROR(__xludf.DUMMYFUNCTION("""COMPUTED_VALUE"""),298.85)</f>
        <v>298.85</v>
      </c>
      <c r="C2109" s="6">
        <f>IFERROR(__xludf.DUMMYFUNCTION("""COMPUTED_VALUE"""),299.65)</f>
        <v>299.65</v>
      </c>
      <c r="D2109" s="6">
        <f>IFERROR(__xludf.DUMMYFUNCTION("""COMPUTED_VALUE"""),297.1)</f>
        <v>297.1</v>
      </c>
      <c r="E2109" s="6">
        <f>IFERROR(__xludf.DUMMYFUNCTION("""COMPUTED_VALUE"""),299.25)</f>
        <v>299.25</v>
      </c>
      <c r="F2109" s="7">
        <f>IFERROR(__xludf.DUMMYFUNCTION("""COMPUTED_VALUE"""),5310964.0)</f>
        <v>5310964</v>
      </c>
      <c r="G2109" s="7" t="str">
        <f>IFERROR(__xludf.DUMMYFUNCTION("""COMPUTED_VALUE"""),"POWERGRID.NS")</f>
        <v>POWERGRID.NS</v>
      </c>
      <c r="H2109" s="8">
        <f t="shared" si="1"/>
        <v>0.001338464112</v>
      </c>
      <c r="I2109" s="8">
        <f t="shared" si="2"/>
        <v>0.001338464112</v>
      </c>
      <c r="J2109" s="7" t="str">
        <f t="shared" si="3"/>
        <v>Jul-2025</v>
      </c>
      <c r="K2109" s="9">
        <f t="shared" si="4"/>
        <v>45839</v>
      </c>
      <c r="L2109" s="7" t="str">
        <f t="shared" si="5"/>
        <v/>
      </c>
      <c r="M2109" s="7" t="str">
        <f>IFERROR(__xludf.DUMMYFUNCTION("IFERROR(
  IF(
    F2109 &gt;
    3*AVERAGE(
       FILTER($F$2:$F10491,
         $G$2:$G10491=G2109,
         $A$2:$A10491&gt;=A2109-20,
         $A$2:$A10491&lt;=A2109
       )
    ),
    ""VOL_SPIKE_3X"",""""
  ),
"""")
"),"")</f>
        <v/>
      </c>
      <c r="N2109" s="7" t="str">
        <f t="shared" si="6"/>
        <v/>
      </c>
      <c r="O2109" s="7" t="str">
        <f t="shared" si="7"/>
        <v/>
      </c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>
      <c r="A2110" s="5">
        <f>IFERROR(__xludf.DUMMYFUNCTION("""COMPUTED_VALUE"""),45861.0)</f>
        <v>45861</v>
      </c>
      <c r="B2110" s="6">
        <f>IFERROR(__xludf.DUMMYFUNCTION("""COMPUTED_VALUE"""),1426.0)</f>
        <v>1426</v>
      </c>
      <c r="C2110" s="6">
        <f>IFERROR(__xludf.DUMMYFUNCTION("""COMPUTED_VALUE"""),1426.0)</f>
        <v>1426</v>
      </c>
      <c r="D2110" s="6">
        <f>IFERROR(__xludf.DUMMYFUNCTION("""COMPUTED_VALUE"""),1414.4)</f>
        <v>1414.4</v>
      </c>
      <c r="E2110" s="6">
        <f>IFERROR(__xludf.DUMMYFUNCTION("""COMPUTED_VALUE"""),1424.6)</f>
        <v>1424.6</v>
      </c>
      <c r="F2110" s="7">
        <f>IFERROR(__xludf.DUMMYFUNCTION("""COMPUTED_VALUE"""),8354596.0)</f>
        <v>8354596</v>
      </c>
      <c r="G2110" s="7" t="str">
        <f>IFERROR(__xludf.DUMMYFUNCTION("""COMPUTED_VALUE"""),"RELIANCE.NS")</f>
        <v>RELIANCE.NS</v>
      </c>
      <c r="H2110" s="8">
        <f t="shared" si="1"/>
        <v>-0.0009817671809</v>
      </c>
      <c r="I2110" s="8">
        <f t="shared" si="2"/>
        <v>0.0009817671809</v>
      </c>
      <c r="J2110" s="7" t="str">
        <f t="shared" si="3"/>
        <v>Jul-2025</v>
      </c>
      <c r="K2110" s="9">
        <f t="shared" si="4"/>
        <v>45839</v>
      </c>
      <c r="L2110" s="7" t="str">
        <f t="shared" si="5"/>
        <v/>
      </c>
      <c r="M2110" s="7" t="str">
        <f>IFERROR(__xludf.DUMMYFUNCTION("IFERROR(
  IF(
    F2110 &gt;
    3*AVERAGE(
       FILTER($F$2:$F10491,
         $G$2:$G10491=G2110,
         $A$2:$A10491&gt;=A2110-20,
         $A$2:$A10491&lt;=A2110
       )
    ),
    ""VOL_SPIKE_3X"",""""
  ),
"""")
"),"")</f>
        <v/>
      </c>
      <c r="N2110" s="7" t="str">
        <f t="shared" si="6"/>
        <v/>
      </c>
      <c r="O2110" s="7" t="str">
        <f t="shared" si="7"/>
        <v/>
      </c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>
      <c r="A2111" s="5">
        <f>IFERROR(__xludf.DUMMYFUNCTION("""COMPUTED_VALUE"""),45862.0)</f>
        <v>45862</v>
      </c>
      <c r="B2111" s="6">
        <f>IFERROR(__xludf.DUMMYFUNCTION("""COMPUTED_VALUE"""),868.0)</f>
        <v>868</v>
      </c>
      <c r="C2111" s="6">
        <f>IFERROR(__xludf.DUMMYFUNCTION("""COMPUTED_VALUE"""),868.0)</f>
        <v>868</v>
      </c>
      <c r="D2111" s="6">
        <f>IFERROR(__xludf.DUMMYFUNCTION("""COMPUTED_VALUE"""),844.05)</f>
        <v>844.05</v>
      </c>
      <c r="E2111" s="6">
        <f>IFERROR(__xludf.DUMMYFUNCTION("""COMPUTED_VALUE"""),849.05)</f>
        <v>849.05</v>
      </c>
      <c r="F2111" s="7">
        <f>IFERROR(__xludf.DUMMYFUNCTION("""COMPUTED_VALUE"""),2179235.0)</f>
        <v>2179235</v>
      </c>
      <c r="G2111" s="7" t="str">
        <f>IFERROR(__xludf.DUMMYFUNCTION("""COMPUTED_VALUE"""),"ADANIENSOL.NS")</f>
        <v>ADANIENSOL.NS</v>
      </c>
      <c r="H2111" s="8">
        <f t="shared" si="1"/>
        <v>-0.02183179724</v>
      </c>
      <c r="I2111" s="8">
        <f t="shared" si="2"/>
        <v>0.02183179724</v>
      </c>
      <c r="J2111" s="7" t="str">
        <f t="shared" si="3"/>
        <v>Jul-2025</v>
      </c>
      <c r="K2111" s="9">
        <f t="shared" si="4"/>
        <v>45839</v>
      </c>
      <c r="L2111" s="7" t="str">
        <f t="shared" si="5"/>
        <v/>
      </c>
      <c r="M2111" s="7" t="str">
        <f>IFERROR(__xludf.DUMMYFUNCTION("IFERROR(
  IF(
    F2111 &gt;
    3*AVERAGE(
       FILTER($F$2:$F10491,
         $G$2:$G10491=G2111,
         $A$2:$A10491&gt;=A2111-20,
         $A$2:$A10491&lt;=A2111
       )
    ),
    ""VOL_SPIKE_3X"",""""
  ),
"""")
"),"")</f>
        <v/>
      </c>
      <c r="N2111" s="7" t="str">
        <f t="shared" si="6"/>
        <v/>
      </c>
      <c r="O2111" s="7" t="str">
        <f t="shared" si="7"/>
        <v/>
      </c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>
      <c r="A2112" s="5">
        <f>IFERROR(__xludf.DUMMYFUNCTION("""COMPUTED_VALUE"""),45862.0)</f>
        <v>45862</v>
      </c>
      <c r="B2112" s="6">
        <f>IFERROR(__xludf.DUMMYFUNCTION("""COMPUTED_VALUE"""),1035.0)</f>
        <v>1035</v>
      </c>
      <c r="C2112" s="6">
        <f>IFERROR(__xludf.DUMMYFUNCTION("""COMPUTED_VALUE"""),1037.1)</f>
        <v>1037.1</v>
      </c>
      <c r="D2112" s="6">
        <f>IFERROR(__xludf.DUMMYFUNCTION("""COMPUTED_VALUE"""),1017.7)</f>
        <v>1017.7</v>
      </c>
      <c r="E2112" s="6">
        <f>IFERROR(__xludf.DUMMYFUNCTION("""COMPUTED_VALUE"""),1020.7)</f>
        <v>1020.7</v>
      </c>
      <c r="F2112" s="7">
        <f>IFERROR(__xludf.DUMMYFUNCTION("""COMPUTED_VALUE"""),1295384.0)</f>
        <v>1295384</v>
      </c>
      <c r="G2112" s="7" t="str">
        <f>IFERROR(__xludf.DUMMYFUNCTION("""COMPUTED_VALUE"""),"ADANIGREEN.NS")</f>
        <v>ADANIGREEN.NS</v>
      </c>
      <c r="H2112" s="8">
        <f t="shared" si="1"/>
        <v>-0.01381642512</v>
      </c>
      <c r="I2112" s="8">
        <f t="shared" si="2"/>
        <v>0.01381642512</v>
      </c>
      <c r="J2112" s="7" t="str">
        <f t="shared" si="3"/>
        <v>Jul-2025</v>
      </c>
      <c r="K2112" s="9">
        <f t="shared" si="4"/>
        <v>45839</v>
      </c>
      <c r="L2112" s="7" t="str">
        <f t="shared" si="5"/>
        <v/>
      </c>
      <c r="M2112" s="7" t="str">
        <f>IFERROR(__xludf.DUMMYFUNCTION("IFERROR(
  IF(
    F2112 &gt;
    3*AVERAGE(
       FILTER($F$2:$F10491,
         $G$2:$G10491=G2112,
         $A$2:$A10491&gt;=A2112-20,
         $A$2:$A10491&lt;=A2112
       )
    ),
    ""VOL_SPIKE_3X"",""""
  ),
"""")
"),"")</f>
        <v/>
      </c>
      <c r="N2112" s="7" t="str">
        <f t="shared" si="6"/>
        <v/>
      </c>
      <c r="O2112" s="7" t="str">
        <f t="shared" si="7"/>
        <v/>
      </c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>
      <c r="A2113" s="5">
        <f>IFERROR(__xludf.DUMMYFUNCTION("""COMPUTED_VALUE"""),45862.0)</f>
        <v>45862</v>
      </c>
      <c r="B2113" s="6">
        <f>IFERROR(__xludf.DUMMYFUNCTION("""COMPUTED_VALUE"""),344.45)</f>
        <v>344.45</v>
      </c>
      <c r="C2113" s="6">
        <f>IFERROR(__xludf.DUMMYFUNCTION("""COMPUTED_VALUE"""),344.9)</f>
        <v>344.9</v>
      </c>
      <c r="D2113" s="6">
        <f>IFERROR(__xludf.DUMMYFUNCTION("""COMPUTED_VALUE"""),339.7)</f>
        <v>339.7</v>
      </c>
      <c r="E2113" s="6">
        <f>IFERROR(__xludf.DUMMYFUNCTION("""COMPUTED_VALUE"""),341.4)</f>
        <v>341.4</v>
      </c>
      <c r="F2113" s="7">
        <f>IFERROR(__xludf.DUMMYFUNCTION("""COMPUTED_VALUE"""),3270996.0)</f>
        <v>3270996</v>
      </c>
      <c r="G2113" s="7" t="str">
        <f>IFERROR(__xludf.DUMMYFUNCTION("""COMPUTED_VALUE"""),"BPCL.NS")</f>
        <v>BPCL.NS</v>
      </c>
      <c r="H2113" s="8">
        <f t="shared" si="1"/>
        <v>-0.008854695892</v>
      </c>
      <c r="I2113" s="8">
        <f t="shared" si="2"/>
        <v>0.008854695892</v>
      </c>
      <c r="J2113" s="7" t="str">
        <f t="shared" si="3"/>
        <v>Jul-2025</v>
      </c>
      <c r="K2113" s="9">
        <f t="shared" si="4"/>
        <v>45839</v>
      </c>
      <c r="L2113" s="7" t="str">
        <f t="shared" si="5"/>
        <v/>
      </c>
      <c r="M2113" s="7" t="str">
        <f>IFERROR(__xludf.DUMMYFUNCTION("IFERROR(
  IF(
    F2113 &gt;
    3*AVERAGE(
       FILTER($F$2:$F10491,
         $G$2:$G10491=G2113,
         $A$2:$A10491&gt;=A2113-20,
         $A$2:$A10491&lt;=A2113
       )
    ),
    ""VOL_SPIKE_3X"",""""
  ),
"""")
"),"")</f>
        <v/>
      </c>
      <c r="N2113" s="7" t="str">
        <f t="shared" si="6"/>
        <v/>
      </c>
      <c r="O2113" s="7" t="str">
        <f t="shared" si="7"/>
        <v/>
      </c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>
      <c r="A2114" s="5">
        <f>IFERROR(__xludf.DUMMYFUNCTION("""COMPUTED_VALUE"""),45862.0)</f>
        <v>45862</v>
      </c>
      <c r="B2114" s="6">
        <f>IFERROR(__xludf.DUMMYFUNCTION("""COMPUTED_VALUE"""),390.1)</f>
        <v>390.1</v>
      </c>
      <c r="C2114" s="6">
        <f>IFERROR(__xludf.DUMMYFUNCTION("""COMPUTED_VALUE"""),390.75)</f>
        <v>390.75</v>
      </c>
      <c r="D2114" s="6">
        <f>IFERROR(__xludf.DUMMYFUNCTION("""COMPUTED_VALUE"""),383.9)</f>
        <v>383.9</v>
      </c>
      <c r="E2114" s="6">
        <f>IFERROR(__xludf.DUMMYFUNCTION("""COMPUTED_VALUE"""),385.55)</f>
        <v>385.55</v>
      </c>
      <c r="F2114" s="7">
        <f>IFERROR(__xludf.DUMMYFUNCTION("""COMPUTED_VALUE"""),4022204.0)</f>
        <v>4022204</v>
      </c>
      <c r="G2114" s="7" t="str">
        <f>IFERROR(__xludf.DUMMYFUNCTION("""COMPUTED_VALUE"""),"COALINDIA.NS")</f>
        <v>COALINDIA.NS</v>
      </c>
      <c r="H2114" s="8">
        <f t="shared" si="1"/>
        <v>-0.01166367598</v>
      </c>
      <c r="I2114" s="8">
        <f t="shared" si="2"/>
        <v>0.01166367598</v>
      </c>
      <c r="J2114" s="7" t="str">
        <f t="shared" si="3"/>
        <v>Jul-2025</v>
      </c>
      <c r="K2114" s="9">
        <f t="shared" si="4"/>
        <v>45839</v>
      </c>
      <c r="L2114" s="7" t="str">
        <f t="shared" si="5"/>
        <v/>
      </c>
      <c r="M2114" s="7" t="str">
        <f>IFERROR(__xludf.DUMMYFUNCTION("IFERROR(
  IF(
    F2114 &gt;
    3*AVERAGE(
       FILTER($F$2:$F10491,
         $G$2:$G10491=G2114,
         $A$2:$A10491&gt;=A2114-20,
         $A$2:$A10491&lt;=A2114
       )
    ),
    ""VOL_SPIKE_3X"",""""
  ),
"""")
"),"")</f>
        <v/>
      </c>
      <c r="N2114" s="7" t="str">
        <f t="shared" si="6"/>
        <v/>
      </c>
      <c r="O2114" s="7" t="str">
        <f t="shared" si="7"/>
        <v/>
      </c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>
      <c r="A2115" s="5">
        <f>IFERROR(__xludf.DUMMYFUNCTION("""COMPUTED_VALUE"""),45862.0)</f>
        <v>45862</v>
      </c>
      <c r="B2115" s="6">
        <f>IFERROR(__xludf.DUMMYFUNCTION("""COMPUTED_VALUE"""),435.3)</f>
        <v>435.3</v>
      </c>
      <c r="C2115" s="6">
        <f>IFERROR(__xludf.DUMMYFUNCTION("""COMPUTED_VALUE"""),437.0)</f>
        <v>437</v>
      </c>
      <c r="D2115" s="6">
        <f>IFERROR(__xludf.DUMMYFUNCTION("""COMPUTED_VALUE"""),432.4)</f>
        <v>432.4</v>
      </c>
      <c r="E2115" s="6">
        <f>IFERROR(__xludf.DUMMYFUNCTION("""COMPUTED_VALUE"""),434.9)</f>
        <v>434.9</v>
      </c>
      <c r="F2115" s="7">
        <f>IFERROR(__xludf.DUMMYFUNCTION("""COMPUTED_VALUE"""),2805754.0)</f>
        <v>2805754</v>
      </c>
      <c r="G2115" s="7" t="str">
        <f>IFERROR(__xludf.DUMMYFUNCTION("""COMPUTED_VALUE"""),"HINDPETRO.NS")</f>
        <v>HINDPETRO.NS</v>
      </c>
      <c r="H2115" s="8">
        <f t="shared" si="1"/>
        <v>-0.0009189065013</v>
      </c>
      <c r="I2115" s="8">
        <f t="shared" si="2"/>
        <v>0.0009189065013</v>
      </c>
      <c r="J2115" s="7" t="str">
        <f t="shared" si="3"/>
        <v>Jul-2025</v>
      </c>
      <c r="K2115" s="9">
        <f t="shared" si="4"/>
        <v>45839</v>
      </c>
      <c r="L2115" s="7" t="str">
        <f t="shared" si="5"/>
        <v/>
      </c>
      <c r="M2115" s="7" t="str">
        <f>IFERROR(__xludf.DUMMYFUNCTION("IFERROR(
  IF(
    F2115 &gt;
    3*AVERAGE(
       FILTER($F$2:$F10491,
         $G$2:$G10491=G2115,
         $A$2:$A10491&gt;=A2115-20,
         $A$2:$A10491&lt;=A2115
       )
    ),
    ""VOL_SPIKE_3X"",""""
  ),
"""")
"),"")</f>
        <v/>
      </c>
      <c r="N2115" s="7" t="str">
        <f t="shared" si="6"/>
        <v/>
      </c>
      <c r="O2115" s="7" t="str">
        <f t="shared" si="7"/>
        <v/>
      </c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>
      <c r="A2116" s="5">
        <f>IFERROR(__xludf.DUMMYFUNCTION("""COMPUTED_VALUE"""),45862.0)</f>
        <v>45862</v>
      </c>
      <c r="B2116" s="6">
        <f>IFERROR(__xludf.DUMMYFUNCTION("""COMPUTED_VALUE"""),152.02)</f>
        <v>152.02</v>
      </c>
      <c r="C2116" s="6">
        <f>IFERROR(__xludf.DUMMYFUNCTION("""COMPUTED_VALUE"""),152.75)</f>
        <v>152.75</v>
      </c>
      <c r="D2116" s="6">
        <f>IFERROR(__xludf.DUMMYFUNCTION("""COMPUTED_VALUE"""),150.71)</f>
        <v>150.71</v>
      </c>
      <c r="E2116" s="6">
        <f>IFERROR(__xludf.DUMMYFUNCTION("""COMPUTED_VALUE"""),151.22)</f>
        <v>151.22</v>
      </c>
      <c r="F2116" s="7">
        <f>IFERROR(__xludf.DUMMYFUNCTION("""COMPUTED_VALUE"""),5879844.0)</f>
        <v>5879844</v>
      </c>
      <c r="G2116" s="7" t="str">
        <f>IFERROR(__xludf.DUMMYFUNCTION("""COMPUTED_VALUE"""),"IOC.NS")</f>
        <v>IOC.NS</v>
      </c>
      <c r="H2116" s="8">
        <f t="shared" si="1"/>
        <v>-0.005262465465</v>
      </c>
      <c r="I2116" s="8">
        <f t="shared" si="2"/>
        <v>0.005262465465</v>
      </c>
      <c r="J2116" s="7" t="str">
        <f t="shared" si="3"/>
        <v>Jul-2025</v>
      </c>
      <c r="K2116" s="9">
        <f t="shared" si="4"/>
        <v>45839</v>
      </c>
      <c r="L2116" s="7" t="str">
        <f t="shared" si="5"/>
        <v/>
      </c>
      <c r="M2116" s="7" t="str">
        <f>IFERROR(__xludf.DUMMYFUNCTION("IFERROR(
  IF(
    F2116 &gt;
    3*AVERAGE(
       FILTER($F$2:$F10491,
         $G$2:$G10491=G2116,
         $A$2:$A10491&gt;=A2116-20,
         $A$2:$A10491&lt;=A2116
       )
    ),
    ""VOL_SPIKE_3X"",""""
  ),
"""")
"),"")</f>
        <v/>
      </c>
      <c r="N2116" s="7" t="str">
        <f t="shared" si="6"/>
        <v/>
      </c>
      <c r="O2116" s="7" t="str">
        <f t="shared" si="7"/>
        <v/>
      </c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>
      <c r="A2117" s="5">
        <f>IFERROR(__xludf.DUMMYFUNCTION("""COMPUTED_VALUE"""),45862.0)</f>
        <v>45862</v>
      </c>
      <c r="B2117" s="6">
        <f>IFERROR(__xludf.DUMMYFUNCTION("""COMPUTED_VALUE"""),343.6)</f>
        <v>343.6</v>
      </c>
      <c r="C2117" s="6">
        <f>IFERROR(__xludf.DUMMYFUNCTION("""COMPUTED_VALUE"""),343.6)</f>
        <v>343.6</v>
      </c>
      <c r="D2117" s="6">
        <f>IFERROR(__xludf.DUMMYFUNCTION("""COMPUTED_VALUE"""),336.5)</f>
        <v>336.5</v>
      </c>
      <c r="E2117" s="6">
        <f>IFERROR(__xludf.DUMMYFUNCTION("""COMPUTED_VALUE"""),338.9)</f>
        <v>338.9</v>
      </c>
      <c r="F2117" s="7">
        <f>IFERROR(__xludf.DUMMYFUNCTION("""COMPUTED_VALUE"""),9098453.0)</f>
        <v>9098453</v>
      </c>
      <c r="G2117" s="7" t="str">
        <f>IFERROR(__xludf.DUMMYFUNCTION("""COMPUTED_VALUE"""),"NTPC.NS")</f>
        <v>NTPC.NS</v>
      </c>
      <c r="H2117" s="8">
        <f t="shared" si="1"/>
        <v>-0.01367869616</v>
      </c>
      <c r="I2117" s="8">
        <f t="shared" si="2"/>
        <v>0.01367869616</v>
      </c>
      <c r="J2117" s="7" t="str">
        <f t="shared" si="3"/>
        <v>Jul-2025</v>
      </c>
      <c r="K2117" s="9">
        <f t="shared" si="4"/>
        <v>45839</v>
      </c>
      <c r="L2117" s="7" t="str">
        <f t="shared" si="5"/>
        <v/>
      </c>
      <c r="M2117" s="7" t="str">
        <f>IFERROR(__xludf.DUMMYFUNCTION("IFERROR(
  IF(
    F2117 &gt;
    3*AVERAGE(
       FILTER($F$2:$F10491,
         $G$2:$G10491=G2117,
         $A$2:$A10491&gt;=A2117-20,
         $A$2:$A10491&lt;=A2117
       )
    ),
    ""VOL_SPIKE_3X"",""""
  ),
"""")
"),"")</f>
        <v/>
      </c>
      <c r="N2117" s="7" t="str">
        <f t="shared" si="6"/>
        <v/>
      </c>
      <c r="O2117" s="7" t="str">
        <f t="shared" si="7"/>
        <v/>
      </c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>
      <c r="A2118" s="5">
        <f>IFERROR(__xludf.DUMMYFUNCTION("""COMPUTED_VALUE"""),45862.0)</f>
        <v>45862</v>
      </c>
      <c r="B2118" s="6">
        <f>IFERROR(__xludf.DUMMYFUNCTION("""COMPUTED_VALUE"""),245.56)</f>
        <v>245.56</v>
      </c>
      <c r="C2118" s="6">
        <f>IFERROR(__xludf.DUMMYFUNCTION("""COMPUTED_VALUE"""),246.2)</f>
        <v>246.2</v>
      </c>
      <c r="D2118" s="6">
        <f>IFERROR(__xludf.DUMMYFUNCTION("""COMPUTED_VALUE"""),243.76)</f>
        <v>243.76</v>
      </c>
      <c r="E2118" s="6">
        <f>IFERROR(__xludf.DUMMYFUNCTION("""COMPUTED_VALUE"""),244.83)</f>
        <v>244.83</v>
      </c>
      <c r="F2118" s="7">
        <f>IFERROR(__xludf.DUMMYFUNCTION("""COMPUTED_VALUE"""),4590999.0)</f>
        <v>4590999</v>
      </c>
      <c r="G2118" s="7" t="str">
        <f>IFERROR(__xludf.DUMMYFUNCTION("""COMPUTED_VALUE"""),"ONGC.NS")</f>
        <v>ONGC.NS</v>
      </c>
      <c r="H2118" s="8">
        <f t="shared" si="1"/>
        <v>-0.002972796872</v>
      </c>
      <c r="I2118" s="8">
        <f t="shared" si="2"/>
        <v>0.002972796872</v>
      </c>
      <c r="J2118" s="7" t="str">
        <f t="shared" si="3"/>
        <v>Jul-2025</v>
      </c>
      <c r="K2118" s="9">
        <f t="shared" si="4"/>
        <v>45839</v>
      </c>
      <c r="L2118" s="7" t="str">
        <f t="shared" si="5"/>
        <v/>
      </c>
      <c r="M2118" s="7" t="str">
        <f>IFERROR(__xludf.DUMMYFUNCTION("IFERROR(
  IF(
    F2118 &gt;
    3*AVERAGE(
       FILTER($F$2:$F10491,
         $G$2:$G10491=G2118,
         $A$2:$A10491&gt;=A2118-20,
         $A$2:$A10491&lt;=A2118
       )
    ),
    ""VOL_SPIKE_3X"",""""
  ),
"""")
"),"")</f>
        <v/>
      </c>
      <c r="N2118" s="7" t="str">
        <f t="shared" si="6"/>
        <v/>
      </c>
      <c r="O2118" s="7" t="str">
        <f t="shared" si="7"/>
        <v/>
      </c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>
      <c r="A2119" s="5">
        <f>IFERROR(__xludf.DUMMYFUNCTION("""COMPUTED_VALUE"""),45862.0)</f>
        <v>45862</v>
      </c>
      <c r="B2119" s="6">
        <f>IFERROR(__xludf.DUMMYFUNCTION("""COMPUTED_VALUE"""),299.85)</f>
        <v>299.85</v>
      </c>
      <c r="C2119" s="6">
        <f>IFERROR(__xludf.DUMMYFUNCTION("""COMPUTED_VALUE"""),301.35)</f>
        <v>301.35</v>
      </c>
      <c r="D2119" s="6">
        <f>IFERROR(__xludf.DUMMYFUNCTION("""COMPUTED_VALUE"""),296.5)</f>
        <v>296.5</v>
      </c>
      <c r="E2119" s="6">
        <f>IFERROR(__xludf.DUMMYFUNCTION("""COMPUTED_VALUE"""),299.35)</f>
        <v>299.35</v>
      </c>
      <c r="F2119" s="7">
        <f>IFERROR(__xludf.DUMMYFUNCTION("""COMPUTED_VALUE"""),6294709.0)</f>
        <v>6294709</v>
      </c>
      <c r="G2119" s="7" t="str">
        <f>IFERROR(__xludf.DUMMYFUNCTION("""COMPUTED_VALUE"""),"POWERGRID.NS")</f>
        <v>POWERGRID.NS</v>
      </c>
      <c r="H2119" s="8">
        <f t="shared" si="1"/>
        <v>-0.001667500417</v>
      </c>
      <c r="I2119" s="8">
        <f t="shared" si="2"/>
        <v>0.001667500417</v>
      </c>
      <c r="J2119" s="7" t="str">
        <f t="shared" si="3"/>
        <v>Jul-2025</v>
      </c>
      <c r="K2119" s="9">
        <f t="shared" si="4"/>
        <v>45839</v>
      </c>
      <c r="L2119" s="7" t="str">
        <f t="shared" si="5"/>
        <v/>
      </c>
      <c r="M2119" s="7" t="str">
        <f>IFERROR(__xludf.DUMMYFUNCTION("IFERROR(
  IF(
    F2119 &gt;
    3*AVERAGE(
       FILTER($F$2:$F10491,
         $G$2:$G10491=G2119,
         $A$2:$A10491&gt;=A2119-20,
         $A$2:$A10491&lt;=A2119
       )
    ),
    ""VOL_SPIKE_3X"",""""
  ),
"""")
"),"")</f>
        <v/>
      </c>
      <c r="N2119" s="7" t="str">
        <f t="shared" si="6"/>
        <v/>
      </c>
      <c r="O2119" s="7" t="str">
        <f t="shared" si="7"/>
        <v/>
      </c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>
      <c r="A2120" s="5">
        <f>IFERROR(__xludf.DUMMYFUNCTION("""COMPUTED_VALUE"""),45862.0)</f>
        <v>45862</v>
      </c>
      <c r="B2120" s="6">
        <f>IFERROR(__xludf.DUMMYFUNCTION("""COMPUTED_VALUE"""),1419.2)</f>
        <v>1419.2</v>
      </c>
      <c r="C2120" s="6">
        <f>IFERROR(__xludf.DUMMYFUNCTION("""COMPUTED_VALUE"""),1423.0)</f>
        <v>1423</v>
      </c>
      <c r="D2120" s="6">
        <f>IFERROR(__xludf.DUMMYFUNCTION("""COMPUTED_VALUE"""),1396.0)</f>
        <v>1396</v>
      </c>
      <c r="E2120" s="6">
        <f>IFERROR(__xludf.DUMMYFUNCTION("""COMPUTED_VALUE"""),1402.9)</f>
        <v>1402.9</v>
      </c>
      <c r="F2120" s="7">
        <f>IFERROR(__xludf.DUMMYFUNCTION("""COMPUTED_VALUE"""),1.4740507E7)</f>
        <v>14740507</v>
      </c>
      <c r="G2120" s="7" t="str">
        <f>IFERROR(__xludf.DUMMYFUNCTION("""COMPUTED_VALUE"""),"RELIANCE.NS")</f>
        <v>RELIANCE.NS</v>
      </c>
      <c r="H2120" s="8">
        <f t="shared" si="1"/>
        <v>-0.01148534386</v>
      </c>
      <c r="I2120" s="8">
        <f t="shared" si="2"/>
        <v>0.01148534386</v>
      </c>
      <c r="J2120" s="7" t="str">
        <f t="shared" si="3"/>
        <v>Jul-2025</v>
      </c>
      <c r="K2120" s="9">
        <f t="shared" si="4"/>
        <v>45839</v>
      </c>
      <c r="L2120" s="7" t="str">
        <f t="shared" si="5"/>
        <v/>
      </c>
      <c r="M2120" s="7" t="str">
        <f>IFERROR(__xludf.DUMMYFUNCTION("IFERROR(
  IF(
    F2120 &gt;
    3*AVERAGE(
       FILTER($F$2:$F10491,
         $G$2:$G10491=G2120,
         $A$2:$A10491&gt;=A2120-20,
         $A$2:$A10491&lt;=A2120
       )
    ),
    ""VOL_SPIKE_3X"",""""
  ),
"""")
"),"")</f>
        <v/>
      </c>
      <c r="N2120" s="7" t="str">
        <f t="shared" si="6"/>
        <v/>
      </c>
      <c r="O2120" s="7" t="str">
        <f t="shared" si="7"/>
        <v/>
      </c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>
      <c r="A2121" s="5">
        <f>IFERROR(__xludf.DUMMYFUNCTION("""COMPUTED_VALUE"""),45863.0)</f>
        <v>45863</v>
      </c>
      <c r="B2121" s="6">
        <f>IFERROR(__xludf.DUMMYFUNCTION("""COMPUTED_VALUE"""),853.35)</f>
        <v>853.35</v>
      </c>
      <c r="C2121" s="6">
        <f>IFERROR(__xludf.DUMMYFUNCTION("""COMPUTED_VALUE"""),856.7)</f>
        <v>856.7</v>
      </c>
      <c r="D2121" s="6">
        <f>IFERROR(__xludf.DUMMYFUNCTION("""COMPUTED_VALUE"""),812.15)</f>
        <v>812.15</v>
      </c>
      <c r="E2121" s="6">
        <f>IFERROR(__xludf.DUMMYFUNCTION("""COMPUTED_VALUE"""),817.15)</f>
        <v>817.15</v>
      </c>
      <c r="F2121" s="7">
        <f>IFERROR(__xludf.DUMMYFUNCTION("""COMPUTED_VALUE"""),1813942.0)</f>
        <v>1813942</v>
      </c>
      <c r="G2121" s="7" t="str">
        <f>IFERROR(__xludf.DUMMYFUNCTION("""COMPUTED_VALUE"""),"ADANIENSOL.NS")</f>
        <v>ADANIENSOL.NS</v>
      </c>
      <c r="H2121" s="8">
        <f t="shared" si="1"/>
        <v>-0.04242104646</v>
      </c>
      <c r="I2121" s="8">
        <f t="shared" si="2"/>
        <v>0.04242104646</v>
      </c>
      <c r="J2121" s="7" t="str">
        <f t="shared" si="3"/>
        <v>Jul-2025</v>
      </c>
      <c r="K2121" s="9">
        <f t="shared" si="4"/>
        <v>45839</v>
      </c>
      <c r="L2121" s="7" t="str">
        <f t="shared" si="5"/>
        <v/>
      </c>
      <c r="M2121" s="7" t="str">
        <f>IFERROR(__xludf.DUMMYFUNCTION("IFERROR(
  IF(
    F2121 &gt;
    3*AVERAGE(
       FILTER($F$2:$F10491,
         $G$2:$G10491=G2121,
         $A$2:$A10491&gt;=A2121-20,
         $A$2:$A10491&lt;=A2121
       )
    ),
    ""VOL_SPIKE_3X"",""""
  ),
"""")
"),"")</f>
        <v/>
      </c>
      <c r="N2121" s="7" t="str">
        <f t="shared" si="6"/>
        <v/>
      </c>
      <c r="O2121" s="7" t="str">
        <f t="shared" si="7"/>
        <v/>
      </c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>
      <c r="A2122" s="5">
        <f>IFERROR(__xludf.DUMMYFUNCTION("""COMPUTED_VALUE"""),45863.0)</f>
        <v>45863</v>
      </c>
      <c r="B2122" s="6">
        <f>IFERROR(__xludf.DUMMYFUNCTION("""COMPUTED_VALUE"""),1021.8)</f>
        <v>1021.8</v>
      </c>
      <c r="C2122" s="6">
        <f>IFERROR(__xludf.DUMMYFUNCTION("""COMPUTED_VALUE"""),1021.8)</f>
        <v>1021.8</v>
      </c>
      <c r="D2122" s="6">
        <f>IFERROR(__xludf.DUMMYFUNCTION("""COMPUTED_VALUE"""),973.0)</f>
        <v>973</v>
      </c>
      <c r="E2122" s="6">
        <f>IFERROR(__xludf.DUMMYFUNCTION("""COMPUTED_VALUE"""),975.9)</f>
        <v>975.9</v>
      </c>
      <c r="F2122" s="7">
        <f>IFERROR(__xludf.DUMMYFUNCTION("""COMPUTED_VALUE"""),2521495.0)</f>
        <v>2521495</v>
      </c>
      <c r="G2122" s="7" t="str">
        <f>IFERROR(__xludf.DUMMYFUNCTION("""COMPUTED_VALUE"""),"ADANIGREEN.NS")</f>
        <v>ADANIGREEN.NS</v>
      </c>
      <c r="H2122" s="8">
        <f t="shared" si="1"/>
        <v>-0.04492072813</v>
      </c>
      <c r="I2122" s="8">
        <f t="shared" si="2"/>
        <v>0.04492072813</v>
      </c>
      <c r="J2122" s="7" t="str">
        <f t="shared" si="3"/>
        <v>Jul-2025</v>
      </c>
      <c r="K2122" s="9">
        <f t="shared" si="4"/>
        <v>45839</v>
      </c>
      <c r="L2122" s="7" t="str">
        <f t="shared" si="5"/>
        <v/>
      </c>
      <c r="M2122" s="7" t="str">
        <f>IFERROR(__xludf.DUMMYFUNCTION("IFERROR(
  IF(
    F2122 &gt;
    3*AVERAGE(
       FILTER($F$2:$F10491,
         $G$2:$G10491=G2122,
         $A$2:$A10491&gt;=A2122-20,
         $A$2:$A10491&lt;=A2122
       )
    ),
    ""VOL_SPIKE_3X"",""""
  ),
"""")
"),"")</f>
        <v/>
      </c>
      <c r="N2122" s="7" t="str">
        <f t="shared" si="6"/>
        <v/>
      </c>
      <c r="O2122" s="7" t="str">
        <f t="shared" si="7"/>
        <v/>
      </c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>
      <c r="A2123" s="5">
        <f>IFERROR(__xludf.DUMMYFUNCTION("""COMPUTED_VALUE"""),45863.0)</f>
        <v>45863</v>
      </c>
      <c r="B2123" s="6">
        <f>IFERROR(__xludf.DUMMYFUNCTION("""COMPUTED_VALUE"""),340.1)</f>
        <v>340.1</v>
      </c>
      <c r="C2123" s="6">
        <f>IFERROR(__xludf.DUMMYFUNCTION("""COMPUTED_VALUE"""),341.4)</f>
        <v>341.4</v>
      </c>
      <c r="D2123" s="6">
        <f>IFERROR(__xludf.DUMMYFUNCTION("""COMPUTED_VALUE"""),331.05)</f>
        <v>331.05</v>
      </c>
      <c r="E2123" s="6">
        <f>IFERROR(__xludf.DUMMYFUNCTION("""COMPUTED_VALUE"""),332.9)</f>
        <v>332.9</v>
      </c>
      <c r="F2123" s="7">
        <f>IFERROR(__xludf.DUMMYFUNCTION("""COMPUTED_VALUE"""),3514659.0)</f>
        <v>3514659</v>
      </c>
      <c r="G2123" s="7" t="str">
        <f>IFERROR(__xludf.DUMMYFUNCTION("""COMPUTED_VALUE"""),"BPCL.NS")</f>
        <v>BPCL.NS</v>
      </c>
      <c r="H2123" s="8">
        <f t="shared" si="1"/>
        <v>-0.02117024405</v>
      </c>
      <c r="I2123" s="8">
        <f t="shared" si="2"/>
        <v>0.02117024405</v>
      </c>
      <c r="J2123" s="7" t="str">
        <f t="shared" si="3"/>
        <v>Jul-2025</v>
      </c>
      <c r="K2123" s="9">
        <f t="shared" si="4"/>
        <v>45839</v>
      </c>
      <c r="L2123" s="7" t="str">
        <f t="shared" si="5"/>
        <v/>
      </c>
      <c r="M2123" s="7" t="str">
        <f>IFERROR(__xludf.DUMMYFUNCTION("IFERROR(
  IF(
    F2123 &gt;
    3*AVERAGE(
       FILTER($F$2:$F10491,
         $G$2:$G10491=G2123,
         $A$2:$A10491&gt;=A2123-20,
         $A$2:$A10491&lt;=A2123
       )
    ),
    ""VOL_SPIKE_3X"",""""
  ),
"""")
"),"")</f>
        <v/>
      </c>
      <c r="N2123" s="7" t="str">
        <f t="shared" si="6"/>
        <v/>
      </c>
      <c r="O2123" s="7" t="str">
        <f t="shared" si="7"/>
        <v/>
      </c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>
      <c r="A2124" s="5">
        <f>IFERROR(__xludf.DUMMYFUNCTION("""COMPUTED_VALUE"""),45863.0)</f>
        <v>45863</v>
      </c>
      <c r="B2124" s="6">
        <f>IFERROR(__xludf.DUMMYFUNCTION("""COMPUTED_VALUE"""),385.55)</f>
        <v>385.55</v>
      </c>
      <c r="C2124" s="6">
        <f>IFERROR(__xludf.DUMMYFUNCTION("""COMPUTED_VALUE"""),385.9)</f>
        <v>385.9</v>
      </c>
      <c r="D2124" s="6">
        <f>IFERROR(__xludf.DUMMYFUNCTION("""COMPUTED_VALUE"""),380.0)</f>
        <v>380</v>
      </c>
      <c r="E2124" s="6">
        <f>IFERROR(__xludf.DUMMYFUNCTION("""COMPUTED_VALUE"""),380.8)</f>
        <v>380.8</v>
      </c>
      <c r="F2124" s="7">
        <f>IFERROR(__xludf.DUMMYFUNCTION("""COMPUTED_VALUE"""),4616856.0)</f>
        <v>4616856</v>
      </c>
      <c r="G2124" s="7" t="str">
        <f>IFERROR(__xludf.DUMMYFUNCTION("""COMPUTED_VALUE"""),"COALINDIA.NS")</f>
        <v>COALINDIA.NS</v>
      </c>
      <c r="H2124" s="8">
        <f t="shared" si="1"/>
        <v>-0.01232006225</v>
      </c>
      <c r="I2124" s="8">
        <f t="shared" si="2"/>
        <v>0.01232006225</v>
      </c>
      <c r="J2124" s="7" t="str">
        <f t="shared" si="3"/>
        <v>Jul-2025</v>
      </c>
      <c r="K2124" s="9">
        <f t="shared" si="4"/>
        <v>45839</v>
      </c>
      <c r="L2124" s="7" t="str">
        <f t="shared" si="5"/>
        <v/>
      </c>
      <c r="M2124" s="7" t="str">
        <f>IFERROR(__xludf.DUMMYFUNCTION("IFERROR(
  IF(
    F2124 &gt;
    3*AVERAGE(
       FILTER($F$2:$F10491,
         $G$2:$G10491=G2124,
         $A$2:$A10491&gt;=A2124-20,
         $A$2:$A10491&lt;=A2124
       )
    ),
    ""VOL_SPIKE_3X"",""""
  ),
"""")
"),"")</f>
        <v/>
      </c>
      <c r="N2124" s="7" t="str">
        <f t="shared" si="6"/>
        <v/>
      </c>
      <c r="O2124" s="7" t="str">
        <f t="shared" si="7"/>
        <v/>
      </c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>
      <c r="A2125" s="5">
        <f>IFERROR(__xludf.DUMMYFUNCTION("""COMPUTED_VALUE"""),45863.0)</f>
        <v>45863</v>
      </c>
      <c r="B2125" s="6">
        <f>IFERROR(__xludf.DUMMYFUNCTION("""COMPUTED_VALUE"""),434.6)</f>
        <v>434.6</v>
      </c>
      <c r="C2125" s="6">
        <f>IFERROR(__xludf.DUMMYFUNCTION("""COMPUTED_VALUE"""),434.9)</f>
        <v>434.9</v>
      </c>
      <c r="D2125" s="6">
        <f>IFERROR(__xludf.DUMMYFUNCTION("""COMPUTED_VALUE"""),420.2)</f>
        <v>420.2</v>
      </c>
      <c r="E2125" s="6">
        <f>IFERROR(__xludf.DUMMYFUNCTION("""COMPUTED_VALUE"""),421.8)</f>
        <v>421.8</v>
      </c>
      <c r="F2125" s="7">
        <f>IFERROR(__xludf.DUMMYFUNCTION("""COMPUTED_VALUE"""),3196808.0)</f>
        <v>3196808</v>
      </c>
      <c r="G2125" s="7" t="str">
        <f>IFERROR(__xludf.DUMMYFUNCTION("""COMPUTED_VALUE"""),"HINDPETRO.NS")</f>
        <v>HINDPETRO.NS</v>
      </c>
      <c r="H2125" s="8">
        <f t="shared" si="1"/>
        <v>-0.02945237</v>
      </c>
      <c r="I2125" s="8">
        <f t="shared" si="2"/>
        <v>0.02945237</v>
      </c>
      <c r="J2125" s="7" t="str">
        <f t="shared" si="3"/>
        <v>Jul-2025</v>
      </c>
      <c r="K2125" s="9">
        <f t="shared" si="4"/>
        <v>45839</v>
      </c>
      <c r="L2125" s="7" t="str">
        <f t="shared" si="5"/>
        <v/>
      </c>
      <c r="M2125" s="7" t="str">
        <f>IFERROR(__xludf.DUMMYFUNCTION("IFERROR(
  IF(
    F2125 &gt;
    3*AVERAGE(
       FILTER($F$2:$F10491,
         $G$2:$G10491=G2125,
         $A$2:$A10491&gt;=A2125-20,
         $A$2:$A10491&lt;=A2125
       )
    ),
    ""VOL_SPIKE_3X"",""""
  ),
"""")
"),"")</f>
        <v/>
      </c>
      <c r="N2125" s="7" t="str">
        <f t="shared" si="6"/>
        <v/>
      </c>
      <c r="O2125" s="7" t="str">
        <f t="shared" si="7"/>
        <v/>
      </c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>
      <c r="A2126" s="5">
        <f>IFERROR(__xludf.DUMMYFUNCTION("""COMPUTED_VALUE"""),45863.0)</f>
        <v>45863</v>
      </c>
      <c r="B2126" s="6">
        <f>IFERROR(__xludf.DUMMYFUNCTION("""COMPUTED_VALUE"""),151.0)</f>
        <v>151</v>
      </c>
      <c r="C2126" s="6">
        <f>IFERROR(__xludf.DUMMYFUNCTION("""COMPUTED_VALUE"""),151.74)</f>
        <v>151.74</v>
      </c>
      <c r="D2126" s="6">
        <f>IFERROR(__xludf.DUMMYFUNCTION("""COMPUTED_VALUE"""),146.58)</f>
        <v>146.58</v>
      </c>
      <c r="E2126" s="6">
        <f>IFERROR(__xludf.DUMMYFUNCTION("""COMPUTED_VALUE"""),146.96)</f>
        <v>146.96</v>
      </c>
      <c r="F2126" s="7">
        <f>IFERROR(__xludf.DUMMYFUNCTION("""COMPUTED_VALUE"""),1.1646131E7)</f>
        <v>11646131</v>
      </c>
      <c r="G2126" s="7" t="str">
        <f>IFERROR(__xludf.DUMMYFUNCTION("""COMPUTED_VALUE"""),"IOC.NS")</f>
        <v>IOC.NS</v>
      </c>
      <c r="H2126" s="8">
        <f t="shared" si="1"/>
        <v>-0.02675496689</v>
      </c>
      <c r="I2126" s="8">
        <f t="shared" si="2"/>
        <v>0.02675496689</v>
      </c>
      <c r="J2126" s="7" t="str">
        <f t="shared" si="3"/>
        <v>Jul-2025</v>
      </c>
      <c r="K2126" s="9">
        <f t="shared" si="4"/>
        <v>45839</v>
      </c>
      <c r="L2126" s="7" t="str">
        <f t="shared" si="5"/>
        <v/>
      </c>
      <c r="M2126" s="7" t="str">
        <f>IFERROR(__xludf.DUMMYFUNCTION("IFERROR(
  IF(
    F2126 &gt;
    3*AVERAGE(
       FILTER($F$2:$F10491,
         $G$2:$G10491=G2126,
         $A$2:$A10491&gt;=A2126-20,
         $A$2:$A10491&lt;=A2126
       )
    ),
    ""VOL_SPIKE_3X"",""""
  ),
"""")
"),"")</f>
        <v/>
      </c>
      <c r="N2126" s="7" t="str">
        <f t="shared" si="6"/>
        <v/>
      </c>
      <c r="O2126" s="7" t="str">
        <f t="shared" si="7"/>
        <v/>
      </c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>
      <c r="A2127" s="5">
        <f>IFERROR(__xludf.DUMMYFUNCTION("""COMPUTED_VALUE"""),45863.0)</f>
        <v>45863</v>
      </c>
      <c r="B2127" s="6">
        <f>IFERROR(__xludf.DUMMYFUNCTION("""COMPUTED_VALUE"""),338.9)</f>
        <v>338.9</v>
      </c>
      <c r="C2127" s="6">
        <f>IFERROR(__xludf.DUMMYFUNCTION("""COMPUTED_VALUE"""),339.9)</f>
        <v>339.9</v>
      </c>
      <c r="D2127" s="6">
        <f>IFERROR(__xludf.DUMMYFUNCTION("""COMPUTED_VALUE"""),332.55)</f>
        <v>332.55</v>
      </c>
      <c r="E2127" s="6">
        <f>IFERROR(__xludf.DUMMYFUNCTION("""COMPUTED_VALUE"""),333.2)</f>
        <v>333.2</v>
      </c>
      <c r="F2127" s="7">
        <f>IFERROR(__xludf.DUMMYFUNCTION("""COMPUTED_VALUE"""),7790739.0)</f>
        <v>7790739</v>
      </c>
      <c r="G2127" s="7" t="str">
        <f>IFERROR(__xludf.DUMMYFUNCTION("""COMPUTED_VALUE"""),"NTPC.NS")</f>
        <v>NTPC.NS</v>
      </c>
      <c r="H2127" s="8">
        <f t="shared" si="1"/>
        <v>-0.01681912068</v>
      </c>
      <c r="I2127" s="8">
        <f t="shared" si="2"/>
        <v>0.01681912068</v>
      </c>
      <c r="J2127" s="7" t="str">
        <f t="shared" si="3"/>
        <v>Jul-2025</v>
      </c>
      <c r="K2127" s="9">
        <f t="shared" si="4"/>
        <v>45839</v>
      </c>
      <c r="L2127" s="7" t="str">
        <f t="shared" si="5"/>
        <v/>
      </c>
      <c r="M2127" s="7" t="str">
        <f>IFERROR(__xludf.DUMMYFUNCTION("IFERROR(
  IF(
    F2127 &gt;
    3*AVERAGE(
       FILTER($F$2:$F10491,
         $G$2:$G10491=G2127,
         $A$2:$A10491&gt;=A2127-20,
         $A$2:$A10491&lt;=A2127
       )
    ),
    ""VOL_SPIKE_3X"",""""
  ),
"""")
"),"")</f>
        <v/>
      </c>
      <c r="N2127" s="7" t="str">
        <f t="shared" si="6"/>
        <v/>
      </c>
      <c r="O2127" s="7" t="str">
        <f t="shared" si="7"/>
        <v/>
      </c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>
      <c r="A2128" s="5">
        <f>IFERROR(__xludf.DUMMYFUNCTION("""COMPUTED_VALUE"""),45863.0)</f>
        <v>45863</v>
      </c>
      <c r="B2128" s="6">
        <f>IFERROR(__xludf.DUMMYFUNCTION("""COMPUTED_VALUE"""),244.0)</f>
        <v>244</v>
      </c>
      <c r="C2128" s="6">
        <f>IFERROR(__xludf.DUMMYFUNCTION("""COMPUTED_VALUE"""),244.8)</f>
        <v>244.8</v>
      </c>
      <c r="D2128" s="6">
        <f>IFERROR(__xludf.DUMMYFUNCTION("""COMPUTED_VALUE"""),239.25)</f>
        <v>239.25</v>
      </c>
      <c r="E2128" s="6">
        <f>IFERROR(__xludf.DUMMYFUNCTION("""COMPUTED_VALUE"""),240.29)</f>
        <v>240.29</v>
      </c>
      <c r="F2128" s="7">
        <f>IFERROR(__xludf.DUMMYFUNCTION("""COMPUTED_VALUE"""),7427827.0)</f>
        <v>7427827</v>
      </c>
      <c r="G2128" s="7" t="str">
        <f>IFERROR(__xludf.DUMMYFUNCTION("""COMPUTED_VALUE"""),"ONGC.NS")</f>
        <v>ONGC.NS</v>
      </c>
      <c r="H2128" s="8">
        <f t="shared" si="1"/>
        <v>-0.01520491803</v>
      </c>
      <c r="I2128" s="8">
        <f t="shared" si="2"/>
        <v>0.01520491803</v>
      </c>
      <c r="J2128" s="7" t="str">
        <f t="shared" si="3"/>
        <v>Jul-2025</v>
      </c>
      <c r="K2128" s="9">
        <f t="shared" si="4"/>
        <v>45839</v>
      </c>
      <c r="L2128" s="7" t="str">
        <f t="shared" si="5"/>
        <v/>
      </c>
      <c r="M2128" s="7" t="str">
        <f>IFERROR(__xludf.DUMMYFUNCTION("IFERROR(
  IF(
    F2128 &gt;
    3*AVERAGE(
       FILTER($F$2:$F10491,
         $G$2:$G10491=G2128,
         $A$2:$A10491&gt;=A2128-20,
         $A$2:$A10491&lt;=A2128
       )
    ),
    ""VOL_SPIKE_3X"",""""
  ),
"""")
"),"")</f>
        <v/>
      </c>
      <c r="N2128" s="7" t="str">
        <f t="shared" si="6"/>
        <v/>
      </c>
      <c r="O2128" s="7" t="str">
        <f t="shared" si="7"/>
        <v/>
      </c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>
      <c r="A2129" s="5">
        <f>IFERROR(__xludf.DUMMYFUNCTION("""COMPUTED_VALUE"""),45863.0)</f>
        <v>45863</v>
      </c>
      <c r="B2129" s="6">
        <f>IFERROR(__xludf.DUMMYFUNCTION("""COMPUTED_VALUE"""),297.15)</f>
        <v>297.15</v>
      </c>
      <c r="C2129" s="6">
        <f>IFERROR(__xludf.DUMMYFUNCTION("""COMPUTED_VALUE"""),297.75)</f>
        <v>297.75</v>
      </c>
      <c r="D2129" s="6">
        <f>IFERROR(__xludf.DUMMYFUNCTION("""COMPUTED_VALUE"""),290.9)</f>
        <v>290.9</v>
      </c>
      <c r="E2129" s="6">
        <f>IFERROR(__xludf.DUMMYFUNCTION("""COMPUTED_VALUE"""),292.1)</f>
        <v>292.1</v>
      </c>
      <c r="F2129" s="7">
        <f>IFERROR(__xludf.DUMMYFUNCTION("""COMPUTED_VALUE"""),8202572.0)</f>
        <v>8202572</v>
      </c>
      <c r="G2129" s="7" t="str">
        <f>IFERROR(__xludf.DUMMYFUNCTION("""COMPUTED_VALUE"""),"POWERGRID.NS")</f>
        <v>POWERGRID.NS</v>
      </c>
      <c r="H2129" s="8">
        <f t="shared" si="1"/>
        <v>-0.01699478378</v>
      </c>
      <c r="I2129" s="8">
        <f t="shared" si="2"/>
        <v>0.01699478378</v>
      </c>
      <c r="J2129" s="7" t="str">
        <f t="shared" si="3"/>
        <v>Jul-2025</v>
      </c>
      <c r="K2129" s="9">
        <f t="shared" si="4"/>
        <v>45839</v>
      </c>
      <c r="L2129" s="7" t="str">
        <f t="shared" si="5"/>
        <v/>
      </c>
      <c r="M2129" s="7" t="str">
        <f>IFERROR(__xludf.DUMMYFUNCTION("IFERROR(
  IF(
    F2129 &gt;
    3*AVERAGE(
       FILTER($F$2:$F10491,
         $G$2:$G10491=G2129,
         $A$2:$A10491&gt;=A2129-20,
         $A$2:$A10491&lt;=A2129
       )
    ),
    ""VOL_SPIKE_3X"",""""
  ),
"""")
"),"")</f>
        <v/>
      </c>
      <c r="N2129" s="7" t="str">
        <f t="shared" si="6"/>
        <v/>
      </c>
      <c r="O2129" s="7" t="str">
        <f t="shared" si="7"/>
        <v/>
      </c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>
      <c r="A2130" s="5">
        <f>IFERROR(__xludf.DUMMYFUNCTION("""COMPUTED_VALUE"""),45863.0)</f>
        <v>45863</v>
      </c>
      <c r="B2130" s="6">
        <f>IFERROR(__xludf.DUMMYFUNCTION("""COMPUTED_VALUE"""),1398.9)</f>
        <v>1398.9</v>
      </c>
      <c r="C2130" s="6">
        <f>IFERROR(__xludf.DUMMYFUNCTION("""COMPUTED_VALUE"""),1401.0)</f>
        <v>1401</v>
      </c>
      <c r="D2130" s="6">
        <f>IFERROR(__xludf.DUMMYFUNCTION("""COMPUTED_VALUE"""),1384.1)</f>
        <v>1384.1</v>
      </c>
      <c r="E2130" s="6">
        <f>IFERROR(__xludf.DUMMYFUNCTION("""COMPUTED_VALUE"""),1391.7)</f>
        <v>1391.7</v>
      </c>
      <c r="F2130" s="7">
        <f>IFERROR(__xludf.DUMMYFUNCTION("""COMPUTED_VALUE"""),1.1854722E7)</f>
        <v>11854722</v>
      </c>
      <c r="G2130" s="7" t="str">
        <f>IFERROR(__xludf.DUMMYFUNCTION("""COMPUTED_VALUE"""),"RELIANCE.NS")</f>
        <v>RELIANCE.NS</v>
      </c>
      <c r="H2130" s="8">
        <f t="shared" si="1"/>
        <v>-0.005146901137</v>
      </c>
      <c r="I2130" s="8">
        <f t="shared" si="2"/>
        <v>0.005146901137</v>
      </c>
      <c r="J2130" s="7" t="str">
        <f t="shared" si="3"/>
        <v>Jul-2025</v>
      </c>
      <c r="K2130" s="9">
        <f t="shared" si="4"/>
        <v>45839</v>
      </c>
      <c r="L2130" s="7" t="str">
        <f t="shared" si="5"/>
        <v/>
      </c>
      <c r="M2130" s="7" t="str">
        <f>IFERROR(__xludf.DUMMYFUNCTION("IFERROR(
  IF(
    F2130 &gt;
    3*AVERAGE(
       FILTER($F$2:$F10491,
         $G$2:$G10491=G2130,
         $A$2:$A10491&gt;=A2130-20,
         $A$2:$A10491&lt;=A2130
       )
    ),
    ""VOL_SPIKE_3X"",""""
  ),
"""")
"),"")</f>
        <v/>
      </c>
      <c r="N2130" s="7" t="str">
        <f t="shared" si="6"/>
        <v/>
      </c>
      <c r="O2130" s="7" t="str">
        <f t="shared" si="7"/>
        <v/>
      </c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>
      <c r="A2131" s="5">
        <f>IFERROR(__xludf.DUMMYFUNCTION("""COMPUTED_VALUE"""),45866.0)</f>
        <v>45866</v>
      </c>
      <c r="B2131" s="6">
        <f>IFERROR(__xludf.DUMMYFUNCTION("""COMPUTED_VALUE"""),819.7)</f>
        <v>819.7</v>
      </c>
      <c r="C2131" s="6">
        <f>IFERROR(__xludf.DUMMYFUNCTION("""COMPUTED_VALUE"""),827.8)</f>
        <v>827.8</v>
      </c>
      <c r="D2131" s="6">
        <f>IFERROR(__xludf.DUMMYFUNCTION("""COMPUTED_VALUE"""),813.0)</f>
        <v>813</v>
      </c>
      <c r="E2131" s="6">
        <f>IFERROR(__xludf.DUMMYFUNCTION("""COMPUTED_VALUE"""),815.95)</f>
        <v>815.95</v>
      </c>
      <c r="F2131" s="7">
        <f>IFERROR(__xludf.DUMMYFUNCTION("""COMPUTED_VALUE"""),831296.0)</f>
        <v>831296</v>
      </c>
      <c r="G2131" s="7" t="str">
        <f>IFERROR(__xludf.DUMMYFUNCTION("""COMPUTED_VALUE"""),"ADANIENSOL.NS")</f>
        <v>ADANIENSOL.NS</v>
      </c>
      <c r="H2131" s="8">
        <f t="shared" si="1"/>
        <v>-0.004574844455</v>
      </c>
      <c r="I2131" s="8">
        <f t="shared" si="2"/>
        <v>0.004574844455</v>
      </c>
      <c r="J2131" s="7" t="str">
        <f t="shared" si="3"/>
        <v>Jul-2025</v>
      </c>
      <c r="K2131" s="9">
        <f t="shared" si="4"/>
        <v>45839</v>
      </c>
      <c r="L2131" s="7" t="str">
        <f t="shared" si="5"/>
        <v/>
      </c>
      <c r="M2131" s="7" t="str">
        <f>IFERROR(__xludf.DUMMYFUNCTION("IFERROR(
  IF(
    F2131 &gt;
    3*AVERAGE(
       FILTER($F$2:$F10491,
         $G$2:$G10491=G2131,
         $A$2:$A10491&gt;=A2131-20,
         $A$2:$A10491&lt;=A2131
       )
    ),
    ""VOL_SPIKE_3X"",""""
  ),
"""")
"),"")</f>
        <v/>
      </c>
      <c r="N2131" s="7" t="str">
        <f t="shared" si="6"/>
        <v/>
      </c>
      <c r="O2131" s="7" t="str">
        <f t="shared" si="7"/>
        <v/>
      </c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>
      <c r="A2132" s="5">
        <f>IFERROR(__xludf.DUMMYFUNCTION("""COMPUTED_VALUE"""),45866.0)</f>
        <v>45866</v>
      </c>
      <c r="B2132" s="6">
        <f>IFERROR(__xludf.DUMMYFUNCTION("""COMPUTED_VALUE"""),979.7)</f>
        <v>979.7</v>
      </c>
      <c r="C2132" s="6">
        <f>IFERROR(__xludf.DUMMYFUNCTION("""COMPUTED_VALUE"""),1013.6)</f>
        <v>1013.6</v>
      </c>
      <c r="D2132" s="6">
        <f>IFERROR(__xludf.DUMMYFUNCTION("""COMPUTED_VALUE"""),979.0)</f>
        <v>979</v>
      </c>
      <c r="E2132" s="6">
        <f>IFERROR(__xludf.DUMMYFUNCTION("""COMPUTED_VALUE"""),1003.9)</f>
        <v>1003.9</v>
      </c>
      <c r="F2132" s="7">
        <f>IFERROR(__xludf.DUMMYFUNCTION("""COMPUTED_VALUE"""),4051716.0)</f>
        <v>4051716</v>
      </c>
      <c r="G2132" s="7" t="str">
        <f>IFERROR(__xludf.DUMMYFUNCTION("""COMPUTED_VALUE"""),"ADANIGREEN.NS")</f>
        <v>ADANIGREEN.NS</v>
      </c>
      <c r="H2132" s="8">
        <f t="shared" si="1"/>
        <v>0.02470143922</v>
      </c>
      <c r="I2132" s="8">
        <f t="shared" si="2"/>
        <v>0.02470143922</v>
      </c>
      <c r="J2132" s="7" t="str">
        <f t="shared" si="3"/>
        <v>Jul-2025</v>
      </c>
      <c r="K2132" s="9">
        <f t="shared" si="4"/>
        <v>45839</v>
      </c>
      <c r="L2132" s="7" t="str">
        <f t="shared" si="5"/>
        <v/>
      </c>
      <c r="M2132" s="7" t="str">
        <f>IFERROR(__xludf.DUMMYFUNCTION("IFERROR(
  IF(
    F2132 &gt;
    3*AVERAGE(
       FILTER($F$2:$F10491,
         $G$2:$G10491=G2132,
         $A$2:$A10491&gt;=A2132-20,
         $A$2:$A10491&lt;=A2132
       )
    ),
    ""VOL_SPIKE_3X"",""""
  ),
"""")
"),"")</f>
        <v/>
      </c>
      <c r="N2132" s="7" t="str">
        <f t="shared" si="6"/>
        <v/>
      </c>
      <c r="O2132" s="7" t="str">
        <f t="shared" si="7"/>
        <v/>
      </c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>
      <c r="A2133" s="5">
        <f>IFERROR(__xludf.DUMMYFUNCTION("""COMPUTED_VALUE"""),45866.0)</f>
        <v>45866</v>
      </c>
      <c r="B2133" s="6">
        <f>IFERROR(__xludf.DUMMYFUNCTION("""COMPUTED_VALUE"""),332.35)</f>
        <v>332.35</v>
      </c>
      <c r="C2133" s="6">
        <f>IFERROR(__xludf.DUMMYFUNCTION("""COMPUTED_VALUE"""),338.35)</f>
        <v>338.35</v>
      </c>
      <c r="D2133" s="6">
        <f>IFERROR(__xludf.DUMMYFUNCTION("""COMPUTED_VALUE"""),331.0)</f>
        <v>331</v>
      </c>
      <c r="E2133" s="6">
        <f>IFERROR(__xludf.DUMMYFUNCTION("""COMPUTED_VALUE"""),333.4)</f>
        <v>333.4</v>
      </c>
      <c r="F2133" s="7">
        <f>IFERROR(__xludf.DUMMYFUNCTION("""COMPUTED_VALUE"""),5630809.0)</f>
        <v>5630809</v>
      </c>
      <c r="G2133" s="7" t="str">
        <f>IFERROR(__xludf.DUMMYFUNCTION("""COMPUTED_VALUE"""),"BPCL.NS")</f>
        <v>BPCL.NS</v>
      </c>
      <c r="H2133" s="8">
        <f t="shared" si="1"/>
        <v>0.003159319994</v>
      </c>
      <c r="I2133" s="8">
        <f t="shared" si="2"/>
        <v>0.003159319994</v>
      </c>
      <c r="J2133" s="7" t="str">
        <f t="shared" si="3"/>
        <v>Jul-2025</v>
      </c>
      <c r="K2133" s="9">
        <f t="shared" si="4"/>
        <v>45839</v>
      </c>
      <c r="L2133" s="7" t="str">
        <f t="shared" si="5"/>
        <v/>
      </c>
      <c r="M2133" s="7" t="str">
        <f>IFERROR(__xludf.DUMMYFUNCTION("IFERROR(
  IF(
    F2133 &gt;
    3*AVERAGE(
       FILTER($F$2:$F10491,
         $G$2:$G10491=G2133,
         $A$2:$A10491&gt;=A2133-20,
         $A$2:$A10491&lt;=A2133
       )
    ),
    ""VOL_SPIKE_3X"",""""
  ),
"""")
"),"")</f>
        <v/>
      </c>
      <c r="N2133" s="7" t="str">
        <f t="shared" si="6"/>
        <v/>
      </c>
      <c r="O2133" s="7" t="str">
        <f t="shared" si="7"/>
        <v/>
      </c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>
      <c r="A2134" s="5">
        <f>IFERROR(__xludf.DUMMYFUNCTION("""COMPUTED_VALUE"""),45866.0)</f>
        <v>45866</v>
      </c>
      <c r="B2134" s="6">
        <f>IFERROR(__xludf.DUMMYFUNCTION("""COMPUTED_VALUE"""),381.2)</f>
        <v>381.2</v>
      </c>
      <c r="C2134" s="6">
        <f>IFERROR(__xludf.DUMMYFUNCTION("""COMPUTED_VALUE"""),383.85)</f>
        <v>383.85</v>
      </c>
      <c r="D2134" s="6">
        <f>IFERROR(__xludf.DUMMYFUNCTION("""COMPUTED_VALUE"""),377.0)</f>
        <v>377</v>
      </c>
      <c r="E2134" s="6">
        <f>IFERROR(__xludf.DUMMYFUNCTION("""COMPUTED_VALUE"""),378.35)</f>
        <v>378.35</v>
      </c>
      <c r="F2134" s="7">
        <f>IFERROR(__xludf.DUMMYFUNCTION("""COMPUTED_VALUE"""),4521716.0)</f>
        <v>4521716</v>
      </c>
      <c r="G2134" s="7" t="str">
        <f>IFERROR(__xludf.DUMMYFUNCTION("""COMPUTED_VALUE"""),"COALINDIA.NS")</f>
        <v>COALINDIA.NS</v>
      </c>
      <c r="H2134" s="8">
        <f t="shared" si="1"/>
        <v>-0.007476390346</v>
      </c>
      <c r="I2134" s="8">
        <f t="shared" si="2"/>
        <v>0.007476390346</v>
      </c>
      <c r="J2134" s="7" t="str">
        <f t="shared" si="3"/>
        <v>Jul-2025</v>
      </c>
      <c r="K2134" s="9">
        <f t="shared" si="4"/>
        <v>45839</v>
      </c>
      <c r="L2134" s="7" t="str">
        <f t="shared" si="5"/>
        <v/>
      </c>
      <c r="M2134" s="7" t="str">
        <f>IFERROR(__xludf.DUMMYFUNCTION("IFERROR(
  IF(
    F2134 &gt;
    3*AVERAGE(
       FILTER($F$2:$F10491,
         $G$2:$G10491=G2134,
         $A$2:$A10491&gt;=A2134-20,
         $A$2:$A10491&lt;=A2134
       )
    ),
    ""VOL_SPIKE_3X"",""""
  ),
"""")
"),"")</f>
        <v/>
      </c>
      <c r="N2134" s="7" t="str">
        <f t="shared" si="6"/>
        <v/>
      </c>
      <c r="O2134" s="7" t="str">
        <f t="shared" si="7"/>
        <v/>
      </c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>
      <c r="A2135" s="5">
        <f>IFERROR(__xludf.DUMMYFUNCTION("""COMPUTED_VALUE"""),45866.0)</f>
        <v>45866</v>
      </c>
      <c r="B2135" s="6">
        <f>IFERROR(__xludf.DUMMYFUNCTION("""COMPUTED_VALUE"""),422.5)</f>
        <v>422.5</v>
      </c>
      <c r="C2135" s="6">
        <f>IFERROR(__xludf.DUMMYFUNCTION("""COMPUTED_VALUE"""),430.9)</f>
        <v>430.9</v>
      </c>
      <c r="D2135" s="6">
        <f>IFERROR(__xludf.DUMMYFUNCTION("""COMPUTED_VALUE"""),419.5)</f>
        <v>419.5</v>
      </c>
      <c r="E2135" s="6">
        <f>IFERROR(__xludf.DUMMYFUNCTION("""COMPUTED_VALUE"""),421.9)</f>
        <v>421.9</v>
      </c>
      <c r="F2135" s="7">
        <f>IFERROR(__xludf.DUMMYFUNCTION("""COMPUTED_VALUE"""),2551271.0)</f>
        <v>2551271</v>
      </c>
      <c r="G2135" s="7" t="str">
        <f>IFERROR(__xludf.DUMMYFUNCTION("""COMPUTED_VALUE"""),"HINDPETRO.NS")</f>
        <v>HINDPETRO.NS</v>
      </c>
      <c r="H2135" s="8">
        <f t="shared" si="1"/>
        <v>-0.001420118343</v>
      </c>
      <c r="I2135" s="8">
        <f t="shared" si="2"/>
        <v>0.001420118343</v>
      </c>
      <c r="J2135" s="7" t="str">
        <f t="shared" si="3"/>
        <v>Jul-2025</v>
      </c>
      <c r="K2135" s="9">
        <f t="shared" si="4"/>
        <v>45839</v>
      </c>
      <c r="L2135" s="7" t="str">
        <f t="shared" si="5"/>
        <v/>
      </c>
      <c r="M2135" s="7" t="str">
        <f>IFERROR(__xludf.DUMMYFUNCTION("IFERROR(
  IF(
    F2135 &gt;
    3*AVERAGE(
       FILTER($F$2:$F10491,
         $G$2:$G10491=G2135,
         $A$2:$A10491&gt;=A2135-20,
         $A$2:$A10491&lt;=A2135
       )
    ),
    ""VOL_SPIKE_3X"",""""
  ),
"""")
"),"")</f>
        <v/>
      </c>
      <c r="N2135" s="7" t="str">
        <f t="shared" si="6"/>
        <v/>
      </c>
      <c r="O2135" s="7" t="str">
        <f t="shared" si="7"/>
        <v/>
      </c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>
      <c r="A2136" s="5">
        <f>IFERROR(__xludf.DUMMYFUNCTION("""COMPUTED_VALUE"""),45866.0)</f>
        <v>45866</v>
      </c>
      <c r="B2136" s="6">
        <f>IFERROR(__xludf.DUMMYFUNCTION("""COMPUTED_VALUE"""),146.96)</f>
        <v>146.96</v>
      </c>
      <c r="C2136" s="6">
        <f>IFERROR(__xludf.DUMMYFUNCTION("""COMPUTED_VALUE"""),148.64)</f>
        <v>148.64</v>
      </c>
      <c r="D2136" s="6">
        <f>IFERROR(__xludf.DUMMYFUNCTION("""COMPUTED_VALUE"""),146.7)</f>
        <v>146.7</v>
      </c>
      <c r="E2136" s="6">
        <f>IFERROR(__xludf.DUMMYFUNCTION("""COMPUTED_VALUE"""),147.56)</f>
        <v>147.56</v>
      </c>
      <c r="F2136" s="7">
        <f>IFERROR(__xludf.DUMMYFUNCTION("""COMPUTED_VALUE"""),6023438.0)</f>
        <v>6023438</v>
      </c>
      <c r="G2136" s="7" t="str">
        <f>IFERROR(__xludf.DUMMYFUNCTION("""COMPUTED_VALUE"""),"IOC.NS")</f>
        <v>IOC.NS</v>
      </c>
      <c r="H2136" s="8">
        <f t="shared" si="1"/>
        <v>0.004082743604</v>
      </c>
      <c r="I2136" s="8">
        <f t="shared" si="2"/>
        <v>0.004082743604</v>
      </c>
      <c r="J2136" s="7" t="str">
        <f t="shared" si="3"/>
        <v>Jul-2025</v>
      </c>
      <c r="K2136" s="9">
        <f t="shared" si="4"/>
        <v>45839</v>
      </c>
      <c r="L2136" s="7" t="str">
        <f t="shared" si="5"/>
        <v/>
      </c>
      <c r="M2136" s="7" t="str">
        <f>IFERROR(__xludf.DUMMYFUNCTION("IFERROR(
  IF(
    F2136 &gt;
    3*AVERAGE(
       FILTER($F$2:$F10491,
         $G$2:$G10491=G2136,
         $A$2:$A10491&gt;=A2136-20,
         $A$2:$A10491&lt;=A2136
       )
    ),
    ""VOL_SPIKE_3X"",""""
  ),
"""")
"),"")</f>
        <v/>
      </c>
      <c r="N2136" s="7" t="str">
        <f t="shared" si="6"/>
        <v/>
      </c>
      <c r="O2136" s="7" t="str">
        <f t="shared" si="7"/>
        <v/>
      </c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>
      <c r="A2137" s="5">
        <f>IFERROR(__xludf.DUMMYFUNCTION("""COMPUTED_VALUE"""),45866.0)</f>
        <v>45866</v>
      </c>
      <c r="B2137" s="6">
        <f>IFERROR(__xludf.DUMMYFUNCTION("""COMPUTED_VALUE"""),333.45)</f>
        <v>333.45</v>
      </c>
      <c r="C2137" s="6">
        <f>IFERROR(__xludf.DUMMYFUNCTION("""COMPUTED_VALUE"""),336.6)</f>
        <v>336.6</v>
      </c>
      <c r="D2137" s="6">
        <f>IFERROR(__xludf.DUMMYFUNCTION("""COMPUTED_VALUE"""),330.35)</f>
        <v>330.35</v>
      </c>
      <c r="E2137" s="6">
        <f>IFERROR(__xludf.DUMMYFUNCTION("""COMPUTED_VALUE"""),332.95)</f>
        <v>332.95</v>
      </c>
      <c r="F2137" s="7">
        <f>IFERROR(__xludf.DUMMYFUNCTION("""COMPUTED_VALUE"""),4605823.0)</f>
        <v>4605823</v>
      </c>
      <c r="G2137" s="7" t="str">
        <f>IFERROR(__xludf.DUMMYFUNCTION("""COMPUTED_VALUE"""),"NTPC.NS")</f>
        <v>NTPC.NS</v>
      </c>
      <c r="H2137" s="8">
        <f t="shared" si="1"/>
        <v>-0.001499475184</v>
      </c>
      <c r="I2137" s="8">
        <f t="shared" si="2"/>
        <v>0.001499475184</v>
      </c>
      <c r="J2137" s="7" t="str">
        <f t="shared" si="3"/>
        <v>Jul-2025</v>
      </c>
      <c r="K2137" s="9">
        <f t="shared" si="4"/>
        <v>45839</v>
      </c>
      <c r="L2137" s="7" t="str">
        <f t="shared" si="5"/>
        <v/>
      </c>
      <c r="M2137" s="7" t="str">
        <f>IFERROR(__xludf.DUMMYFUNCTION("IFERROR(
  IF(
    F2137 &gt;
    3*AVERAGE(
       FILTER($F$2:$F10491,
         $G$2:$G10491=G2137,
         $A$2:$A10491&gt;=A2137-20,
         $A$2:$A10491&lt;=A2137
       )
    ),
    ""VOL_SPIKE_3X"",""""
  ),
"""")
"),"")</f>
        <v/>
      </c>
      <c r="N2137" s="7" t="str">
        <f t="shared" si="6"/>
        <v/>
      </c>
      <c r="O2137" s="7" t="str">
        <f t="shared" si="7"/>
        <v/>
      </c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>
      <c r="A2138" s="5">
        <f>IFERROR(__xludf.DUMMYFUNCTION("""COMPUTED_VALUE"""),45866.0)</f>
        <v>45866</v>
      </c>
      <c r="B2138" s="6">
        <f>IFERROR(__xludf.DUMMYFUNCTION("""COMPUTED_VALUE"""),240.29)</f>
        <v>240.29</v>
      </c>
      <c r="C2138" s="6">
        <f>IFERROR(__xludf.DUMMYFUNCTION("""COMPUTED_VALUE"""),241.56)</f>
        <v>241.56</v>
      </c>
      <c r="D2138" s="6">
        <f>IFERROR(__xludf.DUMMYFUNCTION("""COMPUTED_VALUE"""),237.8)</f>
        <v>237.8</v>
      </c>
      <c r="E2138" s="6">
        <f>IFERROR(__xludf.DUMMYFUNCTION("""COMPUTED_VALUE"""),240.02)</f>
        <v>240.02</v>
      </c>
      <c r="F2138" s="7">
        <f>IFERROR(__xludf.DUMMYFUNCTION("""COMPUTED_VALUE"""),6865890.0)</f>
        <v>6865890</v>
      </c>
      <c r="G2138" s="7" t="str">
        <f>IFERROR(__xludf.DUMMYFUNCTION("""COMPUTED_VALUE"""),"ONGC.NS")</f>
        <v>ONGC.NS</v>
      </c>
      <c r="H2138" s="8">
        <f t="shared" si="1"/>
        <v>-0.001123642266</v>
      </c>
      <c r="I2138" s="8">
        <f t="shared" si="2"/>
        <v>0.001123642266</v>
      </c>
      <c r="J2138" s="7" t="str">
        <f t="shared" si="3"/>
        <v>Jul-2025</v>
      </c>
      <c r="K2138" s="9">
        <f t="shared" si="4"/>
        <v>45839</v>
      </c>
      <c r="L2138" s="7" t="str">
        <f t="shared" si="5"/>
        <v/>
      </c>
      <c r="M2138" s="7" t="str">
        <f>IFERROR(__xludf.DUMMYFUNCTION("IFERROR(
  IF(
    F2138 &gt;
    3*AVERAGE(
       FILTER($F$2:$F10491,
         $G$2:$G10491=G2138,
         $A$2:$A10491&gt;=A2138-20,
         $A$2:$A10491&lt;=A2138
       )
    ),
    ""VOL_SPIKE_3X"",""""
  ),
"""")
"),"")</f>
        <v/>
      </c>
      <c r="N2138" s="7" t="str">
        <f t="shared" si="6"/>
        <v/>
      </c>
      <c r="O2138" s="7" t="str">
        <f t="shared" si="7"/>
        <v/>
      </c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>
      <c r="A2139" s="5">
        <f>IFERROR(__xludf.DUMMYFUNCTION("""COMPUTED_VALUE"""),45866.0)</f>
        <v>45866</v>
      </c>
      <c r="B2139" s="6">
        <f>IFERROR(__xludf.DUMMYFUNCTION("""COMPUTED_VALUE"""),292.0)</f>
        <v>292</v>
      </c>
      <c r="C2139" s="6">
        <f>IFERROR(__xludf.DUMMYFUNCTION("""COMPUTED_VALUE"""),295.25)</f>
        <v>295.25</v>
      </c>
      <c r="D2139" s="6">
        <f>IFERROR(__xludf.DUMMYFUNCTION("""COMPUTED_VALUE"""),290.75)</f>
        <v>290.75</v>
      </c>
      <c r="E2139" s="6">
        <f>IFERROR(__xludf.DUMMYFUNCTION("""COMPUTED_VALUE"""),291.9)</f>
        <v>291.9</v>
      </c>
      <c r="F2139" s="7">
        <f>IFERROR(__xludf.DUMMYFUNCTION("""COMPUTED_VALUE"""),7037396.0)</f>
        <v>7037396</v>
      </c>
      <c r="G2139" s="7" t="str">
        <f>IFERROR(__xludf.DUMMYFUNCTION("""COMPUTED_VALUE"""),"POWERGRID.NS")</f>
        <v>POWERGRID.NS</v>
      </c>
      <c r="H2139" s="8">
        <f t="shared" si="1"/>
        <v>-0.0003424657534</v>
      </c>
      <c r="I2139" s="8">
        <f t="shared" si="2"/>
        <v>0.0003424657534</v>
      </c>
      <c r="J2139" s="7" t="str">
        <f t="shared" si="3"/>
        <v>Jul-2025</v>
      </c>
      <c r="K2139" s="9">
        <f t="shared" si="4"/>
        <v>45839</v>
      </c>
      <c r="L2139" s="7" t="str">
        <f t="shared" si="5"/>
        <v/>
      </c>
      <c r="M2139" s="7" t="str">
        <f>IFERROR(__xludf.DUMMYFUNCTION("IFERROR(
  IF(
    F2139 &gt;
    3*AVERAGE(
       FILTER($F$2:$F10491,
         $G$2:$G10491=G2139,
         $A$2:$A10491&gt;=A2139-20,
         $A$2:$A10491&lt;=A2139
       )
    ),
    ""VOL_SPIKE_3X"",""""
  ),
"""")
"),"")</f>
        <v/>
      </c>
      <c r="N2139" s="7" t="str">
        <f t="shared" si="6"/>
        <v/>
      </c>
      <c r="O2139" s="7" t="str">
        <f t="shared" si="7"/>
        <v/>
      </c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>
      <c r="A2140" s="5">
        <f>IFERROR(__xludf.DUMMYFUNCTION("""COMPUTED_VALUE"""),45866.0)</f>
        <v>45866</v>
      </c>
      <c r="B2140" s="6">
        <f>IFERROR(__xludf.DUMMYFUNCTION("""COMPUTED_VALUE"""),1392.3)</f>
        <v>1392.3</v>
      </c>
      <c r="C2140" s="6">
        <f>IFERROR(__xludf.DUMMYFUNCTION("""COMPUTED_VALUE"""),1407.8)</f>
        <v>1407.8</v>
      </c>
      <c r="D2140" s="6">
        <f>IFERROR(__xludf.DUMMYFUNCTION("""COMPUTED_VALUE"""),1385.0)</f>
        <v>1385</v>
      </c>
      <c r="E2140" s="6">
        <f>IFERROR(__xludf.DUMMYFUNCTION("""COMPUTED_VALUE"""),1387.6)</f>
        <v>1387.6</v>
      </c>
      <c r="F2140" s="7">
        <f>IFERROR(__xludf.DUMMYFUNCTION("""COMPUTED_VALUE"""),7748361.0)</f>
        <v>7748361</v>
      </c>
      <c r="G2140" s="7" t="str">
        <f>IFERROR(__xludf.DUMMYFUNCTION("""COMPUTED_VALUE"""),"RELIANCE.NS")</f>
        <v>RELIANCE.NS</v>
      </c>
      <c r="H2140" s="8">
        <f t="shared" si="1"/>
        <v>-0.003375709258</v>
      </c>
      <c r="I2140" s="8">
        <f t="shared" si="2"/>
        <v>0.003375709258</v>
      </c>
      <c r="J2140" s="7" t="str">
        <f t="shared" si="3"/>
        <v>Jul-2025</v>
      </c>
      <c r="K2140" s="9">
        <f t="shared" si="4"/>
        <v>45839</v>
      </c>
      <c r="L2140" s="7" t="str">
        <f t="shared" si="5"/>
        <v/>
      </c>
      <c r="M2140" s="7" t="str">
        <f>IFERROR(__xludf.DUMMYFUNCTION("IFERROR(
  IF(
    F2140 &gt;
    3*AVERAGE(
       FILTER($F$2:$F10491,
         $G$2:$G10491=G2140,
         $A$2:$A10491&gt;=A2140-20,
         $A$2:$A10491&lt;=A2140
       )
    ),
    ""VOL_SPIKE_3X"",""""
  ),
"""")
"),"")</f>
        <v/>
      </c>
      <c r="N2140" s="7" t="str">
        <f t="shared" si="6"/>
        <v/>
      </c>
      <c r="O2140" s="7" t="str">
        <f t="shared" si="7"/>
        <v/>
      </c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>
      <c r="A2141" s="5">
        <f>IFERROR(__xludf.DUMMYFUNCTION("""COMPUTED_VALUE"""),45867.0)</f>
        <v>45867</v>
      </c>
      <c r="B2141" s="6">
        <f>IFERROR(__xludf.DUMMYFUNCTION("""COMPUTED_VALUE"""),819.0)</f>
        <v>819</v>
      </c>
      <c r="C2141" s="6">
        <f>IFERROR(__xludf.DUMMYFUNCTION("""COMPUTED_VALUE"""),830.55)</f>
        <v>830.55</v>
      </c>
      <c r="D2141" s="6">
        <f>IFERROR(__xludf.DUMMYFUNCTION("""COMPUTED_VALUE"""),800.35)</f>
        <v>800.35</v>
      </c>
      <c r="E2141" s="6">
        <f>IFERROR(__xludf.DUMMYFUNCTION("""COMPUTED_VALUE"""),826.95)</f>
        <v>826.95</v>
      </c>
      <c r="F2141" s="7">
        <f>IFERROR(__xludf.DUMMYFUNCTION("""COMPUTED_VALUE"""),1171033.0)</f>
        <v>1171033</v>
      </c>
      <c r="G2141" s="7" t="str">
        <f>IFERROR(__xludf.DUMMYFUNCTION("""COMPUTED_VALUE"""),"ADANIENSOL.NS")</f>
        <v>ADANIENSOL.NS</v>
      </c>
      <c r="H2141" s="8">
        <f t="shared" si="1"/>
        <v>0.009706959707</v>
      </c>
      <c r="I2141" s="8">
        <f t="shared" si="2"/>
        <v>0.009706959707</v>
      </c>
      <c r="J2141" s="7" t="str">
        <f t="shared" si="3"/>
        <v>Jul-2025</v>
      </c>
      <c r="K2141" s="9">
        <f t="shared" si="4"/>
        <v>45839</v>
      </c>
      <c r="L2141" s="7" t="str">
        <f t="shared" si="5"/>
        <v/>
      </c>
      <c r="M2141" s="7" t="str">
        <f>IFERROR(__xludf.DUMMYFUNCTION("IFERROR(
  IF(
    F2141 &gt;
    3*AVERAGE(
       FILTER($F$2:$F10491,
         $G$2:$G10491=G2141,
         $A$2:$A10491&gt;=A2141-20,
         $A$2:$A10491&lt;=A2141
       )
    ),
    ""VOL_SPIKE_3X"",""""
  ),
"""")
"),"")</f>
        <v/>
      </c>
      <c r="N2141" s="7" t="str">
        <f t="shared" si="6"/>
        <v/>
      </c>
      <c r="O2141" s="7" t="str">
        <f t="shared" si="7"/>
        <v/>
      </c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>
      <c r="A2142" s="5">
        <f>IFERROR(__xludf.DUMMYFUNCTION("""COMPUTED_VALUE"""),45867.0)</f>
        <v>45867</v>
      </c>
      <c r="B2142" s="6">
        <f>IFERROR(__xludf.DUMMYFUNCTION("""COMPUTED_VALUE"""),1007.0)</f>
        <v>1007</v>
      </c>
      <c r="C2142" s="6">
        <f>IFERROR(__xludf.DUMMYFUNCTION("""COMPUTED_VALUE"""),1022.9)</f>
        <v>1022.9</v>
      </c>
      <c r="D2142" s="6">
        <f>IFERROR(__xludf.DUMMYFUNCTION("""COMPUTED_VALUE"""),993.5)</f>
        <v>993.5</v>
      </c>
      <c r="E2142" s="6">
        <f>IFERROR(__xludf.DUMMYFUNCTION("""COMPUTED_VALUE"""),1015.6)</f>
        <v>1015.6</v>
      </c>
      <c r="F2142" s="7">
        <f>IFERROR(__xludf.DUMMYFUNCTION("""COMPUTED_VALUE"""),3489498.0)</f>
        <v>3489498</v>
      </c>
      <c r="G2142" s="7" t="str">
        <f>IFERROR(__xludf.DUMMYFUNCTION("""COMPUTED_VALUE"""),"ADANIGREEN.NS")</f>
        <v>ADANIGREEN.NS</v>
      </c>
      <c r="H2142" s="8">
        <f t="shared" si="1"/>
        <v>0.008540218471</v>
      </c>
      <c r="I2142" s="8">
        <f t="shared" si="2"/>
        <v>0.008540218471</v>
      </c>
      <c r="J2142" s="7" t="str">
        <f t="shared" si="3"/>
        <v>Jul-2025</v>
      </c>
      <c r="K2142" s="9">
        <f t="shared" si="4"/>
        <v>45839</v>
      </c>
      <c r="L2142" s="7" t="str">
        <f t="shared" si="5"/>
        <v/>
      </c>
      <c r="M2142" s="7" t="str">
        <f>IFERROR(__xludf.DUMMYFUNCTION("IFERROR(
  IF(
    F2142 &gt;
    3*AVERAGE(
       FILTER($F$2:$F10491,
         $G$2:$G10491=G2142,
         $A$2:$A10491&gt;=A2142-20,
         $A$2:$A10491&lt;=A2142
       )
    ),
    ""VOL_SPIKE_3X"",""""
  ),
"""")
"),"")</f>
        <v/>
      </c>
      <c r="N2142" s="7" t="str">
        <f t="shared" si="6"/>
        <v/>
      </c>
      <c r="O2142" s="7" t="str">
        <f t="shared" si="7"/>
        <v/>
      </c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>
      <c r="A2143" s="5">
        <f>IFERROR(__xludf.DUMMYFUNCTION("""COMPUTED_VALUE"""),45867.0)</f>
        <v>45867</v>
      </c>
      <c r="B2143" s="6">
        <f>IFERROR(__xludf.DUMMYFUNCTION("""COMPUTED_VALUE"""),336.0)</f>
        <v>336</v>
      </c>
      <c r="C2143" s="6">
        <f>IFERROR(__xludf.DUMMYFUNCTION("""COMPUTED_VALUE"""),337.3)</f>
        <v>337.3</v>
      </c>
      <c r="D2143" s="6">
        <f>IFERROR(__xludf.DUMMYFUNCTION("""COMPUTED_VALUE"""),333.2)</f>
        <v>333.2</v>
      </c>
      <c r="E2143" s="6">
        <f>IFERROR(__xludf.DUMMYFUNCTION("""COMPUTED_VALUE"""),334.95)</f>
        <v>334.95</v>
      </c>
      <c r="F2143" s="7">
        <f>IFERROR(__xludf.DUMMYFUNCTION("""COMPUTED_VALUE"""),7809814.0)</f>
        <v>7809814</v>
      </c>
      <c r="G2143" s="7" t="str">
        <f>IFERROR(__xludf.DUMMYFUNCTION("""COMPUTED_VALUE"""),"BPCL.NS")</f>
        <v>BPCL.NS</v>
      </c>
      <c r="H2143" s="8">
        <f t="shared" si="1"/>
        <v>-0.003125</v>
      </c>
      <c r="I2143" s="8">
        <f t="shared" si="2"/>
        <v>0.003125</v>
      </c>
      <c r="J2143" s="7" t="str">
        <f t="shared" si="3"/>
        <v>Jul-2025</v>
      </c>
      <c r="K2143" s="9">
        <f t="shared" si="4"/>
        <v>45839</v>
      </c>
      <c r="L2143" s="7" t="str">
        <f t="shared" si="5"/>
        <v/>
      </c>
      <c r="M2143" s="7" t="str">
        <f>IFERROR(__xludf.DUMMYFUNCTION("IFERROR(
  IF(
    F2143 &gt;
    3*AVERAGE(
       FILTER($F$2:$F10491,
         $G$2:$G10491=G2143,
         $A$2:$A10491&gt;=A2143-20,
         $A$2:$A10491&lt;=A2143
       )
    ),
    ""VOL_SPIKE_3X"",""""
  ),
"""")
"),"")</f>
        <v/>
      </c>
      <c r="N2143" s="7" t="str">
        <f t="shared" si="6"/>
        <v/>
      </c>
      <c r="O2143" s="7" t="str">
        <f t="shared" si="7"/>
        <v/>
      </c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>
      <c r="A2144" s="5">
        <f>IFERROR(__xludf.DUMMYFUNCTION("""COMPUTED_VALUE"""),45867.0)</f>
        <v>45867</v>
      </c>
      <c r="B2144" s="6">
        <f>IFERROR(__xludf.DUMMYFUNCTION("""COMPUTED_VALUE"""),376.95)</f>
        <v>376.95</v>
      </c>
      <c r="C2144" s="6">
        <f>IFERROR(__xludf.DUMMYFUNCTION("""COMPUTED_VALUE"""),384.25)</f>
        <v>384.25</v>
      </c>
      <c r="D2144" s="6">
        <f>IFERROR(__xludf.DUMMYFUNCTION("""COMPUTED_VALUE"""),376.95)</f>
        <v>376.95</v>
      </c>
      <c r="E2144" s="6">
        <f>IFERROR(__xludf.DUMMYFUNCTION("""COMPUTED_VALUE"""),383.65)</f>
        <v>383.65</v>
      </c>
      <c r="F2144" s="7">
        <f>IFERROR(__xludf.DUMMYFUNCTION("""COMPUTED_VALUE"""),4872086.0)</f>
        <v>4872086</v>
      </c>
      <c r="G2144" s="7" t="str">
        <f>IFERROR(__xludf.DUMMYFUNCTION("""COMPUTED_VALUE"""),"COALINDIA.NS")</f>
        <v>COALINDIA.NS</v>
      </c>
      <c r="H2144" s="8">
        <f t="shared" si="1"/>
        <v>0.01777424062</v>
      </c>
      <c r="I2144" s="8">
        <f t="shared" si="2"/>
        <v>0.01777424062</v>
      </c>
      <c r="J2144" s="7" t="str">
        <f t="shared" si="3"/>
        <v>Jul-2025</v>
      </c>
      <c r="K2144" s="9">
        <f t="shared" si="4"/>
        <v>45839</v>
      </c>
      <c r="L2144" s="7" t="str">
        <f t="shared" si="5"/>
        <v/>
      </c>
      <c r="M2144" s="7" t="str">
        <f>IFERROR(__xludf.DUMMYFUNCTION("IFERROR(
  IF(
    F2144 &gt;
    3*AVERAGE(
       FILTER($F$2:$F10491,
         $G$2:$G10491=G2144,
         $A$2:$A10491&gt;=A2144-20,
         $A$2:$A10491&lt;=A2144
       )
    ),
    ""VOL_SPIKE_3X"",""""
  ),
"""")
"),"")</f>
        <v/>
      </c>
      <c r="N2144" s="7" t="str">
        <f t="shared" si="6"/>
        <v/>
      </c>
      <c r="O2144" s="7" t="str">
        <f t="shared" si="7"/>
        <v/>
      </c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>
      <c r="A2145" s="5">
        <f>IFERROR(__xludf.DUMMYFUNCTION("""COMPUTED_VALUE"""),45867.0)</f>
        <v>45867</v>
      </c>
      <c r="B2145" s="6">
        <f>IFERROR(__xludf.DUMMYFUNCTION("""COMPUTED_VALUE"""),421.5)</f>
        <v>421.5</v>
      </c>
      <c r="C2145" s="6">
        <f>IFERROR(__xludf.DUMMYFUNCTION("""COMPUTED_VALUE"""),426.6)</f>
        <v>426.6</v>
      </c>
      <c r="D2145" s="6">
        <f>IFERROR(__xludf.DUMMYFUNCTION("""COMPUTED_VALUE"""),419.45)</f>
        <v>419.45</v>
      </c>
      <c r="E2145" s="6">
        <f>IFERROR(__xludf.DUMMYFUNCTION("""COMPUTED_VALUE"""),425.8)</f>
        <v>425.8</v>
      </c>
      <c r="F2145" s="7">
        <f>IFERROR(__xludf.DUMMYFUNCTION("""COMPUTED_VALUE"""),4743610.0)</f>
        <v>4743610</v>
      </c>
      <c r="G2145" s="7" t="str">
        <f>IFERROR(__xludf.DUMMYFUNCTION("""COMPUTED_VALUE"""),"HINDPETRO.NS")</f>
        <v>HINDPETRO.NS</v>
      </c>
      <c r="H2145" s="8">
        <f t="shared" si="1"/>
        <v>0.01020166074</v>
      </c>
      <c r="I2145" s="8">
        <f t="shared" si="2"/>
        <v>0.01020166074</v>
      </c>
      <c r="J2145" s="7" t="str">
        <f t="shared" si="3"/>
        <v>Jul-2025</v>
      </c>
      <c r="K2145" s="9">
        <f t="shared" si="4"/>
        <v>45839</v>
      </c>
      <c r="L2145" s="7" t="str">
        <f t="shared" si="5"/>
        <v/>
      </c>
      <c r="M2145" s="7" t="str">
        <f>IFERROR(__xludf.DUMMYFUNCTION("IFERROR(
  IF(
    F2145 &gt;
    3*AVERAGE(
       FILTER($F$2:$F10491,
         $G$2:$G10491=G2145,
         $A$2:$A10491&gt;=A2145-20,
         $A$2:$A10491&lt;=A2145
       )
    ),
    ""VOL_SPIKE_3X"",""""
  ),
"""")
"),"")</f>
        <v/>
      </c>
      <c r="N2145" s="7" t="str">
        <f t="shared" si="6"/>
        <v/>
      </c>
      <c r="O2145" s="7" t="str">
        <f t="shared" si="7"/>
        <v/>
      </c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>
      <c r="A2146" s="5">
        <f>IFERROR(__xludf.DUMMYFUNCTION("""COMPUTED_VALUE"""),45867.0)</f>
        <v>45867</v>
      </c>
      <c r="B2146" s="6">
        <f>IFERROR(__xludf.DUMMYFUNCTION("""COMPUTED_VALUE"""),146.5)</f>
        <v>146.5</v>
      </c>
      <c r="C2146" s="6">
        <f>IFERROR(__xludf.DUMMYFUNCTION("""COMPUTED_VALUE"""),148.2)</f>
        <v>148.2</v>
      </c>
      <c r="D2146" s="6">
        <f>IFERROR(__xludf.DUMMYFUNCTION("""COMPUTED_VALUE"""),146.5)</f>
        <v>146.5</v>
      </c>
      <c r="E2146" s="6">
        <f>IFERROR(__xludf.DUMMYFUNCTION("""COMPUTED_VALUE"""),147.94)</f>
        <v>147.94</v>
      </c>
      <c r="F2146" s="7">
        <f>IFERROR(__xludf.DUMMYFUNCTION("""COMPUTED_VALUE"""),4240012.0)</f>
        <v>4240012</v>
      </c>
      <c r="G2146" s="7" t="str">
        <f>IFERROR(__xludf.DUMMYFUNCTION("""COMPUTED_VALUE"""),"IOC.NS")</f>
        <v>IOC.NS</v>
      </c>
      <c r="H2146" s="8">
        <f t="shared" si="1"/>
        <v>0.009829351536</v>
      </c>
      <c r="I2146" s="8">
        <f t="shared" si="2"/>
        <v>0.009829351536</v>
      </c>
      <c r="J2146" s="7" t="str">
        <f t="shared" si="3"/>
        <v>Jul-2025</v>
      </c>
      <c r="K2146" s="9">
        <f t="shared" si="4"/>
        <v>45839</v>
      </c>
      <c r="L2146" s="7" t="str">
        <f t="shared" si="5"/>
        <v/>
      </c>
      <c r="M2146" s="7" t="str">
        <f>IFERROR(__xludf.DUMMYFUNCTION("IFERROR(
  IF(
    F2146 &gt;
    3*AVERAGE(
       FILTER($F$2:$F10491,
         $G$2:$G10491=G2146,
         $A$2:$A10491&gt;=A2146-20,
         $A$2:$A10491&lt;=A2146
       )
    ),
    ""VOL_SPIKE_3X"",""""
  ),
"""")
"),"")</f>
        <v/>
      </c>
      <c r="N2146" s="7" t="str">
        <f t="shared" si="6"/>
        <v/>
      </c>
      <c r="O2146" s="7" t="str">
        <f t="shared" si="7"/>
        <v/>
      </c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>
      <c r="A2147" s="5">
        <f>IFERROR(__xludf.DUMMYFUNCTION("""COMPUTED_VALUE"""),45867.0)</f>
        <v>45867</v>
      </c>
      <c r="B2147" s="6">
        <f>IFERROR(__xludf.DUMMYFUNCTION("""COMPUTED_VALUE"""),332.0)</f>
        <v>332</v>
      </c>
      <c r="C2147" s="6">
        <f>IFERROR(__xludf.DUMMYFUNCTION("""COMPUTED_VALUE"""),335.5)</f>
        <v>335.5</v>
      </c>
      <c r="D2147" s="6">
        <f>IFERROR(__xludf.DUMMYFUNCTION("""COMPUTED_VALUE"""),328.5)</f>
        <v>328.5</v>
      </c>
      <c r="E2147" s="6">
        <f>IFERROR(__xludf.DUMMYFUNCTION("""COMPUTED_VALUE"""),334.6)</f>
        <v>334.6</v>
      </c>
      <c r="F2147" s="7">
        <f>IFERROR(__xludf.DUMMYFUNCTION("""COMPUTED_VALUE"""),7551356.0)</f>
        <v>7551356</v>
      </c>
      <c r="G2147" s="7" t="str">
        <f>IFERROR(__xludf.DUMMYFUNCTION("""COMPUTED_VALUE"""),"NTPC.NS")</f>
        <v>NTPC.NS</v>
      </c>
      <c r="H2147" s="8">
        <f t="shared" si="1"/>
        <v>0.007831325301</v>
      </c>
      <c r="I2147" s="8">
        <f t="shared" si="2"/>
        <v>0.007831325301</v>
      </c>
      <c r="J2147" s="7" t="str">
        <f t="shared" si="3"/>
        <v>Jul-2025</v>
      </c>
      <c r="K2147" s="9">
        <f t="shared" si="4"/>
        <v>45839</v>
      </c>
      <c r="L2147" s="7" t="str">
        <f t="shared" si="5"/>
        <v/>
      </c>
      <c r="M2147" s="7" t="str">
        <f>IFERROR(__xludf.DUMMYFUNCTION("IFERROR(
  IF(
    F2147 &gt;
    3*AVERAGE(
       FILTER($F$2:$F10491,
         $G$2:$G10491=G2147,
         $A$2:$A10491&gt;=A2147-20,
         $A$2:$A10491&lt;=A2147
       )
    ),
    ""VOL_SPIKE_3X"",""""
  ),
"""")
"),"")</f>
        <v/>
      </c>
      <c r="N2147" s="7" t="str">
        <f t="shared" si="6"/>
        <v/>
      </c>
      <c r="O2147" s="7" t="str">
        <f t="shared" si="7"/>
        <v/>
      </c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>
      <c r="A2148" s="5">
        <f>IFERROR(__xludf.DUMMYFUNCTION("""COMPUTED_VALUE"""),45867.0)</f>
        <v>45867</v>
      </c>
      <c r="B2148" s="6">
        <f>IFERROR(__xludf.DUMMYFUNCTION("""COMPUTED_VALUE"""),240.02)</f>
        <v>240.02</v>
      </c>
      <c r="C2148" s="6">
        <f>IFERROR(__xludf.DUMMYFUNCTION("""COMPUTED_VALUE"""),242.51)</f>
        <v>242.51</v>
      </c>
      <c r="D2148" s="6">
        <f>IFERROR(__xludf.DUMMYFUNCTION("""COMPUTED_VALUE"""),239.82)</f>
        <v>239.82</v>
      </c>
      <c r="E2148" s="6">
        <f>IFERROR(__xludf.DUMMYFUNCTION("""COMPUTED_VALUE"""),241.44)</f>
        <v>241.44</v>
      </c>
      <c r="F2148" s="7">
        <f>IFERROR(__xludf.DUMMYFUNCTION("""COMPUTED_VALUE"""),6157824.0)</f>
        <v>6157824</v>
      </c>
      <c r="G2148" s="7" t="str">
        <f>IFERROR(__xludf.DUMMYFUNCTION("""COMPUTED_VALUE"""),"ONGC.NS")</f>
        <v>ONGC.NS</v>
      </c>
      <c r="H2148" s="8">
        <f t="shared" si="1"/>
        <v>0.005916173652</v>
      </c>
      <c r="I2148" s="8">
        <f t="shared" si="2"/>
        <v>0.005916173652</v>
      </c>
      <c r="J2148" s="7" t="str">
        <f t="shared" si="3"/>
        <v>Jul-2025</v>
      </c>
      <c r="K2148" s="9">
        <f t="shared" si="4"/>
        <v>45839</v>
      </c>
      <c r="L2148" s="7" t="str">
        <f t="shared" si="5"/>
        <v/>
      </c>
      <c r="M2148" s="7" t="str">
        <f>IFERROR(__xludf.DUMMYFUNCTION("IFERROR(
  IF(
    F2148 &gt;
    3*AVERAGE(
       FILTER($F$2:$F10491,
         $G$2:$G10491=G2148,
         $A$2:$A10491&gt;=A2148-20,
         $A$2:$A10491&lt;=A2148
       )
    ),
    ""VOL_SPIKE_3X"",""""
  ),
"""")
"),"")</f>
        <v/>
      </c>
      <c r="N2148" s="7" t="str">
        <f t="shared" si="6"/>
        <v/>
      </c>
      <c r="O2148" s="7" t="str">
        <f t="shared" si="7"/>
        <v/>
      </c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>
      <c r="A2149" s="5">
        <f>IFERROR(__xludf.DUMMYFUNCTION("""COMPUTED_VALUE"""),45867.0)</f>
        <v>45867</v>
      </c>
      <c r="B2149" s="6">
        <f>IFERROR(__xludf.DUMMYFUNCTION("""COMPUTED_VALUE"""),290.5)</f>
        <v>290.5</v>
      </c>
      <c r="C2149" s="6">
        <f>IFERROR(__xludf.DUMMYFUNCTION("""COMPUTED_VALUE"""),293.9)</f>
        <v>293.9</v>
      </c>
      <c r="D2149" s="6">
        <f>IFERROR(__xludf.DUMMYFUNCTION("""COMPUTED_VALUE"""),289.8)</f>
        <v>289.8</v>
      </c>
      <c r="E2149" s="6">
        <f>IFERROR(__xludf.DUMMYFUNCTION("""COMPUTED_VALUE"""),293.1)</f>
        <v>293.1</v>
      </c>
      <c r="F2149" s="7">
        <f>IFERROR(__xludf.DUMMYFUNCTION("""COMPUTED_VALUE"""),6586034.0)</f>
        <v>6586034</v>
      </c>
      <c r="G2149" s="7" t="str">
        <f>IFERROR(__xludf.DUMMYFUNCTION("""COMPUTED_VALUE"""),"POWERGRID.NS")</f>
        <v>POWERGRID.NS</v>
      </c>
      <c r="H2149" s="8">
        <f t="shared" si="1"/>
        <v>0.008950086059</v>
      </c>
      <c r="I2149" s="8">
        <f t="shared" si="2"/>
        <v>0.008950086059</v>
      </c>
      <c r="J2149" s="7" t="str">
        <f t="shared" si="3"/>
        <v>Jul-2025</v>
      </c>
      <c r="K2149" s="9">
        <f t="shared" si="4"/>
        <v>45839</v>
      </c>
      <c r="L2149" s="7" t="str">
        <f t="shared" si="5"/>
        <v/>
      </c>
      <c r="M2149" s="7" t="str">
        <f>IFERROR(__xludf.DUMMYFUNCTION("IFERROR(
  IF(
    F2149 &gt;
    3*AVERAGE(
       FILTER($F$2:$F10491,
         $G$2:$G10491=G2149,
         $A$2:$A10491&gt;=A2149-20,
         $A$2:$A10491&lt;=A2149
       )
    ),
    ""VOL_SPIKE_3X"",""""
  ),
"""")
"),"")</f>
        <v/>
      </c>
      <c r="N2149" s="7" t="str">
        <f t="shared" si="6"/>
        <v/>
      </c>
      <c r="O2149" s="7" t="str">
        <f t="shared" si="7"/>
        <v/>
      </c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>
      <c r="A2150" s="5">
        <f>IFERROR(__xludf.DUMMYFUNCTION("""COMPUTED_VALUE"""),45867.0)</f>
        <v>45867</v>
      </c>
      <c r="B2150" s="6">
        <f>IFERROR(__xludf.DUMMYFUNCTION("""COMPUTED_VALUE"""),1383.0)</f>
        <v>1383</v>
      </c>
      <c r="C2150" s="6">
        <f>IFERROR(__xludf.DUMMYFUNCTION("""COMPUTED_VALUE"""),1420.2)</f>
        <v>1420.2</v>
      </c>
      <c r="D2150" s="6">
        <f>IFERROR(__xludf.DUMMYFUNCTION("""COMPUTED_VALUE"""),1383.0)</f>
        <v>1383</v>
      </c>
      <c r="E2150" s="6">
        <f>IFERROR(__xludf.DUMMYFUNCTION("""COMPUTED_VALUE"""),1417.1)</f>
        <v>1417.1</v>
      </c>
      <c r="F2150" s="7">
        <f>IFERROR(__xludf.DUMMYFUNCTION("""COMPUTED_VALUE"""),1.0750072E7)</f>
        <v>10750072</v>
      </c>
      <c r="G2150" s="7" t="str">
        <f>IFERROR(__xludf.DUMMYFUNCTION("""COMPUTED_VALUE"""),"RELIANCE.NS")</f>
        <v>RELIANCE.NS</v>
      </c>
      <c r="H2150" s="8">
        <f t="shared" si="1"/>
        <v>0.02465654375</v>
      </c>
      <c r="I2150" s="8">
        <f t="shared" si="2"/>
        <v>0.02465654375</v>
      </c>
      <c r="J2150" s="7" t="str">
        <f t="shared" si="3"/>
        <v>Jul-2025</v>
      </c>
      <c r="K2150" s="9">
        <f t="shared" si="4"/>
        <v>45839</v>
      </c>
      <c r="L2150" s="7" t="str">
        <f t="shared" si="5"/>
        <v/>
      </c>
      <c r="M2150" s="7" t="str">
        <f>IFERROR(__xludf.DUMMYFUNCTION("IFERROR(
  IF(
    F2150 &gt;
    3*AVERAGE(
       FILTER($F$2:$F10491,
         $G$2:$G10491=G2150,
         $A$2:$A10491&gt;=A2150-20,
         $A$2:$A10491&lt;=A2150
       )
    ),
    ""VOL_SPIKE_3X"",""""
  ),
"""")
"),"")</f>
        <v/>
      </c>
      <c r="N2150" s="7" t="str">
        <f t="shared" si="6"/>
        <v/>
      </c>
      <c r="O2150" s="7" t="str">
        <f t="shared" si="7"/>
        <v/>
      </c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>
      <c r="A2151" s="5">
        <f>IFERROR(__xludf.DUMMYFUNCTION("""COMPUTED_VALUE"""),45868.0)</f>
        <v>45868</v>
      </c>
      <c r="B2151" s="6">
        <f>IFERROR(__xludf.DUMMYFUNCTION("""COMPUTED_VALUE"""),834.0)</f>
        <v>834</v>
      </c>
      <c r="C2151" s="6">
        <f>IFERROR(__xludf.DUMMYFUNCTION("""COMPUTED_VALUE"""),834.0)</f>
        <v>834</v>
      </c>
      <c r="D2151" s="6">
        <f>IFERROR(__xludf.DUMMYFUNCTION("""COMPUTED_VALUE"""),821.65)</f>
        <v>821.65</v>
      </c>
      <c r="E2151" s="6">
        <f>IFERROR(__xludf.DUMMYFUNCTION("""COMPUTED_VALUE"""),823.9)</f>
        <v>823.9</v>
      </c>
      <c r="F2151" s="7">
        <f>IFERROR(__xludf.DUMMYFUNCTION("""COMPUTED_VALUE"""),438934.0)</f>
        <v>438934</v>
      </c>
      <c r="G2151" s="7" t="str">
        <f>IFERROR(__xludf.DUMMYFUNCTION("""COMPUTED_VALUE"""),"ADANIENSOL.NS")</f>
        <v>ADANIENSOL.NS</v>
      </c>
      <c r="H2151" s="8">
        <f t="shared" si="1"/>
        <v>-0.01211031175</v>
      </c>
      <c r="I2151" s="8">
        <f t="shared" si="2"/>
        <v>0.01211031175</v>
      </c>
      <c r="J2151" s="7" t="str">
        <f t="shared" si="3"/>
        <v>Jul-2025</v>
      </c>
      <c r="K2151" s="9">
        <f t="shared" si="4"/>
        <v>45839</v>
      </c>
      <c r="L2151" s="7" t="str">
        <f t="shared" si="5"/>
        <v/>
      </c>
      <c r="M2151" s="7" t="str">
        <f>IFERROR(__xludf.DUMMYFUNCTION("IFERROR(
  IF(
    F2151 &gt;
    3*AVERAGE(
       FILTER($F$2:$F10491,
         $G$2:$G10491=G2151,
         $A$2:$A10491&gt;=A2151-20,
         $A$2:$A10491&lt;=A2151
       )
    ),
    ""VOL_SPIKE_3X"",""""
  ),
"""")
"),"")</f>
        <v/>
      </c>
      <c r="N2151" s="7" t="str">
        <f t="shared" si="6"/>
        <v/>
      </c>
      <c r="O2151" s="7" t="str">
        <f t="shared" si="7"/>
        <v/>
      </c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>
      <c r="A2152" s="5">
        <f>IFERROR(__xludf.DUMMYFUNCTION("""COMPUTED_VALUE"""),45868.0)</f>
        <v>45868</v>
      </c>
      <c r="B2152" s="6">
        <f>IFERROR(__xludf.DUMMYFUNCTION("""COMPUTED_VALUE"""),1020.0)</f>
        <v>1020</v>
      </c>
      <c r="C2152" s="6">
        <f>IFERROR(__xludf.DUMMYFUNCTION("""COMPUTED_VALUE"""),1024.5)</f>
        <v>1024.5</v>
      </c>
      <c r="D2152" s="6">
        <f>IFERROR(__xludf.DUMMYFUNCTION("""COMPUTED_VALUE"""),1007.0)</f>
        <v>1007</v>
      </c>
      <c r="E2152" s="6">
        <f>IFERROR(__xludf.DUMMYFUNCTION("""COMPUTED_VALUE"""),1009.7)</f>
        <v>1009.7</v>
      </c>
      <c r="F2152" s="7">
        <f>IFERROR(__xludf.DUMMYFUNCTION("""COMPUTED_VALUE"""),1365437.0)</f>
        <v>1365437</v>
      </c>
      <c r="G2152" s="7" t="str">
        <f>IFERROR(__xludf.DUMMYFUNCTION("""COMPUTED_VALUE"""),"ADANIGREEN.NS")</f>
        <v>ADANIGREEN.NS</v>
      </c>
      <c r="H2152" s="8">
        <f t="shared" si="1"/>
        <v>-0.01009803922</v>
      </c>
      <c r="I2152" s="8">
        <f t="shared" si="2"/>
        <v>0.01009803922</v>
      </c>
      <c r="J2152" s="7" t="str">
        <f t="shared" si="3"/>
        <v>Jul-2025</v>
      </c>
      <c r="K2152" s="9">
        <f t="shared" si="4"/>
        <v>45839</v>
      </c>
      <c r="L2152" s="7" t="str">
        <f t="shared" si="5"/>
        <v/>
      </c>
      <c r="M2152" s="7" t="str">
        <f>IFERROR(__xludf.DUMMYFUNCTION("IFERROR(
  IF(
    F2152 &gt;
    3*AVERAGE(
       FILTER($F$2:$F10491,
         $G$2:$G10491=G2152,
         $A$2:$A10491&gt;=A2152-20,
         $A$2:$A10491&lt;=A2152
       )
    ),
    ""VOL_SPIKE_3X"",""""
  ),
"""")
"),"")</f>
        <v/>
      </c>
      <c r="N2152" s="7" t="str">
        <f t="shared" si="6"/>
        <v/>
      </c>
      <c r="O2152" s="7" t="str">
        <f t="shared" si="7"/>
        <v/>
      </c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>
      <c r="A2153" s="5">
        <f>IFERROR(__xludf.DUMMYFUNCTION("""COMPUTED_VALUE"""),45868.0)</f>
        <v>45868</v>
      </c>
      <c r="B2153" s="6">
        <f>IFERROR(__xludf.DUMMYFUNCTION("""COMPUTED_VALUE"""),334.0)</f>
        <v>334</v>
      </c>
      <c r="C2153" s="6">
        <f>IFERROR(__xludf.DUMMYFUNCTION("""COMPUTED_VALUE"""),343.55)</f>
        <v>343.55</v>
      </c>
      <c r="D2153" s="6">
        <f>IFERROR(__xludf.DUMMYFUNCTION("""COMPUTED_VALUE"""),330.0)</f>
        <v>330</v>
      </c>
      <c r="E2153" s="6">
        <f>IFERROR(__xludf.DUMMYFUNCTION("""COMPUTED_VALUE"""),337.05)</f>
        <v>337.05</v>
      </c>
      <c r="F2153" s="7">
        <f>IFERROR(__xludf.DUMMYFUNCTION("""COMPUTED_VALUE"""),1.136601E7)</f>
        <v>11366010</v>
      </c>
      <c r="G2153" s="7" t="str">
        <f>IFERROR(__xludf.DUMMYFUNCTION("""COMPUTED_VALUE"""),"BPCL.NS")</f>
        <v>BPCL.NS</v>
      </c>
      <c r="H2153" s="8">
        <f t="shared" si="1"/>
        <v>0.009131736527</v>
      </c>
      <c r="I2153" s="8">
        <f t="shared" si="2"/>
        <v>0.009131736527</v>
      </c>
      <c r="J2153" s="7" t="str">
        <f t="shared" si="3"/>
        <v>Jul-2025</v>
      </c>
      <c r="K2153" s="9">
        <f t="shared" si="4"/>
        <v>45839</v>
      </c>
      <c r="L2153" s="7" t="str">
        <f t="shared" si="5"/>
        <v/>
      </c>
      <c r="M2153" s="7" t="str">
        <f>IFERROR(__xludf.DUMMYFUNCTION("IFERROR(
  IF(
    F2153 &gt;
    3*AVERAGE(
       FILTER($F$2:$F10491,
         $G$2:$G10491=G2153,
         $A$2:$A10491&gt;=A2153-20,
         $A$2:$A10491&lt;=A2153
       )
    ),
    ""VOL_SPIKE_3X"",""""
  ),
"""")
"),"")</f>
        <v/>
      </c>
      <c r="N2153" s="7" t="str">
        <f t="shared" si="6"/>
        <v/>
      </c>
      <c r="O2153" s="7" t="str">
        <f t="shared" si="7"/>
        <v/>
      </c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>
      <c r="A2154" s="5">
        <f>IFERROR(__xludf.DUMMYFUNCTION("""COMPUTED_VALUE"""),45868.0)</f>
        <v>45868</v>
      </c>
      <c r="B2154" s="6">
        <f>IFERROR(__xludf.DUMMYFUNCTION("""COMPUTED_VALUE"""),384.0)</f>
        <v>384</v>
      </c>
      <c r="C2154" s="6">
        <f>IFERROR(__xludf.DUMMYFUNCTION("""COMPUTED_VALUE"""),384.05)</f>
        <v>384.05</v>
      </c>
      <c r="D2154" s="6">
        <f>IFERROR(__xludf.DUMMYFUNCTION("""COMPUTED_VALUE"""),379.05)</f>
        <v>379.05</v>
      </c>
      <c r="E2154" s="6">
        <f>IFERROR(__xludf.DUMMYFUNCTION("""COMPUTED_VALUE"""),379.9)</f>
        <v>379.9</v>
      </c>
      <c r="F2154" s="7">
        <f>IFERROR(__xludf.DUMMYFUNCTION("""COMPUTED_VALUE"""),5107774.0)</f>
        <v>5107774</v>
      </c>
      <c r="G2154" s="7" t="str">
        <f>IFERROR(__xludf.DUMMYFUNCTION("""COMPUTED_VALUE"""),"COALINDIA.NS")</f>
        <v>COALINDIA.NS</v>
      </c>
      <c r="H2154" s="8">
        <f t="shared" si="1"/>
        <v>-0.01067708333</v>
      </c>
      <c r="I2154" s="8">
        <f t="shared" si="2"/>
        <v>0.01067708333</v>
      </c>
      <c r="J2154" s="7" t="str">
        <f t="shared" si="3"/>
        <v>Jul-2025</v>
      </c>
      <c r="K2154" s="9">
        <f t="shared" si="4"/>
        <v>45839</v>
      </c>
      <c r="L2154" s="7" t="str">
        <f t="shared" si="5"/>
        <v/>
      </c>
      <c r="M2154" s="7" t="str">
        <f>IFERROR(__xludf.DUMMYFUNCTION("IFERROR(
  IF(
    F2154 &gt;
    3*AVERAGE(
       FILTER($F$2:$F10491,
         $G$2:$G10491=G2154,
         $A$2:$A10491&gt;=A2154-20,
         $A$2:$A10491&lt;=A2154
       )
    ),
    ""VOL_SPIKE_3X"",""""
  ),
"""")
"),"")</f>
        <v/>
      </c>
      <c r="N2154" s="7" t="str">
        <f t="shared" si="6"/>
        <v/>
      </c>
      <c r="O2154" s="7" t="str">
        <f t="shared" si="7"/>
        <v/>
      </c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>
      <c r="A2155" s="5">
        <f>IFERROR(__xludf.DUMMYFUNCTION("""COMPUTED_VALUE"""),45868.0)</f>
        <v>45868</v>
      </c>
      <c r="B2155" s="6">
        <f>IFERROR(__xludf.DUMMYFUNCTION("""COMPUTED_VALUE"""),424.0)</f>
        <v>424</v>
      </c>
      <c r="C2155" s="6">
        <f>IFERROR(__xludf.DUMMYFUNCTION("""COMPUTED_VALUE"""),435.9)</f>
        <v>435.9</v>
      </c>
      <c r="D2155" s="6">
        <f>IFERROR(__xludf.DUMMYFUNCTION("""COMPUTED_VALUE"""),416.0)</f>
        <v>416</v>
      </c>
      <c r="E2155" s="6">
        <f>IFERROR(__xludf.DUMMYFUNCTION("""COMPUTED_VALUE"""),426.25)</f>
        <v>426.25</v>
      </c>
      <c r="F2155" s="7">
        <f>IFERROR(__xludf.DUMMYFUNCTION("""COMPUTED_VALUE"""),6890461.0)</f>
        <v>6890461</v>
      </c>
      <c r="G2155" s="7" t="str">
        <f>IFERROR(__xludf.DUMMYFUNCTION("""COMPUTED_VALUE"""),"HINDPETRO.NS")</f>
        <v>HINDPETRO.NS</v>
      </c>
      <c r="H2155" s="8">
        <f t="shared" si="1"/>
        <v>0.005306603774</v>
      </c>
      <c r="I2155" s="8">
        <f t="shared" si="2"/>
        <v>0.005306603774</v>
      </c>
      <c r="J2155" s="7" t="str">
        <f t="shared" si="3"/>
        <v>Jul-2025</v>
      </c>
      <c r="K2155" s="9">
        <f t="shared" si="4"/>
        <v>45839</v>
      </c>
      <c r="L2155" s="7" t="str">
        <f t="shared" si="5"/>
        <v/>
      </c>
      <c r="M2155" s="7" t="str">
        <f>IFERROR(__xludf.DUMMYFUNCTION("IFERROR(
  IF(
    F2155 &gt;
    3*AVERAGE(
       FILTER($F$2:$F10491,
         $G$2:$G10491=G2155,
         $A$2:$A10491&gt;=A2155-20,
         $A$2:$A10491&lt;=A2155
       )
    ),
    ""VOL_SPIKE_3X"",""""
  ),
"""")
"),"")</f>
        <v/>
      </c>
      <c r="N2155" s="7" t="str">
        <f t="shared" si="6"/>
        <v/>
      </c>
      <c r="O2155" s="7" t="str">
        <f t="shared" si="7"/>
        <v/>
      </c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>
      <c r="A2156" s="5">
        <f>IFERROR(__xludf.DUMMYFUNCTION("""COMPUTED_VALUE"""),45868.0)</f>
        <v>45868</v>
      </c>
      <c r="B2156" s="6">
        <f>IFERROR(__xludf.DUMMYFUNCTION("""COMPUTED_VALUE"""),147.5)</f>
        <v>147.5</v>
      </c>
      <c r="C2156" s="6">
        <f>IFERROR(__xludf.DUMMYFUNCTION("""COMPUTED_VALUE"""),150.19)</f>
        <v>150.19</v>
      </c>
      <c r="D2156" s="6">
        <f>IFERROR(__xludf.DUMMYFUNCTION("""COMPUTED_VALUE"""),146.25)</f>
        <v>146.25</v>
      </c>
      <c r="E2156" s="6">
        <f>IFERROR(__xludf.DUMMYFUNCTION("""COMPUTED_VALUE"""),149.04)</f>
        <v>149.04</v>
      </c>
      <c r="F2156" s="7">
        <f>IFERROR(__xludf.DUMMYFUNCTION("""COMPUTED_VALUE"""),9331773.0)</f>
        <v>9331773</v>
      </c>
      <c r="G2156" s="7" t="str">
        <f>IFERROR(__xludf.DUMMYFUNCTION("""COMPUTED_VALUE"""),"IOC.NS")</f>
        <v>IOC.NS</v>
      </c>
      <c r="H2156" s="8">
        <f t="shared" si="1"/>
        <v>0.01044067797</v>
      </c>
      <c r="I2156" s="8">
        <f t="shared" si="2"/>
        <v>0.01044067797</v>
      </c>
      <c r="J2156" s="7" t="str">
        <f t="shared" si="3"/>
        <v>Jul-2025</v>
      </c>
      <c r="K2156" s="9">
        <f t="shared" si="4"/>
        <v>45839</v>
      </c>
      <c r="L2156" s="7" t="str">
        <f t="shared" si="5"/>
        <v/>
      </c>
      <c r="M2156" s="7" t="str">
        <f>IFERROR(__xludf.DUMMYFUNCTION("IFERROR(
  IF(
    F2156 &gt;
    3*AVERAGE(
       FILTER($F$2:$F10491,
         $G$2:$G10491=G2156,
         $A$2:$A10491&gt;=A2156-20,
         $A$2:$A10491&lt;=A2156
       )
    ),
    ""VOL_SPIKE_3X"",""""
  ),
"""")
"),"")</f>
        <v/>
      </c>
      <c r="N2156" s="7" t="str">
        <f t="shared" si="6"/>
        <v/>
      </c>
      <c r="O2156" s="7" t="str">
        <f t="shared" si="7"/>
        <v/>
      </c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>
      <c r="A2157" s="5">
        <f>IFERROR(__xludf.DUMMYFUNCTION("""COMPUTED_VALUE"""),45868.0)</f>
        <v>45868</v>
      </c>
      <c r="B2157" s="6">
        <f>IFERROR(__xludf.DUMMYFUNCTION("""COMPUTED_VALUE"""),335.0)</f>
        <v>335</v>
      </c>
      <c r="C2157" s="6">
        <f>IFERROR(__xludf.DUMMYFUNCTION("""COMPUTED_VALUE"""),342.3)</f>
        <v>342.3</v>
      </c>
      <c r="D2157" s="6">
        <f>IFERROR(__xludf.DUMMYFUNCTION("""COMPUTED_VALUE"""),332.5)</f>
        <v>332.5</v>
      </c>
      <c r="E2157" s="6">
        <f>IFERROR(__xludf.DUMMYFUNCTION("""COMPUTED_VALUE"""),338.8)</f>
        <v>338.8</v>
      </c>
      <c r="F2157" s="7">
        <f>IFERROR(__xludf.DUMMYFUNCTION("""COMPUTED_VALUE"""),1.2537358E7)</f>
        <v>12537358</v>
      </c>
      <c r="G2157" s="7" t="str">
        <f>IFERROR(__xludf.DUMMYFUNCTION("""COMPUTED_VALUE"""),"NTPC.NS")</f>
        <v>NTPC.NS</v>
      </c>
      <c r="H2157" s="8">
        <f t="shared" si="1"/>
        <v>0.01134328358</v>
      </c>
      <c r="I2157" s="8">
        <f t="shared" si="2"/>
        <v>0.01134328358</v>
      </c>
      <c r="J2157" s="7" t="str">
        <f t="shared" si="3"/>
        <v>Jul-2025</v>
      </c>
      <c r="K2157" s="9">
        <f t="shared" si="4"/>
        <v>45839</v>
      </c>
      <c r="L2157" s="7" t="str">
        <f t="shared" si="5"/>
        <v/>
      </c>
      <c r="M2157" s="7" t="str">
        <f>IFERROR(__xludf.DUMMYFUNCTION("IFERROR(
  IF(
    F2157 &gt;
    3*AVERAGE(
       FILTER($F$2:$F10491,
         $G$2:$G10491=G2157,
         $A$2:$A10491&gt;=A2157-20,
         $A$2:$A10491&lt;=A2157
       )
    ),
    ""VOL_SPIKE_3X"",""""
  ),
"""")
"),"")</f>
        <v/>
      </c>
      <c r="N2157" s="7" t="str">
        <f t="shared" si="6"/>
        <v/>
      </c>
      <c r="O2157" s="7" t="str">
        <f t="shared" si="7"/>
        <v/>
      </c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>
      <c r="A2158" s="5">
        <f>IFERROR(__xludf.DUMMYFUNCTION("""COMPUTED_VALUE"""),45868.0)</f>
        <v>45868</v>
      </c>
      <c r="B2158" s="6">
        <f>IFERROR(__xludf.DUMMYFUNCTION("""COMPUTED_VALUE"""),242.54)</f>
        <v>242.54</v>
      </c>
      <c r="C2158" s="6">
        <f>IFERROR(__xludf.DUMMYFUNCTION("""COMPUTED_VALUE"""),243.71)</f>
        <v>243.71</v>
      </c>
      <c r="D2158" s="6">
        <f>IFERROR(__xludf.DUMMYFUNCTION("""COMPUTED_VALUE"""),240.1)</f>
        <v>240.1</v>
      </c>
      <c r="E2158" s="6">
        <f>IFERROR(__xludf.DUMMYFUNCTION("""COMPUTED_VALUE"""),241.81)</f>
        <v>241.81</v>
      </c>
      <c r="F2158" s="7">
        <f>IFERROR(__xludf.DUMMYFUNCTION("""COMPUTED_VALUE"""),8767763.0)</f>
        <v>8767763</v>
      </c>
      <c r="G2158" s="7" t="str">
        <f>IFERROR(__xludf.DUMMYFUNCTION("""COMPUTED_VALUE"""),"ONGC.NS")</f>
        <v>ONGC.NS</v>
      </c>
      <c r="H2158" s="8">
        <f t="shared" si="1"/>
        <v>-0.003009812814</v>
      </c>
      <c r="I2158" s="8">
        <f t="shared" si="2"/>
        <v>0.003009812814</v>
      </c>
      <c r="J2158" s="7" t="str">
        <f t="shared" si="3"/>
        <v>Jul-2025</v>
      </c>
      <c r="K2158" s="9">
        <f t="shared" si="4"/>
        <v>45839</v>
      </c>
      <c r="L2158" s="7" t="str">
        <f t="shared" si="5"/>
        <v/>
      </c>
      <c r="M2158" s="7" t="str">
        <f>IFERROR(__xludf.DUMMYFUNCTION("IFERROR(
  IF(
    F2158 &gt;
    3*AVERAGE(
       FILTER($F$2:$F10491,
         $G$2:$G10491=G2158,
         $A$2:$A10491&gt;=A2158-20,
         $A$2:$A10491&lt;=A2158
       )
    ),
    ""VOL_SPIKE_3X"",""""
  ),
"""")
"),"")</f>
        <v/>
      </c>
      <c r="N2158" s="7" t="str">
        <f t="shared" si="6"/>
        <v/>
      </c>
      <c r="O2158" s="7" t="str">
        <f t="shared" si="7"/>
        <v/>
      </c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>
      <c r="A2159" s="5">
        <f>IFERROR(__xludf.DUMMYFUNCTION("""COMPUTED_VALUE"""),45868.0)</f>
        <v>45868</v>
      </c>
      <c r="B2159" s="6">
        <f>IFERROR(__xludf.DUMMYFUNCTION("""COMPUTED_VALUE"""),293.0)</f>
        <v>293</v>
      </c>
      <c r="C2159" s="6">
        <f>IFERROR(__xludf.DUMMYFUNCTION("""COMPUTED_VALUE"""),296.5)</f>
        <v>296.5</v>
      </c>
      <c r="D2159" s="6">
        <f>IFERROR(__xludf.DUMMYFUNCTION("""COMPUTED_VALUE"""),286.6)</f>
        <v>286.6</v>
      </c>
      <c r="E2159" s="6">
        <f>IFERROR(__xludf.DUMMYFUNCTION("""COMPUTED_VALUE"""),288.95)</f>
        <v>288.95</v>
      </c>
      <c r="F2159" s="7">
        <f>IFERROR(__xludf.DUMMYFUNCTION("""COMPUTED_VALUE"""),1.0515572E7)</f>
        <v>10515572</v>
      </c>
      <c r="G2159" s="7" t="str">
        <f>IFERROR(__xludf.DUMMYFUNCTION("""COMPUTED_VALUE"""),"POWERGRID.NS")</f>
        <v>POWERGRID.NS</v>
      </c>
      <c r="H2159" s="8">
        <f t="shared" si="1"/>
        <v>-0.0138225256</v>
      </c>
      <c r="I2159" s="8">
        <f t="shared" si="2"/>
        <v>0.0138225256</v>
      </c>
      <c r="J2159" s="7" t="str">
        <f t="shared" si="3"/>
        <v>Jul-2025</v>
      </c>
      <c r="K2159" s="9">
        <f t="shared" si="4"/>
        <v>45839</v>
      </c>
      <c r="L2159" s="7" t="str">
        <f t="shared" si="5"/>
        <v/>
      </c>
      <c r="M2159" s="7" t="str">
        <f>IFERROR(__xludf.DUMMYFUNCTION("IFERROR(
  IF(
    F2159 &gt;
    3*AVERAGE(
       FILTER($F$2:$F10491,
         $G$2:$G10491=G2159,
         $A$2:$A10491&gt;=A2159-20,
         $A$2:$A10491&lt;=A2159
       )
    ),
    ""VOL_SPIKE_3X"",""""
  ),
"""")
"),"")</f>
        <v/>
      </c>
      <c r="N2159" s="7" t="str">
        <f t="shared" si="6"/>
        <v/>
      </c>
      <c r="O2159" s="7" t="str">
        <f t="shared" si="7"/>
        <v/>
      </c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>
      <c r="A2160" s="5">
        <f>IFERROR(__xludf.DUMMYFUNCTION("""COMPUTED_VALUE"""),45868.0)</f>
        <v>45868</v>
      </c>
      <c r="B2160" s="6">
        <f>IFERROR(__xludf.DUMMYFUNCTION("""COMPUTED_VALUE"""),1418.1)</f>
        <v>1418.1</v>
      </c>
      <c r="C2160" s="6">
        <f>IFERROR(__xludf.DUMMYFUNCTION("""COMPUTED_VALUE"""),1423.3)</f>
        <v>1423.3</v>
      </c>
      <c r="D2160" s="6">
        <f>IFERROR(__xludf.DUMMYFUNCTION("""COMPUTED_VALUE"""),1401.3)</f>
        <v>1401.3</v>
      </c>
      <c r="E2160" s="6">
        <f>IFERROR(__xludf.DUMMYFUNCTION("""COMPUTED_VALUE"""),1410.1)</f>
        <v>1410.1</v>
      </c>
      <c r="F2160" s="7">
        <f>IFERROR(__xludf.DUMMYFUNCTION("""COMPUTED_VALUE"""),7209849.0)</f>
        <v>7209849</v>
      </c>
      <c r="G2160" s="7" t="str">
        <f>IFERROR(__xludf.DUMMYFUNCTION("""COMPUTED_VALUE"""),"RELIANCE.NS")</f>
        <v>RELIANCE.NS</v>
      </c>
      <c r="H2160" s="8">
        <f t="shared" si="1"/>
        <v>-0.005641351104</v>
      </c>
      <c r="I2160" s="8">
        <f t="shared" si="2"/>
        <v>0.005641351104</v>
      </c>
      <c r="J2160" s="7" t="str">
        <f t="shared" si="3"/>
        <v>Jul-2025</v>
      </c>
      <c r="K2160" s="9">
        <f t="shared" si="4"/>
        <v>45839</v>
      </c>
      <c r="L2160" s="7" t="str">
        <f t="shared" si="5"/>
        <v/>
      </c>
      <c r="M2160" s="7" t="str">
        <f>IFERROR(__xludf.DUMMYFUNCTION("IFERROR(
  IF(
    F2160 &gt;
    3*AVERAGE(
       FILTER($F$2:$F10491,
         $G$2:$G10491=G2160,
         $A$2:$A10491&gt;=A2160-20,
         $A$2:$A10491&lt;=A2160
       )
    ),
    ""VOL_SPIKE_3X"",""""
  ),
"""")
"),"")</f>
        <v/>
      </c>
      <c r="N2160" s="7" t="str">
        <f t="shared" si="6"/>
        <v/>
      </c>
      <c r="O2160" s="7" t="str">
        <f t="shared" si="7"/>
        <v/>
      </c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>
      <c r="A2161" s="5">
        <f>IFERROR(__xludf.DUMMYFUNCTION("""COMPUTED_VALUE"""),45869.0)</f>
        <v>45869</v>
      </c>
      <c r="B2161" s="6">
        <f>IFERROR(__xludf.DUMMYFUNCTION("""COMPUTED_VALUE"""),812.05)</f>
        <v>812.05</v>
      </c>
      <c r="C2161" s="6">
        <f>IFERROR(__xludf.DUMMYFUNCTION("""COMPUTED_VALUE"""),821.45)</f>
        <v>821.45</v>
      </c>
      <c r="D2161" s="6">
        <f>IFERROR(__xludf.DUMMYFUNCTION("""COMPUTED_VALUE"""),806.55)</f>
        <v>806.55</v>
      </c>
      <c r="E2161" s="6">
        <f>IFERROR(__xludf.DUMMYFUNCTION("""COMPUTED_VALUE"""),808.4)</f>
        <v>808.4</v>
      </c>
      <c r="F2161" s="7">
        <f>IFERROR(__xludf.DUMMYFUNCTION("""COMPUTED_VALUE"""),1026102.0)</f>
        <v>1026102</v>
      </c>
      <c r="G2161" s="7" t="str">
        <f>IFERROR(__xludf.DUMMYFUNCTION("""COMPUTED_VALUE"""),"ADANIENSOL.NS")</f>
        <v>ADANIENSOL.NS</v>
      </c>
      <c r="H2161" s="8">
        <f t="shared" si="1"/>
        <v>-0.004494797118</v>
      </c>
      <c r="I2161" s="8">
        <f t="shared" si="2"/>
        <v>0.004494797118</v>
      </c>
      <c r="J2161" s="7" t="str">
        <f t="shared" si="3"/>
        <v>Jul-2025</v>
      </c>
      <c r="K2161" s="9">
        <f t="shared" si="4"/>
        <v>45839</v>
      </c>
      <c r="L2161" s="7" t="str">
        <f t="shared" si="5"/>
        <v/>
      </c>
      <c r="M2161" s="7" t="str">
        <f>IFERROR(__xludf.DUMMYFUNCTION("IFERROR(
  IF(
    F2161 &gt;
    3*AVERAGE(
       FILTER($F$2:$F10491,
         $G$2:$G10491=G2161,
         $A$2:$A10491&gt;=A2161-20,
         $A$2:$A10491&lt;=A2161
       )
    ),
    ""VOL_SPIKE_3X"",""""
  ),
"""")
"),"")</f>
        <v/>
      </c>
      <c r="N2161" s="7" t="str">
        <f t="shared" si="6"/>
        <v/>
      </c>
      <c r="O2161" s="7" t="str">
        <f t="shared" si="7"/>
        <v/>
      </c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>
      <c r="A2162" s="5">
        <f>IFERROR(__xludf.DUMMYFUNCTION("""COMPUTED_VALUE"""),45869.0)</f>
        <v>45869</v>
      </c>
      <c r="B2162" s="6">
        <f>IFERROR(__xludf.DUMMYFUNCTION("""COMPUTED_VALUE"""),985.5)</f>
        <v>985.5</v>
      </c>
      <c r="C2162" s="6">
        <f>IFERROR(__xludf.DUMMYFUNCTION("""COMPUTED_VALUE"""),1007.5)</f>
        <v>1007.5</v>
      </c>
      <c r="D2162" s="6">
        <f>IFERROR(__xludf.DUMMYFUNCTION("""COMPUTED_VALUE"""),980.1)</f>
        <v>980.1</v>
      </c>
      <c r="E2162" s="6">
        <f>IFERROR(__xludf.DUMMYFUNCTION("""COMPUTED_VALUE"""),984.7)</f>
        <v>984.7</v>
      </c>
      <c r="F2162" s="7">
        <f>IFERROR(__xludf.DUMMYFUNCTION("""COMPUTED_VALUE"""),2062250.0)</f>
        <v>2062250</v>
      </c>
      <c r="G2162" s="7" t="str">
        <f>IFERROR(__xludf.DUMMYFUNCTION("""COMPUTED_VALUE"""),"ADANIGREEN.NS")</f>
        <v>ADANIGREEN.NS</v>
      </c>
      <c r="H2162" s="8">
        <f t="shared" si="1"/>
        <v>-0.0008117706748</v>
      </c>
      <c r="I2162" s="8">
        <f t="shared" si="2"/>
        <v>0.0008117706748</v>
      </c>
      <c r="J2162" s="7" t="str">
        <f t="shared" si="3"/>
        <v>Jul-2025</v>
      </c>
      <c r="K2162" s="9">
        <f t="shared" si="4"/>
        <v>45839</v>
      </c>
      <c r="L2162" s="7" t="str">
        <f t="shared" si="5"/>
        <v/>
      </c>
      <c r="M2162" s="7" t="str">
        <f>IFERROR(__xludf.DUMMYFUNCTION("IFERROR(
  IF(
    F2162 &gt;
    3*AVERAGE(
       FILTER($F$2:$F10491,
         $G$2:$G10491=G2162,
         $A$2:$A10491&gt;=A2162-20,
         $A$2:$A10491&lt;=A2162
       )
    ),
    ""VOL_SPIKE_3X"",""""
  ),
"""")
"),"")</f>
        <v/>
      </c>
      <c r="N2162" s="7" t="str">
        <f t="shared" si="6"/>
        <v/>
      </c>
      <c r="O2162" s="7" t="str">
        <f t="shared" si="7"/>
        <v/>
      </c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>
      <c r="A2163" s="5">
        <f>IFERROR(__xludf.DUMMYFUNCTION("""COMPUTED_VALUE"""),45869.0)</f>
        <v>45869</v>
      </c>
      <c r="B2163" s="6">
        <f>IFERROR(__xludf.DUMMYFUNCTION("""COMPUTED_VALUE"""),330.0)</f>
        <v>330</v>
      </c>
      <c r="C2163" s="6">
        <f>IFERROR(__xludf.DUMMYFUNCTION("""COMPUTED_VALUE"""),331.25)</f>
        <v>331.25</v>
      </c>
      <c r="D2163" s="6">
        <f>IFERROR(__xludf.DUMMYFUNCTION("""COMPUTED_VALUE"""),323.1)</f>
        <v>323.1</v>
      </c>
      <c r="E2163" s="6">
        <f>IFERROR(__xludf.DUMMYFUNCTION("""COMPUTED_VALUE"""),329.3)</f>
        <v>329.3</v>
      </c>
      <c r="F2163" s="7">
        <f>IFERROR(__xludf.DUMMYFUNCTION("""COMPUTED_VALUE"""),6867024.0)</f>
        <v>6867024</v>
      </c>
      <c r="G2163" s="7" t="str">
        <f>IFERROR(__xludf.DUMMYFUNCTION("""COMPUTED_VALUE"""),"BPCL.NS")</f>
        <v>BPCL.NS</v>
      </c>
      <c r="H2163" s="8">
        <f t="shared" si="1"/>
        <v>-0.002121212121</v>
      </c>
      <c r="I2163" s="8">
        <f t="shared" si="2"/>
        <v>0.002121212121</v>
      </c>
      <c r="J2163" s="7" t="str">
        <f t="shared" si="3"/>
        <v>Jul-2025</v>
      </c>
      <c r="K2163" s="9">
        <f t="shared" si="4"/>
        <v>45839</v>
      </c>
      <c r="L2163" s="7" t="str">
        <f t="shared" si="5"/>
        <v/>
      </c>
      <c r="M2163" s="7" t="str">
        <f>IFERROR(__xludf.DUMMYFUNCTION("IFERROR(
  IF(
    F2163 &gt;
    3*AVERAGE(
       FILTER($F$2:$F10491,
         $G$2:$G10491=G2163,
         $A$2:$A10491&gt;=A2163-20,
         $A$2:$A10491&lt;=A2163
       )
    ),
    ""VOL_SPIKE_3X"",""""
  ),
"""")
"),"")</f>
        <v/>
      </c>
      <c r="N2163" s="7" t="str">
        <f t="shared" si="6"/>
        <v/>
      </c>
      <c r="O2163" s="7" t="str">
        <f t="shared" si="7"/>
        <v/>
      </c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>
      <c r="A2164" s="5">
        <f>IFERROR(__xludf.DUMMYFUNCTION("""COMPUTED_VALUE"""),45869.0)</f>
        <v>45869</v>
      </c>
      <c r="B2164" s="6">
        <f>IFERROR(__xludf.DUMMYFUNCTION("""COMPUTED_VALUE"""),378.0)</f>
        <v>378</v>
      </c>
      <c r="C2164" s="6">
        <f>IFERROR(__xludf.DUMMYFUNCTION("""COMPUTED_VALUE"""),379.0)</f>
        <v>379</v>
      </c>
      <c r="D2164" s="6">
        <f>IFERROR(__xludf.DUMMYFUNCTION("""COMPUTED_VALUE"""),374.7)</f>
        <v>374.7</v>
      </c>
      <c r="E2164" s="6">
        <f>IFERROR(__xludf.DUMMYFUNCTION("""COMPUTED_VALUE"""),376.35)</f>
        <v>376.35</v>
      </c>
      <c r="F2164" s="7">
        <f>IFERROR(__xludf.DUMMYFUNCTION("""COMPUTED_VALUE"""),6461803.0)</f>
        <v>6461803</v>
      </c>
      <c r="G2164" s="7" t="str">
        <f>IFERROR(__xludf.DUMMYFUNCTION("""COMPUTED_VALUE"""),"COALINDIA.NS")</f>
        <v>COALINDIA.NS</v>
      </c>
      <c r="H2164" s="8">
        <f t="shared" si="1"/>
        <v>-0.004365079365</v>
      </c>
      <c r="I2164" s="8">
        <f t="shared" si="2"/>
        <v>0.004365079365</v>
      </c>
      <c r="J2164" s="7" t="str">
        <f t="shared" si="3"/>
        <v>Jul-2025</v>
      </c>
      <c r="K2164" s="9">
        <f t="shared" si="4"/>
        <v>45839</v>
      </c>
      <c r="L2164" s="7" t="str">
        <f t="shared" si="5"/>
        <v/>
      </c>
      <c r="M2164" s="7" t="str">
        <f>IFERROR(__xludf.DUMMYFUNCTION("IFERROR(
  IF(
    F2164 &gt;
    3*AVERAGE(
       FILTER($F$2:$F10491,
         $G$2:$G10491=G2164,
         $A$2:$A10491&gt;=A2164-20,
         $A$2:$A10491&lt;=A2164
       )
    ),
    ""VOL_SPIKE_3X"",""""
  ),
"""")
"),"")</f>
        <v/>
      </c>
      <c r="N2164" s="7" t="str">
        <f t="shared" si="6"/>
        <v/>
      </c>
      <c r="O2164" s="7" t="str">
        <f t="shared" si="7"/>
        <v/>
      </c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>
      <c r="A2165" s="5">
        <f>IFERROR(__xludf.DUMMYFUNCTION("""COMPUTED_VALUE"""),45869.0)</f>
        <v>45869</v>
      </c>
      <c r="B2165" s="6">
        <f>IFERROR(__xludf.DUMMYFUNCTION("""COMPUTED_VALUE"""),418.75)</f>
        <v>418.75</v>
      </c>
      <c r="C2165" s="6">
        <f>IFERROR(__xludf.DUMMYFUNCTION("""COMPUTED_VALUE"""),421.4)</f>
        <v>421.4</v>
      </c>
      <c r="D2165" s="6">
        <f>IFERROR(__xludf.DUMMYFUNCTION("""COMPUTED_VALUE"""),410.6)</f>
        <v>410.6</v>
      </c>
      <c r="E2165" s="6">
        <f>IFERROR(__xludf.DUMMYFUNCTION("""COMPUTED_VALUE"""),418.45)</f>
        <v>418.45</v>
      </c>
      <c r="F2165" s="7">
        <f>IFERROR(__xludf.DUMMYFUNCTION("""COMPUTED_VALUE"""),9826520.0)</f>
        <v>9826520</v>
      </c>
      <c r="G2165" s="7" t="str">
        <f>IFERROR(__xludf.DUMMYFUNCTION("""COMPUTED_VALUE"""),"HINDPETRO.NS")</f>
        <v>HINDPETRO.NS</v>
      </c>
      <c r="H2165" s="8">
        <f t="shared" si="1"/>
        <v>-0.0007164179104</v>
      </c>
      <c r="I2165" s="8">
        <f t="shared" si="2"/>
        <v>0.0007164179104</v>
      </c>
      <c r="J2165" s="7" t="str">
        <f t="shared" si="3"/>
        <v>Jul-2025</v>
      </c>
      <c r="K2165" s="9">
        <f t="shared" si="4"/>
        <v>45839</v>
      </c>
      <c r="L2165" s="7" t="str">
        <f t="shared" si="5"/>
        <v/>
      </c>
      <c r="M2165" s="7" t="str">
        <f>IFERROR(__xludf.DUMMYFUNCTION("IFERROR(
  IF(
    F2165 &gt;
    3*AVERAGE(
       FILTER($F$2:$F10491,
         $G$2:$G10491=G2165,
         $A$2:$A10491&gt;=A2165-20,
         $A$2:$A10491&lt;=A2165
       )
    ),
    ""VOL_SPIKE_3X"",""""
  ),
"""")
"),"")</f>
        <v/>
      </c>
      <c r="N2165" s="7" t="str">
        <f t="shared" si="6"/>
        <v/>
      </c>
      <c r="O2165" s="7" t="str">
        <f t="shared" si="7"/>
        <v/>
      </c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>
      <c r="A2166" s="5">
        <f>IFERROR(__xludf.DUMMYFUNCTION("""COMPUTED_VALUE"""),45869.0)</f>
        <v>45869</v>
      </c>
      <c r="B2166" s="6">
        <f>IFERROR(__xludf.DUMMYFUNCTION("""COMPUTED_VALUE"""),146.55)</f>
        <v>146.55</v>
      </c>
      <c r="C2166" s="6">
        <f>IFERROR(__xludf.DUMMYFUNCTION("""COMPUTED_VALUE"""),147.2)</f>
        <v>147.2</v>
      </c>
      <c r="D2166" s="6">
        <f>IFERROR(__xludf.DUMMYFUNCTION("""COMPUTED_VALUE"""),144.32)</f>
        <v>144.32</v>
      </c>
      <c r="E2166" s="6">
        <f>IFERROR(__xludf.DUMMYFUNCTION("""COMPUTED_VALUE"""),145.62)</f>
        <v>145.62</v>
      </c>
      <c r="F2166" s="7">
        <f>IFERROR(__xludf.DUMMYFUNCTION("""COMPUTED_VALUE"""),1.1960546E7)</f>
        <v>11960546</v>
      </c>
      <c r="G2166" s="7" t="str">
        <f>IFERROR(__xludf.DUMMYFUNCTION("""COMPUTED_VALUE"""),"IOC.NS")</f>
        <v>IOC.NS</v>
      </c>
      <c r="H2166" s="8">
        <f t="shared" si="1"/>
        <v>-0.006345957011</v>
      </c>
      <c r="I2166" s="8">
        <f t="shared" si="2"/>
        <v>0.006345957011</v>
      </c>
      <c r="J2166" s="7" t="str">
        <f t="shared" si="3"/>
        <v>Jul-2025</v>
      </c>
      <c r="K2166" s="9">
        <f t="shared" si="4"/>
        <v>45839</v>
      </c>
      <c r="L2166" s="7" t="str">
        <f t="shared" si="5"/>
        <v/>
      </c>
      <c r="M2166" s="7" t="str">
        <f>IFERROR(__xludf.DUMMYFUNCTION("IFERROR(
  IF(
    F2166 &gt;
    3*AVERAGE(
       FILTER($F$2:$F10491,
         $G$2:$G10491=G2166,
         $A$2:$A10491&gt;=A2166-20,
         $A$2:$A10491&lt;=A2166
       )
    ),
    ""VOL_SPIKE_3X"",""""
  ),
"""")
"),"")</f>
        <v/>
      </c>
      <c r="N2166" s="7" t="str">
        <f t="shared" si="6"/>
        <v/>
      </c>
      <c r="O2166" s="7" t="str">
        <f t="shared" si="7"/>
        <v/>
      </c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>
      <c r="A2167" s="5">
        <f>IFERROR(__xludf.DUMMYFUNCTION("""COMPUTED_VALUE"""),45869.0)</f>
        <v>45869</v>
      </c>
      <c r="B2167" s="6">
        <f>IFERROR(__xludf.DUMMYFUNCTION("""COMPUTED_VALUE"""),336.05)</f>
        <v>336.05</v>
      </c>
      <c r="C2167" s="6">
        <f>IFERROR(__xludf.DUMMYFUNCTION("""COMPUTED_VALUE"""),340.1)</f>
        <v>340.1</v>
      </c>
      <c r="D2167" s="6">
        <f>IFERROR(__xludf.DUMMYFUNCTION("""COMPUTED_VALUE"""),333.0)</f>
        <v>333</v>
      </c>
      <c r="E2167" s="6">
        <f>IFERROR(__xludf.DUMMYFUNCTION("""COMPUTED_VALUE"""),334.25)</f>
        <v>334.25</v>
      </c>
      <c r="F2167" s="7">
        <f>IFERROR(__xludf.DUMMYFUNCTION("""COMPUTED_VALUE"""),8935384.0)</f>
        <v>8935384</v>
      </c>
      <c r="G2167" s="7" t="str">
        <f>IFERROR(__xludf.DUMMYFUNCTION("""COMPUTED_VALUE"""),"NTPC.NS")</f>
        <v>NTPC.NS</v>
      </c>
      <c r="H2167" s="8">
        <f t="shared" si="1"/>
        <v>-0.005356345782</v>
      </c>
      <c r="I2167" s="8">
        <f t="shared" si="2"/>
        <v>0.005356345782</v>
      </c>
      <c r="J2167" s="7" t="str">
        <f t="shared" si="3"/>
        <v>Jul-2025</v>
      </c>
      <c r="K2167" s="9">
        <f t="shared" si="4"/>
        <v>45839</v>
      </c>
      <c r="L2167" s="7" t="str">
        <f t="shared" si="5"/>
        <v/>
      </c>
      <c r="M2167" s="7" t="str">
        <f>IFERROR(__xludf.DUMMYFUNCTION("IFERROR(
  IF(
    F2167 &gt;
    3*AVERAGE(
       FILTER($F$2:$F10491,
         $G$2:$G10491=G2167,
         $A$2:$A10491&gt;=A2167-20,
         $A$2:$A10491&lt;=A2167
       )
    ),
    ""VOL_SPIKE_3X"",""""
  ),
"""")
"),"")</f>
        <v/>
      </c>
      <c r="N2167" s="7" t="str">
        <f t="shared" si="6"/>
        <v/>
      </c>
      <c r="O2167" s="7" t="str">
        <f t="shared" si="7"/>
        <v/>
      </c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>
      <c r="A2168" s="5">
        <f>IFERROR(__xludf.DUMMYFUNCTION("""COMPUTED_VALUE"""),45869.0)</f>
        <v>45869</v>
      </c>
      <c r="B2168" s="6">
        <f>IFERROR(__xludf.DUMMYFUNCTION("""COMPUTED_VALUE"""),240.2)</f>
        <v>240.2</v>
      </c>
      <c r="C2168" s="6">
        <f>IFERROR(__xludf.DUMMYFUNCTION("""COMPUTED_VALUE"""),242.81)</f>
        <v>242.81</v>
      </c>
      <c r="D2168" s="6">
        <f>IFERROR(__xludf.DUMMYFUNCTION("""COMPUTED_VALUE"""),239.66)</f>
        <v>239.66</v>
      </c>
      <c r="E2168" s="6">
        <f>IFERROR(__xludf.DUMMYFUNCTION("""COMPUTED_VALUE"""),241.0)</f>
        <v>241</v>
      </c>
      <c r="F2168" s="7">
        <f>IFERROR(__xludf.DUMMYFUNCTION("""COMPUTED_VALUE"""),1.0254214E7)</f>
        <v>10254214</v>
      </c>
      <c r="G2168" s="7" t="str">
        <f>IFERROR(__xludf.DUMMYFUNCTION("""COMPUTED_VALUE"""),"ONGC.NS")</f>
        <v>ONGC.NS</v>
      </c>
      <c r="H2168" s="8">
        <f t="shared" si="1"/>
        <v>0.003330557868</v>
      </c>
      <c r="I2168" s="8">
        <f t="shared" si="2"/>
        <v>0.003330557868</v>
      </c>
      <c r="J2168" s="7" t="str">
        <f t="shared" si="3"/>
        <v>Jul-2025</v>
      </c>
      <c r="K2168" s="9">
        <f t="shared" si="4"/>
        <v>45839</v>
      </c>
      <c r="L2168" s="7" t="str">
        <f t="shared" si="5"/>
        <v/>
      </c>
      <c r="M2168" s="7" t="str">
        <f>IFERROR(__xludf.DUMMYFUNCTION("IFERROR(
  IF(
    F2168 &gt;
    3*AVERAGE(
       FILTER($F$2:$F10491,
         $G$2:$G10491=G2168,
         $A$2:$A10491&gt;=A2168-20,
         $A$2:$A10491&lt;=A2168
       )
    ),
    ""VOL_SPIKE_3X"",""""
  ),
"""")
"),"")</f>
        <v/>
      </c>
      <c r="N2168" s="7" t="str">
        <f t="shared" si="6"/>
        <v/>
      </c>
      <c r="O2168" s="7" t="str">
        <f t="shared" si="7"/>
        <v/>
      </c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>
      <c r="A2169" s="5">
        <f>IFERROR(__xludf.DUMMYFUNCTION("""COMPUTED_VALUE"""),45869.0)</f>
        <v>45869</v>
      </c>
      <c r="B2169" s="6">
        <f>IFERROR(__xludf.DUMMYFUNCTION("""COMPUTED_VALUE"""),284.95)</f>
        <v>284.95</v>
      </c>
      <c r="C2169" s="6">
        <f>IFERROR(__xludf.DUMMYFUNCTION("""COMPUTED_VALUE"""),294.3)</f>
        <v>294.3</v>
      </c>
      <c r="D2169" s="6">
        <f>IFERROR(__xludf.DUMMYFUNCTION("""COMPUTED_VALUE"""),284.95)</f>
        <v>284.95</v>
      </c>
      <c r="E2169" s="6">
        <f>IFERROR(__xludf.DUMMYFUNCTION("""COMPUTED_VALUE"""),291.0)</f>
        <v>291</v>
      </c>
      <c r="F2169" s="7">
        <f>IFERROR(__xludf.DUMMYFUNCTION("""COMPUTED_VALUE"""),1.4283621E7)</f>
        <v>14283621</v>
      </c>
      <c r="G2169" s="7" t="str">
        <f>IFERROR(__xludf.DUMMYFUNCTION("""COMPUTED_VALUE"""),"POWERGRID.NS")</f>
        <v>POWERGRID.NS</v>
      </c>
      <c r="H2169" s="8">
        <f t="shared" si="1"/>
        <v>0.02123179505</v>
      </c>
      <c r="I2169" s="8">
        <f t="shared" si="2"/>
        <v>0.02123179505</v>
      </c>
      <c r="J2169" s="7" t="str">
        <f t="shared" si="3"/>
        <v>Jul-2025</v>
      </c>
      <c r="K2169" s="9">
        <f t="shared" si="4"/>
        <v>45839</v>
      </c>
      <c r="L2169" s="7" t="str">
        <f t="shared" si="5"/>
        <v/>
      </c>
      <c r="M2169" s="7" t="str">
        <f>IFERROR(__xludf.DUMMYFUNCTION("IFERROR(
  IF(
    F2169 &gt;
    3*AVERAGE(
       FILTER($F$2:$F10491,
         $G$2:$G10491=G2169,
         $A$2:$A10491&gt;=A2169-20,
         $A$2:$A10491&lt;=A2169
       )
    ),
    ""VOL_SPIKE_3X"",""""
  ),
"""")
"),"")</f>
        <v/>
      </c>
      <c r="N2169" s="7" t="str">
        <f t="shared" si="6"/>
        <v/>
      </c>
      <c r="O2169" s="7" t="str">
        <f t="shared" si="7"/>
        <v/>
      </c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>
      <c r="A2170" s="5">
        <f>IFERROR(__xludf.DUMMYFUNCTION("""COMPUTED_VALUE"""),45869.0)</f>
        <v>45869</v>
      </c>
      <c r="B2170" s="6">
        <f>IFERROR(__xludf.DUMMYFUNCTION("""COMPUTED_VALUE"""),1388.1)</f>
        <v>1388.1</v>
      </c>
      <c r="C2170" s="6">
        <f>IFERROR(__xludf.DUMMYFUNCTION("""COMPUTED_VALUE"""),1402.6)</f>
        <v>1402.6</v>
      </c>
      <c r="D2170" s="6">
        <f>IFERROR(__xludf.DUMMYFUNCTION("""COMPUTED_VALUE"""),1382.2)</f>
        <v>1382.2</v>
      </c>
      <c r="E2170" s="6">
        <f>IFERROR(__xludf.DUMMYFUNCTION("""COMPUTED_VALUE"""),1390.2)</f>
        <v>1390.2</v>
      </c>
      <c r="F2170" s="7">
        <f>IFERROR(__xludf.DUMMYFUNCTION("""COMPUTED_VALUE"""),1.7065827E7)</f>
        <v>17065827</v>
      </c>
      <c r="G2170" s="7" t="str">
        <f>IFERROR(__xludf.DUMMYFUNCTION("""COMPUTED_VALUE"""),"RELIANCE.NS")</f>
        <v>RELIANCE.NS</v>
      </c>
      <c r="H2170" s="8">
        <f t="shared" si="1"/>
        <v>0.001512859304</v>
      </c>
      <c r="I2170" s="8">
        <f t="shared" si="2"/>
        <v>0.001512859304</v>
      </c>
      <c r="J2170" s="7" t="str">
        <f t="shared" si="3"/>
        <v>Jul-2025</v>
      </c>
      <c r="K2170" s="9">
        <f t="shared" si="4"/>
        <v>45839</v>
      </c>
      <c r="L2170" s="7" t="str">
        <f t="shared" si="5"/>
        <v/>
      </c>
      <c r="M2170" s="7" t="str">
        <f>IFERROR(__xludf.DUMMYFUNCTION("IFERROR(
  IF(
    F2170 &gt;
    3*AVERAGE(
       FILTER($F$2:$F10491,
         $G$2:$G10491=G2170,
         $A$2:$A10491&gt;=A2170-20,
         $A$2:$A10491&lt;=A2170
       )
    ),
    ""VOL_SPIKE_3X"",""""
  ),
"""")
"),"")</f>
        <v/>
      </c>
      <c r="N2170" s="7" t="str">
        <f t="shared" si="6"/>
        <v/>
      </c>
      <c r="O2170" s="7" t="str">
        <f t="shared" si="7"/>
        <v/>
      </c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>
      <c r="A2171" s="5">
        <f>IFERROR(__xludf.DUMMYFUNCTION("""COMPUTED_VALUE"""),45870.0)</f>
        <v>45870</v>
      </c>
      <c r="B2171" s="6">
        <f>IFERROR(__xludf.DUMMYFUNCTION("""COMPUTED_VALUE"""),810.1)</f>
        <v>810.1</v>
      </c>
      <c r="C2171" s="6">
        <f>IFERROR(__xludf.DUMMYFUNCTION("""COMPUTED_VALUE"""),817.6)</f>
        <v>817.6</v>
      </c>
      <c r="D2171" s="6">
        <f>IFERROR(__xludf.DUMMYFUNCTION("""COMPUTED_VALUE"""),791.1)</f>
        <v>791.1</v>
      </c>
      <c r="E2171" s="6">
        <f>IFERROR(__xludf.DUMMYFUNCTION("""COMPUTED_VALUE"""),793.05)</f>
        <v>793.05</v>
      </c>
      <c r="F2171" s="7">
        <f>IFERROR(__xludf.DUMMYFUNCTION("""COMPUTED_VALUE"""),945768.0)</f>
        <v>945768</v>
      </c>
      <c r="G2171" s="7" t="str">
        <f>IFERROR(__xludf.DUMMYFUNCTION("""COMPUTED_VALUE"""),"ADANIENSOL.NS")</f>
        <v>ADANIENSOL.NS</v>
      </c>
      <c r="H2171" s="8">
        <f t="shared" si="1"/>
        <v>-0.02104678435</v>
      </c>
      <c r="I2171" s="8">
        <f t="shared" si="2"/>
        <v>0.02104678435</v>
      </c>
      <c r="J2171" s="7" t="str">
        <f t="shared" si="3"/>
        <v>Aug-2025</v>
      </c>
      <c r="K2171" s="9">
        <f t="shared" si="4"/>
        <v>45870</v>
      </c>
      <c r="L2171" s="7" t="str">
        <f t="shared" si="5"/>
        <v/>
      </c>
      <c r="M2171" s="7" t="str">
        <f>IFERROR(__xludf.DUMMYFUNCTION("IFERROR(
  IF(
    F2171 &gt;
    3*AVERAGE(
       FILTER($F$2:$F10491,
         $G$2:$G10491=G2171,
         $A$2:$A10491&gt;=A2171-20,
         $A$2:$A10491&lt;=A2171
       )
    ),
    ""VOL_SPIKE_3X"",""""
  ),
"""")
"),"")</f>
        <v/>
      </c>
      <c r="N2171" s="7" t="str">
        <f t="shared" si="6"/>
        <v/>
      </c>
      <c r="O2171" s="7" t="str">
        <f t="shared" si="7"/>
        <v/>
      </c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>
      <c r="A2172" s="5">
        <f>IFERROR(__xludf.DUMMYFUNCTION("""COMPUTED_VALUE"""),45870.0)</f>
        <v>45870</v>
      </c>
      <c r="B2172" s="6">
        <f>IFERROR(__xludf.DUMMYFUNCTION("""COMPUTED_VALUE"""),988.8)</f>
        <v>988.8</v>
      </c>
      <c r="C2172" s="6">
        <f>IFERROR(__xludf.DUMMYFUNCTION("""COMPUTED_VALUE"""),1007.65)</f>
        <v>1007.65</v>
      </c>
      <c r="D2172" s="6">
        <f>IFERROR(__xludf.DUMMYFUNCTION("""COMPUTED_VALUE"""),968.0)</f>
        <v>968</v>
      </c>
      <c r="E2172" s="6">
        <f>IFERROR(__xludf.DUMMYFUNCTION("""COMPUTED_VALUE"""),972.6)</f>
        <v>972.6</v>
      </c>
      <c r="F2172" s="7">
        <f>IFERROR(__xludf.DUMMYFUNCTION("""COMPUTED_VALUE"""),1800185.0)</f>
        <v>1800185</v>
      </c>
      <c r="G2172" s="7" t="str">
        <f>IFERROR(__xludf.DUMMYFUNCTION("""COMPUTED_VALUE"""),"ADANIGREEN.NS")</f>
        <v>ADANIGREEN.NS</v>
      </c>
      <c r="H2172" s="8">
        <f t="shared" si="1"/>
        <v>-0.01638349515</v>
      </c>
      <c r="I2172" s="8">
        <f t="shared" si="2"/>
        <v>0.01638349515</v>
      </c>
      <c r="J2172" s="7" t="str">
        <f t="shared" si="3"/>
        <v>Aug-2025</v>
      </c>
      <c r="K2172" s="9">
        <f t="shared" si="4"/>
        <v>45870</v>
      </c>
      <c r="L2172" s="7" t="str">
        <f t="shared" si="5"/>
        <v/>
      </c>
      <c r="M2172" s="7" t="str">
        <f>IFERROR(__xludf.DUMMYFUNCTION("IFERROR(
  IF(
    F2172 &gt;
    3*AVERAGE(
       FILTER($F$2:$F10491,
         $G$2:$G10491=G2172,
         $A$2:$A10491&gt;=A2172-20,
         $A$2:$A10491&lt;=A2172
       )
    ),
    ""VOL_SPIKE_3X"",""""
  ),
"""")
"),"")</f>
        <v/>
      </c>
      <c r="N2172" s="7" t="str">
        <f t="shared" si="6"/>
        <v/>
      </c>
      <c r="O2172" s="7" t="str">
        <f t="shared" si="7"/>
        <v/>
      </c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>
      <c r="A2173" s="5">
        <f>IFERROR(__xludf.DUMMYFUNCTION("""COMPUTED_VALUE"""),45870.0)</f>
        <v>45870</v>
      </c>
      <c r="B2173" s="6">
        <f>IFERROR(__xludf.DUMMYFUNCTION("""COMPUTED_VALUE"""),329.0)</f>
        <v>329</v>
      </c>
      <c r="C2173" s="6">
        <f>IFERROR(__xludf.DUMMYFUNCTION("""COMPUTED_VALUE"""),329.3)</f>
        <v>329.3</v>
      </c>
      <c r="D2173" s="6">
        <f>IFERROR(__xludf.DUMMYFUNCTION("""COMPUTED_VALUE"""),316.55)</f>
        <v>316.55</v>
      </c>
      <c r="E2173" s="6">
        <f>IFERROR(__xludf.DUMMYFUNCTION("""COMPUTED_VALUE"""),317.85)</f>
        <v>317.85</v>
      </c>
      <c r="F2173" s="7">
        <f>IFERROR(__xludf.DUMMYFUNCTION("""COMPUTED_VALUE"""),4105518.0)</f>
        <v>4105518</v>
      </c>
      <c r="G2173" s="7" t="str">
        <f>IFERROR(__xludf.DUMMYFUNCTION("""COMPUTED_VALUE"""),"BPCL.NS")</f>
        <v>BPCL.NS</v>
      </c>
      <c r="H2173" s="8">
        <f t="shared" si="1"/>
        <v>-0.03389057751</v>
      </c>
      <c r="I2173" s="8">
        <f t="shared" si="2"/>
        <v>0.03389057751</v>
      </c>
      <c r="J2173" s="7" t="str">
        <f t="shared" si="3"/>
        <v>Aug-2025</v>
      </c>
      <c r="K2173" s="9">
        <f t="shared" si="4"/>
        <v>45870</v>
      </c>
      <c r="L2173" s="7" t="str">
        <f t="shared" si="5"/>
        <v/>
      </c>
      <c r="M2173" s="7" t="str">
        <f>IFERROR(__xludf.DUMMYFUNCTION("IFERROR(
  IF(
    F2173 &gt;
    3*AVERAGE(
       FILTER($F$2:$F10491,
         $G$2:$G10491=G2173,
         $A$2:$A10491&gt;=A2173-20,
         $A$2:$A10491&lt;=A2173
       )
    ),
    ""VOL_SPIKE_3X"",""""
  ),
"""")
"),"")</f>
        <v/>
      </c>
      <c r="N2173" s="7" t="str">
        <f t="shared" si="6"/>
        <v/>
      </c>
      <c r="O2173" s="7" t="str">
        <f t="shared" si="7"/>
        <v/>
      </c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>
      <c r="A2174" s="5">
        <f>IFERROR(__xludf.DUMMYFUNCTION("""COMPUTED_VALUE"""),45870.0)</f>
        <v>45870</v>
      </c>
      <c r="B2174" s="6">
        <f>IFERROR(__xludf.DUMMYFUNCTION("""COMPUTED_VALUE"""),375.0)</f>
        <v>375</v>
      </c>
      <c r="C2174" s="6">
        <f>IFERROR(__xludf.DUMMYFUNCTION("""COMPUTED_VALUE"""),381.15)</f>
        <v>381.15</v>
      </c>
      <c r="D2174" s="6">
        <f>IFERROR(__xludf.DUMMYFUNCTION("""COMPUTED_VALUE"""),370.7)</f>
        <v>370.7</v>
      </c>
      <c r="E2174" s="6">
        <f>IFERROR(__xludf.DUMMYFUNCTION("""COMPUTED_VALUE"""),372.5)</f>
        <v>372.5</v>
      </c>
      <c r="F2174" s="7">
        <f>IFERROR(__xludf.DUMMYFUNCTION("""COMPUTED_VALUE"""),1.3769152E7)</f>
        <v>13769152</v>
      </c>
      <c r="G2174" s="7" t="str">
        <f>IFERROR(__xludf.DUMMYFUNCTION("""COMPUTED_VALUE"""),"COALINDIA.NS")</f>
        <v>COALINDIA.NS</v>
      </c>
      <c r="H2174" s="8">
        <f t="shared" si="1"/>
        <v>-0.006666666667</v>
      </c>
      <c r="I2174" s="8">
        <f t="shared" si="2"/>
        <v>0.006666666667</v>
      </c>
      <c r="J2174" s="7" t="str">
        <f t="shared" si="3"/>
        <v>Aug-2025</v>
      </c>
      <c r="K2174" s="9">
        <f t="shared" si="4"/>
        <v>45870</v>
      </c>
      <c r="L2174" s="7" t="str">
        <f t="shared" si="5"/>
        <v/>
      </c>
      <c r="M2174" s="7" t="str">
        <f>IFERROR(__xludf.DUMMYFUNCTION("IFERROR(
  IF(
    F2174 &gt;
    3*AVERAGE(
       FILTER($F$2:$F10491,
         $G$2:$G10491=G2174,
         $A$2:$A10491&gt;=A2174-20,
         $A$2:$A10491&lt;=A2174
       )
    ),
    ""VOL_SPIKE_3X"",""""
  ),
"""")
"),"")</f>
        <v/>
      </c>
      <c r="N2174" s="7" t="str">
        <f t="shared" si="6"/>
        <v/>
      </c>
      <c r="O2174" s="7" t="str">
        <f t="shared" si="7"/>
        <v/>
      </c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>
      <c r="A2175" s="5">
        <f>IFERROR(__xludf.DUMMYFUNCTION("""COMPUTED_VALUE"""),45870.0)</f>
        <v>45870</v>
      </c>
      <c r="B2175" s="6">
        <f>IFERROR(__xludf.DUMMYFUNCTION("""COMPUTED_VALUE"""),420.9)</f>
        <v>420.9</v>
      </c>
      <c r="C2175" s="6">
        <f>IFERROR(__xludf.DUMMYFUNCTION("""COMPUTED_VALUE"""),421.0)</f>
        <v>421</v>
      </c>
      <c r="D2175" s="6">
        <f>IFERROR(__xludf.DUMMYFUNCTION("""COMPUTED_VALUE"""),402.1)</f>
        <v>402.1</v>
      </c>
      <c r="E2175" s="6">
        <f>IFERROR(__xludf.DUMMYFUNCTION("""COMPUTED_VALUE"""),403.8)</f>
        <v>403.8</v>
      </c>
      <c r="F2175" s="7">
        <f>IFERROR(__xludf.DUMMYFUNCTION("""COMPUTED_VALUE"""),3787580.0)</f>
        <v>3787580</v>
      </c>
      <c r="G2175" s="7" t="str">
        <f>IFERROR(__xludf.DUMMYFUNCTION("""COMPUTED_VALUE"""),"HINDPETRO.NS")</f>
        <v>HINDPETRO.NS</v>
      </c>
      <c r="H2175" s="8">
        <f t="shared" si="1"/>
        <v>-0.04062722737</v>
      </c>
      <c r="I2175" s="8">
        <f t="shared" si="2"/>
        <v>0.04062722737</v>
      </c>
      <c r="J2175" s="7" t="str">
        <f t="shared" si="3"/>
        <v>Aug-2025</v>
      </c>
      <c r="K2175" s="9">
        <f t="shared" si="4"/>
        <v>45870</v>
      </c>
      <c r="L2175" s="7" t="str">
        <f t="shared" si="5"/>
        <v/>
      </c>
      <c r="M2175" s="7" t="str">
        <f>IFERROR(__xludf.DUMMYFUNCTION("IFERROR(
  IF(
    F2175 &gt;
    3*AVERAGE(
       FILTER($F$2:$F10491,
         $G$2:$G10491=G2175,
         $A$2:$A10491&gt;=A2175-20,
         $A$2:$A10491&lt;=A2175
       )
    ),
    ""VOL_SPIKE_3X"",""""
  ),
"""")
"),"")</f>
        <v/>
      </c>
      <c r="N2175" s="7" t="str">
        <f t="shared" si="6"/>
        <v/>
      </c>
      <c r="O2175" s="7" t="str">
        <f t="shared" si="7"/>
        <v/>
      </c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>
      <c r="A2176" s="5">
        <f>IFERROR(__xludf.DUMMYFUNCTION("""COMPUTED_VALUE"""),45870.0)</f>
        <v>45870</v>
      </c>
      <c r="B2176" s="6">
        <f>IFERROR(__xludf.DUMMYFUNCTION("""COMPUTED_VALUE"""),145.33)</f>
        <v>145.33</v>
      </c>
      <c r="C2176" s="6">
        <f>IFERROR(__xludf.DUMMYFUNCTION("""COMPUTED_VALUE"""),146.29)</f>
        <v>146.29</v>
      </c>
      <c r="D2176" s="6">
        <f>IFERROR(__xludf.DUMMYFUNCTION("""COMPUTED_VALUE"""),140.66)</f>
        <v>140.66</v>
      </c>
      <c r="E2176" s="6">
        <f>IFERROR(__xludf.DUMMYFUNCTION("""COMPUTED_VALUE"""),141.03)</f>
        <v>141.03</v>
      </c>
      <c r="F2176" s="7">
        <f>IFERROR(__xludf.DUMMYFUNCTION("""COMPUTED_VALUE"""),8981850.0)</f>
        <v>8981850</v>
      </c>
      <c r="G2176" s="7" t="str">
        <f>IFERROR(__xludf.DUMMYFUNCTION("""COMPUTED_VALUE"""),"IOC.NS")</f>
        <v>IOC.NS</v>
      </c>
      <c r="H2176" s="8">
        <f t="shared" si="1"/>
        <v>-0.02958783458</v>
      </c>
      <c r="I2176" s="8">
        <f t="shared" si="2"/>
        <v>0.02958783458</v>
      </c>
      <c r="J2176" s="7" t="str">
        <f t="shared" si="3"/>
        <v>Aug-2025</v>
      </c>
      <c r="K2176" s="9">
        <f t="shared" si="4"/>
        <v>45870</v>
      </c>
      <c r="L2176" s="7" t="str">
        <f t="shared" si="5"/>
        <v/>
      </c>
      <c r="M2176" s="7" t="str">
        <f>IFERROR(__xludf.DUMMYFUNCTION("IFERROR(
  IF(
    F2176 &gt;
    3*AVERAGE(
       FILTER($F$2:$F10491,
         $G$2:$G10491=G2176,
         $A$2:$A10491&gt;=A2176-20,
         $A$2:$A10491&lt;=A2176
       )
    ),
    ""VOL_SPIKE_3X"",""""
  ),
"""")
"),"")</f>
        <v/>
      </c>
      <c r="N2176" s="7" t="str">
        <f t="shared" si="6"/>
        <v/>
      </c>
      <c r="O2176" s="7" t="str">
        <f t="shared" si="7"/>
        <v/>
      </c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>
      <c r="A2177" s="5">
        <f>IFERROR(__xludf.DUMMYFUNCTION("""COMPUTED_VALUE"""),45870.0)</f>
        <v>45870</v>
      </c>
      <c r="B2177" s="6">
        <f>IFERROR(__xludf.DUMMYFUNCTION("""COMPUTED_VALUE"""),333.0)</f>
        <v>333</v>
      </c>
      <c r="C2177" s="6">
        <f>IFERROR(__xludf.DUMMYFUNCTION("""COMPUTED_VALUE"""),334.75)</f>
        <v>334.75</v>
      </c>
      <c r="D2177" s="6">
        <f>IFERROR(__xludf.DUMMYFUNCTION("""COMPUTED_VALUE"""),330.2)</f>
        <v>330.2</v>
      </c>
      <c r="E2177" s="6">
        <f>IFERROR(__xludf.DUMMYFUNCTION("""COMPUTED_VALUE"""),330.9)</f>
        <v>330.9</v>
      </c>
      <c r="F2177" s="7">
        <f>IFERROR(__xludf.DUMMYFUNCTION("""COMPUTED_VALUE"""),7107542.0)</f>
        <v>7107542</v>
      </c>
      <c r="G2177" s="7" t="str">
        <f>IFERROR(__xludf.DUMMYFUNCTION("""COMPUTED_VALUE"""),"NTPC.NS")</f>
        <v>NTPC.NS</v>
      </c>
      <c r="H2177" s="8">
        <f t="shared" si="1"/>
        <v>-0.006306306306</v>
      </c>
      <c r="I2177" s="8">
        <f t="shared" si="2"/>
        <v>0.006306306306</v>
      </c>
      <c r="J2177" s="7" t="str">
        <f t="shared" si="3"/>
        <v>Aug-2025</v>
      </c>
      <c r="K2177" s="9">
        <f t="shared" si="4"/>
        <v>45870</v>
      </c>
      <c r="L2177" s="7" t="str">
        <f t="shared" si="5"/>
        <v/>
      </c>
      <c r="M2177" s="7" t="str">
        <f>IFERROR(__xludf.DUMMYFUNCTION("IFERROR(
  IF(
    F2177 &gt;
    3*AVERAGE(
       FILTER($F$2:$F10491,
         $G$2:$G10491=G2177,
         $A$2:$A10491&gt;=A2177-20,
         $A$2:$A10491&lt;=A2177
       )
    ),
    ""VOL_SPIKE_3X"",""""
  ),
"""")
"),"")</f>
        <v/>
      </c>
      <c r="N2177" s="7" t="str">
        <f t="shared" si="6"/>
        <v/>
      </c>
      <c r="O2177" s="7" t="str">
        <f t="shared" si="7"/>
        <v/>
      </c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>
      <c r="A2178" s="5">
        <f>IFERROR(__xludf.DUMMYFUNCTION("""COMPUTED_VALUE"""),45870.0)</f>
        <v>45870</v>
      </c>
      <c r="B2178" s="6">
        <f>IFERROR(__xludf.DUMMYFUNCTION("""COMPUTED_VALUE"""),240.1)</f>
        <v>240.1</v>
      </c>
      <c r="C2178" s="6">
        <f>IFERROR(__xludf.DUMMYFUNCTION("""COMPUTED_VALUE"""),240.71)</f>
        <v>240.71</v>
      </c>
      <c r="D2178" s="6">
        <f>IFERROR(__xludf.DUMMYFUNCTION("""COMPUTED_VALUE"""),234.05)</f>
        <v>234.05</v>
      </c>
      <c r="E2178" s="6">
        <f>IFERROR(__xludf.DUMMYFUNCTION("""COMPUTED_VALUE"""),236.79)</f>
        <v>236.79</v>
      </c>
      <c r="F2178" s="7">
        <f>IFERROR(__xludf.DUMMYFUNCTION("""COMPUTED_VALUE"""),1.2629251E7)</f>
        <v>12629251</v>
      </c>
      <c r="G2178" s="7" t="str">
        <f>IFERROR(__xludf.DUMMYFUNCTION("""COMPUTED_VALUE"""),"ONGC.NS")</f>
        <v>ONGC.NS</v>
      </c>
      <c r="H2178" s="8">
        <f t="shared" si="1"/>
        <v>-0.01378592253</v>
      </c>
      <c r="I2178" s="8">
        <f t="shared" si="2"/>
        <v>0.01378592253</v>
      </c>
      <c r="J2178" s="7" t="str">
        <f t="shared" si="3"/>
        <v>Aug-2025</v>
      </c>
      <c r="K2178" s="9">
        <f t="shared" si="4"/>
        <v>45870</v>
      </c>
      <c r="L2178" s="7" t="str">
        <f t="shared" si="5"/>
        <v/>
      </c>
      <c r="M2178" s="7" t="str">
        <f>IFERROR(__xludf.DUMMYFUNCTION("IFERROR(
  IF(
    F2178 &gt;
    3*AVERAGE(
       FILTER($F$2:$F10491,
         $G$2:$G10491=G2178,
         $A$2:$A10491&gt;=A2178-20,
         $A$2:$A10491&lt;=A2178
       )
    ),
    ""VOL_SPIKE_3X"",""""
  ),
"""")
"),"")</f>
        <v/>
      </c>
      <c r="N2178" s="7" t="str">
        <f t="shared" si="6"/>
        <v/>
      </c>
      <c r="O2178" s="7" t="str">
        <f t="shared" si="7"/>
        <v/>
      </c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>
      <c r="A2179" s="5">
        <f>IFERROR(__xludf.DUMMYFUNCTION("""COMPUTED_VALUE"""),45870.0)</f>
        <v>45870</v>
      </c>
      <c r="B2179" s="6">
        <f>IFERROR(__xludf.DUMMYFUNCTION("""COMPUTED_VALUE"""),291.65)</f>
        <v>291.65</v>
      </c>
      <c r="C2179" s="6">
        <f>IFERROR(__xludf.DUMMYFUNCTION("""COMPUTED_VALUE"""),292.8)</f>
        <v>292.8</v>
      </c>
      <c r="D2179" s="6">
        <f>IFERROR(__xludf.DUMMYFUNCTION("""COMPUTED_VALUE"""),286.3)</f>
        <v>286.3</v>
      </c>
      <c r="E2179" s="6">
        <f>IFERROR(__xludf.DUMMYFUNCTION("""COMPUTED_VALUE"""),291.25)</f>
        <v>291.25</v>
      </c>
      <c r="F2179" s="7">
        <f>IFERROR(__xludf.DUMMYFUNCTION("""COMPUTED_VALUE"""),6697683.0)</f>
        <v>6697683</v>
      </c>
      <c r="G2179" s="7" t="str">
        <f>IFERROR(__xludf.DUMMYFUNCTION("""COMPUTED_VALUE"""),"POWERGRID.NS")</f>
        <v>POWERGRID.NS</v>
      </c>
      <c r="H2179" s="8">
        <f t="shared" si="1"/>
        <v>-0.001371506943</v>
      </c>
      <c r="I2179" s="8">
        <f t="shared" si="2"/>
        <v>0.001371506943</v>
      </c>
      <c r="J2179" s="7" t="str">
        <f t="shared" si="3"/>
        <v>Aug-2025</v>
      </c>
      <c r="K2179" s="9">
        <f t="shared" si="4"/>
        <v>45870</v>
      </c>
      <c r="L2179" s="7" t="str">
        <f t="shared" si="5"/>
        <v/>
      </c>
      <c r="M2179" s="7" t="str">
        <f>IFERROR(__xludf.DUMMYFUNCTION("IFERROR(
  IF(
    F2179 &gt;
    3*AVERAGE(
       FILTER($F$2:$F10491,
         $G$2:$G10491=G2179,
         $A$2:$A10491&gt;=A2179-20,
         $A$2:$A10491&lt;=A2179
       )
    ),
    ""VOL_SPIKE_3X"",""""
  ),
"""")
"),"")</f>
        <v/>
      </c>
      <c r="N2179" s="7" t="str">
        <f t="shared" si="6"/>
        <v/>
      </c>
      <c r="O2179" s="7" t="str">
        <f t="shared" si="7"/>
        <v/>
      </c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>
      <c r="A2180" s="5">
        <f>IFERROR(__xludf.DUMMYFUNCTION("""COMPUTED_VALUE"""),45870.0)</f>
        <v>45870</v>
      </c>
      <c r="B2180" s="6">
        <f>IFERROR(__xludf.DUMMYFUNCTION("""COMPUTED_VALUE"""),1386.9)</f>
        <v>1386.9</v>
      </c>
      <c r="C2180" s="6">
        <f>IFERROR(__xludf.DUMMYFUNCTION("""COMPUTED_VALUE"""),1405.9)</f>
        <v>1405.9</v>
      </c>
      <c r="D2180" s="6">
        <f>IFERROR(__xludf.DUMMYFUNCTION("""COMPUTED_VALUE"""),1384.3)</f>
        <v>1384.3</v>
      </c>
      <c r="E2180" s="6">
        <f>IFERROR(__xludf.DUMMYFUNCTION("""COMPUTED_VALUE"""),1393.7)</f>
        <v>1393.7</v>
      </c>
      <c r="F2180" s="7">
        <f>IFERROR(__xludf.DUMMYFUNCTION("""COMPUTED_VALUE"""),1.0321171E7)</f>
        <v>10321171</v>
      </c>
      <c r="G2180" s="7" t="str">
        <f>IFERROR(__xludf.DUMMYFUNCTION("""COMPUTED_VALUE"""),"RELIANCE.NS")</f>
        <v>RELIANCE.NS</v>
      </c>
      <c r="H2180" s="8">
        <f t="shared" si="1"/>
        <v>0.004903021126</v>
      </c>
      <c r="I2180" s="8">
        <f t="shared" si="2"/>
        <v>0.004903021126</v>
      </c>
      <c r="J2180" s="7" t="str">
        <f t="shared" si="3"/>
        <v>Aug-2025</v>
      </c>
      <c r="K2180" s="9">
        <f t="shared" si="4"/>
        <v>45870</v>
      </c>
      <c r="L2180" s="7" t="str">
        <f t="shared" si="5"/>
        <v/>
      </c>
      <c r="M2180" s="7" t="str">
        <f>IFERROR(__xludf.DUMMYFUNCTION("IFERROR(
  IF(
    F2180 &gt;
    3*AVERAGE(
       FILTER($F$2:$F10491,
         $G$2:$G10491=G2180,
         $A$2:$A10491&gt;=A2180-20,
         $A$2:$A10491&lt;=A2180
       )
    ),
    ""VOL_SPIKE_3X"",""""
  ),
"""")
"),"")</f>
        <v/>
      </c>
      <c r="N2180" s="7" t="str">
        <f t="shared" si="6"/>
        <v/>
      </c>
      <c r="O2180" s="7" t="str">
        <f t="shared" si="7"/>
        <v/>
      </c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>
      <c r="A2181" s="5">
        <f>IFERROR(__xludf.DUMMYFUNCTION("""COMPUTED_VALUE"""),45873.0)</f>
        <v>45873</v>
      </c>
      <c r="B2181" s="6">
        <f>IFERROR(__xludf.DUMMYFUNCTION("""COMPUTED_VALUE"""),796.95)</f>
        <v>796.95</v>
      </c>
      <c r="C2181" s="6">
        <f>IFERROR(__xludf.DUMMYFUNCTION("""COMPUTED_VALUE"""),803.2)</f>
        <v>803.2</v>
      </c>
      <c r="D2181" s="6">
        <f>IFERROR(__xludf.DUMMYFUNCTION("""COMPUTED_VALUE"""),793.05)</f>
        <v>793.05</v>
      </c>
      <c r="E2181" s="6">
        <f>IFERROR(__xludf.DUMMYFUNCTION("""COMPUTED_VALUE"""),799.55)</f>
        <v>799.55</v>
      </c>
      <c r="F2181" s="7">
        <f>IFERROR(__xludf.DUMMYFUNCTION("""COMPUTED_VALUE"""),909667.0)</f>
        <v>909667</v>
      </c>
      <c r="G2181" s="7" t="str">
        <f>IFERROR(__xludf.DUMMYFUNCTION("""COMPUTED_VALUE"""),"ADANIENSOL.NS")</f>
        <v>ADANIENSOL.NS</v>
      </c>
      <c r="H2181" s="8">
        <f t="shared" si="1"/>
        <v>0.003262438045</v>
      </c>
      <c r="I2181" s="8">
        <f t="shared" si="2"/>
        <v>0.003262438045</v>
      </c>
      <c r="J2181" s="7" t="str">
        <f t="shared" si="3"/>
        <v>Aug-2025</v>
      </c>
      <c r="K2181" s="9">
        <f t="shared" si="4"/>
        <v>45870</v>
      </c>
      <c r="L2181" s="7" t="str">
        <f t="shared" si="5"/>
        <v/>
      </c>
      <c r="M2181" s="7" t="str">
        <f>IFERROR(__xludf.DUMMYFUNCTION("IFERROR(
  IF(
    F2181 &gt;
    3*AVERAGE(
       FILTER($F$2:$F10491,
         $G$2:$G10491=G2181,
         $A$2:$A10491&gt;=A2181-20,
         $A$2:$A10491&lt;=A2181
       )
    ),
    ""VOL_SPIKE_3X"",""""
  ),
"""")
"),"")</f>
        <v/>
      </c>
      <c r="N2181" s="7" t="str">
        <f t="shared" si="6"/>
        <v/>
      </c>
      <c r="O2181" s="7" t="str">
        <f t="shared" si="7"/>
        <v/>
      </c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>
      <c r="A2182" s="5">
        <f>IFERROR(__xludf.DUMMYFUNCTION("""COMPUTED_VALUE"""),45873.0)</f>
        <v>45873</v>
      </c>
      <c r="B2182" s="6">
        <f>IFERROR(__xludf.DUMMYFUNCTION("""COMPUTED_VALUE"""),980.0)</f>
        <v>980</v>
      </c>
      <c r="C2182" s="6">
        <f>IFERROR(__xludf.DUMMYFUNCTION("""COMPUTED_VALUE"""),997.0)</f>
        <v>997</v>
      </c>
      <c r="D2182" s="6">
        <f>IFERROR(__xludf.DUMMYFUNCTION("""COMPUTED_VALUE"""),971.65)</f>
        <v>971.65</v>
      </c>
      <c r="E2182" s="6">
        <f>IFERROR(__xludf.DUMMYFUNCTION("""COMPUTED_VALUE"""),989.8)</f>
        <v>989.8</v>
      </c>
      <c r="F2182" s="7">
        <f>IFERROR(__xludf.DUMMYFUNCTION("""COMPUTED_VALUE"""),1280378.0)</f>
        <v>1280378</v>
      </c>
      <c r="G2182" s="7" t="str">
        <f>IFERROR(__xludf.DUMMYFUNCTION("""COMPUTED_VALUE"""),"ADANIGREEN.NS")</f>
        <v>ADANIGREEN.NS</v>
      </c>
      <c r="H2182" s="8">
        <f t="shared" si="1"/>
        <v>0.01</v>
      </c>
      <c r="I2182" s="8">
        <f t="shared" si="2"/>
        <v>0.01</v>
      </c>
      <c r="J2182" s="7" t="str">
        <f t="shared" si="3"/>
        <v>Aug-2025</v>
      </c>
      <c r="K2182" s="9">
        <f t="shared" si="4"/>
        <v>45870</v>
      </c>
      <c r="L2182" s="7" t="str">
        <f t="shared" si="5"/>
        <v/>
      </c>
      <c r="M2182" s="7" t="str">
        <f>IFERROR(__xludf.DUMMYFUNCTION("IFERROR(
  IF(
    F2182 &gt;
    3*AVERAGE(
       FILTER($F$2:$F10491,
         $G$2:$G10491=G2182,
         $A$2:$A10491&gt;=A2182-20,
         $A$2:$A10491&lt;=A2182
       )
    ),
    ""VOL_SPIKE_3X"",""""
  ),
"""")
"),"")</f>
        <v/>
      </c>
      <c r="N2182" s="7" t="str">
        <f t="shared" si="6"/>
        <v/>
      </c>
      <c r="O2182" s="7" t="str">
        <f t="shared" si="7"/>
        <v/>
      </c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>
      <c r="A2183" s="5">
        <f>IFERROR(__xludf.DUMMYFUNCTION("""COMPUTED_VALUE"""),45873.0)</f>
        <v>45873</v>
      </c>
      <c r="B2183" s="6">
        <f>IFERROR(__xludf.DUMMYFUNCTION("""COMPUTED_VALUE"""),320.15)</f>
        <v>320.15</v>
      </c>
      <c r="C2183" s="6">
        <f>IFERROR(__xludf.DUMMYFUNCTION("""COMPUTED_VALUE"""),320.75)</f>
        <v>320.75</v>
      </c>
      <c r="D2183" s="6">
        <f>IFERROR(__xludf.DUMMYFUNCTION("""COMPUTED_VALUE"""),314.9)</f>
        <v>314.9</v>
      </c>
      <c r="E2183" s="6">
        <f>IFERROR(__xludf.DUMMYFUNCTION("""COMPUTED_VALUE"""),317.85)</f>
        <v>317.85</v>
      </c>
      <c r="F2183" s="7">
        <f>IFERROR(__xludf.DUMMYFUNCTION("""COMPUTED_VALUE"""),3536322.0)</f>
        <v>3536322</v>
      </c>
      <c r="G2183" s="7" t="str">
        <f>IFERROR(__xludf.DUMMYFUNCTION("""COMPUTED_VALUE"""),"BPCL.NS")</f>
        <v>BPCL.NS</v>
      </c>
      <c r="H2183" s="8">
        <f t="shared" si="1"/>
        <v>-0.007184132438</v>
      </c>
      <c r="I2183" s="8">
        <f t="shared" si="2"/>
        <v>0.007184132438</v>
      </c>
      <c r="J2183" s="7" t="str">
        <f t="shared" si="3"/>
        <v>Aug-2025</v>
      </c>
      <c r="K2183" s="9">
        <f t="shared" si="4"/>
        <v>45870</v>
      </c>
      <c r="L2183" s="7" t="str">
        <f t="shared" si="5"/>
        <v/>
      </c>
      <c r="M2183" s="7" t="str">
        <f>IFERROR(__xludf.DUMMYFUNCTION("IFERROR(
  IF(
    F2183 &gt;
    3*AVERAGE(
       FILTER($F$2:$F10491,
         $G$2:$G10491=G2183,
         $A$2:$A10491&gt;=A2183-20,
         $A$2:$A10491&lt;=A2183
       )
    ),
    ""VOL_SPIKE_3X"",""""
  ),
"""")
"),"")</f>
        <v/>
      </c>
      <c r="N2183" s="7" t="str">
        <f t="shared" si="6"/>
        <v/>
      </c>
      <c r="O2183" s="7" t="str">
        <f t="shared" si="7"/>
        <v/>
      </c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>
      <c r="A2184" s="5">
        <f>IFERROR(__xludf.DUMMYFUNCTION("""COMPUTED_VALUE"""),45873.0)</f>
        <v>45873</v>
      </c>
      <c r="B2184" s="6">
        <f>IFERROR(__xludf.DUMMYFUNCTION("""COMPUTED_VALUE"""),372.45)</f>
        <v>372.45</v>
      </c>
      <c r="C2184" s="6">
        <f>IFERROR(__xludf.DUMMYFUNCTION("""COMPUTED_VALUE"""),378.75)</f>
        <v>378.75</v>
      </c>
      <c r="D2184" s="6">
        <f>IFERROR(__xludf.DUMMYFUNCTION("""COMPUTED_VALUE"""),370.2)</f>
        <v>370.2</v>
      </c>
      <c r="E2184" s="6">
        <f>IFERROR(__xludf.DUMMYFUNCTION("""COMPUTED_VALUE"""),374.7)</f>
        <v>374.7</v>
      </c>
      <c r="F2184" s="7">
        <f>IFERROR(__xludf.DUMMYFUNCTION("""COMPUTED_VALUE"""),1.975693E7)</f>
        <v>19756930</v>
      </c>
      <c r="G2184" s="7" t="str">
        <f>IFERROR(__xludf.DUMMYFUNCTION("""COMPUTED_VALUE"""),"COALINDIA.NS")</f>
        <v>COALINDIA.NS</v>
      </c>
      <c r="H2184" s="8">
        <f t="shared" si="1"/>
        <v>0.00604107934</v>
      </c>
      <c r="I2184" s="8">
        <f t="shared" si="2"/>
        <v>0.00604107934</v>
      </c>
      <c r="J2184" s="7" t="str">
        <f t="shared" si="3"/>
        <v>Aug-2025</v>
      </c>
      <c r="K2184" s="9">
        <f t="shared" si="4"/>
        <v>45870</v>
      </c>
      <c r="L2184" s="7" t="str">
        <f t="shared" si="5"/>
        <v/>
      </c>
      <c r="M2184" s="7" t="str">
        <f>IFERROR(__xludf.DUMMYFUNCTION("IFERROR(
  IF(
    F2184 &gt;
    3*AVERAGE(
       FILTER($F$2:$F10491,
         $G$2:$G10491=G2184,
         $A$2:$A10491&gt;=A2184-20,
         $A$2:$A10491&lt;=A2184
       )
    ),
    ""VOL_SPIKE_3X"",""""
  ),
"""")
"),"VOL_SPIKE_3X")</f>
        <v>VOL_SPIKE_3X</v>
      </c>
      <c r="N2184" s="7" t="str">
        <f t="shared" si="6"/>
        <v>VOL_SPIKE_3X</v>
      </c>
      <c r="O2184" s="7" t="str">
        <f t="shared" si="7"/>
        <v/>
      </c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>
      <c r="A2185" s="5">
        <f>IFERROR(__xludf.DUMMYFUNCTION("""COMPUTED_VALUE"""),45873.0)</f>
        <v>45873</v>
      </c>
      <c r="B2185" s="6">
        <f>IFERROR(__xludf.DUMMYFUNCTION("""COMPUTED_VALUE"""),409.0)</f>
        <v>409</v>
      </c>
      <c r="C2185" s="6">
        <f>IFERROR(__xludf.DUMMYFUNCTION("""COMPUTED_VALUE"""),409.55)</f>
        <v>409.55</v>
      </c>
      <c r="D2185" s="6">
        <f>IFERROR(__xludf.DUMMYFUNCTION("""COMPUTED_VALUE"""),399.7)</f>
        <v>399.7</v>
      </c>
      <c r="E2185" s="6">
        <f>IFERROR(__xludf.DUMMYFUNCTION("""COMPUTED_VALUE"""),408.65)</f>
        <v>408.65</v>
      </c>
      <c r="F2185" s="7">
        <f>IFERROR(__xludf.DUMMYFUNCTION("""COMPUTED_VALUE"""),3277835.0)</f>
        <v>3277835</v>
      </c>
      <c r="G2185" s="7" t="str">
        <f>IFERROR(__xludf.DUMMYFUNCTION("""COMPUTED_VALUE"""),"HINDPETRO.NS")</f>
        <v>HINDPETRO.NS</v>
      </c>
      <c r="H2185" s="8">
        <f t="shared" si="1"/>
        <v>-0.0008557457213</v>
      </c>
      <c r="I2185" s="8">
        <f t="shared" si="2"/>
        <v>0.0008557457213</v>
      </c>
      <c r="J2185" s="7" t="str">
        <f t="shared" si="3"/>
        <v>Aug-2025</v>
      </c>
      <c r="K2185" s="9">
        <f t="shared" si="4"/>
        <v>45870</v>
      </c>
      <c r="L2185" s="7" t="str">
        <f t="shared" si="5"/>
        <v/>
      </c>
      <c r="M2185" s="7" t="str">
        <f>IFERROR(__xludf.DUMMYFUNCTION("IFERROR(
  IF(
    F2185 &gt;
    3*AVERAGE(
       FILTER($F$2:$F10491,
         $G$2:$G10491=G2185,
         $A$2:$A10491&gt;=A2185-20,
         $A$2:$A10491&lt;=A2185
       )
    ),
    ""VOL_SPIKE_3X"",""""
  ),
"""")
"),"")</f>
        <v/>
      </c>
      <c r="N2185" s="7" t="str">
        <f t="shared" si="6"/>
        <v/>
      </c>
      <c r="O2185" s="7" t="str">
        <f t="shared" si="7"/>
        <v/>
      </c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>
      <c r="A2186" s="5">
        <f>IFERROR(__xludf.DUMMYFUNCTION("""COMPUTED_VALUE"""),45873.0)</f>
        <v>45873</v>
      </c>
      <c r="B2186" s="6">
        <f>IFERROR(__xludf.DUMMYFUNCTION("""COMPUTED_VALUE"""),141.72)</f>
        <v>141.72</v>
      </c>
      <c r="C2186" s="6">
        <f>IFERROR(__xludf.DUMMYFUNCTION("""COMPUTED_VALUE"""),142.9)</f>
        <v>142.9</v>
      </c>
      <c r="D2186" s="6">
        <f>IFERROR(__xludf.DUMMYFUNCTION("""COMPUTED_VALUE"""),139.72)</f>
        <v>139.72</v>
      </c>
      <c r="E2186" s="6">
        <f>IFERROR(__xludf.DUMMYFUNCTION("""COMPUTED_VALUE"""),142.38)</f>
        <v>142.38</v>
      </c>
      <c r="F2186" s="7">
        <f>IFERROR(__xludf.DUMMYFUNCTION("""COMPUTED_VALUE"""),8163596.0)</f>
        <v>8163596</v>
      </c>
      <c r="G2186" s="7" t="str">
        <f>IFERROR(__xludf.DUMMYFUNCTION("""COMPUTED_VALUE"""),"IOC.NS")</f>
        <v>IOC.NS</v>
      </c>
      <c r="H2186" s="8">
        <f t="shared" si="1"/>
        <v>0.004657070279</v>
      </c>
      <c r="I2186" s="8">
        <f t="shared" si="2"/>
        <v>0.004657070279</v>
      </c>
      <c r="J2186" s="7" t="str">
        <f t="shared" si="3"/>
        <v>Aug-2025</v>
      </c>
      <c r="K2186" s="9">
        <f t="shared" si="4"/>
        <v>45870</v>
      </c>
      <c r="L2186" s="7" t="str">
        <f t="shared" si="5"/>
        <v/>
      </c>
      <c r="M2186" s="7" t="str">
        <f>IFERROR(__xludf.DUMMYFUNCTION("IFERROR(
  IF(
    F2186 &gt;
    3*AVERAGE(
       FILTER($F$2:$F10491,
         $G$2:$G10491=G2186,
         $A$2:$A10491&gt;=A2186-20,
         $A$2:$A10491&lt;=A2186
       )
    ),
    ""VOL_SPIKE_3X"",""""
  ),
"""")
"),"")</f>
        <v/>
      </c>
      <c r="N2186" s="7" t="str">
        <f t="shared" si="6"/>
        <v/>
      </c>
      <c r="O2186" s="7" t="str">
        <f t="shared" si="7"/>
        <v/>
      </c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>
      <c r="A2187" s="5">
        <f>IFERROR(__xludf.DUMMYFUNCTION("""COMPUTED_VALUE"""),45873.0)</f>
        <v>45873</v>
      </c>
      <c r="B2187" s="6">
        <f>IFERROR(__xludf.DUMMYFUNCTION("""COMPUTED_VALUE"""),330.9)</f>
        <v>330.9</v>
      </c>
      <c r="C2187" s="6">
        <f>IFERROR(__xludf.DUMMYFUNCTION("""COMPUTED_VALUE"""),333.3)</f>
        <v>333.3</v>
      </c>
      <c r="D2187" s="6">
        <f>IFERROR(__xludf.DUMMYFUNCTION("""COMPUTED_VALUE"""),327.2)</f>
        <v>327.2</v>
      </c>
      <c r="E2187" s="6">
        <f>IFERROR(__xludf.DUMMYFUNCTION("""COMPUTED_VALUE"""),332.0)</f>
        <v>332</v>
      </c>
      <c r="F2187" s="7">
        <f>IFERROR(__xludf.DUMMYFUNCTION("""COMPUTED_VALUE"""),8193399.0)</f>
        <v>8193399</v>
      </c>
      <c r="G2187" s="7" t="str">
        <f>IFERROR(__xludf.DUMMYFUNCTION("""COMPUTED_VALUE"""),"NTPC.NS")</f>
        <v>NTPC.NS</v>
      </c>
      <c r="H2187" s="8">
        <f t="shared" si="1"/>
        <v>0.00332426715</v>
      </c>
      <c r="I2187" s="8">
        <f t="shared" si="2"/>
        <v>0.00332426715</v>
      </c>
      <c r="J2187" s="7" t="str">
        <f t="shared" si="3"/>
        <v>Aug-2025</v>
      </c>
      <c r="K2187" s="9">
        <f t="shared" si="4"/>
        <v>45870</v>
      </c>
      <c r="L2187" s="7" t="str">
        <f t="shared" si="5"/>
        <v/>
      </c>
      <c r="M2187" s="7" t="str">
        <f>IFERROR(__xludf.DUMMYFUNCTION("IFERROR(
  IF(
    F2187 &gt;
    3*AVERAGE(
       FILTER($F$2:$F10491,
         $G$2:$G10491=G2187,
         $A$2:$A10491&gt;=A2187-20,
         $A$2:$A10491&lt;=A2187
       )
    ),
    ""VOL_SPIKE_3X"",""""
  ),
"""")
"),"")</f>
        <v/>
      </c>
      <c r="N2187" s="7" t="str">
        <f t="shared" si="6"/>
        <v/>
      </c>
      <c r="O2187" s="7" t="str">
        <f t="shared" si="7"/>
        <v/>
      </c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>
      <c r="A2188" s="5">
        <f>IFERROR(__xludf.DUMMYFUNCTION("""COMPUTED_VALUE"""),45873.0)</f>
        <v>45873</v>
      </c>
      <c r="B2188" s="6">
        <f>IFERROR(__xludf.DUMMYFUNCTION("""COMPUTED_VALUE"""),236.5)</f>
        <v>236.5</v>
      </c>
      <c r="C2188" s="6">
        <f>IFERROR(__xludf.DUMMYFUNCTION("""COMPUTED_VALUE"""),238.39)</f>
        <v>238.39</v>
      </c>
      <c r="D2188" s="6">
        <f>IFERROR(__xludf.DUMMYFUNCTION("""COMPUTED_VALUE"""),234.0)</f>
        <v>234</v>
      </c>
      <c r="E2188" s="6">
        <f>IFERROR(__xludf.DUMMYFUNCTION("""COMPUTED_VALUE"""),234.83)</f>
        <v>234.83</v>
      </c>
      <c r="F2188" s="7">
        <f>IFERROR(__xludf.DUMMYFUNCTION("""COMPUTED_VALUE"""),1.6174972E7)</f>
        <v>16174972</v>
      </c>
      <c r="G2188" s="7" t="str">
        <f>IFERROR(__xludf.DUMMYFUNCTION("""COMPUTED_VALUE"""),"ONGC.NS")</f>
        <v>ONGC.NS</v>
      </c>
      <c r="H2188" s="8">
        <f t="shared" si="1"/>
        <v>-0.007061310782</v>
      </c>
      <c r="I2188" s="8">
        <f t="shared" si="2"/>
        <v>0.007061310782</v>
      </c>
      <c r="J2188" s="7" t="str">
        <f t="shared" si="3"/>
        <v>Aug-2025</v>
      </c>
      <c r="K2188" s="9">
        <f t="shared" si="4"/>
        <v>45870</v>
      </c>
      <c r="L2188" s="7" t="str">
        <f t="shared" si="5"/>
        <v/>
      </c>
      <c r="M2188" s="7" t="str">
        <f>IFERROR(__xludf.DUMMYFUNCTION("IFERROR(
  IF(
    F2188 &gt;
    3*AVERAGE(
       FILTER($F$2:$F10491,
         $G$2:$G10491=G2188,
         $A$2:$A10491&gt;=A2188-20,
         $A$2:$A10491&lt;=A2188
       )
    ),
    ""VOL_SPIKE_3X"",""""
  ),
"""")
"),"")</f>
        <v/>
      </c>
      <c r="N2188" s="7" t="str">
        <f t="shared" si="6"/>
        <v/>
      </c>
      <c r="O2188" s="7" t="str">
        <f t="shared" si="7"/>
        <v/>
      </c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>
      <c r="A2189" s="5">
        <f>IFERROR(__xludf.DUMMYFUNCTION("""COMPUTED_VALUE"""),45873.0)</f>
        <v>45873</v>
      </c>
      <c r="B2189" s="6">
        <f>IFERROR(__xludf.DUMMYFUNCTION("""COMPUTED_VALUE"""),291.2)</f>
        <v>291.2</v>
      </c>
      <c r="C2189" s="6">
        <f>IFERROR(__xludf.DUMMYFUNCTION("""COMPUTED_VALUE"""),291.55)</f>
        <v>291.55</v>
      </c>
      <c r="D2189" s="6">
        <f>IFERROR(__xludf.DUMMYFUNCTION("""COMPUTED_VALUE"""),285.7)</f>
        <v>285.7</v>
      </c>
      <c r="E2189" s="6">
        <f>IFERROR(__xludf.DUMMYFUNCTION("""COMPUTED_VALUE"""),287.95)</f>
        <v>287.95</v>
      </c>
      <c r="F2189" s="7">
        <f>IFERROR(__xludf.DUMMYFUNCTION("""COMPUTED_VALUE"""),1.0397121E7)</f>
        <v>10397121</v>
      </c>
      <c r="G2189" s="7" t="str">
        <f>IFERROR(__xludf.DUMMYFUNCTION("""COMPUTED_VALUE"""),"POWERGRID.NS")</f>
        <v>POWERGRID.NS</v>
      </c>
      <c r="H2189" s="8">
        <f t="shared" si="1"/>
        <v>-0.01116071429</v>
      </c>
      <c r="I2189" s="8">
        <f t="shared" si="2"/>
        <v>0.01116071429</v>
      </c>
      <c r="J2189" s="7" t="str">
        <f t="shared" si="3"/>
        <v>Aug-2025</v>
      </c>
      <c r="K2189" s="9">
        <f t="shared" si="4"/>
        <v>45870</v>
      </c>
      <c r="L2189" s="7" t="str">
        <f t="shared" si="5"/>
        <v/>
      </c>
      <c r="M2189" s="7" t="str">
        <f>IFERROR(__xludf.DUMMYFUNCTION("IFERROR(
  IF(
    F2189 &gt;
    3*AVERAGE(
       FILTER($F$2:$F10491,
         $G$2:$G10491=G2189,
         $A$2:$A10491&gt;=A2189-20,
         $A$2:$A10491&lt;=A2189
       )
    ),
    ""VOL_SPIKE_3X"",""""
  ),
"""")
"),"")</f>
        <v/>
      </c>
      <c r="N2189" s="7" t="str">
        <f t="shared" si="6"/>
        <v/>
      </c>
      <c r="O2189" s="7" t="str">
        <f t="shared" si="7"/>
        <v/>
      </c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>
      <c r="A2190" s="5">
        <f>IFERROR(__xludf.DUMMYFUNCTION("""COMPUTED_VALUE"""),45873.0)</f>
        <v>45873</v>
      </c>
      <c r="B2190" s="6">
        <f>IFERROR(__xludf.DUMMYFUNCTION("""COMPUTED_VALUE"""),1395.1)</f>
        <v>1395.1</v>
      </c>
      <c r="C2190" s="6">
        <f>IFERROR(__xludf.DUMMYFUNCTION("""COMPUTED_VALUE"""),1416.1)</f>
        <v>1416.1</v>
      </c>
      <c r="D2190" s="6">
        <f>IFERROR(__xludf.DUMMYFUNCTION("""COMPUTED_VALUE"""),1391.7)</f>
        <v>1391.7</v>
      </c>
      <c r="E2190" s="6">
        <f>IFERROR(__xludf.DUMMYFUNCTION("""COMPUTED_VALUE"""),1411.5)</f>
        <v>1411.5</v>
      </c>
      <c r="F2190" s="7">
        <f>IFERROR(__xludf.DUMMYFUNCTION("""COMPUTED_VALUE"""),6312820.0)</f>
        <v>6312820</v>
      </c>
      <c r="G2190" s="7" t="str">
        <f>IFERROR(__xludf.DUMMYFUNCTION("""COMPUTED_VALUE"""),"RELIANCE.NS")</f>
        <v>RELIANCE.NS</v>
      </c>
      <c r="H2190" s="8">
        <f t="shared" si="1"/>
        <v>0.01175542972</v>
      </c>
      <c r="I2190" s="8">
        <f t="shared" si="2"/>
        <v>0.01175542972</v>
      </c>
      <c r="J2190" s="7" t="str">
        <f t="shared" si="3"/>
        <v>Aug-2025</v>
      </c>
      <c r="K2190" s="9">
        <f t="shared" si="4"/>
        <v>45870</v>
      </c>
      <c r="L2190" s="7" t="str">
        <f t="shared" si="5"/>
        <v/>
      </c>
      <c r="M2190" s="7" t="str">
        <f>IFERROR(__xludf.DUMMYFUNCTION("IFERROR(
  IF(
    F2190 &gt;
    3*AVERAGE(
       FILTER($F$2:$F10491,
         $G$2:$G10491=G2190,
         $A$2:$A10491&gt;=A2190-20,
         $A$2:$A10491&lt;=A2190
       )
    ),
    ""VOL_SPIKE_3X"",""""
  ),
"""")
"),"")</f>
        <v/>
      </c>
      <c r="N2190" s="7" t="str">
        <f t="shared" si="6"/>
        <v/>
      </c>
      <c r="O2190" s="7" t="str">
        <f t="shared" si="7"/>
        <v/>
      </c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>
      <c r="A2191" s="5">
        <f>IFERROR(__xludf.DUMMYFUNCTION("""COMPUTED_VALUE"""),45874.0)</f>
        <v>45874</v>
      </c>
      <c r="B2191" s="6">
        <f>IFERROR(__xludf.DUMMYFUNCTION("""COMPUTED_VALUE"""),803.2)</f>
        <v>803.2</v>
      </c>
      <c r="C2191" s="6">
        <f>IFERROR(__xludf.DUMMYFUNCTION("""COMPUTED_VALUE"""),804.7)</f>
        <v>804.7</v>
      </c>
      <c r="D2191" s="6">
        <f>IFERROR(__xludf.DUMMYFUNCTION("""COMPUTED_VALUE"""),782.1)</f>
        <v>782.1</v>
      </c>
      <c r="E2191" s="6">
        <f>IFERROR(__xludf.DUMMYFUNCTION("""COMPUTED_VALUE"""),802.05)</f>
        <v>802.05</v>
      </c>
      <c r="F2191" s="7">
        <f>IFERROR(__xludf.DUMMYFUNCTION("""COMPUTED_VALUE"""),1100031.0)</f>
        <v>1100031</v>
      </c>
      <c r="G2191" s="7" t="str">
        <f>IFERROR(__xludf.DUMMYFUNCTION("""COMPUTED_VALUE"""),"ADANIENSOL.NS")</f>
        <v>ADANIENSOL.NS</v>
      </c>
      <c r="H2191" s="8">
        <f t="shared" si="1"/>
        <v>-0.001431772908</v>
      </c>
      <c r="I2191" s="8">
        <f t="shared" si="2"/>
        <v>0.001431772908</v>
      </c>
      <c r="J2191" s="7" t="str">
        <f t="shared" si="3"/>
        <v>Aug-2025</v>
      </c>
      <c r="K2191" s="9">
        <f t="shared" si="4"/>
        <v>45870</v>
      </c>
      <c r="L2191" s="7" t="str">
        <f t="shared" si="5"/>
        <v/>
      </c>
      <c r="M2191" s="7" t="str">
        <f>IFERROR(__xludf.DUMMYFUNCTION("IFERROR(
  IF(
    F2191 &gt;
    3*AVERAGE(
       FILTER($F$2:$F10491,
         $G$2:$G10491=G2191,
         $A$2:$A10491&gt;=A2191-20,
         $A$2:$A10491&lt;=A2191
       )
    ),
    ""VOL_SPIKE_3X"",""""
  ),
"""")
"),"")</f>
        <v/>
      </c>
      <c r="N2191" s="7" t="str">
        <f t="shared" si="6"/>
        <v/>
      </c>
      <c r="O2191" s="7" t="str">
        <f t="shared" si="7"/>
        <v/>
      </c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>
      <c r="A2192" s="5">
        <f>IFERROR(__xludf.DUMMYFUNCTION("""COMPUTED_VALUE"""),45874.0)</f>
        <v>45874</v>
      </c>
      <c r="B2192" s="6">
        <f>IFERROR(__xludf.DUMMYFUNCTION("""COMPUTED_VALUE"""),993.0)</f>
        <v>993</v>
      </c>
      <c r="C2192" s="6">
        <f>IFERROR(__xludf.DUMMYFUNCTION("""COMPUTED_VALUE"""),996.4)</f>
        <v>996.4</v>
      </c>
      <c r="D2192" s="6">
        <f>IFERROR(__xludf.DUMMYFUNCTION("""COMPUTED_VALUE"""),965.2)</f>
        <v>965.2</v>
      </c>
      <c r="E2192" s="6">
        <f>IFERROR(__xludf.DUMMYFUNCTION("""COMPUTED_VALUE"""),971.75)</f>
        <v>971.75</v>
      </c>
      <c r="F2192" s="7">
        <f>IFERROR(__xludf.DUMMYFUNCTION("""COMPUTED_VALUE"""),1365079.0)</f>
        <v>1365079</v>
      </c>
      <c r="G2192" s="7" t="str">
        <f>IFERROR(__xludf.DUMMYFUNCTION("""COMPUTED_VALUE"""),"ADANIGREEN.NS")</f>
        <v>ADANIGREEN.NS</v>
      </c>
      <c r="H2192" s="8">
        <f t="shared" si="1"/>
        <v>-0.02139979859</v>
      </c>
      <c r="I2192" s="8">
        <f t="shared" si="2"/>
        <v>0.02139979859</v>
      </c>
      <c r="J2192" s="7" t="str">
        <f t="shared" si="3"/>
        <v>Aug-2025</v>
      </c>
      <c r="K2192" s="9">
        <f t="shared" si="4"/>
        <v>45870</v>
      </c>
      <c r="L2192" s="7" t="str">
        <f t="shared" si="5"/>
        <v/>
      </c>
      <c r="M2192" s="7" t="str">
        <f>IFERROR(__xludf.DUMMYFUNCTION("IFERROR(
  IF(
    F2192 &gt;
    3*AVERAGE(
       FILTER($F$2:$F10491,
         $G$2:$G10491=G2192,
         $A$2:$A10491&gt;=A2192-20,
         $A$2:$A10491&lt;=A2192
       )
    ),
    ""VOL_SPIKE_3X"",""""
  ),
"""")
"),"")</f>
        <v/>
      </c>
      <c r="N2192" s="7" t="str">
        <f t="shared" si="6"/>
        <v/>
      </c>
      <c r="O2192" s="7" t="str">
        <f t="shared" si="7"/>
        <v/>
      </c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>
      <c r="A2193" s="5">
        <f>IFERROR(__xludf.DUMMYFUNCTION("""COMPUTED_VALUE"""),45874.0)</f>
        <v>45874</v>
      </c>
      <c r="B2193" s="6">
        <f>IFERROR(__xludf.DUMMYFUNCTION("""COMPUTED_VALUE"""),317.0)</f>
        <v>317</v>
      </c>
      <c r="C2193" s="6">
        <f>IFERROR(__xludf.DUMMYFUNCTION("""COMPUTED_VALUE"""),318.0)</f>
        <v>318</v>
      </c>
      <c r="D2193" s="6">
        <f>IFERROR(__xludf.DUMMYFUNCTION("""COMPUTED_VALUE"""),309.55)</f>
        <v>309.55</v>
      </c>
      <c r="E2193" s="6">
        <f>IFERROR(__xludf.DUMMYFUNCTION("""COMPUTED_VALUE"""),315.1)</f>
        <v>315.1</v>
      </c>
      <c r="F2193" s="7">
        <f>IFERROR(__xludf.DUMMYFUNCTION("""COMPUTED_VALUE"""),6730701.0)</f>
        <v>6730701</v>
      </c>
      <c r="G2193" s="7" t="str">
        <f>IFERROR(__xludf.DUMMYFUNCTION("""COMPUTED_VALUE"""),"BPCL.NS")</f>
        <v>BPCL.NS</v>
      </c>
      <c r="H2193" s="8">
        <f t="shared" si="1"/>
        <v>-0.005993690852</v>
      </c>
      <c r="I2193" s="8">
        <f t="shared" si="2"/>
        <v>0.005993690852</v>
      </c>
      <c r="J2193" s="7" t="str">
        <f t="shared" si="3"/>
        <v>Aug-2025</v>
      </c>
      <c r="K2193" s="9">
        <f t="shared" si="4"/>
        <v>45870</v>
      </c>
      <c r="L2193" s="7" t="str">
        <f t="shared" si="5"/>
        <v/>
      </c>
      <c r="M2193" s="7" t="str">
        <f>IFERROR(__xludf.DUMMYFUNCTION("IFERROR(
  IF(
    F2193 &gt;
    3*AVERAGE(
       FILTER($F$2:$F10491,
         $G$2:$G10491=G2193,
         $A$2:$A10491&gt;=A2193-20,
         $A$2:$A10491&lt;=A2193
       )
    ),
    ""VOL_SPIKE_3X"",""""
  ),
"""")
"),"")</f>
        <v/>
      </c>
      <c r="N2193" s="7" t="str">
        <f t="shared" si="6"/>
        <v/>
      </c>
      <c r="O2193" s="7" t="str">
        <f t="shared" si="7"/>
        <v/>
      </c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>
      <c r="A2194" s="5">
        <f>IFERROR(__xludf.DUMMYFUNCTION("""COMPUTED_VALUE"""),45874.0)</f>
        <v>45874</v>
      </c>
      <c r="B2194" s="6">
        <f>IFERROR(__xludf.DUMMYFUNCTION("""COMPUTED_VALUE"""),376.0)</f>
        <v>376</v>
      </c>
      <c r="C2194" s="6">
        <f>IFERROR(__xludf.DUMMYFUNCTION("""COMPUTED_VALUE"""),380.7)</f>
        <v>380.7</v>
      </c>
      <c r="D2194" s="6">
        <f>IFERROR(__xludf.DUMMYFUNCTION("""COMPUTED_VALUE"""),374.5)</f>
        <v>374.5</v>
      </c>
      <c r="E2194" s="6">
        <f>IFERROR(__xludf.DUMMYFUNCTION("""COMPUTED_VALUE"""),379.5)</f>
        <v>379.5</v>
      </c>
      <c r="F2194" s="7">
        <f>IFERROR(__xludf.DUMMYFUNCTION("""COMPUTED_VALUE"""),6846687.0)</f>
        <v>6846687</v>
      </c>
      <c r="G2194" s="7" t="str">
        <f>IFERROR(__xludf.DUMMYFUNCTION("""COMPUTED_VALUE"""),"COALINDIA.NS")</f>
        <v>COALINDIA.NS</v>
      </c>
      <c r="H2194" s="8">
        <f t="shared" si="1"/>
        <v>0.009308510638</v>
      </c>
      <c r="I2194" s="8">
        <f t="shared" si="2"/>
        <v>0.009308510638</v>
      </c>
      <c r="J2194" s="7" t="str">
        <f t="shared" si="3"/>
        <v>Aug-2025</v>
      </c>
      <c r="K2194" s="9">
        <f t="shared" si="4"/>
        <v>45870</v>
      </c>
      <c r="L2194" s="7" t="str">
        <f t="shared" si="5"/>
        <v/>
      </c>
      <c r="M2194" s="7" t="str">
        <f>IFERROR(__xludf.DUMMYFUNCTION("IFERROR(
  IF(
    F2194 &gt;
    3*AVERAGE(
       FILTER($F$2:$F10491,
         $G$2:$G10491=G2194,
         $A$2:$A10491&gt;=A2194-20,
         $A$2:$A10491&lt;=A2194
       )
    ),
    ""VOL_SPIKE_3X"",""""
  ),
"""")
"),"")</f>
        <v/>
      </c>
      <c r="N2194" s="7" t="str">
        <f t="shared" si="6"/>
        <v/>
      </c>
      <c r="O2194" s="7" t="str">
        <f t="shared" si="7"/>
        <v/>
      </c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>
      <c r="A2195" s="5">
        <f>IFERROR(__xludf.DUMMYFUNCTION("""COMPUTED_VALUE"""),45874.0)</f>
        <v>45874</v>
      </c>
      <c r="B2195" s="6">
        <f>IFERROR(__xludf.DUMMYFUNCTION("""COMPUTED_VALUE"""),405.9)</f>
        <v>405.9</v>
      </c>
      <c r="C2195" s="6">
        <f>IFERROR(__xludf.DUMMYFUNCTION("""COMPUTED_VALUE"""),405.9)</f>
        <v>405.9</v>
      </c>
      <c r="D2195" s="6">
        <f>IFERROR(__xludf.DUMMYFUNCTION("""COMPUTED_VALUE"""),394.5)</f>
        <v>394.5</v>
      </c>
      <c r="E2195" s="6">
        <f>IFERROR(__xludf.DUMMYFUNCTION("""COMPUTED_VALUE"""),402.45)</f>
        <v>402.45</v>
      </c>
      <c r="F2195" s="7">
        <f>IFERROR(__xludf.DUMMYFUNCTION("""COMPUTED_VALUE"""),7973897.0)</f>
        <v>7973897</v>
      </c>
      <c r="G2195" s="7" t="str">
        <f>IFERROR(__xludf.DUMMYFUNCTION("""COMPUTED_VALUE"""),"HINDPETRO.NS")</f>
        <v>HINDPETRO.NS</v>
      </c>
      <c r="H2195" s="8">
        <f t="shared" si="1"/>
        <v>-0.008499630451</v>
      </c>
      <c r="I2195" s="8">
        <f t="shared" si="2"/>
        <v>0.008499630451</v>
      </c>
      <c r="J2195" s="7" t="str">
        <f t="shared" si="3"/>
        <v>Aug-2025</v>
      </c>
      <c r="K2195" s="9">
        <f t="shared" si="4"/>
        <v>45870</v>
      </c>
      <c r="L2195" s="7" t="str">
        <f t="shared" si="5"/>
        <v/>
      </c>
      <c r="M2195" s="7" t="str">
        <f>IFERROR(__xludf.DUMMYFUNCTION("IFERROR(
  IF(
    F2195 &gt;
    3*AVERAGE(
       FILTER($F$2:$F10491,
         $G$2:$G10491=G2195,
         $A$2:$A10491&gt;=A2195-20,
         $A$2:$A10491&lt;=A2195
       )
    ),
    ""VOL_SPIKE_3X"",""""
  ),
"""")
"),"")</f>
        <v/>
      </c>
      <c r="N2195" s="7" t="str">
        <f t="shared" si="6"/>
        <v/>
      </c>
      <c r="O2195" s="7" t="str">
        <f t="shared" si="7"/>
        <v/>
      </c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>
      <c r="A2196" s="5">
        <f>IFERROR(__xludf.DUMMYFUNCTION("""COMPUTED_VALUE"""),45874.0)</f>
        <v>45874</v>
      </c>
      <c r="B2196" s="6">
        <f>IFERROR(__xludf.DUMMYFUNCTION("""COMPUTED_VALUE"""),142.52)</f>
        <v>142.52</v>
      </c>
      <c r="C2196" s="6">
        <f>IFERROR(__xludf.DUMMYFUNCTION("""COMPUTED_VALUE"""),143.0)</f>
        <v>143</v>
      </c>
      <c r="D2196" s="6">
        <f>IFERROR(__xludf.DUMMYFUNCTION("""COMPUTED_VALUE"""),139.4)</f>
        <v>139.4</v>
      </c>
      <c r="E2196" s="6">
        <f>IFERROR(__xludf.DUMMYFUNCTION("""COMPUTED_VALUE"""),141.27)</f>
        <v>141.27</v>
      </c>
      <c r="F2196" s="7">
        <f>IFERROR(__xludf.DUMMYFUNCTION("""COMPUTED_VALUE"""),1.1034758E7)</f>
        <v>11034758</v>
      </c>
      <c r="G2196" s="7" t="str">
        <f>IFERROR(__xludf.DUMMYFUNCTION("""COMPUTED_VALUE"""),"IOC.NS")</f>
        <v>IOC.NS</v>
      </c>
      <c r="H2196" s="8">
        <f t="shared" si="1"/>
        <v>-0.008770698849</v>
      </c>
      <c r="I2196" s="8">
        <f t="shared" si="2"/>
        <v>0.008770698849</v>
      </c>
      <c r="J2196" s="7" t="str">
        <f t="shared" si="3"/>
        <v>Aug-2025</v>
      </c>
      <c r="K2196" s="9">
        <f t="shared" si="4"/>
        <v>45870</v>
      </c>
      <c r="L2196" s="7" t="str">
        <f t="shared" si="5"/>
        <v/>
      </c>
      <c r="M2196" s="7" t="str">
        <f>IFERROR(__xludf.DUMMYFUNCTION("IFERROR(
  IF(
    F2196 &gt;
    3*AVERAGE(
       FILTER($F$2:$F10491,
         $G$2:$G10491=G2196,
         $A$2:$A10491&gt;=A2196-20,
         $A$2:$A10491&lt;=A2196
       )
    ),
    ""VOL_SPIKE_3X"",""""
  ),
"""")
"),"")</f>
        <v/>
      </c>
      <c r="N2196" s="7" t="str">
        <f t="shared" si="6"/>
        <v/>
      </c>
      <c r="O2196" s="7" t="str">
        <f t="shared" si="7"/>
        <v/>
      </c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>
      <c r="A2197" s="5">
        <f>IFERROR(__xludf.DUMMYFUNCTION("""COMPUTED_VALUE"""),45874.0)</f>
        <v>45874</v>
      </c>
      <c r="B2197" s="6">
        <f>IFERROR(__xludf.DUMMYFUNCTION("""COMPUTED_VALUE"""),332.45)</f>
        <v>332.45</v>
      </c>
      <c r="C2197" s="6">
        <f>IFERROR(__xludf.DUMMYFUNCTION("""COMPUTED_VALUE"""),334.35)</f>
        <v>334.35</v>
      </c>
      <c r="D2197" s="6">
        <f>IFERROR(__xludf.DUMMYFUNCTION("""COMPUTED_VALUE"""),331.3)</f>
        <v>331.3</v>
      </c>
      <c r="E2197" s="6">
        <f>IFERROR(__xludf.DUMMYFUNCTION("""COMPUTED_VALUE"""),333.6)</f>
        <v>333.6</v>
      </c>
      <c r="F2197" s="7">
        <f>IFERROR(__xludf.DUMMYFUNCTION("""COMPUTED_VALUE"""),9855535.0)</f>
        <v>9855535</v>
      </c>
      <c r="G2197" s="7" t="str">
        <f>IFERROR(__xludf.DUMMYFUNCTION("""COMPUTED_VALUE"""),"NTPC.NS")</f>
        <v>NTPC.NS</v>
      </c>
      <c r="H2197" s="8">
        <f t="shared" si="1"/>
        <v>0.003459166792</v>
      </c>
      <c r="I2197" s="8">
        <f t="shared" si="2"/>
        <v>0.003459166792</v>
      </c>
      <c r="J2197" s="7" t="str">
        <f t="shared" si="3"/>
        <v>Aug-2025</v>
      </c>
      <c r="K2197" s="9">
        <f t="shared" si="4"/>
        <v>45870</v>
      </c>
      <c r="L2197" s="7" t="str">
        <f t="shared" si="5"/>
        <v/>
      </c>
      <c r="M2197" s="7" t="str">
        <f>IFERROR(__xludf.DUMMYFUNCTION("IFERROR(
  IF(
    F2197 &gt;
    3*AVERAGE(
       FILTER($F$2:$F10491,
         $G$2:$G10491=G2197,
         $A$2:$A10491&gt;=A2197-20,
         $A$2:$A10491&lt;=A2197
       )
    ),
    ""VOL_SPIKE_3X"",""""
  ),
"""")
"),"")</f>
        <v/>
      </c>
      <c r="N2197" s="7" t="str">
        <f t="shared" si="6"/>
        <v/>
      </c>
      <c r="O2197" s="7" t="str">
        <f t="shared" si="7"/>
        <v/>
      </c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>
      <c r="A2198" s="5">
        <f>IFERROR(__xludf.DUMMYFUNCTION("""COMPUTED_VALUE"""),45874.0)</f>
        <v>45874</v>
      </c>
      <c r="B2198" s="6">
        <f>IFERROR(__xludf.DUMMYFUNCTION("""COMPUTED_VALUE"""),235.5)</f>
        <v>235.5</v>
      </c>
      <c r="C2198" s="6">
        <f>IFERROR(__xludf.DUMMYFUNCTION("""COMPUTED_VALUE"""),236.0)</f>
        <v>236</v>
      </c>
      <c r="D2198" s="6">
        <f>IFERROR(__xludf.DUMMYFUNCTION("""COMPUTED_VALUE"""),233.05)</f>
        <v>233.05</v>
      </c>
      <c r="E2198" s="6">
        <f>IFERROR(__xludf.DUMMYFUNCTION("""COMPUTED_VALUE"""),234.48)</f>
        <v>234.48</v>
      </c>
      <c r="F2198" s="7">
        <f>IFERROR(__xludf.DUMMYFUNCTION("""COMPUTED_VALUE"""),9562689.0)</f>
        <v>9562689</v>
      </c>
      <c r="G2198" s="7" t="str">
        <f>IFERROR(__xludf.DUMMYFUNCTION("""COMPUTED_VALUE"""),"ONGC.NS")</f>
        <v>ONGC.NS</v>
      </c>
      <c r="H2198" s="8">
        <f t="shared" si="1"/>
        <v>-0.004331210191</v>
      </c>
      <c r="I2198" s="8">
        <f t="shared" si="2"/>
        <v>0.004331210191</v>
      </c>
      <c r="J2198" s="7" t="str">
        <f t="shared" si="3"/>
        <v>Aug-2025</v>
      </c>
      <c r="K2198" s="9">
        <f t="shared" si="4"/>
        <v>45870</v>
      </c>
      <c r="L2198" s="7" t="str">
        <f t="shared" si="5"/>
        <v/>
      </c>
      <c r="M2198" s="7" t="str">
        <f>IFERROR(__xludf.DUMMYFUNCTION("IFERROR(
  IF(
    F2198 &gt;
    3*AVERAGE(
       FILTER($F$2:$F10491,
         $G$2:$G10491=G2198,
         $A$2:$A10491&gt;=A2198-20,
         $A$2:$A10491&lt;=A2198
       )
    ),
    ""VOL_SPIKE_3X"",""""
  ),
"""")
"),"")</f>
        <v/>
      </c>
      <c r="N2198" s="7" t="str">
        <f t="shared" si="6"/>
        <v/>
      </c>
      <c r="O2198" s="7" t="str">
        <f t="shared" si="7"/>
        <v/>
      </c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>
      <c r="A2199" s="5">
        <f>IFERROR(__xludf.DUMMYFUNCTION("""COMPUTED_VALUE"""),45874.0)</f>
        <v>45874</v>
      </c>
      <c r="B2199" s="6">
        <f>IFERROR(__xludf.DUMMYFUNCTION("""COMPUTED_VALUE"""),287.1)</f>
        <v>287.1</v>
      </c>
      <c r="C2199" s="6">
        <f>IFERROR(__xludf.DUMMYFUNCTION("""COMPUTED_VALUE"""),288.65)</f>
        <v>288.65</v>
      </c>
      <c r="D2199" s="6">
        <f>IFERROR(__xludf.DUMMYFUNCTION("""COMPUTED_VALUE"""),285.1)</f>
        <v>285.1</v>
      </c>
      <c r="E2199" s="6">
        <f>IFERROR(__xludf.DUMMYFUNCTION("""COMPUTED_VALUE"""),286.0)</f>
        <v>286</v>
      </c>
      <c r="F2199" s="7">
        <f>IFERROR(__xludf.DUMMYFUNCTION("""COMPUTED_VALUE"""),1.5561914E7)</f>
        <v>15561914</v>
      </c>
      <c r="G2199" s="7" t="str">
        <f>IFERROR(__xludf.DUMMYFUNCTION("""COMPUTED_VALUE"""),"POWERGRID.NS")</f>
        <v>POWERGRID.NS</v>
      </c>
      <c r="H2199" s="8">
        <f t="shared" si="1"/>
        <v>-0.003831417625</v>
      </c>
      <c r="I2199" s="8">
        <f t="shared" si="2"/>
        <v>0.003831417625</v>
      </c>
      <c r="J2199" s="7" t="str">
        <f t="shared" si="3"/>
        <v>Aug-2025</v>
      </c>
      <c r="K2199" s="9">
        <f t="shared" si="4"/>
        <v>45870</v>
      </c>
      <c r="L2199" s="7" t="str">
        <f t="shared" si="5"/>
        <v/>
      </c>
      <c r="M2199" s="7" t="str">
        <f>IFERROR(__xludf.DUMMYFUNCTION("IFERROR(
  IF(
    F2199 &gt;
    3*AVERAGE(
       FILTER($F$2:$F10491,
         $G$2:$G10491=G2199,
         $A$2:$A10491&gt;=A2199-20,
         $A$2:$A10491&lt;=A2199
       )
    ),
    ""VOL_SPIKE_3X"",""""
  ),
"""")
"),"")</f>
        <v/>
      </c>
      <c r="N2199" s="7" t="str">
        <f t="shared" si="6"/>
        <v/>
      </c>
      <c r="O2199" s="7" t="str">
        <f t="shared" si="7"/>
        <v/>
      </c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>
      <c r="A2200" s="5">
        <f>IFERROR(__xludf.DUMMYFUNCTION("""COMPUTED_VALUE"""),45874.0)</f>
        <v>45874</v>
      </c>
      <c r="B2200" s="6">
        <f>IFERROR(__xludf.DUMMYFUNCTION("""COMPUTED_VALUE"""),1411.0)</f>
        <v>1411</v>
      </c>
      <c r="C2200" s="6">
        <f>IFERROR(__xludf.DUMMYFUNCTION("""COMPUTED_VALUE"""),1411.0)</f>
        <v>1411</v>
      </c>
      <c r="D2200" s="6">
        <f>IFERROR(__xludf.DUMMYFUNCTION("""COMPUTED_VALUE"""),1388.1)</f>
        <v>1388.1</v>
      </c>
      <c r="E2200" s="6">
        <f>IFERROR(__xludf.DUMMYFUNCTION("""COMPUTED_VALUE"""),1391.7)</f>
        <v>1391.7</v>
      </c>
      <c r="F2200" s="7">
        <f>IFERROR(__xludf.DUMMYFUNCTION("""COMPUTED_VALUE"""),9315972.0)</f>
        <v>9315972</v>
      </c>
      <c r="G2200" s="7" t="str">
        <f>IFERROR(__xludf.DUMMYFUNCTION("""COMPUTED_VALUE"""),"RELIANCE.NS")</f>
        <v>RELIANCE.NS</v>
      </c>
      <c r="H2200" s="8">
        <f t="shared" si="1"/>
        <v>-0.01367824238</v>
      </c>
      <c r="I2200" s="8">
        <f t="shared" si="2"/>
        <v>0.01367824238</v>
      </c>
      <c r="J2200" s="7" t="str">
        <f t="shared" si="3"/>
        <v>Aug-2025</v>
      </c>
      <c r="K2200" s="9">
        <f t="shared" si="4"/>
        <v>45870</v>
      </c>
      <c r="L2200" s="7" t="str">
        <f t="shared" si="5"/>
        <v/>
      </c>
      <c r="M2200" s="7" t="str">
        <f>IFERROR(__xludf.DUMMYFUNCTION("IFERROR(
  IF(
    F2200 &gt;
    3*AVERAGE(
       FILTER($F$2:$F10491,
         $G$2:$G10491=G2200,
         $A$2:$A10491&gt;=A2200-20,
         $A$2:$A10491&lt;=A2200
       )
    ),
    ""VOL_SPIKE_3X"",""""
  ),
"""")
"),"")</f>
        <v/>
      </c>
      <c r="N2200" s="7" t="str">
        <f t="shared" si="6"/>
        <v/>
      </c>
      <c r="O2200" s="7" t="str">
        <f t="shared" si="7"/>
        <v/>
      </c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>
      <c r="A2201" s="5">
        <f>IFERROR(__xludf.DUMMYFUNCTION("""COMPUTED_VALUE"""),45875.0)</f>
        <v>45875</v>
      </c>
      <c r="B2201" s="6">
        <f>IFERROR(__xludf.DUMMYFUNCTION("""COMPUTED_VALUE"""),802.1)</f>
        <v>802.1</v>
      </c>
      <c r="C2201" s="6">
        <f>IFERROR(__xludf.DUMMYFUNCTION("""COMPUTED_VALUE"""),802.15)</f>
        <v>802.15</v>
      </c>
      <c r="D2201" s="6">
        <f>IFERROR(__xludf.DUMMYFUNCTION("""COMPUTED_VALUE"""),779.05)</f>
        <v>779.05</v>
      </c>
      <c r="E2201" s="6">
        <f>IFERROR(__xludf.DUMMYFUNCTION("""COMPUTED_VALUE"""),791.1)</f>
        <v>791.1</v>
      </c>
      <c r="F2201" s="7">
        <f>IFERROR(__xludf.DUMMYFUNCTION("""COMPUTED_VALUE"""),1.5323608E7)</f>
        <v>15323608</v>
      </c>
      <c r="G2201" s="7" t="str">
        <f>IFERROR(__xludf.DUMMYFUNCTION("""COMPUTED_VALUE"""),"ADANIENSOL.NS")</f>
        <v>ADANIENSOL.NS</v>
      </c>
      <c r="H2201" s="8">
        <f t="shared" si="1"/>
        <v>-0.01371400075</v>
      </c>
      <c r="I2201" s="8">
        <f t="shared" si="2"/>
        <v>0.01371400075</v>
      </c>
      <c r="J2201" s="7" t="str">
        <f t="shared" si="3"/>
        <v>Aug-2025</v>
      </c>
      <c r="K2201" s="9">
        <f t="shared" si="4"/>
        <v>45870</v>
      </c>
      <c r="L2201" s="7" t="str">
        <f t="shared" si="5"/>
        <v/>
      </c>
      <c r="M2201" s="7" t="str">
        <f>IFERROR(__xludf.DUMMYFUNCTION("IFERROR(
  IF(
    F2201 &gt;
    3*AVERAGE(
       FILTER($F$2:$F10491,
         $G$2:$G10491=G2201,
         $A$2:$A10491&gt;=A2201-20,
         $A$2:$A10491&lt;=A2201
       )
    ),
    ""VOL_SPIKE_3X"",""""
  ),
"""")
"),"VOL_SPIKE_3X")</f>
        <v>VOL_SPIKE_3X</v>
      </c>
      <c r="N2201" s="7" t="str">
        <f t="shared" si="6"/>
        <v>VOL_SPIKE_3X</v>
      </c>
      <c r="O2201" s="7" t="str">
        <f t="shared" si="7"/>
        <v/>
      </c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>
      <c r="A2202" s="5">
        <f>IFERROR(__xludf.DUMMYFUNCTION("""COMPUTED_VALUE"""),45875.0)</f>
        <v>45875</v>
      </c>
      <c r="B2202" s="6">
        <f>IFERROR(__xludf.DUMMYFUNCTION("""COMPUTED_VALUE"""),975.9)</f>
        <v>975.9</v>
      </c>
      <c r="C2202" s="6">
        <f>IFERROR(__xludf.DUMMYFUNCTION("""COMPUTED_VALUE"""),977.5)</f>
        <v>977.5</v>
      </c>
      <c r="D2202" s="6">
        <f>IFERROR(__xludf.DUMMYFUNCTION("""COMPUTED_VALUE"""),955.0)</f>
        <v>955</v>
      </c>
      <c r="E2202" s="6">
        <f>IFERROR(__xludf.DUMMYFUNCTION("""COMPUTED_VALUE"""),957.55)</f>
        <v>957.55</v>
      </c>
      <c r="F2202" s="7">
        <f>IFERROR(__xludf.DUMMYFUNCTION("""COMPUTED_VALUE"""),1204140.0)</f>
        <v>1204140</v>
      </c>
      <c r="G2202" s="7" t="str">
        <f>IFERROR(__xludf.DUMMYFUNCTION("""COMPUTED_VALUE"""),"ADANIGREEN.NS")</f>
        <v>ADANIGREEN.NS</v>
      </c>
      <c r="H2202" s="8">
        <f t="shared" si="1"/>
        <v>-0.01880315606</v>
      </c>
      <c r="I2202" s="8">
        <f t="shared" si="2"/>
        <v>0.01880315606</v>
      </c>
      <c r="J2202" s="7" t="str">
        <f t="shared" si="3"/>
        <v>Aug-2025</v>
      </c>
      <c r="K2202" s="9">
        <f t="shared" si="4"/>
        <v>45870</v>
      </c>
      <c r="L2202" s="7" t="str">
        <f t="shared" si="5"/>
        <v/>
      </c>
      <c r="M2202" s="7" t="str">
        <f>IFERROR(__xludf.DUMMYFUNCTION("IFERROR(
  IF(
    F2202 &gt;
    3*AVERAGE(
       FILTER($F$2:$F10491,
         $G$2:$G10491=G2202,
         $A$2:$A10491&gt;=A2202-20,
         $A$2:$A10491&lt;=A2202
       )
    ),
    ""VOL_SPIKE_3X"",""""
  ),
"""")
"),"")</f>
        <v/>
      </c>
      <c r="N2202" s="7" t="str">
        <f t="shared" si="6"/>
        <v/>
      </c>
      <c r="O2202" s="7" t="str">
        <f t="shared" si="7"/>
        <v/>
      </c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>
      <c r="A2203" s="5">
        <f>IFERROR(__xludf.DUMMYFUNCTION("""COMPUTED_VALUE"""),45875.0)</f>
        <v>45875</v>
      </c>
      <c r="B2203" s="6">
        <f>IFERROR(__xludf.DUMMYFUNCTION("""COMPUTED_VALUE"""),315.5)</f>
        <v>315.5</v>
      </c>
      <c r="C2203" s="6">
        <f>IFERROR(__xludf.DUMMYFUNCTION("""COMPUTED_VALUE"""),318.15)</f>
        <v>318.15</v>
      </c>
      <c r="D2203" s="6">
        <f>IFERROR(__xludf.DUMMYFUNCTION("""COMPUTED_VALUE"""),314.4)</f>
        <v>314.4</v>
      </c>
      <c r="E2203" s="6">
        <f>IFERROR(__xludf.DUMMYFUNCTION("""COMPUTED_VALUE"""),315.75)</f>
        <v>315.75</v>
      </c>
      <c r="F2203" s="7">
        <f>IFERROR(__xludf.DUMMYFUNCTION("""COMPUTED_VALUE"""),3601019.0)</f>
        <v>3601019</v>
      </c>
      <c r="G2203" s="7" t="str">
        <f>IFERROR(__xludf.DUMMYFUNCTION("""COMPUTED_VALUE"""),"BPCL.NS")</f>
        <v>BPCL.NS</v>
      </c>
      <c r="H2203" s="8">
        <f t="shared" si="1"/>
        <v>0.0007923930269</v>
      </c>
      <c r="I2203" s="8">
        <f t="shared" si="2"/>
        <v>0.0007923930269</v>
      </c>
      <c r="J2203" s="7" t="str">
        <f t="shared" si="3"/>
        <v>Aug-2025</v>
      </c>
      <c r="K2203" s="9">
        <f t="shared" si="4"/>
        <v>45870</v>
      </c>
      <c r="L2203" s="7" t="str">
        <f t="shared" si="5"/>
        <v/>
      </c>
      <c r="M2203" s="7" t="str">
        <f>IFERROR(__xludf.DUMMYFUNCTION("IFERROR(
  IF(
    F2203 &gt;
    3*AVERAGE(
       FILTER($F$2:$F10491,
         $G$2:$G10491=G2203,
         $A$2:$A10491&gt;=A2203-20,
         $A$2:$A10491&lt;=A2203
       )
    ),
    ""VOL_SPIKE_3X"",""""
  ),
"""")
"),"")</f>
        <v/>
      </c>
      <c r="N2203" s="7" t="str">
        <f t="shared" si="6"/>
        <v/>
      </c>
      <c r="O2203" s="7" t="str">
        <f t="shared" si="7"/>
        <v/>
      </c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>
      <c r="A2204" s="5">
        <f>IFERROR(__xludf.DUMMYFUNCTION("""COMPUTED_VALUE"""),45875.0)</f>
        <v>45875</v>
      </c>
      <c r="B2204" s="6">
        <f>IFERROR(__xludf.DUMMYFUNCTION("""COMPUTED_VALUE"""),374.0)</f>
        <v>374</v>
      </c>
      <c r="C2204" s="6">
        <f>IFERROR(__xludf.DUMMYFUNCTION("""COMPUTED_VALUE"""),378.05)</f>
        <v>378.05</v>
      </c>
      <c r="D2204" s="6">
        <f>IFERROR(__xludf.DUMMYFUNCTION("""COMPUTED_VALUE"""),373.55)</f>
        <v>373.55</v>
      </c>
      <c r="E2204" s="6">
        <f>IFERROR(__xludf.DUMMYFUNCTION("""COMPUTED_VALUE"""),376.85)</f>
        <v>376.85</v>
      </c>
      <c r="F2204" s="7">
        <f>IFERROR(__xludf.DUMMYFUNCTION("""COMPUTED_VALUE"""),5808208.0)</f>
        <v>5808208</v>
      </c>
      <c r="G2204" s="7" t="str">
        <f>IFERROR(__xludf.DUMMYFUNCTION("""COMPUTED_VALUE"""),"COALINDIA.NS")</f>
        <v>COALINDIA.NS</v>
      </c>
      <c r="H2204" s="8">
        <f t="shared" si="1"/>
        <v>0.007620320856</v>
      </c>
      <c r="I2204" s="8">
        <f t="shared" si="2"/>
        <v>0.007620320856</v>
      </c>
      <c r="J2204" s="7" t="str">
        <f t="shared" si="3"/>
        <v>Aug-2025</v>
      </c>
      <c r="K2204" s="9">
        <f t="shared" si="4"/>
        <v>45870</v>
      </c>
      <c r="L2204" s="7" t="str">
        <f t="shared" si="5"/>
        <v/>
      </c>
      <c r="M2204" s="7" t="str">
        <f>IFERROR(__xludf.DUMMYFUNCTION("IFERROR(
  IF(
    F2204 &gt;
    3*AVERAGE(
       FILTER($F$2:$F10491,
         $G$2:$G10491=G2204,
         $A$2:$A10491&gt;=A2204-20,
         $A$2:$A10491&lt;=A2204
       )
    ),
    ""VOL_SPIKE_3X"",""""
  ),
"""")
"),"")</f>
        <v/>
      </c>
      <c r="N2204" s="7" t="str">
        <f t="shared" si="6"/>
        <v/>
      </c>
      <c r="O2204" s="7" t="str">
        <f t="shared" si="7"/>
        <v/>
      </c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>
      <c r="A2205" s="5">
        <f>IFERROR(__xludf.DUMMYFUNCTION("""COMPUTED_VALUE"""),45875.0)</f>
        <v>45875</v>
      </c>
      <c r="B2205" s="6">
        <f>IFERROR(__xludf.DUMMYFUNCTION("""COMPUTED_VALUE"""),403.5)</f>
        <v>403.5</v>
      </c>
      <c r="C2205" s="6">
        <f>IFERROR(__xludf.DUMMYFUNCTION("""COMPUTED_VALUE"""),404.9)</f>
        <v>404.9</v>
      </c>
      <c r="D2205" s="6">
        <f>IFERROR(__xludf.DUMMYFUNCTION("""COMPUTED_VALUE"""),399.6)</f>
        <v>399.6</v>
      </c>
      <c r="E2205" s="6">
        <f>IFERROR(__xludf.DUMMYFUNCTION("""COMPUTED_VALUE"""),401.4)</f>
        <v>401.4</v>
      </c>
      <c r="F2205" s="7">
        <f>IFERROR(__xludf.DUMMYFUNCTION("""COMPUTED_VALUE"""),2150509.0)</f>
        <v>2150509</v>
      </c>
      <c r="G2205" s="7" t="str">
        <f>IFERROR(__xludf.DUMMYFUNCTION("""COMPUTED_VALUE"""),"HINDPETRO.NS")</f>
        <v>HINDPETRO.NS</v>
      </c>
      <c r="H2205" s="8">
        <f t="shared" si="1"/>
        <v>-0.005204460967</v>
      </c>
      <c r="I2205" s="8">
        <f t="shared" si="2"/>
        <v>0.005204460967</v>
      </c>
      <c r="J2205" s="7" t="str">
        <f t="shared" si="3"/>
        <v>Aug-2025</v>
      </c>
      <c r="K2205" s="9">
        <f t="shared" si="4"/>
        <v>45870</v>
      </c>
      <c r="L2205" s="7" t="str">
        <f t="shared" si="5"/>
        <v/>
      </c>
      <c r="M2205" s="7" t="str">
        <f>IFERROR(__xludf.DUMMYFUNCTION("IFERROR(
  IF(
    F2205 &gt;
    3*AVERAGE(
       FILTER($F$2:$F10491,
         $G$2:$G10491=G2205,
         $A$2:$A10491&gt;=A2205-20,
         $A$2:$A10491&lt;=A2205
       )
    ),
    ""VOL_SPIKE_3X"",""""
  ),
"""")
"),"")</f>
        <v/>
      </c>
      <c r="N2205" s="7" t="str">
        <f t="shared" si="6"/>
        <v/>
      </c>
      <c r="O2205" s="7" t="str">
        <f t="shared" si="7"/>
        <v/>
      </c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>
      <c r="A2206" s="5">
        <f>IFERROR(__xludf.DUMMYFUNCTION("""COMPUTED_VALUE"""),45875.0)</f>
        <v>45875</v>
      </c>
      <c r="B2206" s="6">
        <f>IFERROR(__xludf.DUMMYFUNCTION("""COMPUTED_VALUE"""),142.49)</f>
        <v>142.49</v>
      </c>
      <c r="C2206" s="6">
        <f>IFERROR(__xludf.DUMMYFUNCTION("""COMPUTED_VALUE"""),143.28)</f>
        <v>143.28</v>
      </c>
      <c r="D2206" s="6">
        <f>IFERROR(__xludf.DUMMYFUNCTION("""COMPUTED_VALUE"""),141.71)</f>
        <v>141.71</v>
      </c>
      <c r="E2206" s="6">
        <f>IFERROR(__xludf.DUMMYFUNCTION("""COMPUTED_VALUE"""),142.27)</f>
        <v>142.27</v>
      </c>
      <c r="F2206" s="7">
        <f>IFERROR(__xludf.DUMMYFUNCTION("""COMPUTED_VALUE"""),7574568.0)</f>
        <v>7574568</v>
      </c>
      <c r="G2206" s="7" t="str">
        <f>IFERROR(__xludf.DUMMYFUNCTION("""COMPUTED_VALUE"""),"IOC.NS")</f>
        <v>IOC.NS</v>
      </c>
      <c r="H2206" s="8">
        <f t="shared" si="1"/>
        <v>-0.001543967998</v>
      </c>
      <c r="I2206" s="8">
        <f t="shared" si="2"/>
        <v>0.001543967998</v>
      </c>
      <c r="J2206" s="7" t="str">
        <f t="shared" si="3"/>
        <v>Aug-2025</v>
      </c>
      <c r="K2206" s="9">
        <f t="shared" si="4"/>
        <v>45870</v>
      </c>
      <c r="L2206" s="7" t="str">
        <f t="shared" si="5"/>
        <v/>
      </c>
      <c r="M2206" s="7" t="str">
        <f>IFERROR(__xludf.DUMMYFUNCTION("IFERROR(
  IF(
    F2206 &gt;
    3*AVERAGE(
       FILTER($F$2:$F10491,
         $G$2:$G10491=G2206,
         $A$2:$A10491&gt;=A2206-20,
         $A$2:$A10491&lt;=A2206
       )
    ),
    ""VOL_SPIKE_3X"",""""
  ),
"""")
"),"")</f>
        <v/>
      </c>
      <c r="N2206" s="7" t="str">
        <f t="shared" si="6"/>
        <v/>
      </c>
      <c r="O2206" s="7" t="str">
        <f t="shared" si="7"/>
        <v/>
      </c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>
      <c r="A2207" s="5">
        <f>IFERROR(__xludf.DUMMYFUNCTION("""COMPUTED_VALUE"""),45875.0)</f>
        <v>45875</v>
      </c>
      <c r="B2207" s="6">
        <f>IFERROR(__xludf.DUMMYFUNCTION("""COMPUTED_VALUE"""),333.6)</f>
        <v>333.6</v>
      </c>
      <c r="C2207" s="6">
        <f>IFERROR(__xludf.DUMMYFUNCTION("""COMPUTED_VALUE"""),335.4)</f>
        <v>335.4</v>
      </c>
      <c r="D2207" s="6">
        <f>IFERROR(__xludf.DUMMYFUNCTION("""COMPUTED_VALUE"""),331.6)</f>
        <v>331.6</v>
      </c>
      <c r="E2207" s="6">
        <f>IFERROR(__xludf.DUMMYFUNCTION("""COMPUTED_VALUE"""),332.1)</f>
        <v>332.1</v>
      </c>
      <c r="F2207" s="7">
        <f>IFERROR(__xludf.DUMMYFUNCTION("""COMPUTED_VALUE"""),1.3872826E7)</f>
        <v>13872826</v>
      </c>
      <c r="G2207" s="7" t="str">
        <f>IFERROR(__xludf.DUMMYFUNCTION("""COMPUTED_VALUE"""),"NTPC.NS")</f>
        <v>NTPC.NS</v>
      </c>
      <c r="H2207" s="8">
        <f t="shared" si="1"/>
        <v>-0.004496402878</v>
      </c>
      <c r="I2207" s="8">
        <f t="shared" si="2"/>
        <v>0.004496402878</v>
      </c>
      <c r="J2207" s="7" t="str">
        <f t="shared" si="3"/>
        <v>Aug-2025</v>
      </c>
      <c r="K2207" s="9">
        <f t="shared" si="4"/>
        <v>45870</v>
      </c>
      <c r="L2207" s="7" t="str">
        <f t="shared" si="5"/>
        <v/>
      </c>
      <c r="M2207" s="7" t="str">
        <f>IFERROR(__xludf.DUMMYFUNCTION("IFERROR(
  IF(
    F2207 &gt;
    3*AVERAGE(
       FILTER($F$2:$F10491,
         $G$2:$G10491=G2207,
         $A$2:$A10491&gt;=A2207-20,
         $A$2:$A10491&lt;=A2207
       )
    ),
    ""VOL_SPIKE_3X"",""""
  ),
"""")
"),"")</f>
        <v/>
      </c>
      <c r="N2207" s="7" t="str">
        <f t="shared" si="6"/>
        <v/>
      </c>
      <c r="O2207" s="7" t="str">
        <f t="shared" si="7"/>
        <v/>
      </c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>
      <c r="A2208" s="5">
        <f>IFERROR(__xludf.DUMMYFUNCTION("""COMPUTED_VALUE"""),45875.0)</f>
        <v>45875</v>
      </c>
      <c r="B2208" s="6">
        <f>IFERROR(__xludf.DUMMYFUNCTION("""COMPUTED_VALUE"""),234.55)</f>
        <v>234.55</v>
      </c>
      <c r="C2208" s="6">
        <f>IFERROR(__xludf.DUMMYFUNCTION("""COMPUTED_VALUE"""),235.37)</f>
        <v>235.37</v>
      </c>
      <c r="D2208" s="6">
        <f>IFERROR(__xludf.DUMMYFUNCTION("""COMPUTED_VALUE"""),232.91)</f>
        <v>232.91</v>
      </c>
      <c r="E2208" s="6">
        <f>IFERROR(__xludf.DUMMYFUNCTION("""COMPUTED_VALUE"""),233.77)</f>
        <v>233.77</v>
      </c>
      <c r="F2208" s="7">
        <f>IFERROR(__xludf.DUMMYFUNCTION("""COMPUTED_VALUE"""),7568954.0)</f>
        <v>7568954</v>
      </c>
      <c r="G2208" s="7" t="str">
        <f>IFERROR(__xludf.DUMMYFUNCTION("""COMPUTED_VALUE"""),"ONGC.NS")</f>
        <v>ONGC.NS</v>
      </c>
      <c r="H2208" s="8">
        <f t="shared" si="1"/>
        <v>-0.003325516947</v>
      </c>
      <c r="I2208" s="8">
        <f t="shared" si="2"/>
        <v>0.003325516947</v>
      </c>
      <c r="J2208" s="7" t="str">
        <f t="shared" si="3"/>
        <v>Aug-2025</v>
      </c>
      <c r="K2208" s="9">
        <f t="shared" si="4"/>
        <v>45870</v>
      </c>
      <c r="L2208" s="7" t="str">
        <f t="shared" si="5"/>
        <v/>
      </c>
      <c r="M2208" s="7" t="str">
        <f>IFERROR(__xludf.DUMMYFUNCTION("IFERROR(
  IF(
    F2208 &gt;
    3*AVERAGE(
       FILTER($F$2:$F10491,
         $G$2:$G10491=G2208,
         $A$2:$A10491&gt;=A2208-20,
         $A$2:$A10491&lt;=A2208
       )
    ),
    ""VOL_SPIKE_3X"",""""
  ),
"""")
"),"")</f>
        <v/>
      </c>
      <c r="N2208" s="7" t="str">
        <f t="shared" si="6"/>
        <v/>
      </c>
      <c r="O2208" s="7" t="str">
        <f t="shared" si="7"/>
        <v/>
      </c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>
      <c r="A2209" s="5">
        <f>IFERROR(__xludf.DUMMYFUNCTION("""COMPUTED_VALUE"""),45875.0)</f>
        <v>45875</v>
      </c>
      <c r="B2209" s="6">
        <f>IFERROR(__xludf.DUMMYFUNCTION("""COMPUTED_VALUE"""),287.6)</f>
        <v>287.6</v>
      </c>
      <c r="C2209" s="6">
        <f>IFERROR(__xludf.DUMMYFUNCTION("""COMPUTED_VALUE"""),288.4)</f>
        <v>288.4</v>
      </c>
      <c r="D2209" s="6">
        <f>IFERROR(__xludf.DUMMYFUNCTION("""COMPUTED_VALUE"""),284.05)</f>
        <v>284.05</v>
      </c>
      <c r="E2209" s="6">
        <f>IFERROR(__xludf.DUMMYFUNCTION("""COMPUTED_VALUE"""),284.8)</f>
        <v>284.8</v>
      </c>
      <c r="F2209" s="7">
        <f>IFERROR(__xludf.DUMMYFUNCTION("""COMPUTED_VALUE"""),1.2985269E7)</f>
        <v>12985269</v>
      </c>
      <c r="G2209" s="7" t="str">
        <f>IFERROR(__xludf.DUMMYFUNCTION("""COMPUTED_VALUE"""),"POWERGRID.NS")</f>
        <v>POWERGRID.NS</v>
      </c>
      <c r="H2209" s="8">
        <f t="shared" si="1"/>
        <v>-0.009735744089</v>
      </c>
      <c r="I2209" s="8">
        <f t="shared" si="2"/>
        <v>0.009735744089</v>
      </c>
      <c r="J2209" s="7" t="str">
        <f t="shared" si="3"/>
        <v>Aug-2025</v>
      </c>
      <c r="K2209" s="9">
        <f t="shared" si="4"/>
        <v>45870</v>
      </c>
      <c r="L2209" s="7" t="str">
        <f t="shared" si="5"/>
        <v/>
      </c>
      <c r="M2209" s="7" t="str">
        <f>IFERROR(__xludf.DUMMYFUNCTION("IFERROR(
  IF(
    F2209 &gt;
    3*AVERAGE(
       FILTER($F$2:$F10491,
         $G$2:$G10491=G2209,
         $A$2:$A10491&gt;=A2209-20,
         $A$2:$A10491&lt;=A2209
       )
    ),
    ""VOL_SPIKE_3X"",""""
  ),
"""")
"),"")</f>
        <v/>
      </c>
      <c r="N2209" s="7" t="str">
        <f t="shared" si="6"/>
        <v/>
      </c>
      <c r="O2209" s="7" t="str">
        <f t="shared" si="7"/>
        <v/>
      </c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>
      <c r="A2210" s="5">
        <f>IFERROR(__xludf.DUMMYFUNCTION("""COMPUTED_VALUE"""),45875.0)</f>
        <v>45875</v>
      </c>
      <c r="B2210" s="6">
        <f>IFERROR(__xludf.DUMMYFUNCTION("""COMPUTED_VALUE"""),1391.9)</f>
        <v>1391.9</v>
      </c>
      <c r="C2210" s="6">
        <f>IFERROR(__xludf.DUMMYFUNCTION("""COMPUTED_VALUE"""),1395.9)</f>
        <v>1395.9</v>
      </c>
      <c r="D2210" s="6">
        <f>IFERROR(__xludf.DUMMYFUNCTION("""COMPUTED_VALUE"""),1383.3)</f>
        <v>1383.3</v>
      </c>
      <c r="E2210" s="6">
        <f>IFERROR(__xludf.DUMMYFUNCTION("""COMPUTED_VALUE"""),1392.8)</f>
        <v>1392.8</v>
      </c>
      <c r="F2210" s="7">
        <f>IFERROR(__xludf.DUMMYFUNCTION("""COMPUTED_VALUE"""),5834312.0)</f>
        <v>5834312</v>
      </c>
      <c r="G2210" s="7" t="str">
        <f>IFERROR(__xludf.DUMMYFUNCTION("""COMPUTED_VALUE"""),"RELIANCE.NS")</f>
        <v>RELIANCE.NS</v>
      </c>
      <c r="H2210" s="8">
        <f t="shared" si="1"/>
        <v>0.0006465981752</v>
      </c>
      <c r="I2210" s="8">
        <f t="shared" si="2"/>
        <v>0.0006465981752</v>
      </c>
      <c r="J2210" s="7" t="str">
        <f t="shared" si="3"/>
        <v>Aug-2025</v>
      </c>
      <c r="K2210" s="9">
        <f t="shared" si="4"/>
        <v>45870</v>
      </c>
      <c r="L2210" s="7" t="str">
        <f t="shared" si="5"/>
        <v/>
      </c>
      <c r="M2210" s="7" t="str">
        <f>IFERROR(__xludf.DUMMYFUNCTION("IFERROR(
  IF(
    F2210 &gt;
    3*AVERAGE(
       FILTER($F$2:$F10491,
         $G$2:$G10491=G2210,
         $A$2:$A10491&gt;=A2210-20,
         $A$2:$A10491&lt;=A2210
       )
    ),
    ""VOL_SPIKE_3X"",""""
  ),
"""")
"),"")</f>
        <v/>
      </c>
      <c r="N2210" s="7" t="str">
        <f t="shared" si="6"/>
        <v/>
      </c>
      <c r="O2210" s="7" t="str">
        <f t="shared" si="7"/>
        <v/>
      </c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>
      <c r="A2211" s="5">
        <f>IFERROR(__xludf.DUMMYFUNCTION("""COMPUTED_VALUE"""),45876.0)</f>
        <v>45876</v>
      </c>
      <c r="B2211" s="6">
        <f>IFERROR(__xludf.DUMMYFUNCTION("""COMPUTED_VALUE"""),788.0)</f>
        <v>788</v>
      </c>
      <c r="C2211" s="6">
        <f>IFERROR(__xludf.DUMMYFUNCTION("""COMPUTED_VALUE"""),796.2)</f>
        <v>796.2</v>
      </c>
      <c r="D2211" s="6">
        <f>IFERROR(__xludf.DUMMYFUNCTION("""COMPUTED_VALUE"""),769.05)</f>
        <v>769.05</v>
      </c>
      <c r="E2211" s="6">
        <f>IFERROR(__xludf.DUMMYFUNCTION("""COMPUTED_VALUE"""),794.6)</f>
        <v>794.6</v>
      </c>
      <c r="F2211" s="7">
        <f>IFERROR(__xludf.DUMMYFUNCTION("""COMPUTED_VALUE"""),2218077.0)</f>
        <v>2218077</v>
      </c>
      <c r="G2211" s="7" t="str">
        <f>IFERROR(__xludf.DUMMYFUNCTION("""COMPUTED_VALUE"""),"ADANIENSOL.NS")</f>
        <v>ADANIENSOL.NS</v>
      </c>
      <c r="H2211" s="8">
        <f t="shared" si="1"/>
        <v>0.008375634518</v>
      </c>
      <c r="I2211" s="8">
        <f t="shared" si="2"/>
        <v>0.008375634518</v>
      </c>
      <c r="J2211" s="7" t="str">
        <f t="shared" si="3"/>
        <v>Aug-2025</v>
      </c>
      <c r="K2211" s="9">
        <f t="shared" si="4"/>
        <v>45870</v>
      </c>
      <c r="L2211" s="7" t="str">
        <f t="shared" si="5"/>
        <v/>
      </c>
      <c r="M2211" s="7" t="str">
        <f>IFERROR(__xludf.DUMMYFUNCTION("IFERROR(
  IF(
    F2211 &gt;
    3*AVERAGE(
       FILTER($F$2:$F10491,
         $G$2:$G10491=G2211,
         $A$2:$A10491&gt;=A2211-20,
         $A$2:$A10491&lt;=A2211
       )
    ),
    ""VOL_SPIKE_3X"",""""
  ),
"""")
"),"")</f>
        <v/>
      </c>
      <c r="N2211" s="7" t="str">
        <f t="shared" si="6"/>
        <v/>
      </c>
      <c r="O2211" s="7" t="str">
        <f t="shared" si="7"/>
        <v/>
      </c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>
      <c r="A2212" s="5">
        <f>IFERROR(__xludf.DUMMYFUNCTION("""COMPUTED_VALUE"""),45876.0)</f>
        <v>45876</v>
      </c>
      <c r="B2212" s="6">
        <f>IFERROR(__xludf.DUMMYFUNCTION("""COMPUTED_VALUE"""),951.95)</f>
        <v>951.95</v>
      </c>
      <c r="C2212" s="6">
        <f>IFERROR(__xludf.DUMMYFUNCTION("""COMPUTED_VALUE"""),955.15)</f>
        <v>955.15</v>
      </c>
      <c r="D2212" s="6">
        <f>IFERROR(__xludf.DUMMYFUNCTION("""COMPUTED_VALUE"""),903.5)</f>
        <v>903.5</v>
      </c>
      <c r="E2212" s="6">
        <f>IFERROR(__xludf.DUMMYFUNCTION("""COMPUTED_VALUE"""),936.7)</f>
        <v>936.7</v>
      </c>
      <c r="F2212" s="7">
        <f>IFERROR(__xludf.DUMMYFUNCTION("""COMPUTED_VALUE"""),3658631.0)</f>
        <v>3658631</v>
      </c>
      <c r="G2212" s="7" t="str">
        <f>IFERROR(__xludf.DUMMYFUNCTION("""COMPUTED_VALUE"""),"ADANIGREEN.NS")</f>
        <v>ADANIGREEN.NS</v>
      </c>
      <c r="H2212" s="8">
        <f t="shared" si="1"/>
        <v>-0.01601974894</v>
      </c>
      <c r="I2212" s="8">
        <f t="shared" si="2"/>
        <v>0.01601974894</v>
      </c>
      <c r="J2212" s="7" t="str">
        <f t="shared" si="3"/>
        <v>Aug-2025</v>
      </c>
      <c r="K2212" s="9">
        <f t="shared" si="4"/>
        <v>45870</v>
      </c>
      <c r="L2212" s="7" t="str">
        <f t="shared" si="5"/>
        <v/>
      </c>
      <c r="M2212" s="7" t="str">
        <f>IFERROR(__xludf.DUMMYFUNCTION("IFERROR(
  IF(
    F2212 &gt;
    3*AVERAGE(
       FILTER($F$2:$F10491,
         $G$2:$G10491=G2212,
         $A$2:$A10491&gt;=A2212-20,
         $A$2:$A10491&lt;=A2212
       )
    ),
    ""VOL_SPIKE_3X"",""""
  ),
"""")
"),"")</f>
        <v/>
      </c>
      <c r="N2212" s="7" t="str">
        <f t="shared" si="6"/>
        <v/>
      </c>
      <c r="O2212" s="7" t="str">
        <f t="shared" si="7"/>
        <v/>
      </c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>
      <c r="A2213" s="5">
        <f>IFERROR(__xludf.DUMMYFUNCTION("""COMPUTED_VALUE"""),45876.0)</f>
        <v>45876</v>
      </c>
      <c r="B2213" s="6">
        <f>IFERROR(__xludf.DUMMYFUNCTION("""COMPUTED_VALUE"""),313.3)</f>
        <v>313.3</v>
      </c>
      <c r="C2213" s="6">
        <f>IFERROR(__xludf.DUMMYFUNCTION("""COMPUTED_VALUE"""),314.05)</f>
        <v>314.05</v>
      </c>
      <c r="D2213" s="6">
        <f>IFERROR(__xludf.DUMMYFUNCTION("""COMPUTED_VALUE"""),307.15)</f>
        <v>307.15</v>
      </c>
      <c r="E2213" s="6">
        <f>IFERROR(__xludf.DUMMYFUNCTION("""COMPUTED_VALUE"""),310.35)</f>
        <v>310.35</v>
      </c>
      <c r="F2213" s="7">
        <f>IFERROR(__xludf.DUMMYFUNCTION("""COMPUTED_VALUE"""),5018154.0)</f>
        <v>5018154</v>
      </c>
      <c r="G2213" s="7" t="str">
        <f>IFERROR(__xludf.DUMMYFUNCTION("""COMPUTED_VALUE"""),"BPCL.NS")</f>
        <v>BPCL.NS</v>
      </c>
      <c r="H2213" s="8">
        <f t="shared" si="1"/>
        <v>-0.009415895308</v>
      </c>
      <c r="I2213" s="8">
        <f t="shared" si="2"/>
        <v>0.009415895308</v>
      </c>
      <c r="J2213" s="7" t="str">
        <f t="shared" si="3"/>
        <v>Aug-2025</v>
      </c>
      <c r="K2213" s="9">
        <f t="shared" si="4"/>
        <v>45870</v>
      </c>
      <c r="L2213" s="7" t="str">
        <f t="shared" si="5"/>
        <v/>
      </c>
      <c r="M2213" s="7" t="str">
        <f>IFERROR(__xludf.DUMMYFUNCTION("IFERROR(
  IF(
    F2213 &gt;
    3*AVERAGE(
       FILTER($F$2:$F10491,
         $G$2:$G10491=G2213,
         $A$2:$A10491&gt;=A2213-20,
         $A$2:$A10491&lt;=A2213
       )
    ),
    ""VOL_SPIKE_3X"",""""
  ),
"""")
"),"")</f>
        <v/>
      </c>
      <c r="N2213" s="7" t="str">
        <f t="shared" si="6"/>
        <v/>
      </c>
      <c r="O2213" s="7" t="str">
        <f t="shared" si="7"/>
        <v/>
      </c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>
      <c r="A2214" s="5">
        <f>IFERROR(__xludf.DUMMYFUNCTION("""COMPUTED_VALUE"""),45876.0)</f>
        <v>45876</v>
      </c>
      <c r="B2214" s="6">
        <f>IFERROR(__xludf.DUMMYFUNCTION("""COMPUTED_VALUE"""),375.0)</f>
        <v>375</v>
      </c>
      <c r="C2214" s="6">
        <f>IFERROR(__xludf.DUMMYFUNCTION("""COMPUTED_VALUE"""),380.25)</f>
        <v>380.25</v>
      </c>
      <c r="D2214" s="6">
        <f>IFERROR(__xludf.DUMMYFUNCTION("""COMPUTED_VALUE"""),373.6)</f>
        <v>373.6</v>
      </c>
      <c r="E2214" s="6">
        <f>IFERROR(__xludf.DUMMYFUNCTION("""COMPUTED_VALUE"""),379.55)</f>
        <v>379.55</v>
      </c>
      <c r="F2214" s="7">
        <f>IFERROR(__xludf.DUMMYFUNCTION("""COMPUTED_VALUE"""),3468573.0)</f>
        <v>3468573</v>
      </c>
      <c r="G2214" s="7" t="str">
        <f>IFERROR(__xludf.DUMMYFUNCTION("""COMPUTED_VALUE"""),"COALINDIA.NS")</f>
        <v>COALINDIA.NS</v>
      </c>
      <c r="H2214" s="8">
        <f t="shared" si="1"/>
        <v>0.01213333333</v>
      </c>
      <c r="I2214" s="8">
        <f t="shared" si="2"/>
        <v>0.01213333333</v>
      </c>
      <c r="J2214" s="7" t="str">
        <f t="shared" si="3"/>
        <v>Aug-2025</v>
      </c>
      <c r="K2214" s="9">
        <f t="shared" si="4"/>
        <v>45870</v>
      </c>
      <c r="L2214" s="7" t="str">
        <f t="shared" si="5"/>
        <v/>
      </c>
      <c r="M2214" s="7" t="str">
        <f>IFERROR(__xludf.DUMMYFUNCTION("IFERROR(
  IF(
    F2214 &gt;
    3*AVERAGE(
       FILTER($F$2:$F10491,
         $G$2:$G10491=G2214,
         $A$2:$A10491&gt;=A2214-20,
         $A$2:$A10491&lt;=A2214
       )
    ),
    ""VOL_SPIKE_3X"",""""
  ),
"""")
"),"")</f>
        <v/>
      </c>
      <c r="N2214" s="7" t="str">
        <f t="shared" si="6"/>
        <v/>
      </c>
      <c r="O2214" s="7" t="str">
        <f t="shared" si="7"/>
        <v/>
      </c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>
      <c r="A2215" s="5">
        <f>IFERROR(__xludf.DUMMYFUNCTION("""COMPUTED_VALUE"""),45876.0)</f>
        <v>45876</v>
      </c>
      <c r="B2215" s="6">
        <f>IFERROR(__xludf.DUMMYFUNCTION("""COMPUTED_VALUE"""),401.0)</f>
        <v>401</v>
      </c>
      <c r="C2215" s="6">
        <f>IFERROR(__xludf.DUMMYFUNCTION("""COMPUTED_VALUE"""),403.2)</f>
        <v>403.2</v>
      </c>
      <c r="D2215" s="6">
        <f>IFERROR(__xludf.DUMMYFUNCTION("""COMPUTED_VALUE"""),392.15)</f>
        <v>392.15</v>
      </c>
      <c r="E2215" s="6">
        <f>IFERROR(__xludf.DUMMYFUNCTION("""COMPUTED_VALUE"""),402.4)</f>
        <v>402.4</v>
      </c>
      <c r="F2215" s="7">
        <f>IFERROR(__xludf.DUMMYFUNCTION("""COMPUTED_VALUE"""),6318838.0)</f>
        <v>6318838</v>
      </c>
      <c r="G2215" s="7" t="str">
        <f>IFERROR(__xludf.DUMMYFUNCTION("""COMPUTED_VALUE"""),"HINDPETRO.NS")</f>
        <v>HINDPETRO.NS</v>
      </c>
      <c r="H2215" s="8">
        <f t="shared" si="1"/>
        <v>0.00349127182</v>
      </c>
      <c r="I2215" s="8">
        <f t="shared" si="2"/>
        <v>0.00349127182</v>
      </c>
      <c r="J2215" s="7" t="str">
        <f t="shared" si="3"/>
        <v>Aug-2025</v>
      </c>
      <c r="K2215" s="9">
        <f t="shared" si="4"/>
        <v>45870</v>
      </c>
      <c r="L2215" s="7" t="str">
        <f t="shared" si="5"/>
        <v/>
      </c>
      <c r="M2215" s="7" t="str">
        <f>IFERROR(__xludf.DUMMYFUNCTION("IFERROR(
  IF(
    F2215 &gt;
    3*AVERAGE(
       FILTER($F$2:$F10491,
         $G$2:$G10491=G2215,
         $A$2:$A10491&gt;=A2215-20,
         $A$2:$A10491&lt;=A2215
       )
    ),
    ""VOL_SPIKE_3X"",""""
  ),
"""")
"),"")</f>
        <v/>
      </c>
      <c r="N2215" s="7" t="str">
        <f t="shared" si="6"/>
        <v/>
      </c>
      <c r="O2215" s="7" t="str">
        <f t="shared" si="7"/>
        <v/>
      </c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>
      <c r="A2216" s="5">
        <f>IFERROR(__xludf.DUMMYFUNCTION("""COMPUTED_VALUE"""),45876.0)</f>
        <v>45876</v>
      </c>
      <c r="B2216" s="6">
        <f>IFERROR(__xludf.DUMMYFUNCTION("""COMPUTED_VALUE"""),141.01)</f>
        <v>141.01</v>
      </c>
      <c r="C2216" s="6">
        <f>IFERROR(__xludf.DUMMYFUNCTION("""COMPUTED_VALUE"""),143.0)</f>
        <v>143</v>
      </c>
      <c r="D2216" s="6">
        <f>IFERROR(__xludf.DUMMYFUNCTION("""COMPUTED_VALUE"""),140.0)</f>
        <v>140</v>
      </c>
      <c r="E2216" s="6">
        <f>IFERROR(__xludf.DUMMYFUNCTION("""COMPUTED_VALUE"""),141.67)</f>
        <v>141.67</v>
      </c>
      <c r="F2216" s="7">
        <f>IFERROR(__xludf.DUMMYFUNCTION("""COMPUTED_VALUE"""),8365458.0)</f>
        <v>8365458</v>
      </c>
      <c r="G2216" s="7" t="str">
        <f>IFERROR(__xludf.DUMMYFUNCTION("""COMPUTED_VALUE"""),"IOC.NS")</f>
        <v>IOC.NS</v>
      </c>
      <c r="H2216" s="8">
        <f t="shared" si="1"/>
        <v>0.004680519112</v>
      </c>
      <c r="I2216" s="8">
        <f t="shared" si="2"/>
        <v>0.004680519112</v>
      </c>
      <c r="J2216" s="7" t="str">
        <f t="shared" si="3"/>
        <v>Aug-2025</v>
      </c>
      <c r="K2216" s="9">
        <f t="shared" si="4"/>
        <v>45870</v>
      </c>
      <c r="L2216" s="7" t="str">
        <f t="shared" si="5"/>
        <v/>
      </c>
      <c r="M2216" s="7" t="str">
        <f>IFERROR(__xludf.DUMMYFUNCTION("IFERROR(
  IF(
    F2216 &gt;
    3*AVERAGE(
       FILTER($F$2:$F10491,
         $G$2:$G10491=G2216,
         $A$2:$A10491&gt;=A2216-20,
         $A$2:$A10491&lt;=A2216
       )
    ),
    ""VOL_SPIKE_3X"",""""
  ),
"""")
"),"")</f>
        <v/>
      </c>
      <c r="N2216" s="7" t="str">
        <f t="shared" si="6"/>
        <v/>
      </c>
      <c r="O2216" s="7" t="str">
        <f t="shared" si="7"/>
        <v/>
      </c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>
      <c r="A2217" s="5">
        <f>IFERROR(__xludf.DUMMYFUNCTION("""COMPUTED_VALUE"""),45876.0)</f>
        <v>45876</v>
      </c>
      <c r="B2217" s="6">
        <f>IFERROR(__xludf.DUMMYFUNCTION("""COMPUTED_VALUE"""),332.1)</f>
        <v>332.1</v>
      </c>
      <c r="C2217" s="6">
        <f>IFERROR(__xludf.DUMMYFUNCTION("""COMPUTED_VALUE"""),332.45)</f>
        <v>332.45</v>
      </c>
      <c r="D2217" s="6">
        <f>IFERROR(__xludf.DUMMYFUNCTION("""COMPUTED_VALUE"""),328.65)</f>
        <v>328.65</v>
      </c>
      <c r="E2217" s="6">
        <f>IFERROR(__xludf.DUMMYFUNCTION("""COMPUTED_VALUE"""),329.75)</f>
        <v>329.75</v>
      </c>
      <c r="F2217" s="7">
        <f>IFERROR(__xludf.DUMMYFUNCTION("""COMPUTED_VALUE"""),8731389.0)</f>
        <v>8731389</v>
      </c>
      <c r="G2217" s="7" t="str">
        <f>IFERROR(__xludf.DUMMYFUNCTION("""COMPUTED_VALUE"""),"NTPC.NS")</f>
        <v>NTPC.NS</v>
      </c>
      <c r="H2217" s="8">
        <f t="shared" si="1"/>
        <v>-0.007076181873</v>
      </c>
      <c r="I2217" s="8">
        <f t="shared" si="2"/>
        <v>0.007076181873</v>
      </c>
      <c r="J2217" s="7" t="str">
        <f t="shared" si="3"/>
        <v>Aug-2025</v>
      </c>
      <c r="K2217" s="9">
        <f t="shared" si="4"/>
        <v>45870</v>
      </c>
      <c r="L2217" s="7" t="str">
        <f t="shared" si="5"/>
        <v/>
      </c>
      <c r="M2217" s="7" t="str">
        <f>IFERROR(__xludf.DUMMYFUNCTION("IFERROR(
  IF(
    F2217 &gt;
    3*AVERAGE(
       FILTER($F$2:$F10491,
         $G$2:$G10491=G2217,
         $A$2:$A10491&gt;=A2217-20,
         $A$2:$A10491&lt;=A2217
       )
    ),
    ""VOL_SPIKE_3X"",""""
  ),
"""")
"),"")</f>
        <v/>
      </c>
      <c r="N2217" s="7" t="str">
        <f t="shared" si="6"/>
        <v/>
      </c>
      <c r="O2217" s="7" t="str">
        <f t="shared" si="7"/>
        <v/>
      </c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>
      <c r="A2218" s="5">
        <f>IFERROR(__xludf.DUMMYFUNCTION("""COMPUTED_VALUE"""),45876.0)</f>
        <v>45876</v>
      </c>
      <c r="B2218" s="6">
        <f>IFERROR(__xludf.DUMMYFUNCTION("""COMPUTED_VALUE"""),233.15)</f>
        <v>233.15</v>
      </c>
      <c r="C2218" s="6">
        <f>IFERROR(__xludf.DUMMYFUNCTION("""COMPUTED_VALUE"""),234.2)</f>
        <v>234.2</v>
      </c>
      <c r="D2218" s="6">
        <f>IFERROR(__xludf.DUMMYFUNCTION("""COMPUTED_VALUE"""),231.31)</f>
        <v>231.31</v>
      </c>
      <c r="E2218" s="6">
        <f>IFERROR(__xludf.DUMMYFUNCTION("""COMPUTED_VALUE"""),233.93)</f>
        <v>233.93</v>
      </c>
      <c r="F2218" s="7">
        <f>IFERROR(__xludf.DUMMYFUNCTION("""COMPUTED_VALUE"""),5560413.0)</f>
        <v>5560413</v>
      </c>
      <c r="G2218" s="7" t="str">
        <f>IFERROR(__xludf.DUMMYFUNCTION("""COMPUTED_VALUE"""),"ONGC.NS")</f>
        <v>ONGC.NS</v>
      </c>
      <c r="H2218" s="8">
        <f t="shared" si="1"/>
        <v>0.003345485739</v>
      </c>
      <c r="I2218" s="8">
        <f t="shared" si="2"/>
        <v>0.003345485739</v>
      </c>
      <c r="J2218" s="7" t="str">
        <f t="shared" si="3"/>
        <v>Aug-2025</v>
      </c>
      <c r="K2218" s="9">
        <f t="shared" si="4"/>
        <v>45870</v>
      </c>
      <c r="L2218" s="7" t="str">
        <f t="shared" si="5"/>
        <v/>
      </c>
      <c r="M2218" s="7" t="str">
        <f>IFERROR(__xludf.DUMMYFUNCTION("IFERROR(
  IF(
    F2218 &gt;
    3*AVERAGE(
       FILTER($F$2:$F10491,
         $G$2:$G10491=G2218,
         $A$2:$A10491&gt;=A2218-20,
         $A$2:$A10491&lt;=A2218
       )
    ),
    ""VOL_SPIKE_3X"",""""
  ),
"""")
"),"")</f>
        <v/>
      </c>
      <c r="N2218" s="7" t="str">
        <f t="shared" si="6"/>
        <v/>
      </c>
      <c r="O2218" s="7" t="str">
        <f t="shared" si="7"/>
        <v/>
      </c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>
      <c r="A2219" s="5">
        <f>IFERROR(__xludf.DUMMYFUNCTION("""COMPUTED_VALUE"""),45876.0)</f>
        <v>45876</v>
      </c>
      <c r="B2219" s="6">
        <f>IFERROR(__xludf.DUMMYFUNCTION("""COMPUTED_VALUE"""),284.5)</f>
        <v>284.5</v>
      </c>
      <c r="C2219" s="6">
        <f>IFERROR(__xludf.DUMMYFUNCTION("""COMPUTED_VALUE"""),286.3)</f>
        <v>286.3</v>
      </c>
      <c r="D2219" s="6">
        <f>IFERROR(__xludf.DUMMYFUNCTION("""COMPUTED_VALUE"""),283.4)</f>
        <v>283.4</v>
      </c>
      <c r="E2219" s="6">
        <f>IFERROR(__xludf.DUMMYFUNCTION("""COMPUTED_VALUE"""),285.55)</f>
        <v>285.55</v>
      </c>
      <c r="F2219" s="7">
        <f>IFERROR(__xludf.DUMMYFUNCTION("""COMPUTED_VALUE"""),8893659.0)</f>
        <v>8893659</v>
      </c>
      <c r="G2219" s="7" t="str">
        <f>IFERROR(__xludf.DUMMYFUNCTION("""COMPUTED_VALUE"""),"POWERGRID.NS")</f>
        <v>POWERGRID.NS</v>
      </c>
      <c r="H2219" s="8">
        <f t="shared" si="1"/>
        <v>0.003690685413</v>
      </c>
      <c r="I2219" s="8">
        <f t="shared" si="2"/>
        <v>0.003690685413</v>
      </c>
      <c r="J2219" s="7" t="str">
        <f t="shared" si="3"/>
        <v>Aug-2025</v>
      </c>
      <c r="K2219" s="9">
        <f t="shared" si="4"/>
        <v>45870</v>
      </c>
      <c r="L2219" s="7" t="str">
        <f t="shared" si="5"/>
        <v/>
      </c>
      <c r="M2219" s="7" t="str">
        <f>IFERROR(__xludf.DUMMYFUNCTION("IFERROR(
  IF(
    F2219 &gt;
    3*AVERAGE(
       FILTER($F$2:$F10491,
         $G$2:$G10491=G2219,
         $A$2:$A10491&gt;=A2219-20,
         $A$2:$A10491&lt;=A2219
       )
    ),
    ""VOL_SPIKE_3X"",""""
  ),
"""")
"),"")</f>
        <v/>
      </c>
      <c r="N2219" s="7" t="str">
        <f t="shared" si="6"/>
        <v/>
      </c>
      <c r="O2219" s="7" t="str">
        <f t="shared" si="7"/>
        <v/>
      </c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>
      <c r="A2220" s="5">
        <f>IFERROR(__xludf.DUMMYFUNCTION("""COMPUTED_VALUE"""),45876.0)</f>
        <v>45876</v>
      </c>
      <c r="B2220" s="6">
        <f>IFERROR(__xludf.DUMMYFUNCTION("""COMPUTED_VALUE"""),1387.7)</f>
        <v>1387.7</v>
      </c>
      <c r="C2220" s="6">
        <f>IFERROR(__xludf.DUMMYFUNCTION("""COMPUTED_VALUE"""),1393.7)</f>
        <v>1393.7</v>
      </c>
      <c r="D2220" s="6">
        <f>IFERROR(__xludf.DUMMYFUNCTION("""COMPUTED_VALUE"""),1366.0)</f>
        <v>1366</v>
      </c>
      <c r="E2220" s="6">
        <f>IFERROR(__xludf.DUMMYFUNCTION("""COMPUTED_VALUE"""),1389.4)</f>
        <v>1389.4</v>
      </c>
      <c r="F2220" s="7">
        <f>IFERROR(__xludf.DUMMYFUNCTION("""COMPUTED_VALUE"""),9976705.0)</f>
        <v>9976705</v>
      </c>
      <c r="G2220" s="7" t="str">
        <f>IFERROR(__xludf.DUMMYFUNCTION("""COMPUTED_VALUE"""),"RELIANCE.NS")</f>
        <v>RELIANCE.NS</v>
      </c>
      <c r="H2220" s="8">
        <f t="shared" si="1"/>
        <v>0.001225048642</v>
      </c>
      <c r="I2220" s="8">
        <f t="shared" si="2"/>
        <v>0.001225048642</v>
      </c>
      <c r="J2220" s="7" t="str">
        <f t="shared" si="3"/>
        <v>Aug-2025</v>
      </c>
      <c r="K2220" s="9">
        <f t="shared" si="4"/>
        <v>45870</v>
      </c>
      <c r="L2220" s="7" t="str">
        <f t="shared" si="5"/>
        <v/>
      </c>
      <c r="M2220" s="7" t="str">
        <f>IFERROR(__xludf.DUMMYFUNCTION("IFERROR(
  IF(
    F2220 &gt;
    3*AVERAGE(
       FILTER($F$2:$F10491,
         $G$2:$G10491=G2220,
         $A$2:$A10491&gt;=A2220-20,
         $A$2:$A10491&lt;=A2220
       )
    ),
    ""VOL_SPIKE_3X"",""""
  ),
"""")
"),"")</f>
        <v/>
      </c>
      <c r="N2220" s="7" t="str">
        <f t="shared" si="6"/>
        <v/>
      </c>
      <c r="O2220" s="7" t="str">
        <f t="shared" si="7"/>
        <v/>
      </c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>
      <c r="A2221" s="5">
        <f>IFERROR(__xludf.DUMMYFUNCTION("""COMPUTED_VALUE"""),45877.0)</f>
        <v>45877</v>
      </c>
      <c r="B2221" s="6">
        <f>IFERROR(__xludf.DUMMYFUNCTION("""COMPUTED_VALUE"""),794.65)</f>
        <v>794.65</v>
      </c>
      <c r="C2221" s="6">
        <f>IFERROR(__xludf.DUMMYFUNCTION("""COMPUTED_VALUE"""),806.35)</f>
        <v>806.35</v>
      </c>
      <c r="D2221" s="6">
        <f>IFERROR(__xludf.DUMMYFUNCTION("""COMPUTED_VALUE"""),786.4)</f>
        <v>786.4</v>
      </c>
      <c r="E2221" s="6">
        <f>IFERROR(__xludf.DUMMYFUNCTION("""COMPUTED_VALUE"""),790.15)</f>
        <v>790.15</v>
      </c>
      <c r="F2221" s="7">
        <f>IFERROR(__xludf.DUMMYFUNCTION("""COMPUTED_VALUE"""),7822530.0)</f>
        <v>7822530</v>
      </c>
      <c r="G2221" s="7" t="str">
        <f>IFERROR(__xludf.DUMMYFUNCTION("""COMPUTED_VALUE"""),"ADANIENSOL.NS")</f>
        <v>ADANIENSOL.NS</v>
      </c>
      <c r="H2221" s="8">
        <f t="shared" si="1"/>
        <v>-0.005662870446</v>
      </c>
      <c r="I2221" s="8">
        <f t="shared" si="2"/>
        <v>0.005662870446</v>
      </c>
      <c r="J2221" s="7" t="str">
        <f t="shared" si="3"/>
        <v>Aug-2025</v>
      </c>
      <c r="K2221" s="9">
        <f t="shared" si="4"/>
        <v>45870</v>
      </c>
      <c r="L2221" s="7" t="str">
        <f t="shared" si="5"/>
        <v/>
      </c>
      <c r="M2221" s="7" t="str">
        <f>IFERROR(__xludf.DUMMYFUNCTION("IFERROR(
  IF(
    F2221 &gt;
    3*AVERAGE(
       FILTER($F$2:$F10491,
         $G$2:$G10491=G2221,
         $A$2:$A10491&gt;=A2221-20,
         $A$2:$A10491&lt;=A2221
       )
    ),
    ""VOL_SPIKE_3X"",""""
  ),
"""")
"),"VOL_SPIKE_3X")</f>
        <v>VOL_SPIKE_3X</v>
      </c>
      <c r="N2221" s="7" t="str">
        <f t="shared" si="6"/>
        <v>VOL_SPIKE_3X</v>
      </c>
      <c r="O2221" s="7" t="str">
        <f t="shared" si="7"/>
        <v/>
      </c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>
      <c r="A2222" s="5">
        <f>IFERROR(__xludf.DUMMYFUNCTION("""COMPUTED_VALUE"""),45877.0)</f>
        <v>45877</v>
      </c>
      <c r="B2222" s="6">
        <f>IFERROR(__xludf.DUMMYFUNCTION("""COMPUTED_VALUE"""),939.85)</f>
        <v>939.85</v>
      </c>
      <c r="C2222" s="6">
        <f>IFERROR(__xludf.DUMMYFUNCTION("""COMPUTED_VALUE"""),946.65)</f>
        <v>946.65</v>
      </c>
      <c r="D2222" s="6">
        <f>IFERROR(__xludf.DUMMYFUNCTION("""COMPUTED_VALUE"""),909.05)</f>
        <v>909.05</v>
      </c>
      <c r="E2222" s="6">
        <f>IFERROR(__xludf.DUMMYFUNCTION("""COMPUTED_VALUE"""),914.05)</f>
        <v>914.05</v>
      </c>
      <c r="F2222" s="7">
        <f>IFERROR(__xludf.DUMMYFUNCTION("""COMPUTED_VALUE"""),2051171.0)</f>
        <v>2051171</v>
      </c>
      <c r="G2222" s="7" t="str">
        <f>IFERROR(__xludf.DUMMYFUNCTION("""COMPUTED_VALUE"""),"ADANIGREEN.NS")</f>
        <v>ADANIGREEN.NS</v>
      </c>
      <c r="H2222" s="8">
        <f t="shared" si="1"/>
        <v>-0.02745118902</v>
      </c>
      <c r="I2222" s="8">
        <f t="shared" si="2"/>
        <v>0.02745118902</v>
      </c>
      <c r="J2222" s="7" t="str">
        <f t="shared" si="3"/>
        <v>Aug-2025</v>
      </c>
      <c r="K2222" s="9">
        <f t="shared" si="4"/>
        <v>45870</v>
      </c>
      <c r="L2222" s="7" t="str">
        <f t="shared" si="5"/>
        <v/>
      </c>
      <c r="M2222" s="7" t="str">
        <f>IFERROR(__xludf.DUMMYFUNCTION("IFERROR(
  IF(
    F2222 &gt;
    3*AVERAGE(
       FILTER($F$2:$F10491,
         $G$2:$G10491=G2222,
         $A$2:$A10491&gt;=A2222-20,
         $A$2:$A10491&lt;=A2222
       )
    ),
    ""VOL_SPIKE_3X"",""""
  ),
"""")
"),"")</f>
        <v/>
      </c>
      <c r="N2222" s="7" t="str">
        <f t="shared" si="6"/>
        <v/>
      </c>
      <c r="O2222" s="7" t="str">
        <f t="shared" si="7"/>
        <v/>
      </c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>
      <c r="A2223" s="5">
        <f>IFERROR(__xludf.DUMMYFUNCTION("""COMPUTED_VALUE"""),45877.0)</f>
        <v>45877</v>
      </c>
      <c r="B2223" s="6">
        <f>IFERROR(__xludf.DUMMYFUNCTION("""COMPUTED_VALUE"""),310.5)</f>
        <v>310.5</v>
      </c>
      <c r="C2223" s="6">
        <f>IFERROR(__xludf.DUMMYFUNCTION("""COMPUTED_VALUE"""),321.25)</f>
        <v>321.25</v>
      </c>
      <c r="D2223" s="6">
        <f>IFERROR(__xludf.DUMMYFUNCTION("""COMPUTED_VALUE"""),308.6)</f>
        <v>308.6</v>
      </c>
      <c r="E2223" s="6">
        <f>IFERROR(__xludf.DUMMYFUNCTION("""COMPUTED_VALUE"""),319.45)</f>
        <v>319.45</v>
      </c>
      <c r="F2223" s="7">
        <f>IFERROR(__xludf.DUMMYFUNCTION("""COMPUTED_VALUE"""),1.0028343E7)</f>
        <v>10028343</v>
      </c>
      <c r="G2223" s="7" t="str">
        <f>IFERROR(__xludf.DUMMYFUNCTION("""COMPUTED_VALUE"""),"BPCL.NS")</f>
        <v>BPCL.NS</v>
      </c>
      <c r="H2223" s="8">
        <f t="shared" si="1"/>
        <v>0.02882447665</v>
      </c>
      <c r="I2223" s="8">
        <f t="shared" si="2"/>
        <v>0.02882447665</v>
      </c>
      <c r="J2223" s="7" t="str">
        <f t="shared" si="3"/>
        <v>Aug-2025</v>
      </c>
      <c r="K2223" s="9">
        <f t="shared" si="4"/>
        <v>45870</v>
      </c>
      <c r="L2223" s="7" t="str">
        <f t="shared" si="5"/>
        <v/>
      </c>
      <c r="M2223" s="7" t="str">
        <f>IFERROR(__xludf.DUMMYFUNCTION("IFERROR(
  IF(
    F2223 &gt;
    3*AVERAGE(
       FILTER($F$2:$F10491,
         $G$2:$G10491=G2223,
         $A$2:$A10491&gt;=A2223-20,
         $A$2:$A10491&lt;=A2223
       )
    ),
    ""VOL_SPIKE_3X"",""""
  ),
"""")
"),"")</f>
        <v/>
      </c>
      <c r="N2223" s="7" t="str">
        <f t="shared" si="6"/>
        <v/>
      </c>
      <c r="O2223" s="7" t="str">
        <f t="shared" si="7"/>
        <v/>
      </c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>
      <c r="A2224" s="5">
        <f>IFERROR(__xludf.DUMMYFUNCTION("""COMPUTED_VALUE"""),45877.0)</f>
        <v>45877</v>
      </c>
      <c r="B2224" s="6">
        <f>IFERROR(__xludf.DUMMYFUNCTION("""COMPUTED_VALUE"""),379.0)</f>
        <v>379</v>
      </c>
      <c r="C2224" s="6">
        <f>IFERROR(__xludf.DUMMYFUNCTION("""COMPUTED_VALUE"""),382.1)</f>
        <v>382.1</v>
      </c>
      <c r="D2224" s="6">
        <f>IFERROR(__xludf.DUMMYFUNCTION("""COMPUTED_VALUE"""),378.15)</f>
        <v>378.15</v>
      </c>
      <c r="E2224" s="6">
        <f>IFERROR(__xludf.DUMMYFUNCTION("""COMPUTED_VALUE"""),379.7)</f>
        <v>379.7</v>
      </c>
      <c r="F2224" s="7">
        <f>IFERROR(__xludf.DUMMYFUNCTION("""COMPUTED_VALUE"""),4172600.0)</f>
        <v>4172600</v>
      </c>
      <c r="G2224" s="7" t="str">
        <f>IFERROR(__xludf.DUMMYFUNCTION("""COMPUTED_VALUE"""),"COALINDIA.NS")</f>
        <v>COALINDIA.NS</v>
      </c>
      <c r="H2224" s="8">
        <f t="shared" si="1"/>
        <v>0.001846965699</v>
      </c>
      <c r="I2224" s="8">
        <f t="shared" si="2"/>
        <v>0.001846965699</v>
      </c>
      <c r="J2224" s="7" t="str">
        <f t="shared" si="3"/>
        <v>Aug-2025</v>
      </c>
      <c r="K2224" s="9">
        <f t="shared" si="4"/>
        <v>45870</v>
      </c>
      <c r="L2224" s="7" t="str">
        <f t="shared" si="5"/>
        <v/>
      </c>
      <c r="M2224" s="7" t="str">
        <f>IFERROR(__xludf.DUMMYFUNCTION("IFERROR(
  IF(
    F2224 &gt;
    3*AVERAGE(
       FILTER($F$2:$F10491,
         $G$2:$G10491=G2224,
         $A$2:$A10491&gt;=A2224-20,
         $A$2:$A10491&lt;=A2224
       )
    ),
    ""VOL_SPIKE_3X"",""""
  ),
"""")
"),"")</f>
        <v/>
      </c>
      <c r="N2224" s="7" t="str">
        <f t="shared" si="6"/>
        <v/>
      </c>
      <c r="O2224" s="7" t="str">
        <f t="shared" si="7"/>
        <v/>
      </c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>
      <c r="A2225" s="5">
        <f>IFERROR(__xludf.DUMMYFUNCTION("""COMPUTED_VALUE"""),45877.0)</f>
        <v>45877</v>
      </c>
      <c r="B2225" s="6">
        <f>IFERROR(__xludf.DUMMYFUNCTION("""COMPUTED_VALUE"""),407.0)</f>
        <v>407</v>
      </c>
      <c r="C2225" s="6">
        <f>IFERROR(__xludf.DUMMYFUNCTION("""COMPUTED_VALUE"""),415.35)</f>
        <v>415.35</v>
      </c>
      <c r="D2225" s="6">
        <f>IFERROR(__xludf.DUMMYFUNCTION("""COMPUTED_VALUE"""),399.5)</f>
        <v>399.5</v>
      </c>
      <c r="E2225" s="6">
        <f>IFERROR(__xludf.DUMMYFUNCTION("""COMPUTED_VALUE"""),409.5)</f>
        <v>409.5</v>
      </c>
      <c r="F2225" s="7">
        <f>IFERROR(__xludf.DUMMYFUNCTION("""COMPUTED_VALUE"""),1.2286666E7)</f>
        <v>12286666</v>
      </c>
      <c r="G2225" s="7" t="str">
        <f>IFERROR(__xludf.DUMMYFUNCTION("""COMPUTED_VALUE"""),"HINDPETRO.NS")</f>
        <v>HINDPETRO.NS</v>
      </c>
      <c r="H2225" s="8">
        <f t="shared" si="1"/>
        <v>0.006142506143</v>
      </c>
      <c r="I2225" s="8">
        <f t="shared" si="2"/>
        <v>0.006142506143</v>
      </c>
      <c r="J2225" s="7" t="str">
        <f t="shared" si="3"/>
        <v>Aug-2025</v>
      </c>
      <c r="K2225" s="9">
        <f t="shared" si="4"/>
        <v>45870</v>
      </c>
      <c r="L2225" s="7" t="str">
        <f t="shared" si="5"/>
        <v/>
      </c>
      <c r="M2225" s="7" t="str">
        <f>IFERROR(__xludf.DUMMYFUNCTION("IFERROR(
  IF(
    F2225 &gt;
    3*AVERAGE(
       FILTER($F$2:$F10491,
         $G$2:$G10491=G2225,
         $A$2:$A10491&gt;=A2225-20,
         $A$2:$A10491&lt;=A2225
       )
    ),
    ""VOL_SPIKE_3X"",""""
  ),
"""")
"),"")</f>
        <v/>
      </c>
      <c r="N2225" s="7" t="str">
        <f t="shared" si="6"/>
        <v/>
      </c>
      <c r="O2225" s="7" t="str">
        <f t="shared" si="7"/>
        <v/>
      </c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>
      <c r="A2226" s="5">
        <f>IFERROR(__xludf.DUMMYFUNCTION("""COMPUTED_VALUE"""),45877.0)</f>
        <v>45877</v>
      </c>
      <c r="B2226" s="6">
        <f>IFERROR(__xludf.DUMMYFUNCTION("""COMPUTED_VALUE"""),139.99)</f>
        <v>139.99</v>
      </c>
      <c r="C2226" s="6">
        <f>IFERROR(__xludf.DUMMYFUNCTION("""COMPUTED_VALUE"""),142.0)</f>
        <v>142</v>
      </c>
      <c r="D2226" s="6">
        <f>IFERROR(__xludf.DUMMYFUNCTION("""COMPUTED_VALUE"""),139.31)</f>
        <v>139.31</v>
      </c>
      <c r="E2226" s="6">
        <f>IFERROR(__xludf.DUMMYFUNCTION("""COMPUTED_VALUE"""),139.91)</f>
        <v>139.91</v>
      </c>
      <c r="F2226" s="7">
        <f>IFERROR(__xludf.DUMMYFUNCTION("""COMPUTED_VALUE"""),9551412.0)</f>
        <v>9551412</v>
      </c>
      <c r="G2226" s="7" t="str">
        <f>IFERROR(__xludf.DUMMYFUNCTION("""COMPUTED_VALUE"""),"IOC.NS")</f>
        <v>IOC.NS</v>
      </c>
      <c r="H2226" s="8">
        <f t="shared" si="1"/>
        <v>-0.0005714693907</v>
      </c>
      <c r="I2226" s="8">
        <f t="shared" si="2"/>
        <v>0.0005714693907</v>
      </c>
      <c r="J2226" s="7" t="str">
        <f t="shared" si="3"/>
        <v>Aug-2025</v>
      </c>
      <c r="K2226" s="9">
        <f t="shared" si="4"/>
        <v>45870</v>
      </c>
      <c r="L2226" s="7" t="str">
        <f t="shared" si="5"/>
        <v/>
      </c>
      <c r="M2226" s="7" t="str">
        <f>IFERROR(__xludf.DUMMYFUNCTION("IFERROR(
  IF(
    F2226 &gt;
    3*AVERAGE(
       FILTER($F$2:$F10491,
         $G$2:$G10491=G2226,
         $A$2:$A10491&gt;=A2226-20,
         $A$2:$A10491&lt;=A2226
       )
    ),
    ""VOL_SPIKE_3X"",""""
  ),
"""")
"),"")</f>
        <v/>
      </c>
      <c r="N2226" s="7" t="str">
        <f t="shared" si="6"/>
        <v/>
      </c>
      <c r="O2226" s="7" t="str">
        <f t="shared" si="7"/>
        <v/>
      </c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>
      <c r="A2227" s="5">
        <f>IFERROR(__xludf.DUMMYFUNCTION("""COMPUTED_VALUE"""),45877.0)</f>
        <v>45877</v>
      </c>
      <c r="B2227" s="6">
        <f>IFERROR(__xludf.DUMMYFUNCTION("""COMPUTED_VALUE"""),330.0)</f>
        <v>330</v>
      </c>
      <c r="C2227" s="6">
        <f>IFERROR(__xludf.DUMMYFUNCTION("""COMPUTED_VALUE"""),337.5)</f>
        <v>337.5</v>
      </c>
      <c r="D2227" s="6">
        <f>IFERROR(__xludf.DUMMYFUNCTION("""COMPUTED_VALUE"""),329.65)</f>
        <v>329.65</v>
      </c>
      <c r="E2227" s="6">
        <f>IFERROR(__xludf.DUMMYFUNCTION("""COMPUTED_VALUE"""),334.75)</f>
        <v>334.75</v>
      </c>
      <c r="F2227" s="7">
        <f>IFERROR(__xludf.DUMMYFUNCTION("""COMPUTED_VALUE"""),1.1247218E7)</f>
        <v>11247218</v>
      </c>
      <c r="G2227" s="7" t="str">
        <f>IFERROR(__xludf.DUMMYFUNCTION("""COMPUTED_VALUE"""),"NTPC.NS")</f>
        <v>NTPC.NS</v>
      </c>
      <c r="H2227" s="8">
        <f t="shared" si="1"/>
        <v>0.01439393939</v>
      </c>
      <c r="I2227" s="8">
        <f t="shared" si="2"/>
        <v>0.01439393939</v>
      </c>
      <c r="J2227" s="7" t="str">
        <f t="shared" si="3"/>
        <v>Aug-2025</v>
      </c>
      <c r="K2227" s="9">
        <f t="shared" si="4"/>
        <v>45870</v>
      </c>
      <c r="L2227" s="7" t="str">
        <f t="shared" si="5"/>
        <v/>
      </c>
      <c r="M2227" s="7" t="str">
        <f>IFERROR(__xludf.DUMMYFUNCTION("IFERROR(
  IF(
    F2227 &gt;
    3*AVERAGE(
       FILTER($F$2:$F10491,
         $G$2:$G10491=G2227,
         $A$2:$A10491&gt;=A2227-20,
         $A$2:$A10491&lt;=A2227
       )
    ),
    ""VOL_SPIKE_3X"",""""
  ),
"""")
"),"")</f>
        <v/>
      </c>
      <c r="N2227" s="7" t="str">
        <f t="shared" si="6"/>
        <v/>
      </c>
      <c r="O2227" s="7" t="str">
        <f t="shared" si="7"/>
        <v/>
      </c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>
      <c r="A2228" s="5">
        <f>IFERROR(__xludf.DUMMYFUNCTION("""COMPUTED_VALUE"""),45877.0)</f>
        <v>45877</v>
      </c>
      <c r="B2228" s="6">
        <f>IFERROR(__xludf.DUMMYFUNCTION("""COMPUTED_VALUE"""),233.9)</f>
        <v>233.9</v>
      </c>
      <c r="C2228" s="6">
        <f>IFERROR(__xludf.DUMMYFUNCTION("""COMPUTED_VALUE"""),235.12)</f>
        <v>235.12</v>
      </c>
      <c r="D2228" s="6">
        <f>IFERROR(__xludf.DUMMYFUNCTION("""COMPUTED_VALUE"""),232.68)</f>
        <v>232.68</v>
      </c>
      <c r="E2228" s="6">
        <f>IFERROR(__xludf.DUMMYFUNCTION("""COMPUTED_VALUE"""),233.44)</f>
        <v>233.44</v>
      </c>
      <c r="F2228" s="7">
        <f>IFERROR(__xludf.DUMMYFUNCTION("""COMPUTED_VALUE"""),5249568.0)</f>
        <v>5249568</v>
      </c>
      <c r="G2228" s="7" t="str">
        <f>IFERROR(__xludf.DUMMYFUNCTION("""COMPUTED_VALUE"""),"ONGC.NS")</f>
        <v>ONGC.NS</v>
      </c>
      <c r="H2228" s="8">
        <f t="shared" si="1"/>
        <v>-0.001966652416</v>
      </c>
      <c r="I2228" s="8">
        <f t="shared" si="2"/>
        <v>0.001966652416</v>
      </c>
      <c r="J2228" s="7" t="str">
        <f t="shared" si="3"/>
        <v>Aug-2025</v>
      </c>
      <c r="K2228" s="9">
        <f t="shared" si="4"/>
        <v>45870</v>
      </c>
      <c r="L2228" s="7" t="str">
        <f t="shared" si="5"/>
        <v/>
      </c>
      <c r="M2228" s="7" t="str">
        <f>IFERROR(__xludf.DUMMYFUNCTION("IFERROR(
  IF(
    F2228 &gt;
    3*AVERAGE(
       FILTER($F$2:$F10491,
         $G$2:$G10491=G2228,
         $A$2:$A10491&gt;=A2228-20,
         $A$2:$A10491&lt;=A2228
       )
    ),
    ""VOL_SPIKE_3X"",""""
  ),
"""")
"),"")</f>
        <v/>
      </c>
      <c r="N2228" s="7" t="str">
        <f t="shared" si="6"/>
        <v/>
      </c>
      <c r="O2228" s="7" t="str">
        <f t="shared" si="7"/>
        <v/>
      </c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>
      <c r="A2229" s="5">
        <f>IFERROR(__xludf.DUMMYFUNCTION("""COMPUTED_VALUE"""),45877.0)</f>
        <v>45877</v>
      </c>
      <c r="B2229" s="6">
        <f>IFERROR(__xludf.DUMMYFUNCTION("""COMPUTED_VALUE"""),284.8)</f>
        <v>284.8</v>
      </c>
      <c r="C2229" s="6">
        <f>IFERROR(__xludf.DUMMYFUNCTION("""COMPUTED_VALUE"""),286.25)</f>
        <v>286.25</v>
      </c>
      <c r="D2229" s="6">
        <f>IFERROR(__xludf.DUMMYFUNCTION("""COMPUTED_VALUE"""),283.6)</f>
        <v>283.6</v>
      </c>
      <c r="E2229" s="6">
        <f>IFERROR(__xludf.DUMMYFUNCTION("""COMPUTED_VALUE"""),284.85)</f>
        <v>284.85</v>
      </c>
      <c r="F2229" s="7">
        <f>IFERROR(__xludf.DUMMYFUNCTION("""COMPUTED_VALUE"""),6172968.0)</f>
        <v>6172968</v>
      </c>
      <c r="G2229" s="7" t="str">
        <f>IFERROR(__xludf.DUMMYFUNCTION("""COMPUTED_VALUE"""),"POWERGRID.NS")</f>
        <v>POWERGRID.NS</v>
      </c>
      <c r="H2229" s="8">
        <f t="shared" si="1"/>
        <v>0.0001755617978</v>
      </c>
      <c r="I2229" s="8">
        <f t="shared" si="2"/>
        <v>0.0001755617978</v>
      </c>
      <c r="J2229" s="7" t="str">
        <f t="shared" si="3"/>
        <v>Aug-2025</v>
      </c>
      <c r="K2229" s="9">
        <f t="shared" si="4"/>
        <v>45870</v>
      </c>
      <c r="L2229" s="7" t="str">
        <f t="shared" si="5"/>
        <v/>
      </c>
      <c r="M2229" s="7" t="str">
        <f>IFERROR(__xludf.DUMMYFUNCTION("IFERROR(
  IF(
    F2229 &gt;
    3*AVERAGE(
       FILTER($F$2:$F10491,
         $G$2:$G10491=G2229,
         $A$2:$A10491&gt;=A2229-20,
         $A$2:$A10491&lt;=A2229
       )
    ),
    ""VOL_SPIKE_3X"",""""
  ),
"""")
"),"")</f>
        <v/>
      </c>
      <c r="N2229" s="7" t="str">
        <f t="shared" si="6"/>
        <v/>
      </c>
      <c r="O2229" s="7" t="str">
        <f t="shared" si="7"/>
        <v/>
      </c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>
      <c r="A2230" s="5">
        <f>IFERROR(__xludf.DUMMYFUNCTION("""COMPUTED_VALUE"""),45877.0)</f>
        <v>45877</v>
      </c>
      <c r="B2230" s="6">
        <f>IFERROR(__xludf.DUMMYFUNCTION("""COMPUTED_VALUE"""),1385.0)</f>
        <v>1385</v>
      </c>
      <c r="C2230" s="6">
        <f>IFERROR(__xludf.DUMMYFUNCTION("""COMPUTED_VALUE"""),1397.2)</f>
        <v>1397.2</v>
      </c>
      <c r="D2230" s="6">
        <f>IFERROR(__xludf.DUMMYFUNCTION("""COMPUTED_VALUE"""),1365.0)</f>
        <v>1365</v>
      </c>
      <c r="E2230" s="6">
        <f>IFERROR(__xludf.DUMMYFUNCTION("""COMPUTED_VALUE"""),1367.8)</f>
        <v>1367.8</v>
      </c>
      <c r="F2230" s="7">
        <f>IFERROR(__xludf.DUMMYFUNCTION("""COMPUTED_VALUE"""),8793606.0)</f>
        <v>8793606</v>
      </c>
      <c r="G2230" s="7" t="str">
        <f>IFERROR(__xludf.DUMMYFUNCTION("""COMPUTED_VALUE"""),"RELIANCE.NS")</f>
        <v>RELIANCE.NS</v>
      </c>
      <c r="H2230" s="8">
        <f t="shared" si="1"/>
        <v>-0.01241877256</v>
      </c>
      <c r="I2230" s="8">
        <f t="shared" si="2"/>
        <v>0.01241877256</v>
      </c>
      <c r="J2230" s="7" t="str">
        <f t="shared" si="3"/>
        <v>Aug-2025</v>
      </c>
      <c r="K2230" s="9">
        <f t="shared" si="4"/>
        <v>45870</v>
      </c>
      <c r="L2230" s="7" t="str">
        <f t="shared" si="5"/>
        <v/>
      </c>
      <c r="M2230" s="7" t="str">
        <f>IFERROR(__xludf.DUMMYFUNCTION("IFERROR(
  IF(
    F2230 &gt;
    3*AVERAGE(
       FILTER($F$2:$F10491,
         $G$2:$G10491=G2230,
         $A$2:$A10491&gt;=A2230-20,
         $A$2:$A10491&lt;=A2230
       )
    ),
    ""VOL_SPIKE_3X"",""""
  ),
"""")
"),"")</f>
        <v/>
      </c>
      <c r="N2230" s="7" t="str">
        <f t="shared" si="6"/>
        <v/>
      </c>
      <c r="O2230" s="7" t="str">
        <f t="shared" si="7"/>
        <v/>
      </c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>
      <c r="A2231" s="5">
        <f>IFERROR(__xludf.DUMMYFUNCTION("""COMPUTED_VALUE"""),45880.0)</f>
        <v>45880</v>
      </c>
      <c r="B2231" s="6">
        <f>IFERROR(__xludf.DUMMYFUNCTION("""COMPUTED_VALUE"""),788.0)</f>
        <v>788</v>
      </c>
      <c r="C2231" s="6">
        <f>IFERROR(__xludf.DUMMYFUNCTION("""COMPUTED_VALUE"""),799.95)</f>
        <v>799.95</v>
      </c>
      <c r="D2231" s="6">
        <f>IFERROR(__xludf.DUMMYFUNCTION("""COMPUTED_VALUE"""),785.8)</f>
        <v>785.8</v>
      </c>
      <c r="E2231" s="6">
        <f>IFERROR(__xludf.DUMMYFUNCTION("""COMPUTED_VALUE"""),792.0)</f>
        <v>792</v>
      </c>
      <c r="F2231" s="7">
        <f>IFERROR(__xludf.DUMMYFUNCTION("""COMPUTED_VALUE"""),950117.0)</f>
        <v>950117</v>
      </c>
      <c r="G2231" s="7" t="str">
        <f>IFERROR(__xludf.DUMMYFUNCTION("""COMPUTED_VALUE"""),"ADANIENSOL.NS")</f>
        <v>ADANIENSOL.NS</v>
      </c>
      <c r="H2231" s="8">
        <f t="shared" si="1"/>
        <v>0.005076142132</v>
      </c>
      <c r="I2231" s="8">
        <f t="shared" si="2"/>
        <v>0.005076142132</v>
      </c>
      <c r="J2231" s="7" t="str">
        <f t="shared" si="3"/>
        <v>Aug-2025</v>
      </c>
      <c r="K2231" s="9">
        <f t="shared" si="4"/>
        <v>45870</v>
      </c>
      <c r="L2231" s="7" t="str">
        <f t="shared" si="5"/>
        <v/>
      </c>
      <c r="M2231" s="7" t="str">
        <f>IFERROR(__xludf.DUMMYFUNCTION("IFERROR(
  IF(
    F2231 &gt;
    3*AVERAGE(
       FILTER($F$2:$F10491,
         $G$2:$G10491=G2231,
         $A$2:$A10491&gt;=A2231-20,
         $A$2:$A10491&lt;=A2231
       )
    ),
    ""VOL_SPIKE_3X"",""""
  ),
"""")
"),"")</f>
        <v/>
      </c>
      <c r="N2231" s="7" t="str">
        <f t="shared" si="6"/>
        <v/>
      </c>
      <c r="O2231" s="7" t="str">
        <f t="shared" si="7"/>
        <v/>
      </c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>
      <c r="A2232" s="5">
        <f>IFERROR(__xludf.DUMMYFUNCTION("""COMPUTED_VALUE"""),45880.0)</f>
        <v>45880</v>
      </c>
      <c r="B2232" s="6">
        <f>IFERROR(__xludf.DUMMYFUNCTION("""COMPUTED_VALUE"""),914.05)</f>
        <v>914.05</v>
      </c>
      <c r="C2232" s="6">
        <f>IFERROR(__xludf.DUMMYFUNCTION("""COMPUTED_VALUE"""),933.15)</f>
        <v>933.15</v>
      </c>
      <c r="D2232" s="6">
        <f>IFERROR(__xludf.DUMMYFUNCTION("""COMPUTED_VALUE"""),908.0)</f>
        <v>908</v>
      </c>
      <c r="E2232" s="6">
        <f>IFERROR(__xludf.DUMMYFUNCTION("""COMPUTED_VALUE"""),929.1)</f>
        <v>929.1</v>
      </c>
      <c r="F2232" s="7">
        <f>IFERROR(__xludf.DUMMYFUNCTION("""COMPUTED_VALUE"""),1612977.0)</f>
        <v>1612977</v>
      </c>
      <c r="G2232" s="7" t="str">
        <f>IFERROR(__xludf.DUMMYFUNCTION("""COMPUTED_VALUE"""),"ADANIGREEN.NS")</f>
        <v>ADANIGREEN.NS</v>
      </c>
      <c r="H2232" s="8">
        <f t="shared" si="1"/>
        <v>0.01646518243</v>
      </c>
      <c r="I2232" s="8">
        <f t="shared" si="2"/>
        <v>0.01646518243</v>
      </c>
      <c r="J2232" s="7" t="str">
        <f t="shared" si="3"/>
        <v>Aug-2025</v>
      </c>
      <c r="K2232" s="9">
        <f t="shared" si="4"/>
        <v>45870</v>
      </c>
      <c r="L2232" s="7" t="str">
        <f t="shared" si="5"/>
        <v/>
      </c>
      <c r="M2232" s="7" t="str">
        <f>IFERROR(__xludf.DUMMYFUNCTION("IFERROR(
  IF(
    F2232 &gt;
    3*AVERAGE(
       FILTER($F$2:$F10491,
         $G$2:$G10491=G2232,
         $A$2:$A10491&gt;=A2232-20,
         $A$2:$A10491&lt;=A2232
       )
    ),
    ""VOL_SPIKE_3X"",""""
  ),
"""")
"),"")</f>
        <v/>
      </c>
      <c r="N2232" s="7" t="str">
        <f t="shared" si="6"/>
        <v/>
      </c>
      <c r="O2232" s="7" t="str">
        <f t="shared" si="7"/>
        <v/>
      </c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>
      <c r="A2233" s="5">
        <f>IFERROR(__xludf.DUMMYFUNCTION("""COMPUTED_VALUE"""),45880.0)</f>
        <v>45880</v>
      </c>
      <c r="B2233" s="6">
        <f>IFERROR(__xludf.DUMMYFUNCTION("""COMPUTED_VALUE"""),322.25)</f>
        <v>322.25</v>
      </c>
      <c r="C2233" s="6">
        <f>IFERROR(__xludf.DUMMYFUNCTION("""COMPUTED_VALUE"""),330.0)</f>
        <v>330</v>
      </c>
      <c r="D2233" s="6">
        <f>IFERROR(__xludf.DUMMYFUNCTION("""COMPUTED_VALUE"""),317.2)</f>
        <v>317.2</v>
      </c>
      <c r="E2233" s="6">
        <f>IFERROR(__xludf.DUMMYFUNCTION("""COMPUTED_VALUE"""),320.95)</f>
        <v>320.95</v>
      </c>
      <c r="F2233" s="7">
        <f>IFERROR(__xludf.DUMMYFUNCTION("""COMPUTED_VALUE"""),7957794.0)</f>
        <v>7957794</v>
      </c>
      <c r="G2233" s="7" t="str">
        <f>IFERROR(__xludf.DUMMYFUNCTION("""COMPUTED_VALUE"""),"BPCL.NS")</f>
        <v>BPCL.NS</v>
      </c>
      <c r="H2233" s="8">
        <f t="shared" si="1"/>
        <v>-0.004034134988</v>
      </c>
      <c r="I2233" s="8">
        <f t="shared" si="2"/>
        <v>0.004034134988</v>
      </c>
      <c r="J2233" s="7" t="str">
        <f t="shared" si="3"/>
        <v>Aug-2025</v>
      </c>
      <c r="K2233" s="9">
        <f t="shared" si="4"/>
        <v>45870</v>
      </c>
      <c r="L2233" s="7" t="str">
        <f t="shared" si="5"/>
        <v/>
      </c>
      <c r="M2233" s="7" t="str">
        <f>IFERROR(__xludf.DUMMYFUNCTION("IFERROR(
  IF(
    F2233 &gt;
    3*AVERAGE(
       FILTER($F$2:$F10491,
         $G$2:$G10491=G2233,
         $A$2:$A10491&gt;=A2233-20,
         $A$2:$A10491&lt;=A2233
       )
    ),
    ""VOL_SPIKE_3X"",""""
  ),
"""")
"),"")</f>
        <v/>
      </c>
      <c r="N2233" s="7" t="str">
        <f t="shared" si="6"/>
        <v/>
      </c>
      <c r="O2233" s="7" t="str">
        <f t="shared" si="7"/>
        <v/>
      </c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>
      <c r="A2234" s="5">
        <f>IFERROR(__xludf.DUMMYFUNCTION("""COMPUTED_VALUE"""),45880.0)</f>
        <v>45880</v>
      </c>
      <c r="B2234" s="6">
        <f>IFERROR(__xludf.DUMMYFUNCTION("""COMPUTED_VALUE"""),378.0)</f>
        <v>378</v>
      </c>
      <c r="C2234" s="6">
        <f>IFERROR(__xludf.DUMMYFUNCTION("""COMPUTED_VALUE"""),384.7)</f>
        <v>384.7</v>
      </c>
      <c r="D2234" s="6">
        <f>IFERROR(__xludf.DUMMYFUNCTION("""COMPUTED_VALUE"""),376.55)</f>
        <v>376.55</v>
      </c>
      <c r="E2234" s="6">
        <f>IFERROR(__xludf.DUMMYFUNCTION("""COMPUTED_VALUE"""),382.5)</f>
        <v>382.5</v>
      </c>
      <c r="F2234" s="7">
        <f>IFERROR(__xludf.DUMMYFUNCTION("""COMPUTED_VALUE"""),5740719.0)</f>
        <v>5740719</v>
      </c>
      <c r="G2234" s="7" t="str">
        <f>IFERROR(__xludf.DUMMYFUNCTION("""COMPUTED_VALUE"""),"COALINDIA.NS")</f>
        <v>COALINDIA.NS</v>
      </c>
      <c r="H2234" s="8">
        <f t="shared" si="1"/>
        <v>0.0119047619</v>
      </c>
      <c r="I2234" s="8">
        <f t="shared" si="2"/>
        <v>0.0119047619</v>
      </c>
      <c r="J2234" s="7" t="str">
        <f t="shared" si="3"/>
        <v>Aug-2025</v>
      </c>
      <c r="K2234" s="9">
        <f t="shared" si="4"/>
        <v>45870</v>
      </c>
      <c r="L2234" s="7" t="str">
        <f t="shared" si="5"/>
        <v/>
      </c>
      <c r="M2234" s="7" t="str">
        <f>IFERROR(__xludf.DUMMYFUNCTION("IFERROR(
  IF(
    F2234 &gt;
    3*AVERAGE(
       FILTER($F$2:$F10491,
         $G$2:$G10491=G2234,
         $A$2:$A10491&gt;=A2234-20,
         $A$2:$A10491&lt;=A2234
       )
    ),
    ""VOL_SPIKE_3X"",""""
  ),
"""")
"),"")</f>
        <v/>
      </c>
      <c r="N2234" s="7" t="str">
        <f t="shared" si="6"/>
        <v/>
      </c>
      <c r="O2234" s="7" t="str">
        <f t="shared" si="7"/>
        <v/>
      </c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>
      <c r="A2235" s="5">
        <f>IFERROR(__xludf.DUMMYFUNCTION("""COMPUTED_VALUE"""),45880.0)</f>
        <v>45880</v>
      </c>
      <c r="B2235" s="6">
        <f>IFERROR(__xludf.DUMMYFUNCTION("""COMPUTED_VALUE"""),414.05)</f>
        <v>414.05</v>
      </c>
      <c r="C2235" s="6">
        <f>IFERROR(__xludf.DUMMYFUNCTION("""COMPUTED_VALUE"""),418.0)</f>
        <v>418</v>
      </c>
      <c r="D2235" s="6">
        <f>IFERROR(__xludf.DUMMYFUNCTION("""COMPUTED_VALUE"""),400.6)</f>
        <v>400.6</v>
      </c>
      <c r="E2235" s="6">
        <f>IFERROR(__xludf.DUMMYFUNCTION("""COMPUTED_VALUE"""),410.35)</f>
        <v>410.35</v>
      </c>
      <c r="F2235" s="7">
        <f>IFERROR(__xludf.DUMMYFUNCTION("""COMPUTED_VALUE"""),8713932.0)</f>
        <v>8713932</v>
      </c>
      <c r="G2235" s="7" t="str">
        <f>IFERROR(__xludf.DUMMYFUNCTION("""COMPUTED_VALUE"""),"HINDPETRO.NS")</f>
        <v>HINDPETRO.NS</v>
      </c>
      <c r="H2235" s="8">
        <f t="shared" si="1"/>
        <v>-0.008936118826</v>
      </c>
      <c r="I2235" s="8">
        <f t="shared" si="2"/>
        <v>0.008936118826</v>
      </c>
      <c r="J2235" s="7" t="str">
        <f t="shared" si="3"/>
        <v>Aug-2025</v>
      </c>
      <c r="K2235" s="9">
        <f t="shared" si="4"/>
        <v>45870</v>
      </c>
      <c r="L2235" s="7" t="str">
        <f t="shared" si="5"/>
        <v/>
      </c>
      <c r="M2235" s="7" t="str">
        <f>IFERROR(__xludf.DUMMYFUNCTION("IFERROR(
  IF(
    F2235 &gt;
    3*AVERAGE(
       FILTER($F$2:$F10491,
         $G$2:$G10491=G2235,
         $A$2:$A10491&gt;=A2235-20,
         $A$2:$A10491&lt;=A2235
       )
    ),
    ""VOL_SPIKE_3X"",""""
  ),
"""")
"),"")</f>
        <v/>
      </c>
      <c r="N2235" s="7" t="str">
        <f t="shared" si="6"/>
        <v/>
      </c>
      <c r="O2235" s="7" t="str">
        <f t="shared" si="7"/>
        <v/>
      </c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>
      <c r="A2236" s="5">
        <f>IFERROR(__xludf.DUMMYFUNCTION("""COMPUTED_VALUE"""),45880.0)</f>
        <v>45880</v>
      </c>
      <c r="B2236" s="6">
        <f>IFERROR(__xludf.DUMMYFUNCTION("""COMPUTED_VALUE"""),141.6)</f>
        <v>141.6</v>
      </c>
      <c r="C2236" s="6">
        <f>IFERROR(__xludf.DUMMYFUNCTION("""COMPUTED_VALUE"""),142.95)</f>
        <v>142.95</v>
      </c>
      <c r="D2236" s="6">
        <f>IFERROR(__xludf.DUMMYFUNCTION("""COMPUTED_VALUE"""),139.35)</f>
        <v>139.35</v>
      </c>
      <c r="E2236" s="6">
        <f>IFERROR(__xludf.DUMMYFUNCTION("""COMPUTED_VALUE"""),141.41)</f>
        <v>141.41</v>
      </c>
      <c r="F2236" s="7">
        <f>IFERROR(__xludf.DUMMYFUNCTION("""COMPUTED_VALUE"""),1.1260944E7)</f>
        <v>11260944</v>
      </c>
      <c r="G2236" s="7" t="str">
        <f>IFERROR(__xludf.DUMMYFUNCTION("""COMPUTED_VALUE"""),"IOC.NS")</f>
        <v>IOC.NS</v>
      </c>
      <c r="H2236" s="8">
        <f t="shared" si="1"/>
        <v>-0.00134180791</v>
      </c>
      <c r="I2236" s="8">
        <f t="shared" si="2"/>
        <v>0.00134180791</v>
      </c>
      <c r="J2236" s="7" t="str">
        <f t="shared" si="3"/>
        <v>Aug-2025</v>
      </c>
      <c r="K2236" s="9">
        <f t="shared" si="4"/>
        <v>45870</v>
      </c>
      <c r="L2236" s="7" t="str">
        <f t="shared" si="5"/>
        <v/>
      </c>
      <c r="M2236" s="7" t="str">
        <f>IFERROR(__xludf.DUMMYFUNCTION("IFERROR(
  IF(
    F2236 &gt;
    3*AVERAGE(
       FILTER($F$2:$F10491,
         $G$2:$G10491=G2236,
         $A$2:$A10491&gt;=A2236-20,
         $A$2:$A10491&lt;=A2236
       )
    ),
    ""VOL_SPIKE_3X"",""""
  ),
"""")
"),"")</f>
        <v/>
      </c>
      <c r="N2236" s="7" t="str">
        <f t="shared" si="6"/>
        <v/>
      </c>
      <c r="O2236" s="7" t="str">
        <f t="shared" si="7"/>
        <v/>
      </c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>
      <c r="A2237" s="5">
        <f>IFERROR(__xludf.DUMMYFUNCTION("""COMPUTED_VALUE"""),45880.0)</f>
        <v>45880</v>
      </c>
      <c r="B2237" s="6">
        <f>IFERROR(__xludf.DUMMYFUNCTION("""COMPUTED_VALUE"""),335.0)</f>
        <v>335</v>
      </c>
      <c r="C2237" s="6">
        <f>IFERROR(__xludf.DUMMYFUNCTION("""COMPUTED_VALUE"""),339.1)</f>
        <v>339.1</v>
      </c>
      <c r="D2237" s="6">
        <f>IFERROR(__xludf.DUMMYFUNCTION("""COMPUTED_VALUE"""),333.95)</f>
        <v>333.95</v>
      </c>
      <c r="E2237" s="6">
        <f>IFERROR(__xludf.DUMMYFUNCTION("""COMPUTED_VALUE"""),336.15)</f>
        <v>336.15</v>
      </c>
      <c r="F2237" s="7">
        <f>IFERROR(__xludf.DUMMYFUNCTION("""COMPUTED_VALUE"""),1.199328E7)</f>
        <v>11993280</v>
      </c>
      <c r="G2237" s="7" t="str">
        <f>IFERROR(__xludf.DUMMYFUNCTION("""COMPUTED_VALUE"""),"NTPC.NS")</f>
        <v>NTPC.NS</v>
      </c>
      <c r="H2237" s="8">
        <f t="shared" si="1"/>
        <v>0.003432835821</v>
      </c>
      <c r="I2237" s="8">
        <f t="shared" si="2"/>
        <v>0.003432835821</v>
      </c>
      <c r="J2237" s="7" t="str">
        <f t="shared" si="3"/>
        <v>Aug-2025</v>
      </c>
      <c r="K2237" s="9">
        <f t="shared" si="4"/>
        <v>45870</v>
      </c>
      <c r="L2237" s="7" t="str">
        <f t="shared" si="5"/>
        <v/>
      </c>
      <c r="M2237" s="7" t="str">
        <f>IFERROR(__xludf.DUMMYFUNCTION("IFERROR(
  IF(
    F2237 &gt;
    3*AVERAGE(
       FILTER($F$2:$F10491,
         $G$2:$G10491=G2237,
         $A$2:$A10491&gt;=A2237-20,
         $A$2:$A10491&lt;=A2237
       )
    ),
    ""VOL_SPIKE_3X"",""""
  ),
"""")
"),"")</f>
        <v/>
      </c>
      <c r="N2237" s="7" t="str">
        <f t="shared" si="6"/>
        <v/>
      </c>
      <c r="O2237" s="7" t="str">
        <f t="shared" si="7"/>
        <v/>
      </c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>
      <c r="A2238" s="5">
        <f>IFERROR(__xludf.DUMMYFUNCTION("""COMPUTED_VALUE"""),45880.0)</f>
        <v>45880</v>
      </c>
      <c r="B2238" s="6">
        <f>IFERROR(__xludf.DUMMYFUNCTION("""COMPUTED_VALUE"""),233.44)</f>
        <v>233.44</v>
      </c>
      <c r="C2238" s="6">
        <f>IFERROR(__xludf.DUMMYFUNCTION("""COMPUTED_VALUE"""),235.0)</f>
        <v>235</v>
      </c>
      <c r="D2238" s="6">
        <f>IFERROR(__xludf.DUMMYFUNCTION("""COMPUTED_VALUE"""),231.58)</f>
        <v>231.58</v>
      </c>
      <c r="E2238" s="6">
        <f>IFERROR(__xludf.DUMMYFUNCTION("""COMPUTED_VALUE"""),233.79)</f>
        <v>233.79</v>
      </c>
      <c r="F2238" s="7">
        <f>IFERROR(__xludf.DUMMYFUNCTION("""COMPUTED_VALUE"""),4699743.0)</f>
        <v>4699743</v>
      </c>
      <c r="G2238" s="7" t="str">
        <f>IFERROR(__xludf.DUMMYFUNCTION("""COMPUTED_VALUE"""),"ONGC.NS")</f>
        <v>ONGC.NS</v>
      </c>
      <c r="H2238" s="8">
        <f t="shared" si="1"/>
        <v>0.001499314599</v>
      </c>
      <c r="I2238" s="8">
        <f t="shared" si="2"/>
        <v>0.001499314599</v>
      </c>
      <c r="J2238" s="7" t="str">
        <f t="shared" si="3"/>
        <v>Aug-2025</v>
      </c>
      <c r="K2238" s="9">
        <f t="shared" si="4"/>
        <v>45870</v>
      </c>
      <c r="L2238" s="7" t="str">
        <f t="shared" si="5"/>
        <v/>
      </c>
      <c r="M2238" s="7" t="str">
        <f>IFERROR(__xludf.DUMMYFUNCTION("IFERROR(
  IF(
    F2238 &gt;
    3*AVERAGE(
       FILTER($F$2:$F10491,
         $G$2:$G10491=G2238,
         $A$2:$A10491&gt;=A2238-20,
         $A$2:$A10491&lt;=A2238
       )
    ),
    ""VOL_SPIKE_3X"",""""
  ),
"""")
"),"")</f>
        <v/>
      </c>
      <c r="N2238" s="7" t="str">
        <f t="shared" si="6"/>
        <v/>
      </c>
      <c r="O2238" s="7" t="str">
        <f t="shared" si="7"/>
        <v/>
      </c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>
      <c r="A2239" s="5">
        <f>IFERROR(__xludf.DUMMYFUNCTION("""COMPUTED_VALUE"""),45880.0)</f>
        <v>45880</v>
      </c>
      <c r="B2239" s="6">
        <f>IFERROR(__xludf.DUMMYFUNCTION("""COMPUTED_VALUE"""),284.85)</f>
        <v>284.85</v>
      </c>
      <c r="C2239" s="6">
        <f>IFERROR(__xludf.DUMMYFUNCTION("""COMPUTED_VALUE"""),286.4)</f>
        <v>286.4</v>
      </c>
      <c r="D2239" s="6">
        <f>IFERROR(__xludf.DUMMYFUNCTION("""COMPUTED_VALUE"""),283.3)</f>
        <v>283.3</v>
      </c>
      <c r="E2239" s="6">
        <f>IFERROR(__xludf.DUMMYFUNCTION("""COMPUTED_VALUE"""),284.85)</f>
        <v>284.85</v>
      </c>
      <c r="F2239" s="7">
        <f>IFERROR(__xludf.DUMMYFUNCTION("""COMPUTED_VALUE"""),8755499.0)</f>
        <v>8755499</v>
      </c>
      <c r="G2239" s="7" t="str">
        <f>IFERROR(__xludf.DUMMYFUNCTION("""COMPUTED_VALUE"""),"POWERGRID.NS")</f>
        <v>POWERGRID.NS</v>
      </c>
      <c r="H2239" s="8">
        <f t="shared" si="1"/>
        <v>0</v>
      </c>
      <c r="I2239" s="8">
        <f t="shared" si="2"/>
        <v>0</v>
      </c>
      <c r="J2239" s="7" t="str">
        <f t="shared" si="3"/>
        <v>Aug-2025</v>
      </c>
      <c r="K2239" s="9">
        <f t="shared" si="4"/>
        <v>45870</v>
      </c>
      <c r="L2239" s="7" t="str">
        <f t="shared" si="5"/>
        <v/>
      </c>
      <c r="M2239" s="7" t="str">
        <f>IFERROR(__xludf.DUMMYFUNCTION("IFERROR(
  IF(
    F2239 &gt;
    3*AVERAGE(
       FILTER($F$2:$F10491,
         $G$2:$G10491=G2239,
         $A$2:$A10491&gt;=A2239-20,
         $A$2:$A10491&lt;=A2239
       )
    ),
    ""VOL_SPIKE_3X"",""""
  ),
"""")
"),"")</f>
        <v/>
      </c>
      <c r="N2239" s="7" t="str">
        <f t="shared" si="6"/>
        <v/>
      </c>
      <c r="O2239" s="7" t="str">
        <f t="shared" si="7"/>
        <v/>
      </c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>
      <c r="A2240" s="5">
        <f>IFERROR(__xludf.DUMMYFUNCTION("""COMPUTED_VALUE"""),45880.0)</f>
        <v>45880</v>
      </c>
      <c r="B2240" s="6">
        <f>IFERROR(__xludf.DUMMYFUNCTION("""COMPUTED_VALUE"""),1370.0)</f>
        <v>1370</v>
      </c>
      <c r="C2240" s="6">
        <f>IFERROR(__xludf.DUMMYFUNCTION("""COMPUTED_VALUE"""),1388.0)</f>
        <v>1388</v>
      </c>
      <c r="D2240" s="6">
        <f>IFERROR(__xludf.DUMMYFUNCTION("""COMPUTED_VALUE"""),1361.2)</f>
        <v>1361.2</v>
      </c>
      <c r="E2240" s="6">
        <f>IFERROR(__xludf.DUMMYFUNCTION("""COMPUTED_VALUE"""),1386.2)</f>
        <v>1386.2</v>
      </c>
      <c r="F2240" s="7">
        <f>IFERROR(__xludf.DUMMYFUNCTION("""COMPUTED_VALUE"""),9997486.0)</f>
        <v>9997486</v>
      </c>
      <c r="G2240" s="7" t="str">
        <f>IFERROR(__xludf.DUMMYFUNCTION("""COMPUTED_VALUE"""),"RELIANCE.NS")</f>
        <v>RELIANCE.NS</v>
      </c>
      <c r="H2240" s="8">
        <f t="shared" si="1"/>
        <v>0.01182481752</v>
      </c>
      <c r="I2240" s="8">
        <f t="shared" si="2"/>
        <v>0.01182481752</v>
      </c>
      <c r="J2240" s="7" t="str">
        <f t="shared" si="3"/>
        <v>Aug-2025</v>
      </c>
      <c r="K2240" s="9">
        <f t="shared" si="4"/>
        <v>45870</v>
      </c>
      <c r="L2240" s="7" t="str">
        <f t="shared" si="5"/>
        <v/>
      </c>
      <c r="M2240" s="7" t="str">
        <f>IFERROR(__xludf.DUMMYFUNCTION("IFERROR(
  IF(
    F2240 &gt;
    3*AVERAGE(
       FILTER($F$2:$F10491,
         $G$2:$G10491=G2240,
         $A$2:$A10491&gt;=A2240-20,
         $A$2:$A10491&lt;=A2240
       )
    ),
    ""VOL_SPIKE_3X"",""""
  ),
"""")
"),"")</f>
        <v/>
      </c>
      <c r="N2240" s="7" t="str">
        <f t="shared" si="6"/>
        <v/>
      </c>
      <c r="O2240" s="7" t="str">
        <f t="shared" si="7"/>
        <v/>
      </c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>
      <c r="A2241" s="5">
        <f>IFERROR(__xludf.DUMMYFUNCTION("""COMPUTED_VALUE"""),45881.0)</f>
        <v>45881</v>
      </c>
      <c r="B2241" s="6">
        <f>IFERROR(__xludf.DUMMYFUNCTION("""COMPUTED_VALUE"""),793.0)</f>
        <v>793</v>
      </c>
      <c r="C2241" s="6">
        <f>IFERROR(__xludf.DUMMYFUNCTION("""COMPUTED_VALUE"""),801.15)</f>
        <v>801.15</v>
      </c>
      <c r="D2241" s="6">
        <f>IFERROR(__xludf.DUMMYFUNCTION("""COMPUTED_VALUE"""),784.3)</f>
        <v>784.3</v>
      </c>
      <c r="E2241" s="6">
        <f>IFERROR(__xludf.DUMMYFUNCTION("""COMPUTED_VALUE"""),786.75)</f>
        <v>786.75</v>
      </c>
      <c r="F2241" s="7">
        <f>IFERROR(__xludf.DUMMYFUNCTION("""COMPUTED_VALUE"""),658384.0)</f>
        <v>658384</v>
      </c>
      <c r="G2241" s="7" t="str">
        <f>IFERROR(__xludf.DUMMYFUNCTION("""COMPUTED_VALUE"""),"ADANIENSOL.NS")</f>
        <v>ADANIENSOL.NS</v>
      </c>
      <c r="H2241" s="8">
        <f t="shared" si="1"/>
        <v>-0.007881462799</v>
      </c>
      <c r="I2241" s="8">
        <f t="shared" si="2"/>
        <v>0.007881462799</v>
      </c>
      <c r="J2241" s="7" t="str">
        <f t="shared" si="3"/>
        <v>Aug-2025</v>
      </c>
      <c r="K2241" s="9">
        <f t="shared" si="4"/>
        <v>45870</v>
      </c>
      <c r="L2241" s="7" t="str">
        <f t="shared" si="5"/>
        <v/>
      </c>
      <c r="M2241" s="7" t="str">
        <f>IFERROR(__xludf.DUMMYFUNCTION("IFERROR(
  IF(
    F2241 &gt;
    3*AVERAGE(
       FILTER($F$2:$F10491,
         $G$2:$G10491=G2241,
         $A$2:$A10491&gt;=A2241-20,
         $A$2:$A10491&lt;=A2241
       )
    ),
    ""VOL_SPIKE_3X"",""""
  ),
"""")
"),"")</f>
        <v/>
      </c>
      <c r="N2241" s="7" t="str">
        <f t="shared" si="6"/>
        <v/>
      </c>
      <c r="O2241" s="7" t="str">
        <f t="shared" si="7"/>
        <v/>
      </c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>
      <c r="A2242" s="5">
        <f>IFERROR(__xludf.DUMMYFUNCTION("""COMPUTED_VALUE"""),45881.0)</f>
        <v>45881</v>
      </c>
      <c r="B2242" s="6">
        <f>IFERROR(__xludf.DUMMYFUNCTION("""COMPUTED_VALUE"""),929.1)</f>
        <v>929.1</v>
      </c>
      <c r="C2242" s="6">
        <f>IFERROR(__xludf.DUMMYFUNCTION("""COMPUTED_VALUE"""),941.0)</f>
        <v>941</v>
      </c>
      <c r="D2242" s="6">
        <f>IFERROR(__xludf.DUMMYFUNCTION("""COMPUTED_VALUE"""),927.5)</f>
        <v>927.5</v>
      </c>
      <c r="E2242" s="6">
        <f>IFERROR(__xludf.DUMMYFUNCTION("""COMPUTED_VALUE"""),930.9)</f>
        <v>930.9</v>
      </c>
      <c r="F2242" s="7">
        <f>IFERROR(__xludf.DUMMYFUNCTION("""COMPUTED_VALUE"""),1096445.0)</f>
        <v>1096445</v>
      </c>
      <c r="G2242" s="7" t="str">
        <f>IFERROR(__xludf.DUMMYFUNCTION("""COMPUTED_VALUE"""),"ADANIGREEN.NS")</f>
        <v>ADANIGREEN.NS</v>
      </c>
      <c r="H2242" s="8">
        <f t="shared" si="1"/>
        <v>0.001937358734</v>
      </c>
      <c r="I2242" s="8">
        <f t="shared" si="2"/>
        <v>0.001937358734</v>
      </c>
      <c r="J2242" s="7" t="str">
        <f t="shared" si="3"/>
        <v>Aug-2025</v>
      </c>
      <c r="K2242" s="9">
        <f t="shared" si="4"/>
        <v>45870</v>
      </c>
      <c r="L2242" s="7" t="str">
        <f t="shared" si="5"/>
        <v/>
      </c>
      <c r="M2242" s="7" t="str">
        <f>IFERROR(__xludf.DUMMYFUNCTION("IFERROR(
  IF(
    F2242 &gt;
    3*AVERAGE(
       FILTER($F$2:$F10491,
         $G$2:$G10491=G2242,
         $A$2:$A10491&gt;=A2242-20,
         $A$2:$A10491&lt;=A2242
       )
    ),
    ""VOL_SPIKE_3X"",""""
  ),
"""")
"),"")</f>
        <v/>
      </c>
      <c r="N2242" s="7" t="str">
        <f t="shared" si="6"/>
        <v/>
      </c>
      <c r="O2242" s="7" t="str">
        <f t="shared" si="7"/>
        <v/>
      </c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>
      <c r="A2243" s="5">
        <f>IFERROR(__xludf.DUMMYFUNCTION("""COMPUTED_VALUE"""),45881.0)</f>
        <v>45881</v>
      </c>
      <c r="B2243" s="6">
        <f>IFERROR(__xludf.DUMMYFUNCTION("""COMPUTED_VALUE"""),321.0)</f>
        <v>321</v>
      </c>
      <c r="C2243" s="6">
        <f>IFERROR(__xludf.DUMMYFUNCTION("""COMPUTED_VALUE"""),326.5)</f>
        <v>326.5</v>
      </c>
      <c r="D2243" s="6">
        <f>IFERROR(__xludf.DUMMYFUNCTION("""COMPUTED_VALUE"""),320.7)</f>
        <v>320.7</v>
      </c>
      <c r="E2243" s="6">
        <f>IFERROR(__xludf.DUMMYFUNCTION("""COMPUTED_VALUE"""),323.7)</f>
        <v>323.7</v>
      </c>
      <c r="F2243" s="7">
        <f>IFERROR(__xludf.DUMMYFUNCTION("""COMPUTED_VALUE"""),4392686.0)</f>
        <v>4392686</v>
      </c>
      <c r="G2243" s="7" t="str">
        <f>IFERROR(__xludf.DUMMYFUNCTION("""COMPUTED_VALUE"""),"BPCL.NS")</f>
        <v>BPCL.NS</v>
      </c>
      <c r="H2243" s="8">
        <f t="shared" si="1"/>
        <v>0.008411214953</v>
      </c>
      <c r="I2243" s="8">
        <f t="shared" si="2"/>
        <v>0.008411214953</v>
      </c>
      <c r="J2243" s="7" t="str">
        <f t="shared" si="3"/>
        <v>Aug-2025</v>
      </c>
      <c r="K2243" s="9">
        <f t="shared" si="4"/>
        <v>45870</v>
      </c>
      <c r="L2243" s="7" t="str">
        <f t="shared" si="5"/>
        <v/>
      </c>
      <c r="M2243" s="7" t="str">
        <f>IFERROR(__xludf.DUMMYFUNCTION("IFERROR(
  IF(
    F2243 &gt;
    3*AVERAGE(
       FILTER($F$2:$F10491,
         $G$2:$G10491=G2243,
         $A$2:$A10491&gt;=A2243-20,
         $A$2:$A10491&lt;=A2243
       )
    ),
    ""VOL_SPIKE_3X"",""""
  ),
"""")
"),"")</f>
        <v/>
      </c>
      <c r="N2243" s="7" t="str">
        <f t="shared" si="6"/>
        <v/>
      </c>
      <c r="O2243" s="7" t="str">
        <f t="shared" si="7"/>
        <v/>
      </c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>
      <c r="A2244" s="5">
        <f>IFERROR(__xludf.DUMMYFUNCTION("""COMPUTED_VALUE"""),45881.0)</f>
        <v>45881</v>
      </c>
      <c r="B2244" s="6">
        <f>IFERROR(__xludf.DUMMYFUNCTION("""COMPUTED_VALUE"""),381.55)</f>
        <v>381.55</v>
      </c>
      <c r="C2244" s="6">
        <f>IFERROR(__xludf.DUMMYFUNCTION("""COMPUTED_VALUE"""),386.45)</f>
        <v>386.45</v>
      </c>
      <c r="D2244" s="6">
        <f>IFERROR(__xludf.DUMMYFUNCTION("""COMPUTED_VALUE"""),381.2)</f>
        <v>381.2</v>
      </c>
      <c r="E2244" s="6">
        <f>IFERROR(__xludf.DUMMYFUNCTION("""COMPUTED_VALUE"""),385.35)</f>
        <v>385.35</v>
      </c>
      <c r="F2244" s="7">
        <f>IFERROR(__xludf.DUMMYFUNCTION("""COMPUTED_VALUE"""),4860757.0)</f>
        <v>4860757</v>
      </c>
      <c r="G2244" s="7" t="str">
        <f>IFERROR(__xludf.DUMMYFUNCTION("""COMPUTED_VALUE"""),"COALINDIA.NS")</f>
        <v>COALINDIA.NS</v>
      </c>
      <c r="H2244" s="8">
        <f t="shared" si="1"/>
        <v>0.009959376229</v>
      </c>
      <c r="I2244" s="8">
        <f t="shared" si="2"/>
        <v>0.009959376229</v>
      </c>
      <c r="J2244" s="7" t="str">
        <f t="shared" si="3"/>
        <v>Aug-2025</v>
      </c>
      <c r="K2244" s="9">
        <f t="shared" si="4"/>
        <v>45870</v>
      </c>
      <c r="L2244" s="7" t="str">
        <f t="shared" si="5"/>
        <v/>
      </c>
      <c r="M2244" s="7" t="str">
        <f>IFERROR(__xludf.DUMMYFUNCTION("IFERROR(
  IF(
    F2244 &gt;
    3*AVERAGE(
       FILTER($F$2:$F10491,
         $G$2:$G10491=G2244,
         $A$2:$A10491&gt;=A2244-20,
         $A$2:$A10491&lt;=A2244
       )
    ),
    ""VOL_SPIKE_3X"",""""
  ),
"""")
"),"")</f>
        <v/>
      </c>
      <c r="N2244" s="7" t="str">
        <f t="shared" si="6"/>
        <v/>
      </c>
      <c r="O2244" s="7" t="str">
        <f t="shared" si="7"/>
        <v/>
      </c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>
      <c r="A2245" s="5">
        <f>IFERROR(__xludf.DUMMYFUNCTION("""COMPUTED_VALUE"""),45881.0)</f>
        <v>45881</v>
      </c>
      <c r="B2245" s="6">
        <f>IFERROR(__xludf.DUMMYFUNCTION("""COMPUTED_VALUE"""),414.9)</f>
        <v>414.9</v>
      </c>
      <c r="C2245" s="6">
        <f>IFERROR(__xludf.DUMMYFUNCTION("""COMPUTED_VALUE"""),414.9)</f>
        <v>414.9</v>
      </c>
      <c r="D2245" s="6">
        <f>IFERROR(__xludf.DUMMYFUNCTION("""COMPUTED_VALUE"""),406.8)</f>
        <v>406.8</v>
      </c>
      <c r="E2245" s="6">
        <f>IFERROR(__xludf.DUMMYFUNCTION("""COMPUTED_VALUE"""),408.05)</f>
        <v>408.05</v>
      </c>
      <c r="F2245" s="7">
        <f>IFERROR(__xludf.DUMMYFUNCTION("""COMPUTED_VALUE"""),4526566.0)</f>
        <v>4526566</v>
      </c>
      <c r="G2245" s="7" t="str">
        <f>IFERROR(__xludf.DUMMYFUNCTION("""COMPUTED_VALUE"""),"HINDPETRO.NS")</f>
        <v>HINDPETRO.NS</v>
      </c>
      <c r="H2245" s="8">
        <f t="shared" si="1"/>
        <v>-0.01651000241</v>
      </c>
      <c r="I2245" s="8">
        <f t="shared" si="2"/>
        <v>0.01651000241</v>
      </c>
      <c r="J2245" s="7" t="str">
        <f t="shared" si="3"/>
        <v>Aug-2025</v>
      </c>
      <c r="K2245" s="9">
        <f t="shared" si="4"/>
        <v>45870</v>
      </c>
      <c r="L2245" s="7" t="str">
        <f t="shared" si="5"/>
        <v/>
      </c>
      <c r="M2245" s="7" t="str">
        <f>IFERROR(__xludf.DUMMYFUNCTION("IFERROR(
  IF(
    F2245 &gt;
    3*AVERAGE(
       FILTER($F$2:$F10491,
         $G$2:$G10491=G2245,
         $A$2:$A10491&gt;=A2245-20,
         $A$2:$A10491&lt;=A2245
       )
    ),
    ""VOL_SPIKE_3X"",""""
  ),
"""")
"),"")</f>
        <v/>
      </c>
      <c r="N2245" s="7" t="str">
        <f t="shared" si="6"/>
        <v/>
      </c>
      <c r="O2245" s="7" t="str">
        <f t="shared" si="7"/>
        <v/>
      </c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>
      <c r="A2246" s="5">
        <f>IFERROR(__xludf.DUMMYFUNCTION("""COMPUTED_VALUE"""),45881.0)</f>
        <v>45881</v>
      </c>
      <c r="B2246" s="6">
        <f>IFERROR(__xludf.DUMMYFUNCTION("""COMPUTED_VALUE"""),141.11)</f>
        <v>141.11</v>
      </c>
      <c r="C2246" s="6">
        <f>IFERROR(__xludf.DUMMYFUNCTION("""COMPUTED_VALUE"""),143.85)</f>
        <v>143.85</v>
      </c>
      <c r="D2246" s="6">
        <f>IFERROR(__xludf.DUMMYFUNCTION("""COMPUTED_VALUE"""),140.86)</f>
        <v>140.86</v>
      </c>
      <c r="E2246" s="6">
        <f>IFERROR(__xludf.DUMMYFUNCTION("""COMPUTED_VALUE"""),142.65)</f>
        <v>142.65</v>
      </c>
      <c r="F2246" s="7">
        <f>IFERROR(__xludf.DUMMYFUNCTION("""COMPUTED_VALUE"""),1.2858483E7)</f>
        <v>12858483</v>
      </c>
      <c r="G2246" s="7" t="str">
        <f>IFERROR(__xludf.DUMMYFUNCTION("""COMPUTED_VALUE"""),"IOC.NS")</f>
        <v>IOC.NS</v>
      </c>
      <c r="H2246" s="8">
        <f t="shared" si="1"/>
        <v>0.01091347176</v>
      </c>
      <c r="I2246" s="8">
        <f t="shared" si="2"/>
        <v>0.01091347176</v>
      </c>
      <c r="J2246" s="7" t="str">
        <f t="shared" si="3"/>
        <v>Aug-2025</v>
      </c>
      <c r="K2246" s="9">
        <f t="shared" si="4"/>
        <v>45870</v>
      </c>
      <c r="L2246" s="7" t="str">
        <f t="shared" si="5"/>
        <v/>
      </c>
      <c r="M2246" s="7" t="str">
        <f>IFERROR(__xludf.DUMMYFUNCTION("IFERROR(
  IF(
    F2246 &gt;
    3*AVERAGE(
       FILTER($F$2:$F10491,
         $G$2:$G10491=G2246,
         $A$2:$A10491&gt;=A2246-20,
         $A$2:$A10491&lt;=A2246
       )
    ),
    ""VOL_SPIKE_3X"",""""
  ),
"""")
"),"")</f>
        <v/>
      </c>
      <c r="N2246" s="7" t="str">
        <f t="shared" si="6"/>
        <v/>
      </c>
      <c r="O2246" s="7" t="str">
        <f t="shared" si="7"/>
        <v/>
      </c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>
      <c r="A2247" s="5">
        <f>IFERROR(__xludf.DUMMYFUNCTION("""COMPUTED_VALUE"""),45881.0)</f>
        <v>45881</v>
      </c>
      <c r="B2247" s="6">
        <f>IFERROR(__xludf.DUMMYFUNCTION("""COMPUTED_VALUE"""),336.25)</f>
        <v>336.25</v>
      </c>
      <c r="C2247" s="6">
        <f>IFERROR(__xludf.DUMMYFUNCTION("""COMPUTED_VALUE"""),341.85)</f>
        <v>341.85</v>
      </c>
      <c r="D2247" s="6">
        <f>IFERROR(__xludf.DUMMYFUNCTION("""COMPUTED_VALUE"""),335.75)</f>
        <v>335.75</v>
      </c>
      <c r="E2247" s="6">
        <f>IFERROR(__xludf.DUMMYFUNCTION("""COMPUTED_VALUE"""),340.1)</f>
        <v>340.1</v>
      </c>
      <c r="F2247" s="7">
        <f>IFERROR(__xludf.DUMMYFUNCTION("""COMPUTED_VALUE"""),7221182.0)</f>
        <v>7221182</v>
      </c>
      <c r="G2247" s="7" t="str">
        <f>IFERROR(__xludf.DUMMYFUNCTION("""COMPUTED_VALUE"""),"NTPC.NS")</f>
        <v>NTPC.NS</v>
      </c>
      <c r="H2247" s="8">
        <f t="shared" si="1"/>
        <v>0.01144981413</v>
      </c>
      <c r="I2247" s="8">
        <f t="shared" si="2"/>
        <v>0.01144981413</v>
      </c>
      <c r="J2247" s="7" t="str">
        <f t="shared" si="3"/>
        <v>Aug-2025</v>
      </c>
      <c r="K2247" s="9">
        <f t="shared" si="4"/>
        <v>45870</v>
      </c>
      <c r="L2247" s="7" t="str">
        <f t="shared" si="5"/>
        <v/>
      </c>
      <c r="M2247" s="7" t="str">
        <f>IFERROR(__xludf.DUMMYFUNCTION("IFERROR(
  IF(
    F2247 &gt;
    3*AVERAGE(
       FILTER($F$2:$F10491,
         $G$2:$G10491=G2247,
         $A$2:$A10491&gt;=A2247-20,
         $A$2:$A10491&lt;=A2247
       )
    ),
    ""VOL_SPIKE_3X"",""""
  ),
"""")
"),"")</f>
        <v/>
      </c>
      <c r="N2247" s="7" t="str">
        <f t="shared" si="6"/>
        <v/>
      </c>
      <c r="O2247" s="7" t="str">
        <f t="shared" si="7"/>
        <v/>
      </c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>
      <c r="A2248" s="5">
        <f>IFERROR(__xludf.DUMMYFUNCTION("""COMPUTED_VALUE"""),45881.0)</f>
        <v>45881</v>
      </c>
      <c r="B2248" s="6">
        <f>IFERROR(__xludf.DUMMYFUNCTION("""COMPUTED_VALUE"""),233.8)</f>
        <v>233.8</v>
      </c>
      <c r="C2248" s="6">
        <f>IFERROR(__xludf.DUMMYFUNCTION("""COMPUTED_VALUE"""),236.36)</f>
        <v>236.36</v>
      </c>
      <c r="D2248" s="6">
        <f>IFERROR(__xludf.DUMMYFUNCTION("""COMPUTED_VALUE"""),233.61)</f>
        <v>233.61</v>
      </c>
      <c r="E2248" s="6">
        <f>IFERROR(__xludf.DUMMYFUNCTION("""COMPUTED_VALUE"""),235.52)</f>
        <v>235.52</v>
      </c>
      <c r="F2248" s="7">
        <f>IFERROR(__xludf.DUMMYFUNCTION("""COMPUTED_VALUE"""),7036778.0)</f>
        <v>7036778</v>
      </c>
      <c r="G2248" s="7" t="str">
        <f>IFERROR(__xludf.DUMMYFUNCTION("""COMPUTED_VALUE"""),"ONGC.NS")</f>
        <v>ONGC.NS</v>
      </c>
      <c r="H2248" s="8">
        <f t="shared" si="1"/>
        <v>0.007356715141</v>
      </c>
      <c r="I2248" s="8">
        <f t="shared" si="2"/>
        <v>0.007356715141</v>
      </c>
      <c r="J2248" s="7" t="str">
        <f t="shared" si="3"/>
        <v>Aug-2025</v>
      </c>
      <c r="K2248" s="9">
        <f t="shared" si="4"/>
        <v>45870</v>
      </c>
      <c r="L2248" s="7" t="str">
        <f t="shared" si="5"/>
        <v/>
      </c>
      <c r="M2248" s="7" t="str">
        <f>IFERROR(__xludf.DUMMYFUNCTION("IFERROR(
  IF(
    F2248 &gt;
    3*AVERAGE(
       FILTER($F$2:$F10491,
         $G$2:$G10491=G2248,
         $A$2:$A10491&gt;=A2248-20,
         $A$2:$A10491&lt;=A2248
       )
    ),
    ""VOL_SPIKE_3X"",""""
  ),
"""")
"),"")</f>
        <v/>
      </c>
      <c r="N2248" s="7" t="str">
        <f t="shared" si="6"/>
        <v/>
      </c>
      <c r="O2248" s="7" t="str">
        <f t="shared" si="7"/>
        <v/>
      </c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>
      <c r="A2249" s="5">
        <f>IFERROR(__xludf.DUMMYFUNCTION("""COMPUTED_VALUE"""),45881.0)</f>
        <v>45881</v>
      </c>
      <c r="B2249" s="6">
        <f>IFERROR(__xludf.DUMMYFUNCTION("""COMPUTED_VALUE"""),284.4)</f>
        <v>284.4</v>
      </c>
      <c r="C2249" s="6">
        <f>IFERROR(__xludf.DUMMYFUNCTION("""COMPUTED_VALUE"""),287.55)</f>
        <v>287.55</v>
      </c>
      <c r="D2249" s="6">
        <f>IFERROR(__xludf.DUMMYFUNCTION("""COMPUTED_VALUE"""),284.0)</f>
        <v>284</v>
      </c>
      <c r="E2249" s="6">
        <f>IFERROR(__xludf.DUMMYFUNCTION("""COMPUTED_VALUE"""),284.65)</f>
        <v>284.65</v>
      </c>
      <c r="F2249" s="7">
        <f>IFERROR(__xludf.DUMMYFUNCTION("""COMPUTED_VALUE"""),1.3184438E7)</f>
        <v>13184438</v>
      </c>
      <c r="G2249" s="7" t="str">
        <f>IFERROR(__xludf.DUMMYFUNCTION("""COMPUTED_VALUE"""),"POWERGRID.NS")</f>
        <v>POWERGRID.NS</v>
      </c>
      <c r="H2249" s="8">
        <f t="shared" si="1"/>
        <v>0.0008790436006</v>
      </c>
      <c r="I2249" s="8">
        <f t="shared" si="2"/>
        <v>0.0008790436006</v>
      </c>
      <c r="J2249" s="7" t="str">
        <f t="shared" si="3"/>
        <v>Aug-2025</v>
      </c>
      <c r="K2249" s="9">
        <f t="shared" si="4"/>
        <v>45870</v>
      </c>
      <c r="L2249" s="7" t="str">
        <f t="shared" si="5"/>
        <v/>
      </c>
      <c r="M2249" s="7" t="str">
        <f>IFERROR(__xludf.DUMMYFUNCTION("IFERROR(
  IF(
    F2249 &gt;
    3*AVERAGE(
       FILTER($F$2:$F10491,
         $G$2:$G10491=G2249,
         $A$2:$A10491&gt;=A2249-20,
         $A$2:$A10491&lt;=A2249
       )
    ),
    ""VOL_SPIKE_3X"",""""
  ),
"""")
"),"")</f>
        <v/>
      </c>
      <c r="N2249" s="7" t="str">
        <f t="shared" si="6"/>
        <v/>
      </c>
      <c r="O2249" s="7" t="str">
        <f t="shared" si="7"/>
        <v/>
      </c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>
      <c r="A2250" s="5">
        <f>IFERROR(__xludf.DUMMYFUNCTION("""COMPUTED_VALUE"""),45881.0)</f>
        <v>45881</v>
      </c>
      <c r="B2250" s="6">
        <f>IFERROR(__xludf.DUMMYFUNCTION("""COMPUTED_VALUE"""),1381.9)</f>
        <v>1381.9</v>
      </c>
      <c r="C2250" s="6">
        <f>IFERROR(__xludf.DUMMYFUNCTION("""COMPUTED_VALUE"""),1401.9)</f>
        <v>1401.9</v>
      </c>
      <c r="D2250" s="6">
        <f>IFERROR(__xludf.DUMMYFUNCTION("""COMPUTED_VALUE"""),1375.2)</f>
        <v>1375.2</v>
      </c>
      <c r="E2250" s="6">
        <f>IFERROR(__xludf.DUMMYFUNCTION("""COMPUTED_VALUE"""),1380.4)</f>
        <v>1380.4</v>
      </c>
      <c r="F2250" s="7">
        <f>IFERROR(__xludf.DUMMYFUNCTION("""COMPUTED_VALUE"""),1.2244664E7)</f>
        <v>12244664</v>
      </c>
      <c r="G2250" s="7" t="str">
        <f>IFERROR(__xludf.DUMMYFUNCTION("""COMPUTED_VALUE"""),"RELIANCE.NS")</f>
        <v>RELIANCE.NS</v>
      </c>
      <c r="H2250" s="8">
        <f t="shared" si="1"/>
        <v>-0.001085462045</v>
      </c>
      <c r="I2250" s="8">
        <f t="shared" si="2"/>
        <v>0.001085462045</v>
      </c>
      <c r="J2250" s="7" t="str">
        <f t="shared" si="3"/>
        <v>Aug-2025</v>
      </c>
      <c r="K2250" s="9">
        <f t="shared" si="4"/>
        <v>45870</v>
      </c>
      <c r="L2250" s="7" t="str">
        <f t="shared" si="5"/>
        <v/>
      </c>
      <c r="M2250" s="7" t="str">
        <f>IFERROR(__xludf.DUMMYFUNCTION("IFERROR(
  IF(
    F2250 &gt;
    3*AVERAGE(
       FILTER($F$2:$F10491,
         $G$2:$G10491=G2250,
         $A$2:$A10491&gt;=A2250-20,
         $A$2:$A10491&lt;=A2250
       )
    ),
    ""VOL_SPIKE_3X"",""""
  ),
"""")
"),"")</f>
        <v/>
      </c>
      <c r="N2250" s="7" t="str">
        <f t="shared" si="6"/>
        <v/>
      </c>
      <c r="O2250" s="7" t="str">
        <f t="shared" si="7"/>
        <v/>
      </c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>
      <c r="A2251" s="5">
        <f>IFERROR(__xludf.DUMMYFUNCTION("""COMPUTED_VALUE"""),45882.0)</f>
        <v>45882</v>
      </c>
      <c r="B2251" s="6">
        <f>IFERROR(__xludf.DUMMYFUNCTION("""COMPUTED_VALUE"""),793.0)</f>
        <v>793</v>
      </c>
      <c r="C2251" s="6">
        <f>IFERROR(__xludf.DUMMYFUNCTION("""COMPUTED_VALUE"""),795.65)</f>
        <v>795.65</v>
      </c>
      <c r="D2251" s="6">
        <f>IFERROR(__xludf.DUMMYFUNCTION("""COMPUTED_VALUE"""),782.0)</f>
        <v>782</v>
      </c>
      <c r="E2251" s="6">
        <f>IFERROR(__xludf.DUMMYFUNCTION("""COMPUTED_VALUE"""),786.3)</f>
        <v>786.3</v>
      </c>
      <c r="F2251" s="7">
        <f>IFERROR(__xludf.DUMMYFUNCTION("""COMPUTED_VALUE"""),536807.0)</f>
        <v>536807</v>
      </c>
      <c r="G2251" s="7" t="str">
        <f>IFERROR(__xludf.DUMMYFUNCTION("""COMPUTED_VALUE"""),"ADANIENSOL.NS")</f>
        <v>ADANIENSOL.NS</v>
      </c>
      <c r="H2251" s="8">
        <f t="shared" si="1"/>
        <v>-0.008448928121</v>
      </c>
      <c r="I2251" s="8">
        <f t="shared" si="2"/>
        <v>0.008448928121</v>
      </c>
      <c r="J2251" s="7" t="str">
        <f t="shared" si="3"/>
        <v>Aug-2025</v>
      </c>
      <c r="K2251" s="9">
        <f t="shared" si="4"/>
        <v>45870</v>
      </c>
      <c r="L2251" s="7" t="str">
        <f t="shared" si="5"/>
        <v/>
      </c>
      <c r="M2251" s="7" t="str">
        <f>IFERROR(__xludf.DUMMYFUNCTION("IFERROR(
  IF(
    F2251 &gt;
    3*AVERAGE(
       FILTER($F$2:$F10491,
         $G$2:$G10491=G2251,
         $A$2:$A10491&gt;=A2251-20,
         $A$2:$A10491&lt;=A2251
       )
    ),
    ""VOL_SPIKE_3X"",""""
  ),
"""")
"),"")</f>
        <v/>
      </c>
      <c r="N2251" s="7" t="str">
        <f t="shared" si="6"/>
        <v/>
      </c>
      <c r="O2251" s="7" t="str">
        <f t="shared" si="7"/>
        <v/>
      </c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>
      <c r="A2252" s="5">
        <f>IFERROR(__xludf.DUMMYFUNCTION("""COMPUTED_VALUE"""),45882.0)</f>
        <v>45882</v>
      </c>
      <c r="B2252" s="6">
        <f>IFERROR(__xludf.DUMMYFUNCTION("""COMPUTED_VALUE"""),932.1)</f>
        <v>932.1</v>
      </c>
      <c r="C2252" s="6">
        <f>IFERROR(__xludf.DUMMYFUNCTION("""COMPUTED_VALUE"""),938.45)</f>
        <v>938.45</v>
      </c>
      <c r="D2252" s="6">
        <f>IFERROR(__xludf.DUMMYFUNCTION("""COMPUTED_VALUE"""),919.5)</f>
        <v>919.5</v>
      </c>
      <c r="E2252" s="6">
        <f>IFERROR(__xludf.DUMMYFUNCTION("""COMPUTED_VALUE"""),924.15)</f>
        <v>924.15</v>
      </c>
      <c r="F2252" s="7">
        <f>IFERROR(__xludf.DUMMYFUNCTION("""COMPUTED_VALUE"""),1023795.0)</f>
        <v>1023795</v>
      </c>
      <c r="G2252" s="7" t="str">
        <f>IFERROR(__xludf.DUMMYFUNCTION("""COMPUTED_VALUE"""),"ADANIGREEN.NS")</f>
        <v>ADANIGREEN.NS</v>
      </c>
      <c r="H2252" s="8">
        <f t="shared" si="1"/>
        <v>-0.008529127776</v>
      </c>
      <c r="I2252" s="8">
        <f t="shared" si="2"/>
        <v>0.008529127776</v>
      </c>
      <c r="J2252" s="7" t="str">
        <f t="shared" si="3"/>
        <v>Aug-2025</v>
      </c>
      <c r="K2252" s="9">
        <f t="shared" si="4"/>
        <v>45870</v>
      </c>
      <c r="L2252" s="7" t="str">
        <f t="shared" si="5"/>
        <v/>
      </c>
      <c r="M2252" s="7" t="str">
        <f>IFERROR(__xludf.DUMMYFUNCTION("IFERROR(
  IF(
    F2252 &gt;
    3*AVERAGE(
       FILTER($F$2:$F10491,
         $G$2:$G10491=G2252,
         $A$2:$A10491&gt;=A2252-20,
         $A$2:$A10491&lt;=A2252
       )
    ),
    ""VOL_SPIKE_3X"",""""
  ),
"""")
"),"")</f>
        <v/>
      </c>
      <c r="N2252" s="7" t="str">
        <f t="shared" si="6"/>
        <v/>
      </c>
      <c r="O2252" s="7" t="str">
        <f t="shared" si="7"/>
        <v/>
      </c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>
      <c r="A2253" s="5">
        <f>IFERROR(__xludf.DUMMYFUNCTION("""COMPUTED_VALUE"""),45882.0)</f>
        <v>45882</v>
      </c>
      <c r="B2253" s="6">
        <f>IFERROR(__xludf.DUMMYFUNCTION("""COMPUTED_VALUE"""),325.0)</f>
        <v>325</v>
      </c>
      <c r="C2253" s="6">
        <f>IFERROR(__xludf.DUMMYFUNCTION("""COMPUTED_VALUE"""),326.3)</f>
        <v>326.3</v>
      </c>
      <c r="D2253" s="6">
        <f>IFERROR(__xludf.DUMMYFUNCTION("""COMPUTED_VALUE"""),321.05)</f>
        <v>321.05</v>
      </c>
      <c r="E2253" s="6">
        <f>IFERROR(__xludf.DUMMYFUNCTION("""COMPUTED_VALUE"""),322.5)</f>
        <v>322.5</v>
      </c>
      <c r="F2253" s="7">
        <f>IFERROR(__xludf.DUMMYFUNCTION("""COMPUTED_VALUE"""),2707971.0)</f>
        <v>2707971</v>
      </c>
      <c r="G2253" s="7" t="str">
        <f>IFERROR(__xludf.DUMMYFUNCTION("""COMPUTED_VALUE"""),"BPCL.NS")</f>
        <v>BPCL.NS</v>
      </c>
      <c r="H2253" s="8">
        <f t="shared" si="1"/>
        <v>-0.007692307692</v>
      </c>
      <c r="I2253" s="8">
        <f t="shared" si="2"/>
        <v>0.007692307692</v>
      </c>
      <c r="J2253" s="7" t="str">
        <f t="shared" si="3"/>
        <v>Aug-2025</v>
      </c>
      <c r="K2253" s="9">
        <f t="shared" si="4"/>
        <v>45870</v>
      </c>
      <c r="L2253" s="7" t="str">
        <f t="shared" si="5"/>
        <v/>
      </c>
      <c r="M2253" s="7" t="str">
        <f>IFERROR(__xludf.DUMMYFUNCTION("IFERROR(
  IF(
    F2253 &gt;
    3*AVERAGE(
       FILTER($F$2:$F10491,
         $G$2:$G10491=G2253,
         $A$2:$A10491&gt;=A2253-20,
         $A$2:$A10491&lt;=A2253
       )
    ),
    ""VOL_SPIKE_3X"",""""
  ),
"""")
"),"")</f>
        <v/>
      </c>
      <c r="N2253" s="7" t="str">
        <f t="shared" si="6"/>
        <v/>
      </c>
      <c r="O2253" s="7" t="str">
        <f t="shared" si="7"/>
        <v/>
      </c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>
      <c r="A2254" s="5">
        <f>IFERROR(__xludf.DUMMYFUNCTION("""COMPUTED_VALUE"""),45882.0)</f>
        <v>45882</v>
      </c>
      <c r="B2254" s="6">
        <f>IFERROR(__xludf.DUMMYFUNCTION("""COMPUTED_VALUE"""),385.95)</f>
        <v>385.95</v>
      </c>
      <c r="C2254" s="6">
        <f>IFERROR(__xludf.DUMMYFUNCTION("""COMPUTED_VALUE"""),388.0)</f>
        <v>388</v>
      </c>
      <c r="D2254" s="6">
        <f>IFERROR(__xludf.DUMMYFUNCTION("""COMPUTED_VALUE"""),385.1)</f>
        <v>385.1</v>
      </c>
      <c r="E2254" s="6">
        <f>IFERROR(__xludf.DUMMYFUNCTION("""COMPUTED_VALUE"""),386.1)</f>
        <v>386.1</v>
      </c>
      <c r="F2254" s="7">
        <f>IFERROR(__xludf.DUMMYFUNCTION("""COMPUTED_VALUE"""),4216888.0)</f>
        <v>4216888</v>
      </c>
      <c r="G2254" s="7" t="str">
        <f>IFERROR(__xludf.DUMMYFUNCTION("""COMPUTED_VALUE"""),"COALINDIA.NS")</f>
        <v>COALINDIA.NS</v>
      </c>
      <c r="H2254" s="8">
        <f t="shared" si="1"/>
        <v>0.0003886513797</v>
      </c>
      <c r="I2254" s="8">
        <f t="shared" si="2"/>
        <v>0.0003886513797</v>
      </c>
      <c r="J2254" s="7" t="str">
        <f t="shared" si="3"/>
        <v>Aug-2025</v>
      </c>
      <c r="K2254" s="9">
        <f t="shared" si="4"/>
        <v>45870</v>
      </c>
      <c r="L2254" s="7" t="str">
        <f t="shared" si="5"/>
        <v/>
      </c>
      <c r="M2254" s="7" t="str">
        <f>IFERROR(__xludf.DUMMYFUNCTION("IFERROR(
  IF(
    F2254 &gt;
    3*AVERAGE(
       FILTER($F$2:$F10491,
         $G$2:$G10491=G2254,
         $A$2:$A10491&gt;=A2254-20,
         $A$2:$A10491&lt;=A2254
       )
    ),
    ""VOL_SPIKE_3X"",""""
  ),
"""")
"),"")</f>
        <v/>
      </c>
      <c r="N2254" s="7" t="str">
        <f t="shared" si="6"/>
        <v/>
      </c>
      <c r="O2254" s="7" t="str">
        <f t="shared" si="7"/>
        <v/>
      </c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>
      <c r="A2255" s="5">
        <f>IFERROR(__xludf.DUMMYFUNCTION("""COMPUTED_VALUE"""),45882.0)</f>
        <v>45882</v>
      </c>
      <c r="B2255" s="6">
        <f>IFERROR(__xludf.DUMMYFUNCTION("""COMPUTED_VALUE"""),411.5)</f>
        <v>411.5</v>
      </c>
      <c r="C2255" s="6">
        <f>IFERROR(__xludf.DUMMYFUNCTION("""COMPUTED_VALUE"""),413.3)</f>
        <v>413.3</v>
      </c>
      <c r="D2255" s="6">
        <f>IFERROR(__xludf.DUMMYFUNCTION("""COMPUTED_VALUE"""),406.7)</f>
        <v>406.7</v>
      </c>
      <c r="E2255" s="6">
        <f>IFERROR(__xludf.DUMMYFUNCTION("""COMPUTED_VALUE"""),411.1)</f>
        <v>411.1</v>
      </c>
      <c r="F2255" s="7">
        <f>IFERROR(__xludf.DUMMYFUNCTION("""COMPUTED_VALUE"""),3543374.0)</f>
        <v>3543374</v>
      </c>
      <c r="G2255" s="7" t="str">
        <f>IFERROR(__xludf.DUMMYFUNCTION("""COMPUTED_VALUE"""),"HINDPETRO.NS")</f>
        <v>HINDPETRO.NS</v>
      </c>
      <c r="H2255" s="8">
        <f t="shared" si="1"/>
        <v>-0.0009720534629</v>
      </c>
      <c r="I2255" s="8">
        <f t="shared" si="2"/>
        <v>0.0009720534629</v>
      </c>
      <c r="J2255" s="7" t="str">
        <f t="shared" si="3"/>
        <v>Aug-2025</v>
      </c>
      <c r="K2255" s="9">
        <f t="shared" si="4"/>
        <v>45870</v>
      </c>
      <c r="L2255" s="7" t="str">
        <f t="shared" si="5"/>
        <v/>
      </c>
      <c r="M2255" s="7" t="str">
        <f>IFERROR(__xludf.DUMMYFUNCTION("IFERROR(
  IF(
    F2255 &gt;
    3*AVERAGE(
       FILTER($F$2:$F10491,
         $G$2:$G10491=G2255,
         $A$2:$A10491&gt;=A2255-20,
         $A$2:$A10491&lt;=A2255
       )
    ),
    ""VOL_SPIKE_3X"",""""
  ),
"""")
"),"")</f>
        <v/>
      </c>
      <c r="N2255" s="7" t="str">
        <f t="shared" si="6"/>
        <v/>
      </c>
      <c r="O2255" s="7" t="str">
        <f t="shared" si="7"/>
        <v/>
      </c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>
      <c r="A2256" s="5">
        <f>IFERROR(__xludf.DUMMYFUNCTION("""COMPUTED_VALUE"""),45882.0)</f>
        <v>45882</v>
      </c>
      <c r="B2256" s="6">
        <f>IFERROR(__xludf.DUMMYFUNCTION("""COMPUTED_VALUE"""),142.65)</f>
        <v>142.65</v>
      </c>
      <c r="C2256" s="6">
        <f>IFERROR(__xludf.DUMMYFUNCTION("""COMPUTED_VALUE"""),143.4)</f>
        <v>143.4</v>
      </c>
      <c r="D2256" s="6">
        <f>IFERROR(__xludf.DUMMYFUNCTION("""COMPUTED_VALUE"""),141.7)</f>
        <v>141.7</v>
      </c>
      <c r="E2256" s="6">
        <f>IFERROR(__xludf.DUMMYFUNCTION("""COMPUTED_VALUE"""),142.43)</f>
        <v>142.43</v>
      </c>
      <c r="F2256" s="7">
        <f>IFERROR(__xludf.DUMMYFUNCTION("""COMPUTED_VALUE"""),4990372.0)</f>
        <v>4990372</v>
      </c>
      <c r="G2256" s="7" t="str">
        <f>IFERROR(__xludf.DUMMYFUNCTION("""COMPUTED_VALUE"""),"IOC.NS")</f>
        <v>IOC.NS</v>
      </c>
      <c r="H2256" s="8">
        <f t="shared" si="1"/>
        <v>-0.001542236243</v>
      </c>
      <c r="I2256" s="8">
        <f t="shared" si="2"/>
        <v>0.001542236243</v>
      </c>
      <c r="J2256" s="7" t="str">
        <f t="shared" si="3"/>
        <v>Aug-2025</v>
      </c>
      <c r="K2256" s="9">
        <f t="shared" si="4"/>
        <v>45870</v>
      </c>
      <c r="L2256" s="7" t="str">
        <f t="shared" si="5"/>
        <v/>
      </c>
      <c r="M2256" s="7" t="str">
        <f>IFERROR(__xludf.DUMMYFUNCTION("IFERROR(
  IF(
    F2256 &gt;
    3*AVERAGE(
       FILTER($F$2:$F10491,
         $G$2:$G10491=G2256,
         $A$2:$A10491&gt;=A2256-20,
         $A$2:$A10491&lt;=A2256
       )
    ),
    ""VOL_SPIKE_3X"",""""
  ),
"""")
"),"")</f>
        <v/>
      </c>
      <c r="N2256" s="7" t="str">
        <f t="shared" si="6"/>
        <v/>
      </c>
      <c r="O2256" s="7" t="str">
        <f t="shared" si="7"/>
        <v/>
      </c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>
      <c r="A2257" s="5">
        <f>IFERROR(__xludf.DUMMYFUNCTION("""COMPUTED_VALUE"""),45882.0)</f>
        <v>45882</v>
      </c>
      <c r="B2257" s="6">
        <f>IFERROR(__xludf.DUMMYFUNCTION("""COMPUTED_VALUE"""),340.3)</f>
        <v>340.3</v>
      </c>
      <c r="C2257" s="6">
        <f>IFERROR(__xludf.DUMMYFUNCTION("""COMPUTED_VALUE"""),343.0)</f>
        <v>343</v>
      </c>
      <c r="D2257" s="6">
        <f>IFERROR(__xludf.DUMMYFUNCTION("""COMPUTED_VALUE"""),339.15)</f>
        <v>339.15</v>
      </c>
      <c r="E2257" s="6">
        <f>IFERROR(__xludf.DUMMYFUNCTION("""COMPUTED_VALUE"""),339.95)</f>
        <v>339.95</v>
      </c>
      <c r="F2257" s="7">
        <f>IFERROR(__xludf.DUMMYFUNCTION("""COMPUTED_VALUE"""),5417151.0)</f>
        <v>5417151</v>
      </c>
      <c r="G2257" s="7" t="str">
        <f>IFERROR(__xludf.DUMMYFUNCTION("""COMPUTED_VALUE"""),"NTPC.NS")</f>
        <v>NTPC.NS</v>
      </c>
      <c r="H2257" s="8">
        <f t="shared" si="1"/>
        <v>-0.001028504261</v>
      </c>
      <c r="I2257" s="8">
        <f t="shared" si="2"/>
        <v>0.001028504261</v>
      </c>
      <c r="J2257" s="7" t="str">
        <f t="shared" si="3"/>
        <v>Aug-2025</v>
      </c>
      <c r="K2257" s="9">
        <f t="shared" si="4"/>
        <v>45870</v>
      </c>
      <c r="L2257" s="7" t="str">
        <f t="shared" si="5"/>
        <v/>
      </c>
      <c r="M2257" s="7" t="str">
        <f>IFERROR(__xludf.DUMMYFUNCTION("IFERROR(
  IF(
    F2257 &gt;
    3*AVERAGE(
       FILTER($F$2:$F10491,
         $G$2:$G10491=G2257,
         $A$2:$A10491&gt;=A2257-20,
         $A$2:$A10491&lt;=A2257
       )
    ),
    ""VOL_SPIKE_3X"",""""
  ),
"""")
"),"")</f>
        <v/>
      </c>
      <c r="N2257" s="7" t="str">
        <f t="shared" si="6"/>
        <v/>
      </c>
      <c r="O2257" s="7" t="str">
        <f t="shared" si="7"/>
        <v/>
      </c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>
      <c r="A2258" s="5">
        <f>IFERROR(__xludf.DUMMYFUNCTION("""COMPUTED_VALUE"""),45882.0)</f>
        <v>45882</v>
      </c>
      <c r="B2258" s="6">
        <f>IFERROR(__xludf.DUMMYFUNCTION("""COMPUTED_VALUE"""),237.74)</f>
        <v>237.74</v>
      </c>
      <c r="C2258" s="6">
        <f>IFERROR(__xludf.DUMMYFUNCTION("""COMPUTED_VALUE"""),239.95)</f>
        <v>239.95</v>
      </c>
      <c r="D2258" s="6">
        <f>IFERROR(__xludf.DUMMYFUNCTION("""COMPUTED_VALUE"""),236.3)</f>
        <v>236.3</v>
      </c>
      <c r="E2258" s="6">
        <f>IFERROR(__xludf.DUMMYFUNCTION("""COMPUTED_VALUE"""),238.67)</f>
        <v>238.67</v>
      </c>
      <c r="F2258" s="7">
        <f>IFERROR(__xludf.DUMMYFUNCTION("""COMPUTED_VALUE"""),8501906.0)</f>
        <v>8501906</v>
      </c>
      <c r="G2258" s="7" t="str">
        <f>IFERROR(__xludf.DUMMYFUNCTION("""COMPUTED_VALUE"""),"ONGC.NS")</f>
        <v>ONGC.NS</v>
      </c>
      <c r="H2258" s="8">
        <f t="shared" si="1"/>
        <v>0.00391183646</v>
      </c>
      <c r="I2258" s="8">
        <f t="shared" si="2"/>
        <v>0.00391183646</v>
      </c>
      <c r="J2258" s="7" t="str">
        <f t="shared" si="3"/>
        <v>Aug-2025</v>
      </c>
      <c r="K2258" s="9">
        <f t="shared" si="4"/>
        <v>45870</v>
      </c>
      <c r="L2258" s="7" t="str">
        <f t="shared" si="5"/>
        <v/>
      </c>
      <c r="M2258" s="7" t="str">
        <f>IFERROR(__xludf.DUMMYFUNCTION("IFERROR(
  IF(
    F2258 &gt;
    3*AVERAGE(
       FILTER($F$2:$F10491,
         $G$2:$G10491=G2258,
         $A$2:$A10491&gt;=A2258-20,
         $A$2:$A10491&lt;=A2258
       )
    ),
    ""VOL_SPIKE_3X"",""""
  ),
"""")
"),"")</f>
        <v/>
      </c>
      <c r="N2258" s="7" t="str">
        <f t="shared" si="6"/>
        <v/>
      </c>
      <c r="O2258" s="7" t="str">
        <f t="shared" si="7"/>
        <v/>
      </c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>
      <c r="A2259" s="5">
        <f>IFERROR(__xludf.DUMMYFUNCTION("""COMPUTED_VALUE"""),45882.0)</f>
        <v>45882</v>
      </c>
      <c r="B2259" s="6">
        <f>IFERROR(__xludf.DUMMYFUNCTION("""COMPUTED_VALUE"""),287.0)</f>
        <v>287</v>
      </c>
      <c r="C2259" s="6">
        <f>IFERROR(__xludf.DUMMYFUNCTION("""COMPUTED_VALUE"""),289.4)</f>
        <v>289.4</v>
      </c>
      <c r="D2259" s="6">
        <f>IFERROR(__xludf.DUMMYFUNCTION("""COMPUTED_VALUE"""),286.05)</f>
        <v>286.05</v>
      </c>
      <c r="E2259" s="6">
        <f>IFERROR(__xludf.DUMMYFUNCTION("""COMPUTED_VALUE"""),288.2)</f>
        <v>288.2</v>
      </c>
      <c r="F2259" s="7">
        <f>IFERROR(__xludf.DUMMYFUNCTION("""COMPUTED_VALUE"""),9928283.0)</f>
        <v>9928283</v>
      </c>
      <c r="G2259" s="7" t="str">
        <f>IFERROR(__xludf.DUMMYFUNCTION("""COMPUTED_VALUE"""),"POWERGRID.NS")</f>
        <v>POWERGRID.NS</v>
      </c>
      <c r="H2259" s="8">
        <f t="shared" si="1"/>
        <v>0.004181184669</v>
      </c>
      <c r="I2259" s="8">
        <f t="shared" si="2"/>
        <v>0.004181184669</v>
      </c>
      <c r="J2259" s="7" t="str">
        <f t="shared" si="3"/>
        <v>Aug-2025</v>
      </c>
      <c r="K2259" s="9">
        <f t="shared" si="4"/>
        <v>45870</v>
      </c>
      <c r="L2259" s="7" t="str">
        <f t="shared" si="5"/>
        <v/>
      </c>
      <c r="M2259" s="7" t="str">
        <f>IFERROR(__xludf.DUMMYFUNCTION("IFERROR(
  IF(
    F2259 &gt;
    3*AVERAGE(
       FILTER($F$2:$F10491,
         $G$2:$G10491=G2259,
         $A$2:$A10491&gt;=A2259-20,
         $A$2:$A10491&lt;=A2259
       )
    ),
    ""VOL_SPIKE_3X"",""""
  ),
"""")
"),"")</f>
        <v/>
      </c>
      <c r="N2259" s="7" t="str">
        <f t="shared" si="6"/>
        <v/>
      </c>
      <c r="O2259" s="7" t="str">
        <f t="shared" si="7"/>
        <v/>
      </c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>
      <c r="A2260" s="5">
        <f>IFERROR(__xludf.DUMMYFUNCTION("""COMPUTED_VALUE"""),45882.0)</f>
        <v>45882</v>
      </c>
      <c r="B2260" s="6">
        <f>IFERROR(__xludf.DUMMYFUNCTION("""COMPUTED_VALUE"""),1388.0)</f>
        <v>1388</v>
      </c>
      <c r="C2260" s="6">
        <f>IFERROR(__xludf.DUMMYFUNCTION("""COMPUTED_VALUE"""),1391.8)</f>
        <v>1391.8</v>
      </c>
      <c r="D2260" s="6">
        <f>IFERROR(__xludf.DUMMYFUNCTION("""COMPUTED_VALUE"""),1377.5)</f>
        <v>1377.5</v>
      </c>
      <c r="E2260" s="6">
        <f>IFERROR(__xludf.DUMMYFUNCTION("""COMPUTED_VALUE"""),1382.6)</f>
        <v>1382.6</v>
      </c>
      <c r="F2260" s="7">
        <f>IFERROR(__xludf.DUMMYFUNCTION("""COMPUTED_VALUE"""),7457021.0)</f>
        <v>7457021</v>
      </c>
      <c r="G2260" s="7" t="str">
        <f>IFERROR(__xludf.DUMMYFUNCTION("""COMPUTED_VALUE"""),"RELIANCE.NS")</f>
        <v>RELIANCE.NS</v>
      </c>
      <c r="H2260" s="8">
        <f t="shared" si="1"/>
        <v>-0.003890489914</v>
      </c>
      <c r="I2260" s="8">
        <f t="shared" si="2"/>
        <v>0.003890489914</v>
      </c>
      <c r="J2260" s="7" t="str">
        <f t="shared" si="3"/>
        <v>Aug-2025</v>
      </c>
      <c r="K2260" s="9">
        <f t="shared" si="4"/>
        <v>45870</v>
      </c>
      <c r="L2260" s="7" t="str">
        <f t="shared" si="5"/>
        <v/>
      </c>
      <c r="M2260" s="7" t="str">
        <f>IFERROR(__xludf.DUMMYFUNCTION("IFERROR(
  IF(
    F2260 &gt;
    3*AVERAGE(
       FILTER($F$2:$F10491,
         $G$2:$G10491=G2260,
         $A$2:$A10491&gt;=A2260-20,
         $A$2:$A10491&lt;=A2260
       )
    ),
    ""VOL_SPIKE_3X"",""""
  ),
"""")
"),"")</f>
        <v/>
      </c>
      <c r="N2260" s="7" t="str">
        <f t="shared" si="6"/>
        <v/>
      </c>
      <c r="O2260" s="7" t="str">
        <f t="shared" si="7"/>
        <v/>
      </c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>
      <c r="A2261" s="5">
        <f>IFERROR(__xludf.DUMMYFUNCTION("""COMPUTED_VALUE"""),45883.0)</f>
        <v>45883</v>
      </c>
      <c r="B2261" s="6">
        <f>IFERROR(__xludf.DUMMYFUNCTION("""COMPUTED_VALUE"""),788.15)</f>
        <v>788.15</v>
      </c>
      <c r="C2261" s="6">
        <f>IFERROR(__xludf.DUMMYFUNCTION("""COMPUTED_VALUE"""),791.9)</f>
        <v>791.9</v>
      </c>
      <c r="D2261" s="6">
        <f>IFERROR(__xludf.DUMMYFUNCTION("""COMPUTED_VALUE"""),774.45)</f>
        <v>774.45</v>
      </c>
      <c r="E2261" s="6">
        <f>IFERROR(__xludf.DUMMYFUNCTION("""COMPUTED_VALUE"""),775.8)</f>
        <v>775.8</v>
      </c>
      <c r="F2261" s="7">
        <f>IFERROR(__xludf.DUMMYFUNCTION("""COMPUTED_VALUE"""),6581262.0)</f>
        <v>6581262</v>
      </c>
      <c r="G2261" s="7" t="str">
        <f>IFERROR(__xludf.DUMMYFUNCTION("""COMPUTED_VALUE"""),"ADANIENSOL.NS")</f>
        <v>ADANIENSOL.NS</v>
      </c>
      <c r="H2261" s="8">
        <f t="shared" si="1"/>
        <v>-0.01566960604</v>
      </c>
      <c r="I2261" s="8">
        <f t="shared" si="2"/>
        <v>0.01566960604</v>
      </c>
      <c r="J2261" s="7" t="str">
        <f t="shared" si="3"/>
        <v>Aug-2025</v>
      </c>
      <c r="K2261" s="9">
        <f t="shared" si="4"/>
        <v>45870</v>
      </c>
      <c r="L2261" s="7" t="str">
        <f t="shared" si="5"/>
        <v/>
      </c>
      <c r="M2261" s="7" t="str">
        <f>IFERROR(__xludf.DUMMYFUNCTION("IFERROR(
  IF(
    F2261 &gt;
    3*AVERAGE(
       FILTER($F$2:$F10491,
         $G$2:$G10491=G2261,
         $A$2:$A10491&gt;=A2261-20,
         $A$2:$A10491&lt;=A2261
       )
    ),
    ""VOL_SPIKE_3X"",""""
  ),
"""")
"),"")</f>
        <v/>
      </c>
      <c r="N2261" s="7" t="str">
        <f t="shared" si="6"/>
        <v/>
      </c>
      <c r="O2261" s="7" t="str">
        <f t="shared" si="7"/>
        <v/>
      </c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>
      <c r="A2262" s="5">
        <f>IFERROR(__xludf.DUMMYFUNCTION("""COMPUTED_VALUE"""),45883.0)</f>
        <v>45883</v>
      </c>
      <c r="B2262" s="6">
        <f>IFERROR(__xludf.DUMMYFUNCTION("""COMPUTED_VALUE"""),925.0)</f>
        <v>925</v>
      </c>
      <c r="C2262" s="6">
        <f>IFERROR(__xludf.DUMMYFUNCTION("""COMPUTED_VALUE"""),933.0)</f>
        <v>933</v>
      </c>
      <c r="D2262" s="6">
        <f>IFERROR(__xludf.DUMMYFUNCTION("""COMPUTED_VALUE"""),914.05)</f>
        <v>914.05</v>
      </c>
      <c r="E2262" s="6">
        <f>IFERROR(__xludf.DUMMYFUNCTION("""COMPUTED_VALUE"""),917.5)</f>
        <v>917.5</v>
      </c>
      <c r="F2262" s="7">
        <f>IFERROR(__xludf.DUMMYFUNCTION("""COMPUTED_VALUE"""),1031515.0)</f>
        <v>1031515</v>
      </c>
      <c r="G2262" s="7" t="str">
        <f>IFERROR(__xludf.DUMMYFUNCTION("""COMPUTED_VALUE"""),"ADANIGREEN.NS")</f>
        <v>ADANIGREEN.NS</v>
      </c>
      <c r="H2262" s="8">
        <f t="shared" si="1"/>
        <v>-0.008108108108</v>
      </c>
      <c r="I2262" s="8">
        <f t="shared" si="2"/>
        <v>0.008108108108</v>
      </c>
      <c r="J2262" s="7" t="str">
        <f t="shared" si="3"/>
        <v>Aug-2025</v>
      </c>
      <c r="K2262" s="9">
        <f t="shared" si="4"/>
        <v>45870</v>
      </c>
      <c r="L2262" s="7" t="str">
        <f t="shared" si="5"/>
        <v/>
      </c>
      <c r="M2262" s="7" t="str">
        <f>IFERROR(__xludf.DUMMYFUNCTION("IFERROR(
  IF(
    F2262 &gt;
    3*AVERAGE(
       FILTER($F$2:$F10491,
         $G$2:$G10491=G2262,
         $A$2:$A10491&gt;=A2262-20,
         $A$2:$A10491&lt;=A2262
       )
    ),
    ""VOL_SPIKE_3X"",""""
  ),
"""")
"),"")</f>
        <v/>
      </c>
      <c r="N2262" s="7" t="str">
        <f t="shared" si="6"/>
        <v/>
      </c>
      <c r="O2262" s="7" t="str">
        <f t="shared" si="7"/>
        <v/>
      </c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>
      <c r="A2263" s="5">
        <f>IFERROR(__xludf.DUMMYFUNCTION("""COMPUTED_VALUE"""),45883.0)</f>
        <v>45883</v>
      </c>
      <c r="B2263" s="6">
        <f>IFERROR(__xludf.DUMMYFUNCTION("""COMPUTED_VALUE"""),327.0)</f>
        <v>327</v>
      </c>
      <c r="C2263" s="6">
        <f>IFERROR(__xludf.DUMMYFUNCTION("""COMPUTED_VALUE"""),331.4)</f>
        <v>331.4</v>
      </c>
      <c r="D2263" s="6">
        <f>IFERROR(__xludf.DUMMYFUNCTION("""COMPUTED_VALUE"""),317.15)</f>
        <v>317.15</v>
      </c>
      <c r="E2263" s="6">
        <f>IFERROR(__xludf.DUMMYFUNCTION("""COMPUTED_VALUE"""),318.05)</f>
        <v>318.05</v>
      </c>
      <c r="F2263" s="7">
        <f>IFERROR(__xludf.DUMMYFUNCTION("""COMPUTED_VALUE"""),1.0549386E7)</f>
        <v>10549386</v>
      </c>
      <c r="G2263" s="7" t="str">
        <f>IFERROR(__xludf.DUMMYFUNCTION("""COMPUTED_VALUE"""),"BPCL.NS")</f>
        <v>BPCL.NS</v>
      </c>
      <c r="H2263" s="8">
        <f t="shared" si="1"/>
        <v>-0.02737003058</v>
      </c>
      <c r="I2263" s="8">
        <f t="shared" si="2"/>
        <v>0.02737003058</v>
      </c>
      <c r="J2263" s="7" t="str">
        <f t="shared" si="3"/>
        <v>Aug-2025</v>
      </c>
      <c r="K2263" s="9">
        <f t="shared" si="4"/>
        <v>45870</v>
      </c>
      <c r="L2263" s="7" t="str">
        <f t="shared" si="5"/>
        <v/>
      </c>
      <c r="M2263" s="7" t="str">
        <f>IFERROR(__xludf.DUMMYFUNCTION("IFERROR(
  IF(
    F2263 &gt;
    3*AVERAGE(
       FILTER($F$2:$F10491,
         $G$2:$G10491=G2263,
         $A$2:$A10491&gt;=A2263-20,
         $A$2:$A10491&lt;=A2263
       )
    ),
    ""VOL_SPIKE_3X"",""""
  ),
"""")
"),"")</f>
        <v/>
      </c>
      <c r="N2263" s="7" t="str">
        <f t="shared" si="6"/>
        <v/>
      </c>
      <c r="O2263" s="7" t="str">
        <f t="shared" si="7"/>
        <v/>
      </c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>
      <c r="A2264" s="5">
        <f>IFERROR(__xludf.DUMMYFUNCTION("""COMPUTED_VALUE"""),45883.0)</f>
        <v>45883</v>
      </c>
      <c r="B2264" s="6">
        <f>IFERROR(__xludf.DUMMYFUNCTION("""COMPUTED_VALUE"""),386.1)</f>
        <v>386.1</v>
      </c>
      <c r="C2264" s="6">
        <f>IFERROR(__xludf.DUMMYFUNCTION("""COMPUTED_VALUE"""),386.85)</f>
        <v>386.85</v>
      </c>
      <c r="D2264" s="6">
        <f>IFERROR(__xludf.DUMMYFUNCTION("""COMPUTED_VALUE"""),382.55)</f>
        <v>382.55</v>
      </c>
      <c r="E2264" s="6">
        <f>IFERROR(__xludf.DUMMYFUNCTION("""COMPUTED_VALUE"""),384.45)</f>
        <v>384.45</v>
      </c>
      <c r="F2264" s="7">
        <f>IFERROR(__xludf.DUMMYFUNCTION("""COMPUTED_VALUE"""),4034887.0)</f>
        <v>4034887</v>
      </c>
      <c r="G2264" s="7" t="str">
        <f>IFERROR(__xludf.DUMMYFUNCTION("""COMPUTED_VALUE"""),"COALINDIA.NS")</f>
        <v>COALINDIA.NS</v>
      </c>
      <c r="H2264" s="8">
        <f t="shared" si="1"/>
        <v>-0.004273504274</v>
      </c>
      <c r="I2264" s="8">
        <f t="shared" si="2"/>
        <v>0.004273504274</v>
      </c>
      <c r="J2264" s="7" t="str">
        <f t="shared" si="3"/>
        <v>Aug-2025</v>
      </c>
      <c r="K2264" s="9">
        <f t="shared" si="4"/>
        <v>45870</v>
      </c>
      <c r="L2264" s="7" t="str">
        <f t="shared" si="5"/>
        <v/>
      </c>
      <c r="M2264" s="7" t="str">
        <f>IFERROR(__xludf.DUMMYFUNCTION("IFERROR(
  IF(
    F2264 &gt;
    3*AVERAGE(
       FILTER($F$2:$F10491,
         $G$2:$G10491=G2264,
         $A$2:$A10491&gt;=A2264-20,
         $A$2:$A10491&lt;=A2264
       )
    ),
    ""VOL_SPIKE_3X"",""""
  ),
"""")
"),"")</f>
        <v/>
      </c>
      <c r="N2264" s="7" t="str">
        <f t="shared" si="6"/>
        <v/>
      </c>
      <c r="O2264" s="7" t="str">
        <f t="shared" si="7"/>
        <v/>
      </c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>
      <c r="A2265" s="5">
        <f>IFERROR(__xludf.DUMMYFUNCTION("""COMPUTED_VALUE"""),45883.0)</f>
        <v>45883</v>
      </c>
      <c r="B2265" s="6">
        <f>IFERROR(__xludf.DUMMYFUNCTION("""COMPUTED_VALUE"""),402.0)</f>
        <v>402</v>
      </c>
      <c r="C2265" s="6">
        <f>IFERROR(__xludf.DUMMYFUNCTION("""COMPUTED_VALUE"""),406.1)</f>
        <v>406.1</v>
      </c>
      <c r="D2265" s="6">
        <f>IFERROR(__xludf.DUMMYFUNCTION("""COMPUTED_VALUE"""),393.8)</f>
        <v>393.8</v>
      </c>
      <c r="E2265" s="6">
        <f>IFERROR(__xludf.DUMMYFUNCTION("""COMPUTED_VALUE"""),394.35)</f>
        <v>394.35</v>
      </c>
      <c r="F2265" s="7">
        <f>IFERROR(__xludf.DUMMYFUNCTION("""COMPUTED_VALUE"""),6536476.0)</f>
        <v>6536476</v>
      </c>
      <c r="G2265" s="7" t="str">
        <f>IFERROR(__xludf.DUMMYFUNCTION("""COMPUTED_VALUE"""),"HINDPETRO.NS")</f>
        <v>HINDPETRO.NS</v>
      </c>
      <c r="H2265" s="8">
        <f t="shared" si="1"/>
        <v>-0.01902985075</v>
      </c>
      <c r="I2265" s="8">
        <f t="shared" si="2"/>
        <v>0.01902985075</v>
      </c>
      <c r="J2265" s="7" t="str">
        <f t="shared" si="3"/>
        <v>Aug-2025</v>
      </c>
      <c r="K2265" s="9">
        <f t="shared" si="4"/>
        <v>45870</v>
      </c>
      <c r="L2265" s="7" t="str">
        <f t="shared" si="5"/>
        <v/>
      </c>
      <c r="M2265" s="7" t="str">
        <f>IFERROR(__xludf.DUMMYFUNCTION("IFERROR(
  IF(
    F2265 &gt;
    3*AVERAGE(
       FILTER($F$2:$F10491,
         $G$2:$G10491=G2265,
         $A$2:$A10491&gt;=A2265-20,
         $A$2:$A10491&lt;=A2265
       )
    ),
    ""VOL_SPIKE_3X"",""""
  ),
"""")
"),"")</f>
        <v/>
      </c>
      <c r="N2265" s="7" t="str">
        <f t="shared" si="6"/>
        <v/>
      </c>
      <c r="O2265" s="7" t="str">
        <f t="shared" si="7"/>
        <v/>
      </c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>
      <c r="A2266" s="5">
        <f>IFERROR(__xludf.DUMMYFUNCTION("""COMPUTED_VALUE"""),45883.0)</f>
        <v>45883</v>
      </c>
      <c r="B2266" s="6">
        <f>IFERROR(__xludf.DUMMYFUNCTION("""COMPUTED_VALUE"""),143.0)</f>
        <v>143</v>
      </c>
      <c r="C2266" s="6">
        <f>IFERROR(__xludf.DUMMYFUNCTION("""COMPUTED_VALUE"""),143.16)</f>
        <v>143.16</v>
      </c>
      <c r="D2266" s="6">
        <f>IFERROR(__xludf.DUMMYFUNCTION("""COMPUTED_VALUE"""),139.86)</f>
        <v>139.86</v>
      </c>
      <c r="E2266" s="6">
        <f>IFERROR(__xludf.DUMMYFUNCTION("""COMPUTED_VALUE"""),140.13)</f>
        <v>140.13</v>
      </c>
      <c r="F2266" s="7">
        <f>IFERROR(__xludf.DUMMYFUNCTION("""COMPUTED_VALUE"""),1.1453732E7)</f>
        <v>11453732</v>
      </c>
      <c r="G2266" s="7" t="str">
        <f>IFERROR(__xludf.DUMMYFUNCTION("""COMPUTED_VALUE"""),"IOC.NS")</f>
        <v>IOC.NS</v>
      </c>
      <c r="H2266" s="8">
        <f t="shared" si="1"/>
        <v>-0.02006993007</v>
      </c>
      <c r="I2266" s="8">
        <f t="shared" si="2"/>
        <v>0.02006993007</v>
      </c>
      <c r="J2266" s="7" t="str">
        <f t="shared" si="3"/>
        <v>Aug-2025</v>
      </c>
      <c r="K2266" s="9">
        <f t="shared" si="4"/>
        <v>45870</v>
      </c>
      <c r="L2266" s="7" t="str">
        <f t="shared" si="5"/>
        <v/>
      </c>
      <c r="M2266" s="7" t="str">
        <f>IFERROR(__xludf.DUMMYFUNCTION("IFERROR(
  IF(
    F2266 &gt;
    3*AVERAGE(
       FILTER($F$2:$F10491,
         $G$2:$G10491=G2266,
         $A$2:$A10491&gt;=A2266-20,
         $A$2:$A10491&lt;=A2266
       )
    ),
    ""VOL_SPIKE_3X"",""""
  ),
"""")
"),"")</f>
        <v/>
      </c>
      <c r="N2266" s="7" t="str">
        <f t="shared" si="6"/>
        <v/>
      </c>
      <c r="O2266" s="7" t="str">
        <f t="shared" si="7"/>
        <v/>
      </c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>
      <c r="A2267" s="5">
        <f>IFERROR(__xludf.DUMMYFUNCTION("""COMPUTED_VALUE"""),45883.0)</f>
        <v>45883</v>
      </c>
      <c r="B2267" s="6">
        <f>IFERROR(__xludf.DUMMYFUNCTION("""COMPUTED_VALUE"""),339.95)</f>
        <v>339.95</v>
      </c>
      <c r="C2267" s="6">
        <f>IFERROR(__xludf.DUMMYFUNCTION("""COMPUTED_VALUE"""),340.45)</f>
        <v>340.45</v>
      </c>
      <c r="D2267" s="6">
        <f>IFERROR(__xludf.DUMMYFUNCTION("""COMPUTED_VALUE"""),336.3)</f>
        <v>336.3</v>
      </c>
      <c r="E2267" s="6">
        <f>IFERROR(__xludf.DUMMYFUNCTION("""COMPUTED_VALUE"""),339.35)</f>
        <v>339.35</v>
      </c>
      <c r="F2267" s="7">
        <f>IFERROR(__xludf.DUMMYFUNCTION("""COMPUTED_VALUE"""),5689423.0)</f>
        <v>5689423</v>
      </c>
      <c r="G2267" s="7" t="str">
        <f>IFERROR(__xludf.DUMMYFUNCTION("""COMPUTED_VALUE"""),"NTPC.NS")</f>
        <v>NTPC.NS</v>
      </c>
      <c r="H2267" s="8">
        <f t="shared" si="1"/>
        <v>-0.001764965436</v>
      </c>
      <c r="I2267" s="8">
        <f t="shared" si="2"/>
        <v>0.001764965436</v>
      </c>
      <c r="J2267" s="7" t="str">
        <f t="shared" si="3"/>
        <v>Aug-2025</v>
      </c>
      <c r="K2267" s="9">
        <f t="shared" si="4"/>
        <v>45870</v>
      </c>
      <c r="L2267" s="7" t="str">
        <f t="shared" si="5"/>
        <v/>
      </c>
      <c r="M2267" s="7" t="str">
        <f>IFERROR(__xludf.DUMMYFUNCTION("IFERROR(
  IF(
    F2267 &gt;
    3*AVERAGE(
       FILTER($F$2:$F10491,
         $G$2:$G10491=G2267,
         $A$2:$A10491&gt;=A2267-20,
         $A$2:$A10491&lt;=A2267
       )
    ),
    ""VOL_SPIKE_3X"",""""
  ),
"""")
"),"")</f>
        <v/>
      </c>
      <c r="N2267" s="7" t="str">
        <f t="shared" si="6"/>
        <v/>
      </c>
      <c r="O2267" s="7" t="str">
        <f t="shared" si="7"/>
        <v/>
      </c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>
      <c r="A2268" s="5">
        <f>IFERROR(__xludf.DUMMYFUNCTION("""COMPUTED_VALUE"""),45883.0)</f>
        <v>45883</v>
      </c>
      <c r="B2268" s="6">
        <f>IFERROR(__xludf.DUMMYFUNCTION("""COMPUTED_VALUE"""),238.51)</f>
        <v>238.51</v>
      </c>
      <c r="C2268" s="6">
        <f>IFERROR(__xludf.DUMMYFUNCTION("""COMPUTED_VALUE"""),238.67)</f>
        <v>238.67</v>
      </c>
      <c r="D2268" s="6">
        <f>IFERROR(__xludf.DUMMYFUNCTION("""COMPUTED_VALUE"""),234.43)</f>
        <v>234.43</v>
      </c>
      <c r="E2268" s="6">
        <f>IFERROR(__xludf.DUMMYFUNCTION("""COMPUTED_VALUE"""),236.94)</f>
        <v>236.94</v>
      </c>
      <c r="F2268" s="7">
        <f>IFERROR(__xludf.DUMMYFUNCTION("""COMPUTED_VALUE"""),7258450.0)</f>
        <v>7258450</v>
      </c>
      <c r="G2268" s="7" t="str">
        <f>IFERROR(__xludf.DUMMYFUNCTION("""COMPUTED_VALUE"""),"ONGC.NS")</f>
        <v>ONGC.NS</v>
      </c>
      <c r="H2268" s="8">
        <f t="shared" si="1"/>
        <v>-0.006582533227</v>
      </c>
      <c r="I2268" s="8">
        <f t="shared" si="2"/>
        <v>0.006582533227</v>
      </c>
      <c r="J2268" s="7" t="str">
        <f t="shared" si="3"/>
        <v>Aug-2025</v>
      </c>
      <c r="K2268" s="9">
        <f t="shared" si="4"/>
        <v>45870</v>
      </c>
      <c r="L2268" s="7" t="str">
        <f t="shared" si="5"/>
        <v/>
      </c>
      <c r="M2268" s="7" t="str">
        <f>IFERROR(__xludf.DUMMYFUNCTION("IFERROR(
  IF(
    F2268 &gt;
    3*AVERAGE(
       FILTER($F$2:$F10491,
         $G$2:$G10491=G2268,
         $A$2:$A10491&gt;=A2268-20,
         $A$2:$A10491&lt;=A2268
       )
    ),
    ""VOL_SPIKE_3X"",""""
  ),
"""")
"),"")</f>
        <v/>
      </c>
      <c r="N2268" s="7" t="str">
        <f t="shared" si="6"/>
        <v/>
      </c>
      <c r="O2268" s="7" t="str">
        <f t="shared" si="7"/>
        <v/>
      </c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>
      <c r="A2269" s="5">
        <f>IFERROR(__xludf.DUMMYFUNCTION("""COMPUTED_VALUE"""),45883.0)</f>
        <v>45883</v>
      </c>
      <c r="B2269" s="6">
        <f>IFERROR(__xludf.DUMMYFUNCTION("""COMPUTED_VALUE"""),289.05)</f>
        <v>289.05</v>
      </c>
      <c r="C2269" s="6">
        <f>IFERROR(__xludf.DUMMYFUNCTION("""COMPUTED_VALUE"""),290.15)</f>
        <v>290.15</v>
      </c>
      <c r="D2269" s="6">
        <f>IFERROR(__xludf.DUMMYFUNCTION("""COMPUTED_VALUE"""),287.15)</f>
        <v>287.15</v>
      </c>
      <c r="E2269" s="6">
        <f>IFERROR(__xludf.DUMMYFUNCTION("""COMPUTED_VALUE"""),288.7)</f>
        <v>288.7</v>
      </c>
      <c r="F2269" s="7">
        <f>IFERROR(__xludf.DUMMYFUNCTION("""COMPUTED_VALUE"""),8464495.0)</f>
        <v>8464495</v>
      </c>
      <c r="G2269" s="7" t="str">
        <f>IFERROR(__xludf.DUMMYFUNCTION("""COMPUTED_VALUE"""),"POWERGRID.NS")</f>
        <v>POWERGRID.NS</v>
      </c>
      <c r="H2269" s="8">
        <f t="shared" si="1"/>
        <v>-0.001210863172</v>
      </c>
      <c r="I2269" s="8">
        <f t="shared" si="2"/>
        <v>0.001210863172</v>
      </c>
      <c r="J2269" s="7" t="str">
        <f t="shared" si="3"/>
        <v>Aug-2025</v>
      </c>
      <c r="K2269" s="9">
        <f t="shared" si="4"/>
        <v>45870</v>
      </c>
      <c r="L2269" s="7" t="str">
        <f t="shared" si="5"/>
        <v/>
      </c>
      <c r="M2269" s="7" t="str">
        <f>IFERROR(__xludf.DUMMYFUNCTION("IFERROR(
  IF(
    F2269 &gt;
    3*AVERAGE(
       FILTER($F$2:$F10491,
         $G$2:$G10491=G2269,
         $A$2:$A10491&gt;=A2269-20,
         $A$2:$A10491&lt;=A2269
       )
    ),
    ""VOL_SPIKE_3X"",""""
  ),
"""")
"),"")</f>
        <v/>
      </c>
      <c r="N2269" s="7" t="str">
        <f t="shared" si="6"/>
        <v/>
      </c>
      <c r="O2269" s="7" t="str">
        <f t="shared" si="7"/>
        <v/>
      </c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>
      <c r="A2270" s="5">
        <f>IFERROR(__xludf.DUMMYFUNCTION("""COMPUTED_VALUE"""),45883.0)</f>
        <v>45883</v>
      </c>
      <c r="B2270" s="6">
        <f>IFERROR(__xludf.DUMMYFUNCTION("""COMPUTED_VALUE"""),1377.3)</f>
        <v>1377.3</v>
      </c>
      <c r="C2270" s="6">
        <f>IFERROR(__xludf.DUMMYFUNCTION("""COMPUTED_VALUE"""),1380.7)</f>
        <v>1380.7</v>
      </c>
      <c r="D2270" s="6">
        <f>IFERROR(__xludf.DUMMYFUNCTION("""COMPUTED_VALUE"""),1370.1)</f>
        <v>1370.1</v>
      </c>
      <c r="E2270" s="6">
        <f>IFERROR(__xludf.DUMMYFUNCTION("""COMPUTED_VALUE"""),1373.8)</f>
        <v>1373.8</v>
      </c>
      <c r="F2270" s="7">
        <f>IFERROR(__xludf.DUMMYFUNCTION("""COMPUTED_VALUE"""),7126128.0)</f>
        <v>7126128</v>
      </c>
      <c r="G2270" s="7" t="str">
        <f>IFERROR(__xludf.DUMMYFUNCTION("""COMPUTED_VALUE"""),"RELIANCE.NS")</f>
        <v>RELIANCE.NS</v>
      </c>
      <c r="H2270" s="8">
        <f t="shared" si="1"/>
        <v>-0.002541203805</v>
      </c>
      <c r="I2270" s="8">
        <f t="shared" si="2"/>
        <v>0.002541203805</v>
      </c>
      <c r="J2270" s="7" t="str">
        <f t="shared" si="3"/>
        <v>Aug-2025</v>
      </c>
      <c r="K2270" s="9">
        <f t="shared" si="4"/>
        <v>45870</v>
      </c>
      <c r="L2270" s="7" t="str">
        <f t="shared" si="5"/>
        <v/>
      </c>
      <c r="M2270" s="7" t="str">
        <f>IFERROR(__xludf.DUMMYFUNCTION("IFERROR(
  IF(
    F2270 &gt;
    3*AVERAGE(
       FILTER($F$2:$F10491,
         $G$2:$G10491=G2270,
         $A$2:$A10491&gt;=A2270-20,
         $A$2:$A10491&lt;=A2270
       )
    ),
    ""VOL_SPIKE_3X"",""""
  ),
"""")
"),"")</f>
        <v/>
      </c>
      <c r="N2270" s="7" t="str">
        <f t="shared" si="6"/>
        <v/>
      </c>
      <c r="O2270" s="7" t="str">
        <f t="shared" si="7"/>
        <v/>
      </c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>
      <c r="A2271" s="5">
        <f>IFERROR(__xludf.DUMMYFUNCTION("""COMPUTED_VALUE"""),45887.0)</f>
        <v>45887</v>
      </c>
      <c r="B2271" s="6">
        <f>IFERROR(__xludf.DUMMYFUNCTION("""COMPUTED_VALUE"""),787.0)</f>
        <v>787</v>
      </c>
      <c r="C2271" s="6">
        <f>IFERROR(__xludf.DUMMYFUNCTION("""COMPUTED_VALUE"""),821.65)</f>
        <v>821.65</v>
      </c>
      <c r="D2271" s="6">
        <f>IFERROR(__xludf.DUMMYFUNCTION("""COMPUTED_VALUE"""),783.0)</f>
        <v>783</v>
      </c>
      <c r="E2271" s="6">
        <f>IFERROR(__xludf.DUMMYFUNCTION("""COMPUTED_VALUE"""),818.75)</f>
        <v>818.75</v>
      </c>
      <c r="F2271" s="7">
        <f>IFERROR(__xludf.DUMMYFUNCTION("""COMPUTED_VALUE"""),1776385.0)</f>
        <v>1776385</v>
      </c>
      <c r="G2271" s="7" t="str">
        <f>IFERROR(__xludf.DUMMYFUNCTION("""COMPUTED_VALUE"""),"ADANIENSOL.NS")</f>
        <v>ADANIENSOL.NS</v>
      </c>
      <c r="H2271" s="8">
        <f t="shared" si="1"/>
        <v>0.04034307497</v>
      </c>
      <c r="I2271" s="8">
        <f t="shared" si="2"/>
        <v>0.04034307497</v>
      </c>
      <c r="J2271" s="7" t="str">
        <f t="shared" si="3"/>
        <v>Aug-2025</v>
      </c>
      <c r="K2271" s="9">
        <f t="shared" si="4"/>
        <v>45870</v>
      </c>
      <c r="L2271" s="7" t="str">
        <f t="shared" si="5"/>
        <v/>
      </c>
      <c r="M2271" s="7" t="str">
        <f>IFERROR(__xludf.DUMMYFUNCTION("IFERROR(
  IF(
    F2271 &gt;
    3*AVERAGE(
       FILTER($F$2:$F10491,
         $G$2:$G10491=G2271,
         $A$2:$A10491&gt;=A2271-20,
         $A$2:$A10491&lt;=A2271
       )
    ),
    ""VOL_SPIKE_3X"",""""
  ),
"""")
"),"")</f>
        <v/>
      </c>
      <c r="N2271" s="7" t="str">
        <f t="shared" si="6"/>
        <v/>
      </c>
      <c r="O2271" s="7" t="str">
        <f t="shared" si="7"/>
        <v/>
      </c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>
      <c r="A2272" s="5">
        <f>IFERROR(__xludf.DUMMYFUNCTION("""COMPUTED_VALUE"""),45887.0)</f>
        <v>45887</v>
      </c>
      <c r="B2272" s="6">
        <f>IFERROR(__xludf.DUMMYFUNCTION("""COMPUTED_VALUE"""),929.0)</f>
        <v>929</v>
      </c>
      <c r="C2272" s="6">
        <f>IFERROR(__xludf.DUMMYFUNCTION("""COMPUTED_VALUE"""),955.55)</f>
        <v>955.55</v>
      </c>
      <c r="D2272" s="6">
        <f>IFERROR(__xludf.DUMMYFUNCTION("""COMPUTED_VALUE"""),925.75)</f>
        <v>925.75</v>
      </c>
      <c r="E2272" s="6">
        <f>IFERROR(__xludf.DUMMYFUNCTION("""COMPUTED_VALUE"""),941.65)</f>
        <v>941.65</v>
      </c>
      <c r="F2272" s="7">
        <f>IFERROR(__xludf.DUMMYFUNCTION("""COMPUTED_VALUE"""),1856211.0)</f>
        <v>1856211</v>
      </c>
      <c r="G2272" s="7" t="str">
        <f>IFERROR(__xludf.DUMMYFUNCTION("""COMPUTED_VALUE"""),"ADANIGREEN.NS")</f>
        <v>ADANIGREEN.NS</v>
      </c>
      <c r="H2272" s="8">
        <f t="shared" si="1"/>
        <v>0.01361679225</v>
      </c>
      <c r="I2272" s="8">
        <f t="shared" si="2"/>
        <v>0.01361679225</v>
      </c>
      <c r="J2272" s="7" t="str">
        <f t="shared" si="3"/>
        <v>Aug-2025</v>
      </c>
      <c r="K2272" s="9">
        <f t="shared" si="4"/>
        <v>45870</v>
      </c>
      <c r="L2272" s="7" t="str">
        <f t="shared" si="5"/>
        <v/>
      </c>
      <c r="M2272" s="7" t="str">
        <f>IFERROR(__xludf.DUMMYFUNCTION("IFERROR(
  IF(
    F2272 &gt;
    3*AVERAGE(
       FILTER($F$2:$F10491,
         $G$2:$G10491=G2272,
         $A$2:$A10491&gt;=A2272-20,
         $A$2:$A10491&lt;=A2272
       )
    ),
    ""VOL_SPIKE_3X"",""""
  ),
"""")
"),"")</f>
        <v/>
      </c>
      <c r="N2272" s="7" t="str">
        <f t="shared" si="6"/>
        <v/>
      </c>
      <c r="O2272" s="7" t="str">
        <f t="shared" si="7"/>
        <v/>
      </c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>
      <c r="A2273" s="5">
        <f>IFERROR(__xludf.DUMMYFUNCTION("""COMPUTED_VALUE"""),45887.0)</f>
        <v>45887</v>
      </c>
      <c r="B2273" s="6">
        <f>IFERROR(__xludf.DUMMYFUNCTION("""COMPUTED_VALUE"""),321.0)</f>
        <v>321</v>
      </c>
      <c r="C2273" s="6">
        <f>IFERROR(__xludf.DUMMYFUNCTION("""COMPUTED_VALUE"""),321.05)</f>
        <v>321.05</v>
      </c>
      <c r="D2273" s="6">
        <f>IFERROR(__xludf.DUMMYFUNCTION("""COMPUTED_VALUE"""),312.45)</f>
        <v>312.45</v>
      </c>
      <c r="E2273" s="6">
        <f>IFERROR(__xludf.DUMMYFUNCTION("""COMPUTED_VALUE"""),314.0)</f>
        <v>314</v>
      </c>
      <c r="F2273" s="7">
        <f>IFERROR(__xludf.DUMMYFUNCTION("""COMPUTED_VALUE"""),8091527.0)</f>
        <v>8091527</v>
      </c>
      <c r="G2273" s="7" t="str">
        <f>IFERROR(__xludf.DUMMYFUNCTION("""COMPUTED_VALUE"""),"BPCL.NS")</f>
        <v>BPCL.NS</v>
      </c>
      <c r="H2273" s="8">
        <f t="shared" si="1"/>
        <v>-0.02180685358</v>
      </c>
      <c r="I2273" s="8">
        <f t="shared" si="2"/>
        <v>0.02180685358</v>
      </c>
      <c r="J2273" s="7" t="str">
        <f t="shared" si="3"/>
        <v>Aug-2025</v>
      </c>
      <c r="K2273" s="9">
        <f t="shared" si="4"/>
        <v>45870</v>
      </c>
      <c r="L2273" s="7" t="str">
        <f t="shared" si="5"/>
        <v/>
      </c>
      <c r="M2273" s="7" t="str">
        <f>IFERROR(__xludf.DUMMYFUNCTION("IFERROR(
  IF(
    F2273 &gt;
    3*AVERAGE(
       FILTER($F$2:$F10491,
         $G$2:$G10491=G2273,
         $A$2:$A10491&gt;=A2273-20,
         $A$2:$A10491&lt;=A2273
       )
    ),
    ""VOL_SPIKE_3X"",""""
  ),
"""")
"),"")</f>
        <v/>
      </c>
      <c r="N2273" s="7" t="str">
        <f t="shared" si="6"/>
        <v/>
      </c>
      <c r="O2273" s="7" t="str">
        <f t="shared" si="7"/>
        <v/>
      </c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>
      <c r="A2274" s="5">
        <f>IFERROR(__xludf.DUMMYFUNCTION("""COMPUTED_VALUE"""),45887.0)</f>
        <v>45887</v>
      </c>
      <c r="B2274" s="6">
        <f>IFERROR(__xludf.DUMMYFUNCTION("""COMPUTED_VALUE"""),386.65)</f>
        <v>386.65</v>
      </c>
      <c r="C2274" s="6">
        <f>IFERROR(__xludf.DUMMYFUNCTION("""COMPUTED_VALUE"""),388.55)</f>
        <v>388.55</v>
      </c>
      <c r="D2274" s="6">
        <f>IFERROR(__xludf.DUMMYFUNCTION("""COMPUTED_VALUE"""),384.05)</f>
        <v>384.05</v>
      </c>
      <c r="E2274" s="6">
        <f>IFERROR(__xludf.DUMMYFUNCTION("""COMPUTED_VALUE"""),387.8)</f>
        <v>387.8</v>
      </c>
      <c r="F2274" s="7">
        <f>IFERROR(__xludf.DUMMYFUNCTION("""COMPUTED_VALUE"""),3520271.0)</f>
        <v>3520271</v>
      </c>
      <c r="G2274" s="7" t="str">
        <f>IFERROR(__xludf.DUMMYFUNCTION("""COMPUTED_VALUE"""),"COALINDIA.NS")</f>
        <v>COALINDIA.NS</v>
      </c>
      <c r="H2274" s="8">
        <f t="shared" si="1"/>
        <v>0.002974266132</v>
      </c>
      <c r="I2274" s="8">
        <f t="shared" si="2"/>
        <v>0.002974266132</v>
      </c>
      <c r="J2274" s="7" t="str">
        <f t="shared" si="3"/>
        <v>Aug-2025</v>
      </c>
      <c r="K2274" s="9">
        <f t="shared" si="4"/>
        <v>45870</v>
      </c>
      <c r="L2274" s="7" t="str">
        <f t="shared" si="5"/>
        <v/>
      </c>
      <c r="M2274" s="7" t="str">
        <f>IFERROR(__xludf.DUMMYFUNCTION("IFERROR(
  IF(
    F2274 &gt;
    3*AVERAGE(
       FILTER($F$2:$F10491,
         $G$2:$G10491=G2274,
         $A$2:$A10491&gt;=A2274-20,
         $A$2:$A10491&lt;=A2274
       )
    ),
    ""VOL_SPIKE_3X"",""""
  ),
"""")
"),"")</f>
        <v/>
      </c>
      <c r="N2274" s="7" t="str">
        <f t="shared" si="6"/>
        <v/>
      </c>
      <c r="O2274" s="7" t="str">
        <f t="shared" si="7"/>
        <v/>
      </c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>
      <c r="A2275" s="5">
        <f>IFERROR(__xludf.DUMMYFUNCTION("""COMPUTED_VALUE"""),45887.0)</f>
        <v>45887</v>
      </c>
      <c r="B2275" s="6">
        <f>IFERROR(__xludf.DUMMYFUNCTION("""COMPUTED_VALUE"""),397.05)</f>
        <v>397.05</v>
      </c>
      <c r="C2275" s="6">
        <f>IFERROR(__xludf.DUMMYFUNCTION("""COMPUTED_VALUE"""),397.05)</f>
        <v>397.05</v>
      </c>
      <c r="D2275" s="6">
        <f>IFERROR(__xludf.DUMMYFUNCTION("""COMPUTED_VALUE"""),383.4)</f>
        <v>383.4</v>
      </c>
      <c r="E2275" s="6">
        <f>IFERROR(__xludf.DUMMYFUNCTION("""COMPUTED_VALUE"""),387.05)</f>
        <v>387.05</v>
      </c>
      <c r="F2275" s="7">
        <f>IFERROR(__xludf.DUMMYFUNCTION("""COMPUTED_VALUE"""),6525577.0)</f>
        <v>6525577</v>
      </c>
      <c r="G2275" s="7" t="str">
        <f>IFERROR(__xludf.DUMMYFUNCTION("""COMPUTED_VALUE"""),"HINDPETRO.NS")</f>
        <v>HINDPETRO.NS</v>
      </c>
      <c r="H2275" s="8">
        <f t="shared" si="1"/>
        <v>-0.02518574487</v>
      </c>
      <c r="I2275" s="8">
        <f t="shared" si="2"/>
        <v>0.02518574487</v>
      </c>
      <c r="J2275" s="7" t="str">
        <f t="shared" si="3"/>
        <v>Aug-2025</v>
      </c>
      <c r="K2275" s="9">
        <f t="shared" si="4"/>
        <v>45870</v>
      </c>
      <c r="L2275" s="7" t="str">
        <f t="shared" si="5"/>
        <v/>
      </c>
      <c r="M2275" s="7" t="str">
        <f>IFERROR(__xludf.DUMMYFUNCTION("IFERROR(
  IF(
    F2275 &gt;
    3*AVERAGE(
       FILTER($F$2:$F10491,
         $G$2:$G10491=G2275,
         $A$2:$A10491&gt;=A2275-20,
         $A$2:$A10491&lt;=A2275
       )
    ),
    ""VOL_SPIKE_3X"",""""
  ),
"""")
"),"")</f>
        <v/>
      </c>
      <c r="N2275" s="7" t="str">
        <f t="shared" si="6"/>
        <v/>
      </c>
      <c r="O2275" s="7" t="str">
        <f t="shared" si="7"/>
        <v/>
      </c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>
      <c r="A2276" s="5">
        <f>IFERROR(__xludf.DUMMYFUNCTION("""COMPUTED_VALUE"""),45887.0)</f>
        <v>45887</v>
      </c>
      <c r="B2276" s="6">
        <f>IFERROR(__xludf.DUMMYFUNCTION("""COMPUTED_VALUE"""),142.0)</f>
        <v>142</v>
      </c>
      <c r="C2276" s="6">
        <f>IFERROR(__xludf.DUMMYFUNCTION("""COMPUTED_VALUE"""),142.6)</f>
        <v>142.6</v>
      </c>
      <c r="D2276" s="6">
        <f>IFERROR(__xludf.DUMMYFUNCTION("""COMPUTED_VALUE"""),139.25)</f>
        <v>139.25</v>
      </c>
      <c r="E2276" s="6">
        <f>IFERROR(__xludf.DUMMYFUNCTION("""COMPUTED_VALUE"""),140.31)</f>
        <v>140.31</v>
      </c>
      <c r="F2276" s="7">
        <f>IFERROR(__xludf.DUMMYFUNCTION("""COMPUTED_VALUE"""),1.1766741E7)</f>
        <v>11766741</v>
      </c>
      <c r="G2276" s="7" t="str">
        <f>IFERROR(__xludf.DUMMYFUNCTION("""COMPUTED_VALUE"""),"IOC.NS")</f>
        <v>IOC.NS</v>
      </c>
      <c r="H2276" s="8">
        <f t="shared" si="1"/>
        <v>-0.01190140845</v>
      </c>
      <c r="I2276" s="8">
        <f t="shared" si="2"/>
        <v>0.01190140845</v>
      </c>
      <c r="J2276" s="7" t="str">
        <f t="shared" si="3"/>
        <v>Aug-2025</v>
      </c>
      <c r="K2276" s="9">
        <f t="shared" si="4"/>
        <v>45870</v>
      </c>
      <c r="L2276" s="7" t="str">
        <f t="shared" si="5"/>
        <v/>
      </c>
      <c r="M2276" s="7" t="str">
        <f>IFERROR(__xludf.DUMMYFUNCTION("IFERROR(
  IF(
    F2276 &gt;
    3*AVERAGE(
       FILTER($F$2:$F10491,
         $G$2:$G10491=G2276,
         $A$2:$A10491&gt;=A2276-20,
         $A$2:$A10491&lt;=A2276
       )
    ),
    ""VOL_SPIKE_3X"",""""
  ),
"""")
"),"")</f>
        <v/>
      </c>
      <c r="N2276" s="7" t="str">
        <f t="shared" si="6"/>
        <v/>
      </c>
      <c r="O2276" s="7" t="str">
        <f t="shared" si="7"/>
        <v/>
      </c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>
      <c r="A2277" s="5">
        <f>IFERROR(__xludf.DUMMYFUNCTION("""COMPUTED_VALUE"""),45887.0)</f>
        <v>45887</v>
      </c>
      <c r="B2277" s="6">
        <f>IFERROR(__xludf.DUMMYFUNCTION("""COMPUTED_VALUE"""),341.45)</f>
        <v>341.45</v>
      </c>
      <c r="C2277" s="6">
        <f>IFERROR(__xludf.DUMMYFUNCTION("""COMPUTED_VALUE"""),341.8)</f>
        <v>341.8</v>
      </c>
      <c r="D2277" s="6">
        <f>IFERROR(__xludf.DUMMYFUNCTION("""COMPUTED_VALUE"""),335.45)</f>
        <v>335.45</v>
      </c>
      <c r="E2277" s="6">
        <f>IFERROR(__xludf.DUMMYFUNCTION("""COMPUTED_VALUE"""),336.05)</f>
        <v>336.05</v>
      </c>
      <c r="F2277" s="7">
        <f>IFERROR(__xludf.DUMMYFUNCTION("""COMPUTED_VALUE"""),6511340.0)</f>
        <v>6511340</v>
      </c>
      <c r="G2277" s="7" t="str">
        <f>IFERROR(__xludf.DUMMYFUNCTION("""COMPUTED_VALUE"""),"NTPC.NS")</f>
        <v>NTPC.NS</v>
      </c>
      <c r="H2277" s="8">
        <f t="shared" si="1"/>
        <v>-0.01581490701</v>
      </c>
      <c r="I2277" s="8">
        <f t="shared" si="2"/>
        <v>0.01581490701</v>
      </c>
      <c r="J2277" s="7" t="str">
        <f t="shared" si="3"/>
        <v>Aug-2025</v>
      </c>
      <c r="K2277" s="9">
        <f t="shared" si="4"/>
        <v>45870</v>
      </c>
      <c r="L2277" s="7" t="str">
        <f t="shared" si="5"/>
        <v/>
      </c>
      <c r="M2277" s="7" t="str">
        <f>IFERROR(__xludf.DUMMYFUNCTION("IFERROR(
  IF(
    F2277 &gt;
    3*AVERAGE(
       FILTER($F$2:$F10491,
         $G$2:$G10491=G2277,
         $A$2:$A10491&gt;=A2277-20,
         $A$2:$A10491&lt;=A2277
       )
    ),
    ""VOL_SPIKE_3X"",""""
  ),
"""")
"),"")</f>
        <v/>
      </c>
      <c r="N2277" s="7" t="str">
        <f t="shared" si="6"/>
        <v/>
      </c>
      <c r="O2277" s="7" t="str">
        <f t="shared" si="7"/>
        <v/>
      </c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>
      <c r="A2278" s="5">
        <f>IFERROR(__xludf.DUMMYFUNCTION("""COMPUTED_VALUE"""),45887.0)</f>
        <v>45887</v>
      </c>
      <c r="B2278" s="6">
        <f>IFERROR(__xludf.DUMMYFUNCTION("""COMPUTED_VALUE"""),237.25)</f>
        <v>237.25</v>
      </c>
      <c r="C2278" s="6">
        <f>IFERROR(__xludf.DUMMYFUNCTION("""COMPUTED_VALUE"""),238.59)</f>
        <v>238.59</v>
      </c>
      <c r="D2278" s="6">
        <f>IFERROR(__xludf.DUMMYFUNCTION("""COMPUTED_VALUE"""),235.5)</f>
        <v>235.5</v>
      </c>
      <c r="E2278" s="6">
        <f>IFERROR(__xludf.DUMMYFUNCTION("""COMPUTED_VALUE"""),238.16)</f>
        <v>238.16</v>
      </c>
      <c r="F2278" s="7">
        <f>IFERROR(__xludf.DUMMYFUNCTION("""COMPUTED_VALUE"""),8501972.0)</f>
        <v>8501972</v>
      </c>
      <c r="G2278" s="7" t="str">
        <f>IFERROR(__xludf.DUMMYFUNCTION("""COMPUTED_VALUE"""),"ONGC.NS")</f>
        <v>ONGC.NS</v>
      </c>
      <c r="H2278" s="8">
        <f t="shared" si="1"/>
        <v>0.003835616438</v>
      </c>
      <c r="I2278" s="8">
        <f t="shared" si="2"/>
        <v>0.003835616438</v>
      </c>
      <c r="J2278" s="7" t="str">
        <f t="shared" si="3"/>
        <v>Aug-2025</v>
      </c>
      <c r="K2278" s="9">
        <f t="shared" si="4"/>
        <v>45870</v>
      </c>
      <c r="L2278" s="7" t="str">
        <f t="shared" si="5"/>
        <v/>
      </c>
      <c r="M2278" s="7" t="str">
        <f>IFERROR(__xludf.DUMMYFUNCTION("IFERROR(
  IF(
    F2278 &gt;
    3*AVERAGE(
       FILTER($F$2:$F10491,
         $G$2:$G10491=G2278,
         $A$2:$A10491&gt;=A2278-20,
         $A$2:$A10491&lt;=A2278
       )
    ),
    ""VOL_SPIKE_3X"",""""
  ),
"""")
"),"")</f>
        <v/>
      </c>
      <c r="N2278" s="7" t="str">
        <f t="shared" si="6"/>
        <v/>
      </c>
      <c r="O2278" s="7" t="str">
        <f t="shared" si="7"/>
        <v/>
      </c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>
      <c r="A2279" s="5">
        <f>IFERROR(__xludf.DUMMYFUNCTION("""COMPUTED_VALUE"""),45887.0)</f>
        <v>45887</v>
      </c>
      <c r="B2279" s="6">
        <f>IFERROR(__xludf.DUMMYFUNCTION("""COMPUTED_VALUE"""),289.5)</f>
        <v>289.5</v>
      </c>
      <c r="C2279" s="6">
        <f>IFERROR(__xludf.DUMMYFUNCTION("""COMPUTED_VALUE"""),291.3)</f>
        <v>291.3</v>
      </c>
      <c r="D2279" s="6">
        <f>IFERROR(__xludf.DUMMYFUNCTION("""COMPUTED_VALUE"""),288.5)</f>
        <v>288.5</v>
      </c>
      <c r="E2279" s="6">
        <f>IFERROR(__xludf.DUMMYFUNCTION("""COMPUTED_VALUE"""),290.35)</f>
        <v>290.35</v>
      </c>
      <c r="F2279" s="7">
        <f>IFERROR(__xludf.DUMMYFUNCTION("""COMPUTED_VALUE"""),9836105.0)</f>
        <v>9836105</v>
      </c>
      <c r="G2279" s="7" t="str">
        <f>IFERROR(__xludf.DUMMYFUNCTION("""COMPUTED_VALUE"""),"POWERGRID.NS")</f>
        <v>POWERGRID.NS</v>
      </c>
      <c r="H2279" s="8">
        <f t="shared" si="1"/>
        <v>0.002936096718</v>
      </c>
      <c r="I2279" s="8">
        <f t="shared" si="2"/>
        <v>0.002936096718</v>
      </c>
      <c r="J2279" s="7" t="str">
        <f t="shared" si="3"/>
        <v>Aug-2025</v>
      </c>
      <c r="K2279" s="9">
        <f t="shared" si="4"/>
        <v>45870</v>
      </c>
      <c r="L2279" s="7" t="str">
        <f t="shared" si="5"/>
        <v/>
      </c>
      <c r="M2279" s="7" t="str">
        <f>IFERROR(__xludf.DUMMYFUNCTION("IFERROR(
  IF(
    F2279 &gt;
    3*AVERAGE(
       FILTER($F$2:$F10491,
         $G$2:$G10491=G2279,
         $A$2:$A10491&gt;=A2279-20,
         $A$2:$A10491&lt;=A2279
       )
    ),
    ""VOL_SPIKE_3X"",""""
  ),
"""")
"),"")</f>
        <v/>
      </c>
      <c r="N2279" s="7" t="str">
        <f t="shared" si="6"/>
        <v/>
      </c>
      <c r="O2279" s="7" t="str">
        <f t="shared" si="7"/>
        <v/>
      </c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>
      <c r="A2280" s="5">
        <f>IFERROR(__xludf.DUMMYFUNCTION("""COMPUTED_VALUE"""),45887.0)</f>
        <v>45887</v>
      </c>
      <c r="B2280" s="6">
        <f>IFERROR(__xludf.DUMMYFUNCTION("""COMPUTED_VALUE"""),1390.0)</f>
        <v>1390</v>
      </c>
      <c r="C2280" s="6">
        <f>IFERROR(__xludf.DUMMYFUNCTION("""COMPUTED_VALUE"""),1394.9)</f>
        <v>1394.9</v>
      </c>
      <c r="D2280" s="6">
        <f>IFERROR(__xludf.DUMMYFUNCTION("""COMPUTED_VALUE"""),1377.0)</f>
        <v>1377</v>
      </c>
      <c r="E2280" s="6">
        <f>IFERROR(__xludf.DUMMYFUNCTION("""COMPUTED_VALUE"""),1381.7)</f>
        <v>1381.7</v>
      </c>
      <c r="F2280" s="7">
        <f>IFERROR(__xludf.DUMMYFUNCTION("""COMPUTED_VALUE"""),1.1785109E7)</f>
        <v>11785109</v>
      </c>
      <c r="G2280" s="7" t="str">
        <f>IFERROR(__xludf.DUMMYFUNCTION("""COMPUTED_VALUE"""),"RELIANCE.NS")</f>
        <v>RELIANCE.NS</v>
      </c>
      <c r="H2280" s="8">
        <f t="shared" si="1"/>
        <v>-0.005971223022</v>
      </c>
      <c r="I2280" s="8">
        <f t="shared" si="2"/>
        <v>0.005971223022</v>
      </c>
      <c r="J2280" s="7" t="str">
        <f t="shared" si="3"/>
        <v>Aug-2025</v>
      </c>
      <c r="K2280" s="9">
        <f t="shared" si="4"/>
        <v>45870</v>
      </c>
      <c r="L2280" s="7" t="str">
        <f t="shared" si="5"/>
        <v/>
      </c>
      <c r="M2280" s="7" t="str">
        <f>IFERROR(__xludf.DUMMYFUNCTION("IFERROR(
  IF(
    F2280 &gt;
    3*AVERAGE(
       FILTER($F$2:$F10491,
         $G$2:$G10491=G2280,
         $A$2:$A10491&gt;=A2280-20,
         $A$2:$A10491&lt;=A2280
       )
    ),
    ""VOL_SPIKE_3X"",""""
  ),
"""")
"),"")</f>
        <v/>
      </c>
      <c r="N2280" s="7" t="str">
        <f t="shared" si="6"/>
        <v/>
      </c>
      <c r="O2280" s="7" t="str">
        <f t="shared" si="7"/>
        <v/>
      </c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>
      <c r="A2281" s="5">
        <f>IFERROR(__xludf.DUMMYFUNCTION("""COMPUTED_VALUE"""),45888.0)</f>
        <v>45888</v>
      </c>
      <c r="B2281" s="6">
        <f>IFERROR(__xludf.DUMMYFUNCTION("""COMPUTED_VALUE"""),818.75)</f>
        <v>818.75</v>
      </c>
      <c r="C2281" s="6">
        <f>IFERROR(__xludf.DUMMYFUNCTION("""COMPUTED_VALUE"""),831.9)</f>
        <v>831.9</v>
      </c>
      <c r="D2281" s="6">
        <f>IFERROR(__xludf.DUMMYFUNCTION("""COMPUTED_VALUE"""),813.05)</f>
        <v>813.05</v>
      </c>
      <c r="E2281" s="6">
        <f>IFERROR(__xludf.DUMMYFUNCTION("""COMPUTED_VALUE"""),828.2)</f>
        <v>828.2</v>
      </c>
      <c r="F2281" s="7">
        <f>IFERROR(__xludf.DUMMYFUNCTION("""COMPUTED_VALUE"""),967227.0)</f>
        <v>967227</v>
      </c>
      <c r="G2281" s="7" t="str">
        <f>IFERROR(__xludf.DUMMYFUNCTION("""COMPUTED_VALUE"""),"ADANIENSOL.NS")</f>
        <v>ADANIENSOL.NS</v>
      </c>
      <c r="H2281" s="8">
        <f t="shared" si="1"/>
        <v>0.01154198473</v>
      </c>
      <c r="I2281" s="8">
        <f t="shared" si="2"/>
        <v>0.01154198473</v>
      </c>
      <c r="J2281" s="7" t="str">
        <f t="shared" si="3"/>
        <v>Aug-2025</v>
      </c>
      <c r="K2281" s="9">
        <f t="shared" si="4"/>
        <v>45870</v>
      </c>
      <c r="L2281" s="7" t="str">
        <f t="shared" si="5"/>
        <v/>
      </c>
      <c r="M2281" s="7" t="str">
        <f>IFERROR(__xludf.DUMMYFUNCTION("IFERROR(
  IF(
    F2281 &gt;
    3*AVERAGE(
       FILTER($F$2:$F10491,
         $G$2:$G10491=G2281,
         $A$2:$A10491&gt;=A2281-20,
         $A$2:$A10491&lt;=A2281
       )
    ),
    ""VOL_SPIKE_3X"",""""
  ),
"""")
"),"")</f>
        <v/>
      </c>
      <c r="N2281" s="7" t="str">
        <f t="shared" si="6"/>
        <v/>
      </c>
      <c r="O2281" s="7" t="str">
        <f t="shared" si="7"/>
        <v/>
      </c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>
      <c r="A2282" s="5">
        <f>IFERROR(__xludf.DUMMYFUNCTION("""COMPUTED_VALUE"""),45888.0)</f>
        <v>45888</v>
      </c>
      <c r="B2282" s="6">
        <f>IFERROR(__xludf.DUMMYFUNCTION("""COMPUTED_VALUE"""),942.05)</f>
        <v>942.05</v>
      </c>
      <c r="C2282" s="6">
        <f>IFERROR(__xludf.DUMMYFUNCTION("""COMPUTED_VALUE"""),975.5)</f>
        <v>975.5</v>
      </c>
      <c r="D2282" s="6">
        <f>IFERROR(__xludf.DUMMYFUNCTION("""COMPUTED_VALUE"""),937.45)</f>
        <v>937.45</v>
      </c>
      <c r="E2282" s="6">
        <f>IFERROR(__xludf.DUMMYFUNCTION("""COMPUTED_VALUE"""),973.4)</f>
        <v>973.4</v>
      </c>
      <c r="F2282" s="7">
        <f>IFERROR(__xludf.DUMMYFUNCTION("""COMPUTED_VALUE"""),1886130.0)</f>
        <v>1886130</v>
      </c>
      <c r="G2282" s="7" t="str">
        <f>IFERROR(__xludf.DUMMYFUNCTION("""COMPUTED_VALUE"""),"ADANIGREEN.NS")</f>
        <v>ADANIGREEN.NS</v>
      </c>
      <c r="H2282" s="8">
        <f t="shared" si="1"/>
        <v>0.0332784884</v>
      </c>
      <c r="I2282" s="8">
        <f t="shared" si="2"/>
        <v>0.0332784884</v>
      </c>
      <c r="J2282" s="7" t="str">
        <f t="shared" si="3"/>
        <v>Aug-2025</v>
      </c>
      <c r="K2282" s="9">
        <f t="shared" si="4"/>
        <v>45870</v>
      </c>
      <c r="L2282" s="7" t="str">
        <f t="shared" si="5"/>
        <v/>
      </c>
      <c r="M2282" s="7" t="str">
        <f>IFERROR(__xludf.DUMMYFUNCTION("IFERROR(
  IF(
    F2282 &gt;
    3*AVERAGE(
       FILTER($F$2:$F10491,
         $G$2:$G10491=G2282,
         $A$2:$A10491&gt;=A2282-20,
         $A$2:$A10491&lt;=A2282
       )
    ),
    ""VOL_SPIKE_3X"",""""
  ),
"""")
"),"")</f>
        <v/>
      </c>
      <c r="N2282" s="7" t="str">
        <f t="shared" si="6"/>
        <v/>
      </c>
      <c r="O2282" s="7" t="str">
        <f t="shared" si="7"/>
        <v/>
      </c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>
      <c r="A2283" s="5">
        <f>IFERROR(__xludf.DUMMYFUNCTION("""COMPUTED_VALUE"""),45888.0)</f>
        <v>45888</v>
      </c>
      <c r="B2283" s="6">
        <f>IFERROR(__xludf.DUMMYFUNCTION("""COMPUTED_VALUE"""),315.2)</f>
        <v>315.2</v>
      </c>
      <c r="C2283" s="6">
        <f>IFERROR(__xludf.DUMMYFUNCTION("""COMPUTED_VALUE"""),322.2)</f>
        <v>322.2</v>
      </c>
      <c r="D2283" s="6">
        <f>IFERROR(__xludf.DUMMYFUNCTION("""COMPUTED_VALUE"""),312.7)</f>
        <v>312.7</v>
      </c>
      <c r="E2283" s="6">
        <f>IFERROR(__xludf.DUMMYFUNCTION("""COMPUTED_VALUE"""),321.45)</f>
        <v>321.45</v>
      </c>
      <c r="F2283" s="7">
        <f>IFERROR(__xludf.DUMMYFUNCTION("""COMPUTED_VALUE"""),4343312.0)</f>
        <v>4343312</v>
      </c>
      <c r="G2283" s="7" t="str">
        <f>IFERROR(__xludf.DUMMYFUNCTION("""COMPUTED_VALUE"""),"BPCL.NS")</f>
        <v>BPCL.NS</v>
      </c>
      <c r="H2283" s="8">
        <f t="shared" si="1"/>
        <v>0.0198286802</v>
      </c>
      <c r="I2283" s="8">
        <f t="shared" si="2"/>
        <v>0.0198286802</v>
      </c>
      <c r="J2283" s="7" t="str">
        <f t="shared" si="3"/>
        <v>Aug-2025</v>
      </c>
      <c r="K2283" s="9">
        <f t="shared" si="4"/>
        <v>45870</v>
      </c>
      <c r="L2283" s="7" t="str">
        <f t="shared" si="5"/>
        <v/>
      </c>
      <c r="M2283" s="7" t="str">
        <f>IFERROR(__xludf.DUMMYFUNCTION("IFERROR(
  IF(
    F2283 &gt;
    3*AVERAGE(
       FILTER($F$2:$F10491,
         $G$2:$G10491=G2283,
         $A$2:$A10491&gt;=A2283-20,
         $A$2:$A10491&lt;=A2283
       )
    ),
    ""VOL_SPIKE_3X"",""""
  ),
"""")
"),"")</f>
        <v/>
      </c>
      <c r="N2283" s="7" t="str">
        <f t="shared" si="6"/>
        <v/>
      </c>
      <c r="O2283" s="7" t="str">
        <f t="shared" si="7"/>
        <v/>
      </c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>
      <c r="A2284" s="5">
        <f>IFERROR(__xludf.DUMMYFUNCTION("""COMPUTED_VALUE"""),45888.0)</f>
        <v>45888</v>
      </c>
      <c r="B2284" s="6">
        <f>IFERROR(__xludf.DUMMYFUNCTION("""COMPUTED_VALUE"""),388.5)</f>
        <v>388.5</v>
      </c>
      <c r="C2284" s="6">
        <f>IFERROR(__xludf.DUMMYFUNCTION("""COMPUTED_VALUE"""),388.5)</f>
        <v>388.5</v>
      </c>
      <c r="D2284" s="6">
        <f>IFERROR(__xludf.DUMMYFUNCTION("""COMPUTED_VALUE"""),384.25)</f>
        <v>384.25</v>
      </c>
      <c r="E2284" s="6">
        <f>IFERROR(__xludf.DUMMYFUNCTION("""COMPUTED_VALUE"""),385.35)</f>
        <v>385.35</v>
      </c>
      <c r="F2284" s="7">
        <f>IFERROR(__xludf.DUMMYFUNCTION("""COMPUTED_VALUE"""),5219052.0)</f>
        <v>5219052</v>
      </c>
      <c r="G2284" s="7" t="str">
        <f>IFERROR(__xludf.DUMMYFUNCTION("""COMPUTED_VALUE"""),"COALINDIA.NS")</f>
        <v>COALINDIA.NS</v>
      </c>
      <c r="H2284" s="8">
        <f t="shared" si="1"/>
        <v>-0.008108108108</v>
      </c>
      <c r="I2284" s="8">
        <f t="shared" si="2"/>
        <v>0.008108108108</v>
      </c>
      <c r="J2284" s="7" t="str">
        <f t="shared" si="3"/>
        <v>Aug-2025</v>
      </c>
      <c r="K2284" s="9">
        <f t="shared" si="4"/>
        <v>45870</v>
      </c>
      <c r="L2284" s="7" t="str">
        <f t="shared" si="5"/>
        <v/>
      </c>
      <c r="M2284" s="7" t="str">
        <f>IFERROR(__xludf.DUMMYFUNCTION("IFERROR(
  IF(
    F2284 &gt;
    3*AVERAGE(
       FILTER($F$2:$F10491,
         $G$2:$G10491=G2284,
         $A$2:$A10491&gt;=A2284-20,
         $A$2:$A10491&lt;=A2284
       )
    ),
    ""VOL_SPIKE_3X"",""""
  ),
"""")
"),"")</f>
        <v/>
      </c>
      <c r="N2284" s="7" t="str">
        <f t="shared" si="6"/>
        <v/>
      </c>
      <c r="O2284" s="7" t="str">
        <f t="shared" si="7"/>
        <v/>
      </c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>
      <c r="A2285" s="5">
        <f>IFERROR(__xludf.DUMMYFUNCTION("""COMPUTED_VALUE"""),45888.0)</f>
        <v>45888</v>
      </c>
      <c r="B2285" s="6">
        <f>IFERROR(__xludf.DUMMYFUNCTION("""COMPUTED_VALUE"""),388.0)</f>
        <v>388</v>
      </c>
      <c r="C2285" s="6">
        <f>IFERROR(__xludf.DUMMYFUNCTION("""COMPUTED_VALUE"""),397.85)</f>
        <v>397.85</v>
      </c>
      <c r="D2285" s="6">
        <f>IFERROR(__xludf.DUMMYFUNCTION("""COMPUTED_VALUE"""),386.15)</f>
        <v>386.15</v>
      </c>
      <c r="E2285" s="6">
        <f>IFERROR(__xludf.DUMMYFUNCTION("""COMPUTED_VALUE"""),395.6)</f>
        <v>395.6</v>
      </c>
      <c r="F2285" s="7">
        <f>IFERROR(__xludf.DUMMYFUNCTION("""COMPUTED_VALUE"""),4227710.0)</f>
        <v>4227710</v>
      </c>
      <c r="G2285" s="7" t="str">
        <f>IFERROR(__xludf.DUMMYFUNCTION("""COMPUTED_VALUE"""),"HINDPETRO.NS")</f>
        <v>HINDPETRO.NS</v>
      </c>
      <c r="H2285" s="8">
        <f t="shared" si="1"/>
        <v>0.01958762887</v>
      </c>
      <c r="I2285" s="8">
        <f t="shared" si="2"/>
        <v>0.01958762887</v>
      </c>
      <c r="J2285" s="7" t="str">
        <f t="shared" si="3"/>
        <v>Aug-2025</v>
      </c>
      <c r="K2285" s="9">
        <f t="shared" si="4"/>
        <v>45870</v>
      </c>
      <c r="L2285" s="7" t="str">
        <f t="shared" si="5"/>
        <v/>
      </c>
      <c r="M2285" s="7" t="str">
        <f>IFERROR(__xludf.DUMMYFUNCTION("IFERROR(
  IF(
    F2285 &gt;
    3*AVERAGE(
       FILTER($F$2:$F10491,
         $G$2:$G10491=G2285,
         $A$2:$A10491&gt;=A2285-20,
         $A$2:$A10491&lt;=A2285
       )
    ),
    ""VOL_SPIKE_3X"",""""
  ),
"""")
"),"")</f>
        <v/>
      </c>
      <c r="N2285" s="7" t="str">
        <f t="shared" si="6"/>
        <v/>
      </c>
      <c r="O2285" s="7" t="str">
        <f t="shared" si="7"/>
        <v/>
      </c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>
      <c r="A2286" s="5">
        <f>IFERROR(__xludf.DUMMYFUNCTION("""COMPUTED_VALUE"""),45888.0)</f>
        <v>45888</v>
      </c>
      <c r="B2286" s="6">
        <f>IFERROR(__xludf.DUMMYFUNCTION("""COMPUTED_VALUE"""),140.4)</f>
        <v>140.4</v>
      </c>
      <c r="C2286" s="6">
        <f>IFERROR(__xludf.DUMMYFUNCTION("""COMPUTED_VALUE"""),142.13)</f>
        <v>142.13</v>
      </c>
      <c r="D2286" s="6">
        <f>IFERROR(__xludf.DUMMYFUNCTION("""COMPUTED_VALUE"""),138.8)</f>
        <v>138.8</v>
      </c>
      <c r="E2286" s="6">
        <f>IFERROR(__xludf.DUMMYFUNCTION("""COMPUTED_VALUE"""),142.01)</f>
        <v>142.01</v>
      </c>
      <c r="F2286" s="7">
        <f>IFERROR(__xludf.DUMMYFUNCTION("""COMPUTED_VALUE"""),8913748.0)</f>
        <v>8913748</v>
      </c>
      <c r="G2286" s="7" t="str">
        <f>IFERROR(__xludf.DUMMYFUNCTION("""COMPUTED_VALUE"""),"IOC.NS")</f>
        <v>IOC.NS</v>
      </c>
      <c r="H2286" s="8">
        <f t="shared" si="1"/>
        <v>0.01146723647</v>
      </c>
      <c r="I2286" s="8">
        <f t="shared" si="2"/>
        <v>0.01146723647</v>
      </c>
      <c r="J2286" s="7" t="str">
        <f t="shared" si="3"/>
        <v>Aug-2025</v>
      </c>
      <c r="K2286" s="9">
        <f t="shared" si="4"/>
        <v>45870</v>
      </c>
      <c r="L2286" s="7" t="str">
        <f t="shared" si="5"/>
        <v/>
      </c>
      <c r="M2286" s="7" t="str">
        <f>IFERROR(__xludf.DUMMYFUNCTION("IFERROR(
  IF(
    F2286 &gt;
    3*AVERAGE(
       FILTER($F$2:$F10491,
         $G$2:$G10491=G2286,
         $A$2:$A10491&gt;=A2286-20,
         $A$2:$A10491&lt;=A2286
       )
    ),
    ""VOL_SPIKE_3X"",""""
  ),
"""")
"),"")</f>
        <v/>
      </c>
      <c r="N2286" s="7" t="str">
        <f t="shared" si="6"/>
        <v/>
      </c>
      <c r="O2286" s="7" t="str">
        <f t="shared" si="7"/>
        <v/>
      </c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>
      <c r="A2287" s="5">
        <f>IFERROR(__xludf.DUMMYFUNCTION("""COMPUTED_VALUE"""),45888.0)</f>
        <v>45888</v>
      </c>
      <c r="B2287" s="6">
        <f>IFERROR(__xludf.DUMMYFUNCTION("""COMPUTED_VALUE"""),338.9)</f>
        <v>338.9</v>
      </c>
      <c r="C2287" s="6">
        <f>IFERROR(__xludf.DUMMYFUNCTION("""COMPUTED_VALUE"""),340.65)</f>
        <v>340.65</v>
      </c>
      <c r="D2287" s="6">
        <f>IFERROR(__xludf.DUMMYFUNCTION("""COMPUTED_VALUE"""),334.15)</f>
        <v>334.15</v>
      </c>
      <c r="E2287" s="6">
        <f>IFERROR(__xludf.DUMMYFUNCTION("""COMPUTED_VALUE"""),335.05)</f>
        <v>335.05</v>
      </c>
      <c r="F2287" s="7">
        <f>IFERROR(__xludf.DUMMYFUNCTION("""COMPUTED_VALUE"""),1.0316115E7)</f>
        <v>10316115</v>
      </c>
      <c r="G2287" s="7" t="str">
        <f>IFERROR(__xludf.DUMMYFUNCTION("""COMPUTED_VALUE"""),"NTPC.NS")</f>
        <v>NTPC.NS</v>
      </c>
      <c r="H2287" s="8">
        <f t="shared" si="1"/>
        <v>-0.01136028327</v>
      </c>
      <c r="I2287" s="8">
        <f t="shared" si="2"/>
        <v>0.01136028327</v>
      </c>
      <c r="J2287" s="7" t="str">
        <f t="shared" si="3"/>
        <v>Aug-2025</v>
      </c>
      <c r="K2287" s="9">
        <f t="shared" si="4"/>
        <v>45870</v>
      </c>
      <c r="L2287" s="7" t="str">
        <f t="shared" si="5"/>
        <v/>
      </c>
      <c r="M2287" s="7" t="str">
        <f>IFERROR(__xludf.DUMMYFUNCTION("IFERROR(
  IF(
    F2287 &gt;
    3*AVERAGE(
       FILTER($F$2:$F10491,
         $G$2:$G10491=G2287,
         $A$2:$A10491&gt;=A2287-20,
         $A$2:$A10491&lt;=A2287
       )
    ),
    ""VOL_SPIKE_3X"",""""
  ),
"""")
"),"")</f>
        <v/>
      </c>
      <c r="N2287" s="7" t="str">
        <f t="shared" si="6"/>
        <v/>
      </c>
      <c r="O2287" s="7" t="str">
        <f t="shared" si="7"/>
        <v/>
      </c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>
      <c r="A2288" s="5">
        <f>IFERROR(__xludf.DUMMYFUNCTION("""COMPUTED_VALUE"""),45888.0)</f>
        <v>45888</v>
      </c>
      <c r="B2288" s="6">
        <f>IFERROR(__xludf.DUMMYFUNCTION("""COMPUTED_VALUE"""),237.5)</f>
        <v>237.5</v>
      </c>
      <c r="C2288" s="6">
        <f>IFERROR(__xludf.DUMMYFUNCTION("""COMPUTED_VALUE"""),238.54)</f>
        <v>238.54</v>
      </c>
      <c r="D2288" s="6">
        <f>IFERROR(__xludf.DUMMYFUNCTION("""COMPUTED_VALUE"""),236.68)</f>
        <v>236.68</v>
      </c>
      <c r="E2288" s="6">
        <f>IFERROR(__xludf.DUMMYFUNCTION("""COMPUTED_VALUE"""),237.94)</f>
        <v>237.94</v>
      </c>
      <c r="F2288" s="7">
        <f>IFERROR(__xludf.DUMMYFUNCTION("""COMPUTED_VALUE"""),5538059.0)</f>
        <v>5538059</v>
      </c>
      <c r="G2288" s="7" t="str">
        <f>IFERROR(__xludf.DUMMYFUNCTION("""COMPUTED_VALUE"""),"ONGC.NS")</f>
        <v>ONGC.NS</v>
      </c>
      <c r="H2288" s="8">
        <f t="shared" si="1"/>
        <v>0.001852631579</v>
      </c>
      <c r="I2288" s="8">
        <f t="shared" si="2"/>
        <v>0.001852631579</v>
      </c>
      <c r="J2288" s="7" t="str">
        <f t="shared" si="3"/>
        <v>Aug-2025</v>
      </c>
      <c r="K2288" s="9">
        <f t="shared" si="4"/>
        <v>45870</v>
      </c>
      <c r="L2288" s="7" t="str">
        <f t="shared" si="5"/>
        <v/>
      </c>
      <c r="M2288" s="7" t="str">
        <f>IFERROR(__xludf.DUMMYFUNCTION("IFERROR(
  IF(
    F2288 &gt;
    3*AVERAGE(
       FILTER($F$2:$F10491,
         $G$2:$G10491=G2288,
         $A$2:$A10491&gt;=A2288-20,
         $A$2:$A10491&lt;=A2288
       )
    ),
    ""VOL_SPIKE_3X"",""""
  ),
"""")
"),"")</f>
        <v/>
      </c>
      <c r="N2288" s="7" t="str">
        <f t="shared" si="6"/>
        <v/>
      </c>
      <c r="O2288" s="7" t="str">
        <f t="shared" si="7"/>
        <v/>
      </c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>
      <c r="A2289" s="5">
        <f>IFERROR(__xludf.DUMMYFUNCTION("""COMPUTED_VALUE"""),45888.0)</f>
        <v>45888</v>
      </c>
      <c r="B2289" s="6">
        <f>IFERROR(__xludf.DUMMYFUNCTION("""COMPUTED_VALUE"""),290.0)</f>
        <v>290</v>
      </c>
      <c r="C2289" s="6">
        <f>IFERROR(__xludf.DUMMYFUNCTION("""COMPUTED_VALUE"""),290.1)</f>
        <v>290.1</v>
      </c>
      <c r="D2289" s="6">
        <f>IFERROR(__xludf.DUMMYFUNCTION("""COMPUTED_VALUE"""),286.55)</f>
        <v>286.55</v>
      </c>
      <c r="E2289" s="6">
        <f>IFERROR(__xludf.DUMMYFUNCTION("""COMPUTED_VALUE"""),288.0)</f>
        <v>288</v>
      </c>
      <c r="F2289" s="7">
        <f>IFERROR(__xludf.DUMMYFUNCTION("""COMPUTED_VALUE"""),7196772.0)</f>
        <v>7196772</v>
      </c>
      <c r="G2289" s="7" t="str">
        <f>IFERROR(__xludf.DUMMYFUNCTION("""COMPUTED_VALUE"""),"POWERGRID.NS")</f>
        <v>POWERGRID.NS</v>
      </c>
      <c r="H2289" s="8">
        <f t="shared" si="1"/>
        <v>-0.006896551724</v>
      </c>
      <c r="I2289" s="8">
        <f t="shared" si="2"/>
        <v>0.006896551724</v>
      </c>
      <c r="J2289" s="7" t="str">
        <f t="shared" si="3"/>
        <v>Aug-2025</v>
      </c>
      <c r="K2289" s="9">
        <f t="shared" si="4"/>
        <v>45870</v>
      </c>
      <c r="L2289" s="7" t="str">
        <f t="shared" si="5"/>
        <v/>
      </c>
      <c r="M2289" s="7" t="str">
        <f>IFERROR(__xludf.DUMMYFUNCTION("IFERROR(
  IF(
    F2289 &gt;
    3*AVERAGE(
       FILTER($F$2:$F10491,
         $G$2:$G10491=G2289,
         $A$2:$A10491&gt;=A2289-20,
         $A$2:$A10491&lt;=A2289
       )
    ),
    ""VOL_SPIKE_3X"",""""
  ),
"""")
"),"")</f>
        <v/>
      </c>
      <c r="N2289" s="7" t="str">
        <f t="shared" si="6"/>
        <v/>
      </c>
      <c r="O2289" s="7" t="str">
        <f t="shared" si="7"/>
        <v/>
      </c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>
      <c r="A2290" s="5">
        <f>IFERROR(__xludf.DUMMYFUNCTION("""COMPUTED_VALUE"""),45888.0)</f>
        <v>45888</v>
      </c>
      <c r="B2290" s="6">
        <f>IFERROR(__xludf.DUMMYFUNCTION("""COMPUTED_VALUE"""),1390.0)</f>
        <v>1390</v>
      </c>
      <c r="C2290" s="6">
        <f>IFERROR(__xludf.DUMMYFUNCTION("""COMPUTED_VALUE"""),1421.0)</f>
        <v>1421</v>
      </c>
      <c r="D2290" s="6">
        <f>IFERROR(__xludf.DUMMYFUNCTION("""COMPUTED_VALUE"""),1389.1)</f>
        <v>1389.1</v>
      </c>
      <c r="E2290" s="6">
        <f>IFERROR(__xludf.DUMMYFUNCTION("""COMPUTED_VALUE"""),1420.1)</f>
        <v>1420.1</v>
      </c>
      <c r="F2290" s="7">
        <f>IFERROR(__xludf.DUMMYFUNCTION("""COMPUTED_VALUE"""),1.4384719E7)</f>
        <v>14384719</v>
      </c>
      <c r="G2290" s="7" t="str">
        <f>IFERROR(__xludf.DUMMYFUNCTION("""COMPUTED_VALUE"""),"RELIANCE.NS")</f>
        <v>RELIANCE.NS</v>
      </c>
      <c r="H2290" s="8">
        <f t="shared" si="1"/>
        <v>0.02165467626</v>
      </c>
      <c r="I2290" s="8">
        <f t="shared" si="2"/>
        <v>0.02165467626</v>
      </c>
      <c r="J2290" s="7" t="str">
        <f t="shared" si="3"/>
        <v>Aug-2025</v>
      </c>
      <c r="K2290" s="9">
        <f t="shared" si="4"/>
        <v>45870</v>
      </c>
      <c r="L2290" s="7" t="str">
        <f t="shared" si="5"/>
        <v/>
      </c>
      <c r="M2290" s="7" t="str">
        <f>IFERROR(__xludf.DUMMYFUNCTION("IFERROR(
  IF(
    F2290 &gt;
    3*AVERAGE(
       FILTER($F$2:$F10491,
         $G$2:$G10491=G2290,
         $A$2:$A10491&gt;=A2290-20,
         $A$2:$A10491&lt;=A2290
       )
    ),
    ""VOL_SPIKE_3X"",""""
  ),
"""")
"),"")</f>
        <v/>
      </c>
      <c r="N2290" s="7" t="str">
        <f t="shared" si="6"/>
        <v/>
      </c>
      <c r="O2290" s="7" t="str">
        <f t="shared" si="7"/>
        <v/>
      </c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>
      <c r="A2291" s="5">
        <f>IFERROR(__xludf.DUMMYFUNCTION("""COMPUTED_VALUE"""),45889.0)</f>
        <v>45889</v>
      </c>
      <c r="B2291" s="6">
        <f>IFERROR(__xludf.DUMMYFUNCTION("""COMPUTED_VALUE"""),828.2)</f>
        <v>828.2</v>
      </c>
      <c r="C2291" s="6">
        <f>IFERROR(__xludf.DUMMYFUNCTION("""COMPUTED_VALUE"""),831.65)</f>
        <v>831.65</v>
      </c>
      <c r="D2291" s="6">
        <f>IFERROR(__xludf.DUMMYFUNCTION("""COMPUTED_VALUE"""),822.2)</f>
        <v>822.2</v>
      </c>
      <c r="E2291" s="6">
        <f>IFERROR(__xludf.DUMMYFUNCTION("""COMPUTED_VALUE"""),824.2)</f>
        <v>824.2</v>
      </c>
      <c r="F2291" s="7">
        <f>IFERROR(__xludf.DUMMYFUNCTION("""COMPUTED_VALUE"""),381123.0)</f>
        <v>381123</v>
      </c>
      <c r="G2291" s="7" t="str">
        <f>IFERROR(__xludf.DUMMYFUNCTION("""COMPUTED_VALUE"""),"ADANIENSOL.NS")</f>
        <v>ADANIENSOL.NS</v>
      </c>
      <c r="H2291" s="8">
        <f t="shared" si="1"/>
        <v>-0.004829751268</v>
      </c>
      <c r="I2291" s="8">
        <f t="shared" si="2"/>
        <v>0.004829751268</v>
      </c>
      <c r="J2291" s="7" t="str">
        <f t="shared" si="3"/>
        <v>Aug-2025</v>
      </c>
      <c r="K2291" s="9">
        <f t="shared" si="4"/>
        <v>45870</v>
      </c>
      <c r="L2291" s="7" t="str">
        <f t="shared" si="5"/>
        <v/>
      </c>
      <c r="M2291" s="7" t="str">
        <f>IFERROR(__xludf.DUMMYFUNCTION("IFERROR(
  IF(
    F2291 &gt;
    3*AVERAGE(
       FILTER($F$2:$F10491,
         $G$2:$G10491=G2291,
         $A$2:$A10491&gt;=A2291-20,
         $A$2:$A10491&lt;=A2291
       )
    ),
    ""VOL_SPIKE_3X"",""""
  ),
"""")
"),"")</f>
        <v/>
      </c>
      <c r="N2291" s="7" t="str">
        <f t="shared" si="6"/>
        <v/>
      </c>
      <c r="O2291" s="7" t="str">
        <f t="shared" si="7"/>
        <v/>
      </c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>
      <c r="A2292" s="5">
        <f>IFERROR(__xludf.DUMMYFUNCTION("""COMPUTED_VALUE"""),45889.0)</f>
        <v>45889</v>
      </c>
      <c r="B2292" s="6">
        <f>IFERROR(__xludf.DUMMYFUNCTION("""COMPUTED_VALUE"""),969.0)</f>
        <v>969</v>
      </c>
      <c r="C2292" s="6">
        <f>IFERROR(__xludf.DUMMYFUNCTION("""COMPUTED_VALUE"""),984.0)</f>
        <v>984</v>
      </c>
      <c r="D2292" s="6">
        <f>IFERROR(__xludf.DUMMYFUNCTION("""COMPUTED_VALUE"""),967.95)</f>
        <v>967.95</v>
      </c>
      <c r="E2292" s="6">
        <f>IFERROR(__xludf.DUMMYFUNCTION("""COMPUTED_VALUE"""),975.95)</f>
        <v>975.95</v>
      </c>
      <c r="F2292" s="7">
        <f>IFERROR(__xludf.DUMMYFUNCTION("""COMPUTED_VALUE"""),1584174.0)</f>
        <v>1584174</v>
      </c>
      <c r="G2292" s="7" t="str">
        <f>IFERROR(__xludf.DUMMYFUNCTION("""COMPUTED_VALUE"""),"ADANIGREEN.NS")</f>
        <v>ADANIGREEN.NS</v>
      </c>
      <c r="H2292" s="8">
        <f t="shared" si="1"/>
        <v>0.007172342621</v>
      </c>
      <c r="I2292" s="8">
        <f t="shared" si="2"/>
        <v>0.007172342621</v>
      </c>
      <c r="J2292" s="7" t="str">
        <f t="shared" si="3"/>
        <v>Aug-2025</v>
      </c>
      <c r="K2292" s="9">
        <f t="shared" si="4"/>
        <v>45870</v>
      </c>
      <c r="L2292" s="7" t="str">
        <f t="shared" si="5"/>
        <v/>
      </c>
      <c r="M2292" s="7" t="str">
        <f>IFERROR(__xludf.DUMMYFUNCTION("IFERROR(
  IF(
    F2292 &gt;
    3*AVERAGE(
       FILTER($F$2:$F10491,
         $G$2:$G10491=G2292,
         $A$2:$A10491&gt;=A2292-20,
         $A$2:$A10491&lt;=A2292
       )
    ),
    ""VOL_SPIKE_3X"",""""
  ),
"""")
"),"")</f>
        <v/>
      </c>
      <c r="N2292" s="7" t="str">
        <f t="shared" si="6"/>
        <v/>
      </c>
      <c r="O2292" s="7" t="str">
        <f t="shared" si="7"/>
        <v/>
      </c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>
      <c r="A2293" s="5">
        <f>IFERROR(__xludf.DUMMYFUNCTION("""COMPUTED_VALUE"""),45889.0)</f>
        <v>45889</v>
      </c>
      <c r="B2293" s="6">
        <f>IFERROR(__xludf.DUMMYFUNCTION("""COMPUTED_VALUE"""),320.0)</f>
        <v>320</v>
      </c>
      <c r="C2293" s="6">
        <f>IFERROR(__xludf.DUMMYFUNCTION("""COMPUTED_VALUE"""),322.5)</f>
        <v>322.5</v>
      </c>
      <c r="D2293" s="6">
        <f>IFERROR(__xludf.DUMMYFUNCTION("""COMPUTED_VALUE"""),319.0)</f>
        <v>319</v>
      </c>
      <c r="E2293" s="6">
        <f>IFERROR(__xludf.DUMMYFUNCTION("""COMPUTED_VALUE"""),319.95)</f>
        <v>319.95</v>
      </c>
      <c r="F2293" s="7">
        <f>IFERROR(__xludf.DUMMYFUNCTION("""COMPUTED_VALUE"""),3670375.0)</f>
        <v>3670375</v>
      </c>
      <c r="G2293" s="7" t="str">
        <f>IFERROR(__xludf.DUMMYFUNCTION("""COMPUTED_VALUE"""),"BPCL.NS")</f>
        <v>BPCL.NS</v>
      </c>
      <c r="H2293" s="8">
        <f t="shared" si="1"/>
        <v>-0.00015625</v>
      </c>
      <c r="I2293" s="8">
        <f t="shared" si="2"/>
        <v>0.00015625</v>
      </c>
      <c r="J2293" s="7" t="str">
        <f t="shared" si="3"/>
        <v>Aug-2025</v>
      </c>
      <c r="K2293" s="9">
        <f t="shared" si="4"/>
        <v>45870</v>
      </c>
      <c r="L2293" s="7" t="str">
        <f t="shared" si="5"/>
        <v/>
      </c>
      <c r="M2293" s="7" t="str">
        <f>IFERROR(__xludf.DUMMYFUNCTION("IFERROR(
  IF(
    F2293 &gt;
    3*AVERAGE(
       FILTER($F$2:$F10491,
         $G$2:$G10491=G2293,
         $A$2:$A10491&gt;=A2293-20,
         $A$2:$A10491&lt;=A2293
       )
    ),
    ""VOL_SPIKE_3X"",""""
  ),
"""")
"),"")</f>
        <v/>
      </c>
      <c r="N2293" s="7" t="str">
        <f t="shared" si="6"/>
        <v/>
      </c>
      <c r="O2293" s="7" t="str">
        <f t="shared" si="7"/>
        <v/>
      </c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>
      <c r="A2294" s="5">
        <f>IFERROR(__xludf.DUMMYFUNCTION("""COMPUTED_VALUE"""),45889.0)</f>
        <v>45889</v>
      </c>
      <c r="B2294" s="6">
        <f>IFERROR(__xludf.DUMMYFUNCTION("""COMPUTED_VALUE"""),386.0)</f>
        <v>386</v>
      </c>
      <c r="C2294" s="6">
        <f>IFERROR(__xludf.DUMMYFUNCTION("""COMPUTED_VALUE"""),386.85)</f>
        <v>386.85</v>
      </c>
      <c r="D2294" s="6">
        <f>IFERROR(__xludf.DUMMYFUNCTION("""COMPUTED_VALUE"""),383.55)</f>
        <v>383.55</v>
      </c>
      <c r="E2294" s="6">
        <f>IFERROR(__xludf.DUMMYFUNCTION("""COMPUTED_VALUE"""),384.7)</f>
        <v>384.7</v>
      </c>
      <c r="F2294" s="7">
        <f>IFERROR(__xludf.DUMMYFUNCTION("""COMPUTED_VALUE"""),4904231.0)</f>
        <v>4904231</v>
      </c>
      <c r="G2294" s="7" t="str">
        <f>IFERROR(__xludf.DUMMYFUNCTION("""COMPUTED_VALUE"""),"COALINDIA.NS")</f>
        <v>COALINDIA.NS</v>
      </c>
      <c r="H2294" s="8">
        <f t="shared" si="1"/>
        <v>-0.003367875648</v>
      </c>
      <c r="I2294" s="8">
        <f t="shared" si="2"/>
        <v>0.003367875648</v>
      </c>
      <c r="J2294" s="7" t="str">
        <f t="shared" si="3"/>
        <v>Aug-2025</v>
      </c>
      <c r="K2294" s="9">
        <f t="shared" si="4"/>
        <v>45870</v>
      </c>
      <c r="L2294" s="7" t="str">
        <f t="shared" si="5"/>
        <v/>
      </c>
      <c r="M2294" s="7" t="str">
        <f>IFERROR(__xludf.DUMMYFUNCTION("IFERROR(
  IF(
    F2294 &gt;
    3*AVERAGE(
       FILTER($F$2:$F10491,
         $G$2:$G10491=G2294,
         $A$2:$A10491&gt;=A2294-20,
         $A$2:$A10491&lt;=A2294
       )
    ),
    ""VOL_SPIKE_3X"",""""
  ),
"""")
"),"")</f>
        <v/>
      </c>
      <c r="N2294" s="7" t="str">
        <f t="shared" si="6"/>
        <v/>
      </c>
      <c r="O2294" s="7" t="str">
        <f t="shared" si="7"/>
        <v/>
      </c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>
      <c r="A2295" s="5">
        <f>IFERROR(__xludf.DUMMYFUNCTION("""COMPUTED_VALUE"""),45889.0)</f>
        <v>45889</v>
      </c>
      <c r="B2295" s="6">
        <f>IFERROR(__xludf.DUMMYFUNCTION("""COMPUTED_VALUE"""),394.55)</f>
        <v>394.55</v>
      </c>
      <c r="C2295" s="6">
        <f>IFERROR(__xludf.DUMMYFUNCTION("""COMPUTED_VALUE"""),396.85)</f>
        <v>396.85</v>
      </c>
      <c r="D2295" s="6">
        <f>IFERROR(__xludf.DUMMYFUNCTION("""COMPUTED_VALUE"""),390.1)</f>
        <v>390.1</v>
      </c>
      <c r="E2295" s="6">
        <f>IFERROR(__xludf.DUMMYFUNCTION("""COMPUTED_VALUE"""),390.8)</f>
        <v>390.8</v>
      </c>
      <c r="F2295" s="7">
        <f>IFERROR(__xludf.DUMMYFUNCTION("""COMPUTED_VALUE"""),5553949.0)</f>
        <v>5553949</v>
      </c>
      <c r="G2295" s="7" t="str">
        <f>IFERROR(__xludf.DUMMYFUNCTION("""COMPUTED_VALUE"""),"HINDPETRO.NS")</f>
        <v>HINDPETRO.NS</v>
      </c>
      <c r="H2295" s="8">
        <f t="shared" si="1"/>
        <v>-0.009504498796</v>
      </c>
      <c r="I2295" s="8">
        <f t="shared" si="2"/>
        <v>0.009504498796</v>
      </c>
      <c r="J2295" s="7" t="str">
        <f t="shared" si="3"/>
        <v>Aug-2025</v>
      </c>
      <c r="K2295" s="9">
        <f t="shared" si="4"/>
        <v>45870</v>
      </c>
      <c r="L2295" s="7" t="str">
        <f t="shared" si="5"/>
        <v/>
      </c>
      <c r="M2295" s="7" t="str">
        <f>IFERROR(__xludf.DUMMYFUNCTION("IFERROR(
  IF(
    F2295 &gt;
    3*AVERAGE(
       FILTER($F$2:$F10491,
         $G$2:$G10491=G2295,
         $A$2:$A10491&gt;=A2295-20,
         $A$2:$A10491&lt;=A2295
       )
    ),
    ""VOL_SPIKE_3X"",""""
  ),
"""")
"),"")</f>
        <v/>
      </c>
      <c r="N2295" s="7" t="str">
        <f t="shared" si="6"/>
        <v/>
      </c>
      <c r="O2295" s="7" t="str">
        <f t="shared" si="7"/>
        <v/>
      </c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>
      <c r="A2296" s="5">
        <f>IFERROR(__xludf.DUMMYFUNCTION("""COMPUTED_VALUE"""),45889.0)</f>
        <v>45889</v>
      </c>
      <c r="B2296" s="6">
        <f>IFERROR(__xludf.DUMMYFUNCTION("""COMPUTED_VALUE"""),142.01)</f>
        <v>142.01</v>
      </c>
      <c r="C2296" s="6">
        <f>IFERROR(__xludf.DUMMYFUNCTION("""COMPUTED_VALUE"""),142.7)</f>
        <v>142.7</v>
      </c>
      <c r="D2296" s="6">
        <f>IFERROR(__xludf.DUMMYFUNCTION("""COMPUTED_VALUE"""),141.21)</f>
        <v>141.21</v>
      </c>
      <c r="E2296" s="6">
        <f>IFERROR(__xludf.DUMMYFUNCTION("""COMPUTED_VALUE"""),141.44)</f>
        <v>141.44</v>
      </c>
      <c r="F2296" s="7">
        <f>IFERROR(__xludf.DUMMYFUNCTION("""COMPUTED_VALUE"""),5531826.0)</f>
        <v>5531826</v>
      </c>
      <c r="G2296" s="7" t="str">
        <f>IFERROR(__xludf.DUMMYFUNCTION("""COMPUTED_VALUE"""),"IOC.NS")</f>
        <v>IOC.NS</v>
      </c>
      <c r="H2296" s="8">
        <f t="shared" si="1"/>
        <v>-0.004013801845</v>
      </c>
      <c r="I2296" s="8">
        <f t="shared" si="2"/>
        <v>0.004013801845</v>
      </c>
      <c r="J2296" s="7" t="str">
        <f t="shared" si="3"/>
        <v>Aug-2025</v>
      </c>
      <c r="K2296" s="9">
        <f t="shared" si="4"/>
        <v>45870</v>
      </c>
      <c r="L2296" s="7" t="str">
        <f t="shared" si="5"/>
        <v/>
      </c>
      <c r="M2296" s="7" t="str">
        <f>IFERROR(__xludf.DUMMYFUNCTION("IFERROR(
  IF(
    F2296 &gt;
    3*AVERAGE(
       FILTER($F$2:$F10491,
         $G$2:$G10491=G2296,
         $A$2:$A10491&gt;=A2296-20,
         $A$2:$A10491&lt;=A2296
       )
    ),
    ""VOL_SPIKE_3X"",""""
  ),
"""")
"),"")</f>
        <v/>
      </c>
      <c r="N2296" s="7" t="str">
        <f t="shared" si="6"/>
        <v/>
      </c>
      <c r="O2296" s="7" t="str">
        <f t="shared" si="7"/>
        <v/>
      </c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>
      <c r="A2297" s="5">
        <f>IFERROR(__xludf.DUMMYFUNCTION("""COMPUTED_VALUE"""),45889.0)</f>
        <v>45889</v>
      </c>
      <c r="B2297" s="6">
        <f>IFERROR(__xludf.DUMMYFUNCTION("""COMPUTED_VALUE"""),337.8)</f>
        <v>337.8</v>
      </c>
      <c r="C2297" s="6">
        <f>IFERROR(__xludf.DUMMYFUNCTION("""COMPUTED_VALUE"""),343.4)</f>
        <v>343.4</v>
      </c>
      <c r="D2297" s="6">
        <f>IFERROR(__xludf.DUMMYFUNCTION("""COMPUTED_VALUE"""),336.5)</f>
        <v>336.5</v>
      </c>
      <c r="E2297" s="6">
        <f>IFERROR(__xludf.DUMMYFUNCTION("""COMPUTED_VALUE"""),342.0)</f>
        <v>342</v>
      </c>
      <c r="F2297" s="7">
        <f>IFERROR(__xludf.DUMMYFUNCTION("""COMPUTED_VALUE"""),1.0824544E7)</f>
        <v>10824544</v>
      </c>
      <c r="G2297" s="7" t="str">
        <f>IFERROR(__xludf.DUMMYFUNCTION("""COMPUTED_VALUE"""),"NTPC.NS")</f>
        <v>NTPC.NS</v>
      </c>
      <c r="H2297" s="8">
        <f t="shared" si="1"/>
        <v>0.01243339254</v>
      </c>
      <c r="I2297" s="8">
        <f t="shared" si="2"/>
        <v>0.01243339254</v>
      </c>
      <c r="J2297" s="7" t="str">
        <f t="shared" si="3"/>
        <v>Aug-2025</v>
      </c>
      <c r="K2297" s="9">
        <f t="shared" si="4"/>
        <v>45870</v>
      </c>
      <c r="L2297" s="7" t="str">
        <f t="shared" si="5"/>
        <v/>
      </c>
      <c r="M2297" s="7" t="str">
        <f>IFERROR(__xludf.DUMMYFUNCTION("IFERROR(
  IF(
    F2297 &gt;
    3*AVERAGE(
       FILTER($F$2:$F10491,
         $G$2:$G10491=G2297,
         $A$2:$A10491&gt;=A2297-20,
         $A$2:$A10491&lt;=A2297
       )
    ),
    ""VOL_SPIKE_3X"",""""
  ),
"""")
"),"")</f>
        <v/>
      </c>
      <c r="N2297" s="7" t="str">
        <f t="shared" si="6"/>
        <v/>
      </c>
      <c r="O2297" s="7" t="str">
        <f t="shared" si="7"/>
        <v/>
      </c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>
      <c r="A2298" s="5">
        <f>IFERROR(__xludf.DUMMYFUNCTION("""COMPUTED_VALUE"""),45889.0)</f>
        <v>45889</v>
      </c>
      <c r="B2298" s="6">
        <f>IFERROR(__xludf.DUMMYFUNCTION("""COMPUTED_VALUE"""),237.0)</f>
        <v>237</v>
      </c>
      <c r="C2298" s="6">
        <f>IFERROR(__xludf.DUMMYFUNCTION("""COMPUTED_VALUE"""),239.09)</f>
        <v>239.09</v>
      </c>
      <c r="D2298" s="6">
        <f>IFERROR(__xludf.DUMMYFUNCTION("""COMPUTED_VALUE"""),237.0)</f>
        <v>237</v>
      </c>
      <c r="E2298" s="6">
        <f>IFERROR(__xludf.DUMMYFUNCTION("""COMPUTED_VALUE"""),237.93)</f>
        <v>237.93</v>
      </c>
      <c r="F2298" s="7">
        <f>IFERROR(__xludf.DUMMYFUNCTION("""COMPUTED_VALUE"""),7438061.0)</f>
        <v>7438061</v>
      </c>
      <c r="G2298" s="7" t="str">
        <f>IFERROR(__xludf.DUMMYFUNCTION("""COMPUTED_VALUE"""),"ONGC.NS")</f>
        <v>ONGC.NS</v>
      </c>
      <c r="H2298" s="8">
        <f t="shared" si="1"/>
        <v>0.003924050633</v>
      </c>
      <c r="I2298" s="8">
        <f t="shared" si="2"/>
        <v>0.003924050633</v>
      </c>
      <c r="J2298" s="7" t="str">
        <f t="shared" si="3"/>
        <v>Aug-2025</v>
      </c>
      <c r="K2298" s="9">
        <f t="shared" si="4"/>
        <v>45870</v>
      </c>
      <c r="L2298" s="7" t="str">
        <f t="shared" si="5"/>
        <v/>
      </c>
      <c r="M2298" s="7" t="str">
        <f>IFERROR(__xludf.DUMMYFUNCTION("IFERROR(
  IF(
    F2298 &gt;
    3*AVERAGE(
       FILTER($F$2:$F10491,
         $G$2:$G10491=G2298,
         $A$2:$A10491&gt;=A2298-20,
         $A$2:$A10491&lt;=A2298
       )
    ),
    ""VOL_SPIKE_3X"",""""
  ),
"""")
"),"")</f>
        <v/>
      </c>
      <c r="N2298" s="7" t="str">
        <f t="shared" si="6"/>
        <v/>
      </c>
      <c r="O2298" s="7" t="str">
        <f t="shared" si="7"/>
        <v/>
      </c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>
      <c r="A2299" s="5">
        <f>IFERROR(__xludf.DUMMYFUNCTION("""COMPUTED_VALUE"""),45889.0)</f>
        <v>45889</v>
      </c>
      <c r="B2299" s="6">
        <f>IFERROR(__xludf.DUMMYFUNCTION("""COMPUTED_VALUE"""),288.2)</f>
        <v>288.2</v>
      </c>
      <c r="C2299" s="6">
        <f>IFERROR(__xludf.DUMMYFUNCTION("""COMPUTED_VALUE"""),289.0)</f>
        <v>289</v>
      </c>
      <c r="D2299" s="6">
        <f>IFERROR(__xludf.DUMMYFUNCTION("""COMPUTED_VALUE"""),286.95)</f>
        <v>286.95</v>
      </c>
      <c r="E2299" s="6">
        <f>IFERROR(__xludf.DUMMYFUNCTION("""COMPUTED_VALUE"""),288.4)</f>
        <v>288.4</v>
      </c>
      <c r="F2299" s="7">
        <f>IFERROR(__xludf.DUMMYFUNCTION("""COMPUTED_VALUE"""),3106073.0)</f>
        <v>3106073</v>
      </c>
      <c r="G2299" s="7" t="str">
        <f>IFERROR(__xludf.DUMMYFUNCTION("""COMPUTED_VALUE"""),"POWERGRID.NS")</f>
        <v>POWERGRID.NS</v>
      </c>
      <c r="H2299" s="8">
        <f t="shared" si="1"/>
        <v>0.000693962526</v>
      </c>
      <c r="I2299" s="8">
        <f t="shared" si="2"/>
        <v>0.000693962526</v>
      </c>
      <c r="J2299" s="7" t="str">
        <f t="shared" si="3"/>
        <v>Aug-2025</v>
      </c>
      <c r="K2299" s="9">
        <f t="shared" si="4"/>
        <v>45870</v>
      </c>
      <c r="L2299" s="7" t="str">
        <f t="shared" si="5"/>
        <v/>
      </c>
      <c r="M2299" s="7" t="str">
        <f>IFERROR(__xludf.DUMMYFUNCTION("IFERROR(
  IF(
    F2299 &gt;
    3*AVERAGE(
       FILTER($F$2:$F10491,
         $G$2:$G10491=G2299,
         $A$2:$A10491&gt;=A2299-20,
         $A$2:$A10491&lt;=A2299
       )
    ),
    ""VOL_SPIKE_3X"",""""
  ),
"""")
"),"")</f>
        <v/>
      </c>
      <c r="N2299" s="7" t="str">
        <f t="shared" si="6"/>
        <v/>
      </c>
      <c r="O2299" s="7" t="str">
        <f t="shared" si="7"/>
        <v/>
      </c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>
      <c r="A2300" s="5">
        <f>IFERROR(__xludf.DUMMYFUNCTION("""COMPUTED_VALUE"""),45889.0)</f>
        <v>45889</v>
      </c>
      <c r="B2300" s="6">
        <f>IFERROR(__xludf.DUMMYFUNCTION("""COMPUTED_VALUE"""),1413.0)</f>
        <v>1413</v>
      </c>
      <c r="C2300" s="6">
        <f>IFERROR(__xludf.DUMMYFUNCTION("""COMPUTED_VALUE"""),1424.9)</f>
        <v>1424.9</v>
      </c>
      <c r="D2300" s="6">
        <f>IFERROR(__xludf.DUMMYFUNCTION("""COMPUTED_VALUE"""),1410.0)</f>
        <v>1410</v>
      </c>
      <c r="E2300" s="6">
        <f>IFERROR(__xludf.DUMMYFUNCTION("""COMPUTED_VALUE"""),1413.0)</f>
        <v>1413</v>
      </c>
      <c r="F2300" s="7">
        <f>IFERROR(__xludf.DUMMYFUNCTION("""COMPUTED_VALUE"""),8725641.0)</f>
        <v>8725641</v>
      </c>
      <c r="G2300" s="7" t="str">
        <f>IFERROR(__xludf.DUMMYFUNCTION("""COMPUTED_VALUE"""),"RELIANCE.NS")</f>
        <v>RELIANCE.NS</v>
      </c>
      <c r="H2300" s="8">
        <f t="shared" si="1"/>
        <v>0</v>
      </c>
      <c r="I2300" s="8">
        <f t="shared" si="2"/>
        <v>0</v>
      </c>
      <c r="J2300" s="7" t="str">
        <f t="shared" si="3"/>
        <v>Aug-2025</v>
      </c>
      <c r="K2300" s="9">
        <f t="shared" si="4"/>
        <v>45870</v>
      </c>
      <c r="L2300" s="7" t="str">
        <f t="shared" si="5"/>
        <v/>
      </c>
      <c r="M2300" s="7" t="str">
        <f>IFERROR(__xludf.DUMMYFUNCTION("IFERROR(
  IF(
    F2300 &gt;
    3*AVERAGE(
       FILTER($F$2:$F10491,
         $G$2:$G10491=G2300,
         $A$2:$A10491&gt;=A2300-20,
         $A$2:$A10491&lt;=A2300
       )
    ),
    ""VOL_SPIKE_3X"",""""
  ),
"""")
"),"")</f>
        <v/>
      </c>
      <c r="N2300" s="7" t="str">
        <f t="shared" si="6"/>
        <v/>
      </c>
      <c r="O2300" s="7" t="str">
        <f t="shared" si="7"/>
        <v/>
      </c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>
      <c r="A2301" s="5">
        <f>IFERROR(__xludf.DUMMYFUNCTION("""COMPUTED_VALUE"""),45890.0)</f>
        <v>45890</v>
      </c>
      <c r="B2301" s="6">
        <f>IFERROR(__xludf.DUMMYFUNCTION("""COMPUTED_VALUE"""),825.0)</f>
        <v>825</v>
      </c>
      <c r="C2301" s="6">
        <f>IFERROR(__xludf.DUMMYFUNCTION("""COMPUTED_VALUE"""),829.2)</f>
        <v>829.2</v>
      </c>
      <c r="D2301" s="6">
        <f>IFERROR(__xludf.DUMMYFUNCTION("""COMPUTED_VALUE"""),812.0)</f>
        <v>812</v>
      </c>
      <c r="E2301" s="6">
        <f>IFERROR(__xludf.DUMMYFUNCTION("""COMPUTED_VALUE"""),815.15)</f>
        <v>815.15</v>
      </c>
      <c r="F2301" s="7">
        <f>IFERROR(__xludf.DUMMYFUNCTION("""COMPUTED_VALUE"""),558969.0)</f>
        <v>558969</v>
      </c>
      <c r="G2301" s="7" t="str">
        <f>IFERROR(__xludf.DUMMYFUNCTION("""COMPUTED_VALUE"""),"ADANIENSOL.NS")</f>
        <v>ADANIENSOL.NS</v>
      </c>
      <c r="H2301" s="8">
        <f t="shared" si="1"/>
        <v>-0.01193939394</v>
      </c>
      <c r="I2301" s="8">
        <f t="shared" si="2"/>
        <v>0.01193939394</v>
      </c>
      <c r="J2301" s="7" t="str">
        <f t="shared" si="3"/>
        <v>Aug-2025</v>
      </c>
      <c r="K2301" s="9">
        <f t="shared" si="4"/>
        <v>45870</v>
      </c>
      <c r="L2301" s="7" t="str">
        <f t="shared" si="5"/>
        <v/>
      </c>
      <c r="M2301" s="7" t="str">
        <f>IFERROR(__xludf.DUMMYFUNCTION("IFERROR(
  IF(
    F2301 &gt;
    3*AVERAGE(
       FILTER($F$2:$F10491,
         $G$2:$G10491=G2301,
         $A$2:$A10491&gt;=A2301-20,
         $A$2:$A10491&lt;=A2301
       )
    ),
    ""VOL_SPIKE_3X"",""""
  ),
"""")
"),"")</f>
        <v/>
      </c>
      <c r="N2301" s="7" t="str">
        <f t="shared" si="6"/>
        <v/>
      </c>
      <c r="O2301" s="7" t="str">
        <f t="shared" si="7"/>
        <v/>
      </c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>
      <c r="A2302" s="5">
        <f>IFERROR(__xludf.DUMMYFUNCTION("""COMPUTED_VALUE"""),45890.0)</f>
        <v>45890</v>
      </c>
      <c r="B2302" s="6">
        <f>IFERROR(__xludf.DUMMYFUNCTION("""COMPUTED_VALUE"""),976.0)</f>
        <v>976</v>
      </c>
      <c r="C2302" s="6">
        <f>IFERROR(__xludf.DUMMYFUNCTION("""COMPUTED_VALUE"""),983.95)</f>
        <v>983.95</v>
      </c>
      <c r="D2302" s="6">
        <f>IFERROR(__xludf.DUMMYFUNCTION("""COMPUTED_VALUE"""),964.15)</f>
        <v>964.15</v>
      </c>
      <c r="E2302" s="6">
        <f>IFERROR(__xludf.DUMMYFUNCTION("""COMPUTED_VALUE"""),966.6)</f>
        <v>966.6</v>
      </c>
      <c r="F2302" s="7">
        <f>IFERROR(__xludf.DUMMYFUNCTION("""COMPUTED_VALUE"""),820006.0)</f>
        <v>820006</v>
      </c>
      <c r="G2302" s="7" t="str">
        <f>IFERROR(__xludf.DUMMYFUNCTION("""COMPUTED_VALUE"""),"ADANIGREEN.NS")</f>
        <v>ADANIGREEN.NS</v>
      </c>
      <c r="H2302" s="8">
        <f t="shared" si="1"/>
        <v>-0.009631147541</v>
      </c>
      <c r="I2302" s="8">
        <f t="shared" si="2"/>
        <v>0.009631147541</v>
      </c>
      <c r="J2302" s="7" t="str">
        <f t="shared" si="3"/>
        <v>Aug-2025</v>
      </c>
      <c r="K2302" s="9">
        <f t="shared" si="4"/>
        <v>45870</v>
      </c>
      <c r="L2302" s="7" t="str">
        <f t="shared" si="5"/>
        <v/>
      </c>
      <c r="M2302" s="7" t="str">
        <f>IFERROR(__xludf.DUMMYFUNCTION("IFERROR(
  IF(
    F2302 &gt;
    3*AVERAGE(
       FILTER($F$2:$F10491,
         $G$2:$G10491=G2302,
         $A$2:$A10491&gt;=A2302-20,
         $A$2:$A10491&lt;=A2302
       )
    ),
    ""VOL_SPIKE_3X"",""""
  ),
"""")
"),"")</f>
        <v/>
      </c>
      <c r="N2302" s="7" t="str">
        <f t="shared" si="6"/>
        <v/>
      </c>
      <c r="O2302" s="7" t="str">
        <f t="shared" si="7"/>
        <v/>
      </c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>
      <c r="A2303" s="5">
        <f>IFERROR(__xludf.DUMMYFUNCTION("""COMPUTED_VALUE"""),45890.0)</f>
        <v>45890</v>
      </c>
      <c r="B2303" s="6">
        <f>IFERROR(__xludf.DUMMYFUNCTION("""COMPUTED_VALUE"""),321.05)</f>
        <v>321.05</v>
      </c>
      <c r="C2303" s="6">
        <f>IFERROR(__xludf.DUMMYFUNCTION("""COMPUTED_VALUE"""),323.8)</f>
        <v>323.8</v>
      </c>
      <c r="D2303" s="6">
        <f>IFERROR(__xludf.DUMMYFUNCTION("""COMPUTED_VALUE"""),318.75)</f>
        <v>318.75</v>
      </c>
      <c r="E2303" s="6">
        <f>IFERROR(__xludf.DUMMYFUNCTION("""COMPUTED_VALUE"""),319.95)</f>
        <v>319.95</v>
      </c>
      <c r="F2303" s="7">
        <f>IFERROR(__xludf.DUMMYFUNCTION("""COMPUTED_VALUE"""),3790333.0)</f>
        <v>3790333</v>
      </c>
      <c r="G2303" s="7" t="str">
        <f>IFERROR(__xludf.DUMMYFUNCTION("""COMPUTED_VALUE"""),"BPCL.NS")</f>
        <v>BPCL.NS</v>
      </c>
      <c r="H2303" s="8">
        <f t="shared" si="1"/>
        <v>-0.003426257592</v>
      </c>
      <c r="I2303" s="8">
        <f t="shared" si="2"/>
        <v>0.003426257592</v>
      </c>
      <c r="J2303" s="7" t="str">
        <f t="shared" si="3"/>
        <v>Aug-2025</v>
      </c>
      <c r="K2303" s="9">
        <f t="shared" si="4"/>
        <v>45870</v>
      </c>
      <c r="L2303" s="7" t="str">
        <f t="shared" si="5"/>
        <v/>
      </c>
      <c r="M2303" s="7" t="str">
        <f>IFERROR(__xludf.DUMMYFUNCTION("IFERROR(
  IF(
    F2303 &gt;
    3*AVERAGE(
       FILTER($F$2:$F10491,
         $G$2:$G10491=G2303,
         $A$2:$A10491&gt;=A2303-20,
         $A$2:$A10491&lt;=A2303
       )
    ),
    ""VOL_SPIKE_3X"",""""
  ),
"""")
"),"")</f>
        <v/>
      </c>
      <c r="N2303" s="7" t="str">
        <f t="shared" si="6"/>
        <v/>
      </c>
      <c r="O2303" s="7" t="str">
        <f t="shared" si="7"/>
        <v/>
      </c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>
      <c r="A2304" s="5">
        <f>IFERROR(__xludf.DUMMYFUNCTION("""COMPUTED_VALUE"""),45890.0)</f>
        <v>45890</v>
      </c>
      <c r="B2304" s="6">
        <f>IFERROR(__xludf.DUMMYFUNCTION("""COMPUTED_VALUE"""),380.95)</f>
        <v>380.95</v>
      </c>
      <c r="C2304" s="6">
        <f>IFERROR(__xludf.DUMMYFUNCTION("""COMPUTED_VALUE"""),381.55)</f>
        <v>381.55</v>
      </c>
      <c r="D2304" s="6">
        <f>IFERROR(__xludf.DUMMYFUNCTION("""COMPUTED_VALUE"""),377.25)</f>
        <v>377.25</v>
      </c>
      <c r="E2304" s="6">
        <f>IFERROR(__xludf.DUMMYFUNCTION("""COMPUTED_VALUE"""),378.15)</f>
        <v>378.15</v>
      </c>
      <c r="F2304" s="7">
        <f>IFERROR(__xludf.DUMMYFUNCTION("""COMPUTED_VALUE"""),6212604.0)</f>
        <v>6212604</v>
      </c>
      <c r="G2304" s="7" t="str">
        <f>IFERROR(__xludf.DUMMYFUNCTION("""COMPUTED_VALUE"""),"COALINDIA.NS")</f>
        <v>COALINDIA.NS</v>
      </c>
      <c r="H2304" s="8">
        <f t="shared" si="1"/>
        <v>-0.007350045938</v>
      </c>
      <c r="I2304" s="8">
        <f t="shared" si="2"/>
        <v>0.007350045938</v>
      </c>
      <c r="J2304" s="7" t="str">
        <f t="shared" si="3"/>
        <v>Aug-2025</v>
      </c>
      <c r="K2304" s="9">
        <f t="shared" si="4"/>
        <v>45870</v>
      </c>
      <c r="L2304" s="7" t="str">
        <f t="shared" si="5"/>
        <v/>
      </c>
      <c r="M2304" s="7" t="str">
        <f>IFERROR(__xludf.DUMMYFUNCTION("IFERROR(
  IF(
    F2304 &gt;
    3*AVERAGE(
       FILTER($F$2:$F10491,
         $G$2:$G10491=G2304,
         $A$2:$A10491&gt;=A2304-20,
         $A$2:$A10491&lt;=A2304
       )
    ),
    ""VOL_SPIKE_3X"",""""
  ),
"""")
"),"")</f>
        <v/>
      </c>
      <c r="N2304" s="7" t="str">
        <f t="shared" si="6"/>
        <v/>
      </c>
      <c r="O2304" s="7" t="str">
        <f t="shared" si="7"/>
        <v/>
      </c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>
      <c r="A2305" s="5">
        <f>IFERROR(__xludf.DUMMYFUNCTION("""COMPUTED_VALUE"""),45890.0)</f>
        <v>45890</v>
      </c>
      <c r="B2305" s="6">
        <f>IFERROR(__xludf.DUMMYFUNCTION("""COMPUTED_VALUE"""),390.7)</f>
        <v>390.7</v>
      </c>
      <c r="C2305" s="6">
        <f>IFERROR(__xludf.DUMMYFUNCTION("""COMPUTED_VALUE"""),395.45)</f>
        <v>395.45</v>
      </c>
      <c r="D2305" s="6">
        <f>IFERROR(__xludf.DUMMYFUNCTION("""COMPUTED_VALUE"""),390.2)</f>
        <v>390.2</v>
      </c>
      <c r="E2305" s="6">
        <f>IFERROR(__xludf.DUMMYFUNCTION("""COMPUTED_VALUE"""),393.15)</f>
        <v>393.15</v>
      </c>
      <c r="F2305" s="7">
        <f>IFERROR(__xludf.DUMMYFUNCTION("""COMPUTED_VALUE"""),2094370.0)</f>
        <v>2094370</v>
      </c>
      <c r="G2305" s="7" t="str">
        <f>IFERROR(__xludf.DUMMYFUNCTION("""COMPUTED_VALUE"""),"HINDPETRO.NS")</f>
        <v>HINDPETRO.NS</v>
      </c>
      <c r="H2305" s="8">
        <f t="shared" si="1"/>
        <v>0.006270796007</v>
      </c>
      <c r="I2305" s="8">
        <f t="shared" si="2"/>
        <v>0.006270796007</v>
      </c>
      <c r="J2305" s="7" t="str">
        <f t="shared" si="3"/>
        <v>Aug-2025</v>
      </c>
      <c r="K2305" s="9">
        <f t="shared" si="4"/>
        <v>45870</v>
      </c>
      <c r="L2305" s="7" t="str">
        <f t="shared" si="5"/>
        <v/>
      </c>
      <c r="M2305" s="7" t="str">
        <f>IFERROR(__xludf.DUMMYFUNCTION("IFERROR(
  IF(
    F2305 &gt;
    3*AVERAGE(
       FILTER($F$2:$F10491,
         $G$2:$G10491=G2305,
         $A$2:$A10491&gt;=A2305-20,
         $A$2:$A10491&lt;=A2305
       )
    ),
    ""VOL_SPIKE_3X"",""""
  ),
"""")
"),"")</f>
        <v/>
      </c>
      <c r="N2305" s="7" t="str">
        <f t="shared" si="6"/>
        <v/>
      </c>
      <c r="O2305" s="7" t="str">
        <f t="shared" si="7"/>
        <v/>
      </c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>
      <c r="A2306" s="5">
        <f>IFERROR(__xludf.DUMMYFUNCTION("""COMPUTED_VALUE"""),45890.0)</f>
        <v>45890</v>
      </c>
      <c r="B2306" s="6">
        <f>IFERROR(__xludf.DUMMYFUNCTION("""COMPUTED_VALUE"""),141.65)</f>
        <v>141.65</v>
      </c>
      <c r="C2306" s="6">
        <f>IFERROR(__xludf.DUMMYFUNCTION("""COMPUTED_VALUE"""),142.9)</f>
        <v>142.9</v>
      </c>
      <c r="D2306" s="6">
        <f>IFERROR(__xludf.DUMMYFUNCTION("""COMPUTED_VALUE"""),141.28)</f>
        <v>141.28</v>
      </c>
      <c r="E2306" s="6">
        <f>IFERROR(__xludf.DUMMYFUNCTION("""COMPUTED_VALUE"""),141.44)</f>
        <v>141.44</v>
      </c>
      <c r="F2306" s="7">
        <f>IFERROR(__xludf.DUMMYFUNCTION("""COMPUTED_VALUE"""),8746473.0)</f>
        <v>8746473</v>
      </c>
      <c r="G2306" s="7" t="str">
        <f>IFERROR(__xludf.DUMMYFUNCTION("""COMPUTED_VALUE"""),"IOC.NS")</f>
        <v>IOC.NS</v>
      </c>
      <c r="H2306" s="8">
        <f t="shared" si="1"/>
        <v>-0.001482527356</v>
      </c>
      <c r="I2306" s="8">
        <f t="shared" si="2"/>
        <v>0.001482527356</v>
      </c>
      <c r="J2306" s="7" t="str">
        <f t="shared" si="3"/>
        <v>Aug-2025</v>
      </c>
      <c r="K2306" s="9">
        <f t="shared" si="4"/>
        <v>45870</v>
      </c>
      <c r="L2306" s="7" t="str">
        <f t="shared" si="5"/>
        <v/>
      </c>
      <c r="M2306" s="7" t="str">
        <f>IFERROR(__xludf.DUMMYFUNCTION("IFERROR(
  IF(
    F2306 &gt;
    3*AVERAGE(
       FILTER($F$2:$F10491,
         $G$2:$G10491=G2306,
         $A$2:$A10491&gt;=A2306-20,
         $A$2:$A10491&lt;=A2306
       )
    ),
    ""VOL_SPIKE_3X"",""""
  ),
"""")
"),"")</f>
        <v/>
      </c>
      <c r="N2306" s="7" t="str">
        <f t="shared" si="6"/>
        <v/>
      </c>
      <c r="O2306" s="7" t="str">
        <f t="shared" si="7"/>
        <v/>
      </c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>
      <c r="A2307" s="5">
        <f>IFERROR(__xludf.DUMMYFUNCTION("""COMPUTED_VALUE"""),45890.0)</f>
        <v>45890</v>
      </c>
      <c r="B2307" s="6">
        <f>IFERROR(__xludf.DUMMYFUNCTION("""COMPUTED_VALUE"""),342.35)</f>
        <v>342.35</v>
      </c>
      <c r="C2307" s="6">
        <f>IFERROR(__xludf.DUMMYFUNCTION("""COMPUTED_VALUE"""),344.35)</f>
        <v>344.35</v>
      </c>
      <c r="D2307" s="6">
        <f>IFERROR(__xludf.DUMMYFUNCTION("""COMPUTED_VALUE"""),336.9)</f>
        <v>336.9</v>
      </c>
      <c r="E2307" s="6">
        <f>IFERROR(__xludf.DUMMYFUNCTION("""COMPUTED_VALUE"""),338.8)</f>
        <v>338.8</v>
      </c>
      <c r="F2307" s="7">
        <f>IFERROR(__xludf.DUMMYFUNCTION("""COMPUTED_VALUE"""),1.1135121E7)</f>
        <v>11135121</v>
      </c>
      <c r="G2307" s="7" t="str">
        <f>IFERROR(__xludf.DUMMYFUNCTION("""COMPUTED_VALUE"""),"NTPC.NS")</f>
        <v>NTPC.NS</v>
      </c>
      <c r="H2307" s="8">
        <f t="shared" si="1"/>
        <v>-0.01036950489</v>
      </c>
      <c r="I2307" s="8">
        <f t="shared" si="2"/>
        <v>0.01036950489</v>
      </c>
      <c r="J2307" s="7" t="str">
        <f t="shared" si="3"/>
        <v>Aug-2025</v>
      </c>
      <c r="K2307" s="9">
        <f t="shared" si="4"/>
        <v>45870</v>
      </c>
      <c r="L2307" s="7" t="str">
        <f t="shared" si="5"/>
        <v/>
      </c>
      <c r="M2307" s="7" t="str">
        <f>IFERROR(__xludf.DUMMYFUNCTION("IFERROR(
  IF(
    F2307 &gt;
    3*AVERAGE(
       FILTER($F$2:$F10491,
         $G$2:$G10491=G2307,
         $A$2:$A10491&gt;=A2307-20,
         $A$2:$A10491&lt;=A2307
       )
    ),
    ""VOL_SPIKE_3X"",""""
  ),
"""")
"),"")</f>
        <v/>
      </c>
      <c r="N2307" s="7" t="str">
        <f t="shared" si="6"/>
        <v/>
      </c>
      <c r="O2307" s="7" t="str">
        <f t="shared" si="7"/>
        <v/>
      </c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>
      <c r="A2308" s="5">
        <f>IFERROR(__xludf.DUMMYFUNCTION("""COMPUTED_VALUE"""),45890.0)</f>
        <v>45890</v>
      </c>
      <c r="B2308" s="6">
        <f>IFERROR(__xludf.DUMMYFUNCTION("""COMPUTED_VALUE"""),238.0)</f>
        <v>238</v>
      </c>
      <c r="C2308" s="6">
        <f>IFERROR(__xludf.DUMMYFUNCTION("""COMPUTED_VALUE"""),240.99)</f>
        <v>240.99</v>
      </c>
      <c r="D2308" s="6">
        <f>IFERROR(__xludf.DUMMYFUNCTION("""COMPUTED_VALUE"""),237.23)</f>
        <v>237.23</v>
      </c>
      <c r="E2308" s="6">
        <f>IFERROR(__xludf.DUMMYFUNCTION("""COMPUTED_VALUE"""),238.29)</f>
        <v>238.29</v>
      </c>
      <c r="F2308" s="7">
        <f>IFERROR(__xludf.DUMMYFUNCTION("""COMPUTED_VALUE"""),8111371.0)</f>
        <v>8111371</v>
      </c>
      <c r="G2308" s="7" t="str">
        <f>IFERROR(__xludf.DUMMYFUNCTION("""COMPUTED_VALUE"""),"ONGC.NS")</f>
        <v>ONGC.NS</v>
      </c>
      <c r="H2308" s="8">
        <f t="shared" si="1"/>
        <v>0.001218487395</v>
      </c>
      <c r="I2308" s="8">
        <f t="shared" si="2"/>
        <v>0.001218487395</v>
      </c>
      <c r="J2308" s="7" t="str">
        <f t="shared" si="3"/>
        <v>Aug-2025</v>
      </c>
      <c r="K2308" s="9">
        <f t="shared" si="4"/>
        <v>45870</v>
      </c>
      <c r="L2308" s="7" t="str">
        <f t="shared" si="5"/>
        <v/>
      </c>
      <c r="M2308" s="7" t="str">
        <f>IFERROR(__xludf.DUMMYFUNCTION("IFERROR(
  IF(
    F2308 &gt;
    3*AVERAGE(
       FILTER($F$2:$F10491,
         $G$2:$G10491=G2308,
         $A$2:$A10491&gt;=A2308-20,
         $A$2:$A10491&lt;=A2308
       )
    ),
    ""VOL_SPIKE_3X"",""""
  ),
"""")
"),"")</f>
        <v/>
      </c>
      <c r="N2308" s="7" t="str">
        <f t="shared" si="6"/>
        <v/>
      </c>
      <c r="O2308" s="7" t="str">
        <f t="shared" si="7"/>
        <v/>
      </c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>
      <c r="A2309" s="5">
        <f>IFERROR(__xludf.DUMMYFUNCTION("""COMPUTED_VALUE"""),45890.0)</f>
        <v>45890</v>
      </c>
      <c r="B2309" s="6">
        <f>IFERROR(__xludf.DUMMYFUNCTION("""COMPUTED_VALUE"""),288.4)</f>
        <v>288.4</v>
      </c>
      <c r="C2309" s="6">
        <f>IFERROR(__xludf.DUMMYFUNCTION("""COMPUTED_VALUE"""),289.55)</f>
        <v>289.55</v>
      </c>
      <c r="D2309" s="6">
        <f>IFERROR(__xludf.DUMMYFUNCTION("""COMPUTED_VALUE"""),283.6)</f>
        <v>283.6</v>
      </c>
      <c r="E2309" s="6">
        <f>IFERROR(__xludf.DUMMYFUNCTION("""COMPUTED_VALUE"""),284.0)</f>
        <v>284</v>
      </c>
      <c r="F2309" s="7">
        <f>IFERROR(__xludf.DUMMYFUNCTION("""COMPUTED_VALUE"""),7389271.0)</f>
        <v>7389271</v>
      </c>
      <c r="G2309" s="7" t="str">
        <f>IFERROR(__xludf.DUMMYFUNCTION("""COMPUTED_VALUE"""),"POWERGRID.NS")</f>
        <v>POWERGRID.NS</v>
      </c>
      <c r="H2309" s="8">
        <f t="shared" si="1"/>
        <v>-0.01525658807</v>
      </c>
      <c r="I2309" s="8">
        <f t="shared" si="2"/>
        <v>0.01525658807</v>
      </c>
      <c r="J2309" s="7" t="str">
        <f t="shared" si="3"/>
        <v>Aug-2025</v>
      </c>
      <c r="K2309" s="9">
        <f t="shared" si="4"/>
        <v>45870</v>
      </c>
      <c r="L2309" s="7" t="str">
        <f t="shared" si="5"/>
        <v/>
      </c>
      <c r="M2309" s="7" t="str">
        <f>IFERROR(__xludf.DUMMYFUNCTION("IFERROR(
  IF(
    F2309 &gt;
    3*AVERAGE(
       FILTER($F$2:$F10491,
         $G$2:$G10491=G2309,
         $A$2:$A10491&gt;=A2309-20,
         $A$2:$A10491&lt;=A2309
       )
    ),
    ""VOL_SPIKE_3X"",""""
  ),
"""")
"),"")</f>
        <v/>
      </c>
      <c r="N2309" s="7" t="str">
        <f t="shared" si="6"/>
        <v/>
      </c>
      <c r="O2309" s="7" t="str">
        <f t="shared" si="7"/>
        <v/>
      </c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>
      <c r="A2310" s="5">
        <f>IFERROR(__xludf.DUMMYFUNCTION("""COMPUTED_VALUE"""),45890.0)</f>
        <v>45890</v>
      </c>
      <c r="B2310" s="6">
        <f>IFERROR(__xludf.DUMMYFUNCTION("""COMPUTED_VALUE"""),1425.0)</f>
        <v>1425</v>
      </c>
      <c r="C2310" s="6">
        <f>IFERROR(__xludf.DUMMYFUNCTION("""COMPUTED_VALUE"""),1431.9)</f>
        <v>1431.9</v>
      </c>
      <c r="D2310" s="6">
        <f>IFERROR(__xludf.DUMMYFUNCTION("""COMPUTED_VALUE"""),1420.3)</f>
        <v>1420.3</v>
      </c>
      <c r="E2310" s="6">
        <f>IFERROR(__xludf.DUMMYFUNCTION("""COMPUTED_VALUE"""),1424.8)</f>
        <v>1424.8</v>
      </c>
      <c r="F2310" s="7">
        <f>IFERROR(__xludf.DUMMYFUNCTION("""COMPUTED_VALUE"""),1.1021323E7)</f>
        <v>11021323</v>
      </c>
      <c r="G2310" s="7" t="str">
        <f>IFERROR(__xludf.DUMMYFUNCTION("""COMPUTED_VALUE"""),"RELIANCE.NS")</f>
        <v>RELIANCE.NS</v>
      </c>
      <c r="H2310" s="8">
        <f t="shared" si="1"/>
        <v>-0.0001403508772</v>
      </c>
      <c r="I2310" s="8">
        <f t="shared" si="2"/>
        <v>0.0001403508772</v>
      </c>
      <c r="J2310" s="7" t="str">
        <f t="shared" si="3"/>
        <v>Aug-2025</v>
      </c>
      <c r="K2310" s="9">
        <f t="shared" si="4"/>
        <v>45870</v>
      </c>
      <c r="L2310" s="7" t="str">
        <f t="shared" si="5"/>
        <v/>
      </c>
      <c r="M2310" s="7" t="str">
        <f>IFERROR(__xludf.DUMMYFUNCTION("IFERROR(
  IF(
    F2310 &gt;
    3*AVERAGE(
       FILTER($F$2:$F10491,
         $G$2:$G10491=G2310,
         $A$2:$A10491&gt;=A2310-20,
         $A$2:$A10491&lt;=A2310
       )
    ),
    ""VOL_SPIKE_3X"",""""
  ),
"""")
"),"")</f>
        <v/>
      </c>
      <c r="N2310" s="7" t="str">
        <f t="shared" si="6"/>
        <v/>
      </c>
      <c r="O2310" s="7" t="str">
        <f t="shared" si="7"/>
        <v/>
      </c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>
      <c r="A2311" s="5">
        <f>IFERROR(__xludf.DUMMYFUNCTION("""COMPUTED_VALUE"""),45891.0)</f>
        <v>45891</v>
      </c>
      <c r="B2311" s="6">
        <f>IFERROR(__xludf.DUMMYFUNCTION("""COMPUTED_VALUE"""),815.15)</f>
        <v>815.15</v>
      </c>
      <c r="C2311" s="6">
        <f>IFERROR(__xludf.DUMMYFUNCTION("""COMPUTED_VALUE"""),816.0)</f>
        <v>816</v>
      </c>
      <c r="D2311" s="6">
        <f>IFERROR(__xludf.DUMMYFUNCTION("""COMPUTED_VALUE"""),795.2)</f>
        <v>795.2</v>
      </c>
      <c r="E2311" s="6">
        <f>IFERROR(__xludf.DUMMYFUNCTION("""COMPUTED_VALUE"""),800.15)</f>
        <v>800.15</v>
      </c>
      <c r="F2311" s="7">
        <f>IFERROR(__xludf.DUMMYFUNCTION("""COMPUTED_VALUE"""),537046.0)</f>
        <v>537046</v>
      </c>
      <c r="G2311" s="7" t="str">
        <f>IFERROR(__xludf.DUMMYFUNCTION("""COMPUTED_VALUE"""),"ADANIENSOL.NS")</f>
        <v>ADANIENSOL.NS</v>
      </c>
      <c r="H2311" s="8">
        <f t="shared" si="1"/>
        <v>-0.01840152119</v>
      </c>
      <c r="I2311" s="8">
        <f t="shared" si="2"/>
        <v>0.01840152119</v>
      </c>
      <c r="J2311" s="7" t="str">
        <f t="shared" si="3"/>
        <v>Aug-2025</v>
      </c>
      <c r="K2311" s="9">
        <f t="shared" si="4"/>
        <v>45870</v>
      </c>
      <c r="L2311" s="7" t="str">
        <f t="shared" si="5"/>
        <v/>
      </c>
      <c r="M2311" s="7" t="str">
        <f>IFERROR(__xludf.DUMMYFUNCTION("IFERROR(
  IF(
    F2311 &gt;
    3*AVERAGE(
       FILTER($F$2:$F10491,
         $G$2:$G10491=G2311,
         $A$2:$A10491&gt;=A2311-20,
         $A$2:$A10491&lt;=A2311
       )
    ),
    ""VOL_SPIKE_3X"",""""
  ),
"""")
"),"")</f>
        <v/>
      </c>
      <c r="N2311" s="7" t="str">
        <f t="shared" si="6"/>
        <v/>
      </c>
      <c r="O2311" s="7" t="str">
        <f t="shared" si="7"/>
        <v/>
      </c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>
      <c r="A2312" s="5">
        <f>IFERROR(__xludf.DUMMYFUNCTION("""COMPUTED_VALUE"""),45891.0)</f>
        <v>45891</v>
      </c>
      <c r="B2312" s="6">
        <f>IFERROR(__xludf.DUMMYFUNCTION("""COMPUTED_VALUE"""),965.0)</f>
        <v>965</v>
      </c>
      <c r="C2312" s="6">
        <f>IFERROR(__xludf.DUMMYFUNCTION("""COMPUTED_VALUE"""),970.2)</f>
        <v>970.2</v>
      </c>
      <c r="D2312" s="6">
        <f>IFERROR(__xludf.DUMMYFUNCTION("""COMPUTED_VALUE"""),952.9)</f>
        <v>952.9</v>
      </c>
      <c r="E2312" s="6">
        <f>IFERROR(__xludf.DUMMYFUNCTION("""COMPUTED_VALUE"""),957.2)</f>
        <v>957.2</v>
      </c>
      <c r="F2312" s="7">
        <f>IFERROR(__xludf.DUMMYFUNCTION("""COMPUTED_VALUE"""),946994.0)</f>
        <v>946994</v>
      </c>
      <c r="G2312" s="7" t="str">
        <f>IFERROR(__xludf.DUMMYFUNCTION("""COMPUTED_VALUE"""),"ADANIGREEN.NS")</f>
        <v>ADANIGREEN.NS</v>
      </c>
      <c r="H2312" s="8">
        <f t="shared" si="1"/>
        <v>-0.008082901554</v>
      </c>
      <c r="I2312" s="8">
        <f t="shared" si="2"/>
        <v>0.008082901554</v>
      </c>
      <c r="J2312" s="7" t="str">
        <f t="shared" si="3"/>
        <v>Aug-2025</v>
      </c>
      <c r="K2312" s="9">
        <f t="shared" si="4"/>
        <v>45870</v>
      </c>
      <c r="L2312" s="7" t="str">
        <f t="shared" si="5"/>
        <v/>
      </c>
      <c r="M2312" s="7" t="str">
        <f>IFERROR(__xludf.DUMMYFUNCTION("IFERROR(
  IF(
    F2312 &gt;
    3*AVERAGE(
       FILTER($F$2:$F10491,
         $G$2:$G10491=G2312,
         $A$2:$A10491&gt;=A2312-20,
         $A$2:$A10491&lt;=A2312
       )
    ),
    ""VOL_SPIKE_3X"",""""
  ),
"""")
"),"")</f>
        <v/>
      </c>
      <c r="N2312" s="7" t="str">
        <f t="shared" si="6"/>
        <v/>
      </c>
      <c r="O2312" s="7" t="str">
        <f t="shared" si="7"/>
        <v/>
      </c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>
      <c r="A2313" s="5">
        <f>IFERROR(__xludf.DUMMYFUNCTION("""COMPUTED_VALUE"""),45891.0)</f>
        <v>45891</v>
      </c>
      <c r="B2313" s="6">
        <f>IFERROR(__xludf.DUMMYFUNCTION("""COMPUTED_VALUE"""),320.2)</f>
        <v>320.2</v>
      </c>
      <c r="C2313" s="6">
        <f>IFERROR(__xludf.DUMMYFUNCTION("""COMPUTED_VALUE"""),320.35)</f>
        <v>320.35</v>
      </c>
      <c r="D2313" s="6">
        <f>IFERROR(__xludf.DUMMYFUNCTION("""COMPUTED_VALUE"""),314.7)</f>
        <v>314.7</v>
      </c>
      <c r="E2313" s="6">
        <f>IFERROR(__xludf.DUMMYFUNCTION("""COMPUTED_VALUE"""),316.45)</f>
        <v>316.45</v>
      </c>
      <c r="F2313" s="7">
        <f>IFERROR(__xludf.DUMMYFUNCTION("""COMPUTED_VALUE"""),3007303.0)</f>
        <v>3007303</v>
      </c>
      <c r="G2313" s="7" t="str">
        <f>IFERROR(__xludf.DUMMYFUNCTION("""COMPUTED_VALUE"""),"BPCL.NS")</f>
        <v>BPCL.NS</v>
      </c>
      <c r="H2313" s="8">
        <f t="shared" si="1"/>
        <v>-0.01171143036</v>
      </c>
      <c r="I2313" s="8">
        <f t="shared" si="2"/>
        <v>0.01171143036</v>
      </c>
      <c r="J2313" s="7" t="str">
        <f t="shared" si="3"/>
        <v>Aug-2025</v>
      </c>
      <c r="K2313" s="9">
        <f t="shared" si="4"/>
        <v>45870</v>
      </c>
      <c r="L2313" s="7" t="str">
        <f t="shared" si="5"/>
        <v/>
      </c>
      <c r="M2313" s="7" t="str">
        <f>IFERROR(__xludf.DUMMYFUNCTION("IFERROR(
  IF(
    F2313 &gt;
    3*AVERAGE(
       FILTER($F$2:$F10491,
         $G$2:$G10491=G2313,
         $A$2:$A10491&gt;=A2313-20,
         $A$2:$A10491&lt;=A2313
       )
    ),
    ""VOL_SPIKE_3X"",""""
  ),
"""")
"),"")</f>
        <v/>
      </c>
      <c r="N2313" s="7" t="str">
        <f t="shared" si="6"/>
        <v/>
      </c>
      <c r="O2313" s="7" t="str">
        <f t="shared" si="7"/>
        <v/>
      </c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>
      <c r="A2314" s="5">
        <f>IFERROR(__xludf.DUMMYFUNCTION("""COMPUTED_VALUE"""),45891.0)</f>
        <v>45891</v>
      </c>
      <c r="B2314" s="6">
        <f>IFERROR(__xludf.DUMMYFUNCTION("""COMPUTED_VALUE"""),378.15)</f>
        <v>378.15</v>
      </c>
      <c r="C2314" s="6">
        <f>IFERROR(__xludf.DUMMYFUNCTION("""COMPUTED_VALUE"""),379.0)</f>
        <v>379</v>
      </c>
      <c r="D2314" s="6">
        <f>IFERROR(__xludf.DUMMYFUNCTION("""COMPUTED_VALUE"""),374.05)</f>
        <v>374.05</v>
      </c>
      <c r="E2314" s="6">
        <f>IFERROR(__xludf.DUMMYFUNCTION("""COMPUTED_VALUE"""),374.45)</f>
        <v>374.45</v>
      </c>
      <c r="F2314" s="7">
        <f>IFERROR(__xludf.DUMMYFUNCTION("""COMPUTED_VALUE"""),4699261.0)</f>
        <v>4699261</v>
      </c>
      <c r="G2314" s="7" t="str">
        <f>IFERROR(__xludf.DUMMYFUNCTION("""COMPUTED_VALUE"""),"COALINDIA.NS")</f>
        <v>COALINDIA.NS</v>
      </c>
      <c r="H2314" s="8">
        <f t="shared" si="1"/>
        <v>-0.009784477059</v>
      </c>
      <c r="I2314" s="8">
        <f t="shared" si="2"/>
        <v>0.009784477059</v>
      </c>
      <c r="J2314" s="7" t="str">
        <f t="shared" si="3"/>
        <v>Aug-2025</v>
      </c>
      <c r="K2314" s="9">
        <f t="shared" si="4"/>
        <v>45870</v>
      </c>
      <c r="L2314" s="7" t="str">
        <f t="shared" si="5"/>
        <v/>
      </c>
      <c r="M2314" s="7" t="str">
        <f>IFERROR(__xludf.DUMMYFUNCTION("IFERROR(
  IF(
    F2314 &gt;
    3*AVERAGE(
       FILTER($F$2:$F10491,
         $G$2:$G10491=G2314,
         $A$2:$A10491&gt;=A2314-20,
         $A$2:$A10491&lt;=A2314
       )
    ),
    ""VOL_SPIKE_3X"",""""
  ),
"""")
"),"")</f>
        <v/>
      </c>
      <c r="N2314" s="7" t="str">
        <f t="shared" si="6"/>
        <v/>
      </c>
      <c r="O2314" s="7" t="str">
        <f t="shared" si="7"/>
        <v/>
      </c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>
      <c r="A2315" s="5">
        <f>IFERROR(__xludf.DUMMYFUNCTION("""COMPUTED_VALUE"""),45891.0)</f>
        <v>45891</v>
      </c>
      <c r="B2315" s="6">
        <f>IFERROR(__xludf.DUMMYFUNCTION("""COMPUTED_VALUE"""),393.0)</f>
        <v>393</v>
      </c>
      <c r="C2315" s="6">
        <f>IFERROR(__xludf.DUMMYFUNCTION("""COMPUTED_VALUE"""),393.45)</f>
        <v>393.45</v>
      </c>
      <c r="D2315" s="6">
        <f>IFERROR(__xludf.DUMMYFUNCTION("""COMPUTED_VALUE"""),387.7)</f>
        <v>387.7</v>
      </c>
      <c r="E2315" s="6">
        <f>IFERROR(__xludf.DUMMYFUNCTION("""COMPUTED_VALUE"""),390.75)</f>
        <v>390.75</v>
      </c>
      <c r="F2315" s="7">
        <f>IFERROR(__xludf.DUMMYFUNCTION("""COMPUTED_VALUE"""),2627075.0)</f>
        <v>2627075</v>
      </c>
      <c r="G2315" s="7" t="str">
        <f>IFERROR(__xludf.DUMMYFUNCTION("""COMPUTED_VALUE"""),"HINDPETRO.NS")</f>
        <v>HINDPETRO.NS</v>
      </c>
      <c r="H2315" s="8">
        <f t="shared" si="1"/>
        <v>-0.00572519084</v>
      </c>
      <c r="I2315" s="8">
        <f t="shared" si="2"/>
        <v>0.00572519084</v>
      </c>
      <c r="J2315" s="7" t="str">
        <f t="shared" si="3"/>
        <v>Aug-2025</v>
      </c>
      <c r="K2315" s="9">
        <f t="shared" si="4"/>
        <v>45870</v>
      </c>
      <c r="L2315" s="7" t="str">
        <f t="shared" si="5"/>
        <v/>
      </c>
      <c r="M2315" s="7" t="str">
        <f>IFERROR(__xludf.DUMMYFUNCTION("IFERROR(
  IF(
    F2315 &gt;
    3*AVERAGE(
       FILTER($F$2:$F10491,
         $G$2:$G10491=G2315,
         $A$2:$A10491&gt;=A2315-20,
         $A$2:$A10491&lt;=A2315
       )
    ),
    ""VOL_SPIKE_3X"",""""
  ),
"""")
"),"")</f>
        <v/>
      </c>
      <c r="N2315" s="7" t="str">
        <f t="shared" si="6"/>
        <v/>
      </c>
      <c r="O2315" s="7" t="str">
        <f t="shared" si="7"/>
        <v/>
      </c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>
      <c r="A2316" s="5">
        <f>IFERROR(__xludf.DUMMYFUNCTION("""COMPUTED_VALUE"""),45891.0)</f>
        <v>45891</v>
      </c>
      <c r="B2316" s="6">
        <f>IFERROR(__xludf.DUMMYFUNCTION("""COMPUTED_VALUE"""),141.4)</f>
        <v>141.4</v>
      </c>
      <c r="C2316" s="6">
        <f>IFERROR(__xludf.DUMMYFUNCTION("""COMPUTED_VALUE"""),141.8)</f>
        <v>141.8</v>
      </c>
      <c r="D2316" s="6">
        <f>IFERROR(__xludf.DUMMYFUNCTION("""COMPUTED_VALUE"""),139.45)</f>
        <v>139.45</v>
      </c>
      <c r="E2316" s="6">
        <f>IFERROR(__xludf.DUMMYFUNCTION("""COMPUTED_VALUE"""),139.95)</f>
        <v>139.95</v>
      </c>
      <c r="F2316" s="7">
        <f>IFERROR(__xludf.DUMMYFUNCTION("""COMPUTED_VALUE"""),5874783.0)</f>
        <v>5874783</v>
      </c>
      <c r="G2316" s="7" t="str">
        <f>IFERROR(__xludf.DUMMYFUNCTION("""COMPUTED_VALUE"""),"IOC.NS")</f>
        <v>IOC.NS</v>
      </c>
      <c r="H2316" s="8">
        <f t="shared" si="1"/>
        <v>-0.01025459689</v>
      </c>
      <c r="I2316" s="8">
        <f t="shared" si="2"/>
        <v>0.01025459689</v>
      </c>
      <c r="J2316" s="7" t="str">
        <f t="shared" si="3"/>
        <v>Aug-2025</v>
      </c>
      <c r="K2316" s="9">
        <f t="shared" si="4"/>
        <v>45870</v>
      </c>
      <c r="L2316" s="7" t="str">
        <f t="shared" si="5"/>
        <v/>
      </c>
      <c r="M2316" s="7" t="str">
        <f>IFERROR(__xludf.DUMMYFUNCTION("IFERROR(
  IF(
    F2316 &gt;
    3*AVERAGE(
       FILTER($F$2:$F10491,
         $G$2:$G10491=G2316,
         $A$2:$A10491&gt;=A2316-20,
         $A$2:$A10491&lt;=A2316
       )
    ),
    ""VOL_SPIKE_3X"",""""
  ),
"""")
"),"")</f>
        <v/>
      </c>
      <c r="N2316" s="7" t="str">
        <f t="shared" si="6"/>
        <v/>
      </c>
      <c r="O2316" s="7" t="str">
        <f t="shared" si="7"/>
        <v/>
      </c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>
      <c r="A2317" s="5">
        <f>IFERROR(__xludf.DUMMYFUNCTION("""COMPUTED_VALUE"""),45891.0)</f>
        <v>45891</v>
      </c>
      <c r="B2317" s="6">
        <f>IFERROR(__xludf.DUMMYFUNCTION("""COMPUTED_VALUE"""),338.5)</f>
        <v>338.5</v>
      </c>
      <c r="C2317" s="6">
        <f>IFERROR(__xludf.DUMMYFUNCTION("""COMPUTED_VALUE"""),338.9)</f>
        <v>338.9</v>
      </c>
      <c r="D2317" s="6">
        <f>IFERROR(__xludf.DUMMYFUNCTION("""COMPUTED_VALUE"""),335.5)</f>
        <v>335.5</v>
      </c>
      <c r="E2317" s="6">
        <f>IFERROR(__xludf.DUMMYFUNCTION("""COMPUTED_VALUE"""),337.0)</f>
        <v>337</v>
      </c>
      <c r="F2317" s="7">
        <f>IFERROR(__xludf.DUMMYFUNCTION("""COMPUTED_VALUE"""),8534844.0)</f>
        <v>8534844</v>
      </c>
      <c r="G2317" s="7" t="str">
        <f>IFERROR(__xludf.DUMMYFUNCTION("""COMPUTED_VALUE"""),"NTPC.NS")</f>
        <v>NTPC.NS</v>
      </c>
      <c r="H2317" s="8">
        <f t="shared" si="1"/>
        <v>-0.004431314623</v>
      </c>
      <c r="I2317" s="8">
        <f t="shared" si="2"/>
        <v>0.004431314623</v>
      </c>
      <c r="J2317" s="7" t="str">
        <f t="shared" si="3"/>
        <v>Aug-2025</v>
      </c>
      <c r="K2317" s="9">
        <f t="shared" si="4"/>
        <v>45870</v>
      </c>
      <c r="L2317" s="7" t="str">
        <f t="shared" si="5"/>
        <v/>
      </c>
      <c r="M2317" s="7" t="str">
        <f>IFERROR(__xludf.DUMMYFUNCTION("IFERROR(
  IF(
    F2317 &gt;
    3*AVERAGE(
       FILTER($F$2:$F10491,
         $G$2:$G10491=G2317,
         $A$2:$A10491&gt;=A2317-20,
         $A$2:$A10491&lt;=A2317
       )
    ),
    ""VOL_SPIKE_3X"",""""
  ),
"""")
"),"")</f>
        <v/>
      </c>
      <c r="N2317" s="7" t="str">
        <f t="shared" si="6"/>
        <v/>
      </c>
      <c r="O2317" s="7" t="str">
        <f t="shared" si="7"/>
        <v/>
      </c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>
      <c r="A2318" s="5">
        <f>IFERROR(__xludf.DUMMYFUNCTION("""COMPUTED_VALUE"""),45891.0)</f>
        <v>45891</v>
      </c>
      <c r="B2318" s="6">
        <f>IFERROR(__xludf.DUMMYFUNCTION("""COMPUTED_VALUE"""),238.0)</f>
        <v>238</v>
      </c>
      <c r="C2318" s="6">
        <f>IFERROR(__xludf.DUMMYFUNCTION("""COMPUTED_VALUE"""),238.63)</f>
        <v>238.63</v>
      </c>
      <c r="D2318" s="6">
        <f>IFERROR(__xludf.DUMMYFUNCTION("""COMPUTED_VALUE"""),235.89)</f>
        <v>235.89</v>
      </c>
      <c r="E2318" s="6">
        <f>IFERROR(__xludf.DUMMYFUNCTION("""COMPUTED_VALUE"""),236.29)</f>
        <v>236.29</v>
      </c>
      <c r="F2318" s="7">
        <f>IFERROR(__xludf.DUMMYFUNCTION("""COMPUTED_VALUE"""),5423818.0)</f>
        <v>5423818</v>
      </c>
      <c r="G2318" s="7" t="str">
        <f>IFERROR(__xludf.DUMMYFUNCTION("""COMPUTED_VALUE"""),"ONGC.NS")</f>
        <v>ONGC.NS</v>
      </c>
      <c r="H2318" s="8">
        <f t="shared" si="1"/>
        <v>-0.00718487395</v>
      </c>
      <c r="I2318" s="8">
        <f t="shared" si="2"/>
        <v>0.00718487395</v>
      </c>
      <c r="J2318" s="7" t="str">
        <f t="shared" si="3"/>
        <v>Aug-2025</v>
      </c>
      <c r="K2318" s="9">
        <f t="shared" si="4"/>
        <v>45870</v>
      </c>
      <c r="L2318" s="7" t="str">
        <f t="shared" si="5"/>
        <v/>
      </c>
      <c r="M2318" s="7" t="str">
        <f>IFERROR(__xludf.DUMMYFUNCTION("IFERROR(
  IF(
    F2318 &gt;
    3*AVERAGE(
       FILTER($F$2:$F10491,
         $G$2:$G10491=G2318,
         $A$2:$A10491&gt;=A2318-20,
         $A$2:$A10491&lt;=A2318
       )
    ),
    ""VOL_SPIKE_3X"",""""
  ),
"""")
"),"")</f>
        <v/>
      </c>
      <c r="N2318" s="7" t="str">
        <f t="shared" si="6"/>
        <v/>
      </c>
      <c r="O2318" s="7" t="str">
        <f t="shared" si="7"/>
        <v/>
      </c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>
      <c r="A2319" s="5">
        <f>IFERROR(__xludf.DUMMYFUNCTION("""COMPUTED_VALUE"""),45891.0)</f>
        <v>45891</v>
      </c>
      <c r="B2319" s="6">
        <f>IFERROR(__xludf.DUMMYFUNCTION("""COMPUTED_VALUE"""),284.0)</f>
        <v>284</v>
      </c>
      <c r="C2319" s="6">
        <f>IFERROR(__xludf.DUMMYFUNCTION("""COMPUTED_VALUE"""),284.55)</f>
        <v>284.55</v>
      </c>
      <c r="D2319" s="6">
        <f>IFERROR(__xludf.DUMMYFUNCTION("""COMPUTED_VALUE"""),281.8)</f>
        <v>281.8</v>
      </c>
      <c r="E2319" s="6">
        <f>IFERROR(__xludf.DUMMYFUNCTION("""COMPUTED_VALUE"""),283.35)</f>
        <v>283.35</v>
      </c>
      <c r="F2319" s="7">
        <f>IFERROR(__xludf.DUMMYFUNCTION("""COMPUTED_VALUE"""),6824793.0)</f>
        <v>6824793</v>
      </c>
      <c r="G2319" s="7" t="str">
        <f>IFERROR(__xludf.DUMMYFUNCTION("""COMPUTED_VALUE"""),"POWERGRID.NS")</f>
        <v>POWERGRID.NS</v>
      </c>
      <c r="H2319" s="8">
        <f t="shared" si="1"/>
        <v>-0.002288732394</v>
      </c>
      <c r="I2319" s="8">
        <f t="shared" si="2"/>
        <v>0.002288732394</v>
      </c>
      <c r="J2319" s="7" t="str">
        <f t="shared" si="3"/>
        <v>Aug-2025</v>
      </c>
      <c r="K2319" s="9">
        <f t="shared" si="4"/>
        <v>45870</v>
      </c>
      <c r="L2319" s="7" t="str">
        <f t="shared" si="5"/>
        <v/>
      </c>
      <c r="M2319" s="7" t="str">
        <f>IFERROR(__xludf.DUMMYFUNCTION("IFERROR(
  IF(
    F2319 &gt;
    3*AVERAGE(
       FILTER($F$2:$F10491,
         $G$2:$G10491=G2319,
         $A$2:$A10491&gt;=A2319-20,
         $A$2:$A10491&lt;=A2319
       )
    ),
    ""VOL_SPIKE_3X"",""""
  ),
"""")
"),"")</f>
        <v/>
      </c>
      <c r="N2319" s="7" t="str">
        <f t="shared" si="6"/>
        <v/>
      </c>
      <c r="O2319" s="7" t="str">
        <f t="shared" si="7"/>
        <v/>
      </c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>
      <c r="A2320" s="5">
        <f>IFERROR(__xludf.DUMMYFUNCTION("""COMPUTED_VALUE"""),45891.0)</f>
        <v>45891</v>
      </c>
      <c r="B2320" s="6">
        <f>IFERROR(__xludf.DUMMYFUNCTION("""COMPUTED_VALUE"""),1420.0)</f>
        <v>1420</v>
      </c>
      <c r="C2320" s="6">
        <f>IFERROR(__xludf.DUMMYFUNCTION("""COMPUTED_VALUE"""),1423.4)</f>
        <v>1423.4</v>
      </c>
      <c r="D2320" s="6">
        <f>IFERROR(__xludf.DUMMYFUNCTION("""COMPUTED_VALUE"""),1407.9)</f>
        <v>1407.9</v>
      </c>
      <c r="E2320" s="6">
        <f>IFERROR(__xludf.DUMMYFUNCTION("""COMPUTED_VALUE"""),1409.2)</f>
        <v>1409.2</v>
      </c>
      <c r="F2320" s="7">
        <f>IFERROR(__xludf.DUMMYFUNCTION("""COMPUTED_VALUE"""),5818868.0)</f>
        <v>5818868</v>
      </c>
      <c r="G2320" s="7" t="str">
        <f>IFERROR(__xludf.DUMMYFUNCTION("""COMPUTED_VALUE"""),"RELIANCE.NS")</f>
        <v>RELIANCE.NS</v>
      </c>
      <c r="H2320" s="8">
        <f t="shared" si="1"/>
        <v>-0.007605633803</v>
      </c>
      <c r="I2320" s="8">
        <f t="shared" si="2"/>
        <v>0.007605633803</v>
      </c>
      <c r="J2320" s="7" t="str">
        <f t="shared" si="3"/>
        <v>Aug-2025</v>
      </c>
      <c r="K2320" s="9">
        <f t="shared" si="4"/>
        <v>45870</v>
      </c>
      <c r="L2320" s="7" t="str">
        <f t="shared" si="5"/>
        <v/>
      </c>
      <c r="M2320" s="7" t="str">
        <f>IFERROR(__xludf.DUMMYFUNCTION("IFERROR(
  IF(
    F2320 &gt;
    3*AVERAGE(
       FILTER($F$2:$F10491,
         $G$2:$G10491=G2320,
         $A$2:$A10491&gt;=A2320-20,
         $A$2:$A10491&lt;=A2320
       )
    ),
    ""VOL_SPIKE_3X"",""""
  ),
"""")
"),"")</f>
        <v/>
      </c>
      <c r="N2320" s="7" t="str">
        <f t="shared" si="6"/>
        <v/>
      </c>
      <c r="O2320" s="7" t="str">
        <f t="shared" si="7"/>
        <v/>
      </c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>
      <c r="A2321" s="5">
        <f>IFERROR(__xludf.DUMMYFUNCTION("""COMPUTED_VALUE"""),45894.0)</f>
        <v>45894</v>
      </c>
      <c r="B2321" s="6">
        <f>IFERROR(__xludf.DUMMYFUNCTION("""COMPUTED_VALUE"""),805.0)</f>
        <v>805</v>
      </c>
      <c r="C2321" s="6">
        <f>IFERROR(__xludf.DUMMYFUNCTION("""COMPUTED_VALUE"""),807.85)</f>
        <v>807.85</v>
      </c>
      <c r="D2321" s="6">
        <f>IFERROR(__xludf.DUMMYFUNCTION("""COMPUTED_VALUE"""),795.05)</f>
        <v>795.05</v>
      </c>
      <c r="E2321" s="6">
        <f>IFERROR(__xludf.DUMMYFUNCTION("""COMPUTED_VALUE"""),805.75)</f>
        <v>805.75</v>
      </c>
      <c r="F2321" s="7">
        <f>IFERROR(__xludf.DUMMYFUNCTION("""COMPUTED_VALUE"""),718727.0)</f>
        <v>718727</v>
      </c>
      <c r="G2321" s="7" t="str">
        <f>IFERROR(__xludf.DUMMYFUNCTION("""COMPUTED_VALUE"""),"ADANIENSOL.NS")</f>
        <v>ADANIENSOL.NS</v>
      </c>
      <c r="H2321" s="8">
        <f t="shared" si="1"/>
        <v>0.0009316770186</v>
      </c>
      <c r="I2321" s="8">
        <f t="shared" si="2"/>
        <v>0.0009316770186</v>
      </c>
      <c r="J2321" s="7" t="str">
        <f t="shared" si="3"/>
        <v>Aug-2025</v>
      </c>
      <c r="K2321" s="9">
        <f t="shared" si="4"/>
        <v>45870</v>
      </c>
      <c r="L2321" s="7" t="str">
        <f t="shared" si="5"/>
        <v/>
      </c>
      <c r="M2321" s="7" t="str">
        <f>IFERROR(__xludf.DUMMYFUNCTION("IFERROR(
  IF(
    F2321 &gt;
    3*AVERAGE(
       FILTER($F$2:$F10491,
         $G$2:$G10491=G2321,
         $A$2:$A10491&gt;=A2321-20,
         $A$2:$A10491&lt;=A2321
       )
    ),
    ""VOL_SPIKE_3X"",""""
  ),
"""")
"),"")</f>
        <v/>
      </c>
      <c r="N2321" s="7" t="str">
        <f t="shared" si="6"/>
        <v/>
      </c>
      <c r="O2321" s="7" t="str">
        <f t="shared" si="7"/>
        <v/>
      </c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>
      <c r="A2322" s="5">
        <f>IFERROR(__xludf.DUMMYFUNCTION("""COMPUTED_VALUE"""),45894.0)</f>
        <v>45894</v>
      </c>
      <c r="B2322" s="6">
        <f>IFERROR(__xludf.DUMMYFUNCTION("""COMPUTED_VALUE"""),958.35)</f>
        <v>958.35</v>
      </c>
      <c r="C2322" s="6">
        <f>IFERROR(__xludf.DUMMYFUNCTION("""COMPUTED_VALUE"""),972.7)</f>
        <v>972.7</v>
      </c>
      <c r="D2322" s="6">
        <f>IFERROR(__xludf.DUMMYFUNCTION("""COMPUTED_VALUE"""),958.35)</f>
        <v>958.35</v>
      </c>
      <c r="E2322" s="6">
        <f>IFERROR(__xludf.DUMMYFUNCTION("""COMPUTED_VALUE"""),964.1)</f>
        <v>964.1</v>
      </c>
      <c r="F2322" s="7">
        <f>IFERROR(__xludf.DUMMYFUNCTION("""COMPUTED_VALUE"""),943859.0)</f>
        <v>943859</v>
      </c>
      <c r="G2322" s="7" t="str">
        <f>IFERROR(__xludf.DUMMYFUNCTION("""COMPUTED_VALUE"""),"ADANIGREEN.NS")</f>
        <v>ADANIGREEN.NS</v>
      </c>
      <c r="H2322" s="8">
        <f t="shared" si="1"/>
        <v>0.005999895654</v>
      </c>
      <c r="I2322" s="8">
        <f t="shared" si="2"/>
        <v>0.005999895654</v>
      </c>
      <c r="J2322" s="7" t="str">
        <f t="shared" si="3"/>
        <v>Aug-2025</v>
      </c>
      <c r="K2322" s="9">
        <f t="shared" si="4"/>
        <v>45870</v>
      </c>
      <c r="L2322" s="7" t="str">
        <f t="shared" si="5"/>
        <v/>
      </c>
      <c r="M2322" s="7" t="str">
        <f>IFERROR(__xludf.DUMMYFUNCTION("IFERROR(
  IF(
    F2322 &gt;
    3*AVERAGE(
       FILTER($F$2:$F10491,
         $G$2:$G10491=G2322,
         $A$2:$A10491&gt;=A2322-20,
         $A$2:$A10491&lt;=A2322
       )
    ),
    ""VOL_SPIKE_3X"",""""
  ),
"""")
"),"")</f>
        <v/>
      </c>
      <c r="N2322" s="7" t="str">
        <f t="shared" si="6"/>
        <v/>
      </c>
      <c r="O2322" s="7" t="str">
        <f t="shared" si="7"/>
        <v/>
      </c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>
      <c r="A2323" s="5">
        <f>IFERROR(__xludf.DUMMYFUNCTION("""COMPUTED_VALUE"""),45894.0)</f>
        <v>45894</v>
      </c>
      <c r="B2323" s="6">
        <f>IFERROR(__xludf.DUMMYFUNCTION("""COMPUTED_VALUE"""),318.95)</f>
        <v>318.95</v>
      </c>
      <c r="C2323" s="6">
        <f>IFERROR(__xludf.DUMMYFUNCTION("""COMPUTED_VALUE"""),318.95)</f>
        <v>318.95</v>
      </c>
      <c r="D2323" s="6">
        <f>IFERROR(__xludf.DUMMYFUNCTION("""COMPUTED_VALUE"""),314.5)</f>
        <v>314.5</v>
      </c>
      <c r="E2323" s="6">
        <f>IFERROR(__xludf.DUMMYFUNCTION("""COMPUTED_VALUE"""),315.8)</f>
        <v>315.8</v>
      </c>
      <c r="F2323" s="7">
        <f>IFERROR(__xludf.DUMMYFUNCTION("""COMPUTED_VALUE"""),2841339.0)</f>
        <v>2841339</v>
      </c>
      <c r="G2323" s="7" t="str">
        <f>IFERROR(__xludf.DUMMYFUNCTION("""COMPUTED_VALUE"""),"BPCL.NS")</f>
        <v>BPCL.NS</v>
      </c>
      <c r="H2323" s="8">
        <f t="shared" si="1"/>
        <v>-0.009876156137</v>
      </c>
      <c r="I2323" s="8">
        <f t="shared" si="2"/>
        <v>0.009876156137</v>
      </c>
      <c r="J2323" s="7" t="str">
        <f t="shared" si="3"/>
        <v>Aug-2025</v>
      </c>
      <c r="K2323" s="9">
        <f t="shared" si="4"/>
        <v>45870</v>
      </c>
      <c r="L2323" s="7" t="str">
        <f t="shared" si="5"/>
        <v/>
      </c>
      <c r="M2323" s="7" t="str">
        <f>IFERROR(__xludf.DUMMYFUNCTION("IFERROR(
  IF(
    F2323 &gt;
    3*AVERAGE(
       FILTER($F$2:$F10491,
         $G$2:$G10491=G2323,
         $A$2:$A10491&gt;=A2323-20,
         $A$2:$A10491&lt;=A2323
       )
    ),
    ""VOL_SPIKE_3X"",""""
  ),
"""")
"),"")</f>
        <v/>
      </c>
      <c r="N2323" s="7" t="str">
        <f t="shared" si="6"/>
        <v/>
      </c>
      <c r="O2323" s="7" t="str">
        <f t="shared" si="7"/>
        <v/>
      </c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>
      <c r="A2324" s="5">
        <f>IFERROR(__xludf.DUMMYFUNCTION("""COMPUTED_VALUE"""),45894.0)</f>
        <v>45894</v>
      </c>
      <c r="B2324" s="6">
        <f>IFERROR(__xludf.DUMMYFUNCTION("""COMPUTED_VALUE"""),375.0)</f>
        <v>375</v>
      </c>
      <c r="C2324" s="6">
        <f>IFERROR(__xludf.DUMMYFUNCTION("""COMPUTED_VALUE"""),380.75)</f>
        <v>380.75</v>
      </c>
      <c r="D2324" s="6">
        <f>IFERROR(__xludf.DUMMYFUNCTION("""COMPUTED_VALUE"""),374.8)</f>
        <v>374.8</v>
      </c>
      <c r="E2324" s="6">
        <f>IFERROR(__xludf.DUMMYFUNCTION("""COMPUTED_VALUE"""),380.0)</f>
        <v>380</v>
      </c>
      <c r="F2324" s="7">
        <f>IFERROR(__xludf.DUMMYFUNCTION("""COMPUTED_VALUE"""),4349832.0)</f>
        <v>4349832</v>
      </c>
      <c r="G2324" s="7" t="str">
        <f>IFERROR(__xludf.DUMMYFUNCTION("""COMPUTED_VALUE"""),"COALINDIA.NS")</f>
        <v>COALINDIA.NS</v>
      </c>
      <c r="H2324" s="8">
        <f t="shared" si="1"/>
        <v>0.01333333333</v>
      </c>
      <c r="I2324" s="8">
        <f t="shared" si="2"/>
        <v>0.01333333333</v>
      </c>
      <c r="J2324" s="7" t="str">
        <f t="shared" si="3"/>
        <v>Aug-2025</v>
      </c>
      <c r="K2324" s="9">
        <f t="shared" si="4"/>
        <v>45870</v>
      </c>
      <c r="L2324" s="7" t="str">
        <f t="shared" si="5"/>
        <v/>
      </c>
      <c r="M2324" s="7" t="str">
        <f>IFERROR(__xludf.DUMMYFUNCTION("IFERROR(
  IF(
    F2324 &gt;
    3*AVERAGE(
       FILTER($F$2:$F10491,
         $G$2:$G10491=G2324,
         $A$2:$A10491&gt;=A2324-20,
         $A$2:$A10491&lt;=A2324
       )
    ),
    ""VOL_SPIKE_3X"",""""
  ),
"""")
"),"")</f>
        <v/>
      </c>
      <c r="N2324" s="7" t="str">
        <f t="shared" si="6"/>
        <v/>
      </c>
      <c r="O2324" s="7" t="str">
        <f t="shared" si="7"/>
        <v/>
      </c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>
      <c r="A2325" s="5">
        <f>IFERROR(__xludf.DUMMYFUNCTION("""COMPUTED_VALUE"""),45894.0)</f>
        <v>45894</v>
      </c>
      <c r="B2325" s="6">
        <f>IFERROR(__xludf.DUMMYFUNCTION("""COMPUTED_VALUE"""),390.5)</f>
        <v>390.5</v>
      </c>
      <c r="C2325" s="6">
        <f>IFERROR(__xludf.DUMMYFUNCTION("""COMPUTED_VALUE"""),391.5)</f>
        <v>391.5</v>
      </c>
      <c r="D2325" s="6">
        <f>IFERROR(__xludf.DUMMYFUNCTION("""COMPUTED_VALUE"""),387.6)</f>
        <v>387.6</v>
      </c>
      <c r="E2325" s="6">
        <f>IFERROR(__xludf.DUMMYFUNCTION("""COMPUTED_VALUE"""),390.25)</f>
        <v>390.25</v>
      </c>
      <c r="F2325" s="7">
        <f>IFERROR(__xludf.DUMMYFUNCTION("""COMPUTED_VALUE"""),1235196.0)</f>
        <v>1235196</v>
      </c>
      <c r="G2325" s="7" t="str">
        <f>IFERROR(__xludf.DUMMYFUNCTION("""COMPUTED_VALUE"""),"HINDPETRO.NS")</f>
        <v>HINDPETRO.NS</v>
      </c>
      <c r="H2325" s="8">
        <f t="shared" si="1"/>
        <v>-0.0006402048656</v>
      </c>
      <c r="I2325" s="8">
        <f t="shared" si="2"/>
        <v>0.0006402048656</v>
      </c>
      <c r="J2325" s="7" t="str">
        <f t="shared" si="3"/>
        <v>Aug-2025</v>
      </c>
      <c r="K2325" s="9">
        <f t="shared" si="4"/>
        <v>45870</v>
      </c>
      <c r="L2325" s="7" t="str">
        <f t="shared" si="5"/>
        <v/>
      </c>
      <c r="M2325" s="7" t="str">
        <f>IFERROR(__xludf.DUMMYFUNCTION("IFERROR(
  IF(
    F2325 &gt;
    3*AVERAGE(
       FILTER($F$2:$F10491,
         $G$2:$G10491=G2325,
         $A$2:$A10491&gt;=A2325-20,
         $A$2:$A10491&lt;=A2325
       )
    ),
    ""VOL_SPIKE_3X"",""""
  ),
"""")
"),"")</f>
        <v/>
      </c>
      <c r="N2325" s="7" t="str">
        <f t="shared" si="6"/>
        <v/>
      </c>
      <c r="O2325" s="7" t="str">
        <f t="shared" si="7"/>
        <v/>
      </c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>
      <c r="A2326" s="5">
        <f>IFERROR(__xludf.DUMMYFUNCTION("""COMPUTED_VALUE"""),45894.0)</f>
        <v>45894</v>
      </c>
      <c r="B2326" s="6">
        <f>IFERROR(__xludf.DUMMYFUNCTION("""COMPUTED_VALUE"""),139.95)</f>
        <v>139.95</v>
      </c>
      <c r="C2326" s="6">
        <f>IFERROR(__xludf.DUMMYFUNCTION("""COMPUTED_VALUE"""),140.37)</f>
        <v>140.37</v>
      </c>
      <c r="D2326" s="6">
        <f>IFERROR(__xludf.DUMMYFUNCTION("""COMPUTED_VALUE"""),139.19)</f>
        <v>139.19</v>
      </c>
      <c r="E2326" s="6">
        <f>IFERROR(__xludf.DUMMYFUNCTION("""COMPUTED_VALUE"""),139.96)</f>
        <v>139.96</v>
      </c>
      <c r="F2326" s="7">
        <f>IFERROR(__xludf.DUMMYFUNCTION("""COMPUTED_VALUE"""),8282860.0)</f>
        <v>8282860</v>
      </c>
      <c r="G2326" s="7" t="str">
        <f>IFERROR(__xludf.DUMMYFUNCTION("""COMPUTED_VALUE"""),"IOC.NS")</f>
        <v>IOC.NS</v>
      </c>
      <c r="H2326" s="8">
        <f t="shared" si="1"/>
        <v>0.00007145409075</v>
      </c>
      <c r="I2326" s="8">
        <f t="shared" si="2"/>
        <v>0.00007145409075</v>
      </c>
      <c r="J2326" s="7" t="str">
        <f t="shared" si="3"/>
        <v>Aug-2025</v>
      </c>
      <c r="K2326" s="9">
        <f t="shared" si="4"/>
        <v>45870</v>
      </c>
      <c r="L2326" s="7" t="str">
        <f t="shared" si="5"/>
        <v/>
      </c>
      <c r="M2326" s="7" t="str">
        <f>IFERROR(__xludf.DUMMYFUNCTION("IFERROR(
  IF(
    F2326 &gt;
    3*AVERAGE(
       FILTER($F$2:$F10491,
         $G$2:$G10491=G2326,
         $A$2:$A10491&gt;=A2326-20,
         $A$2:$A10491&lt;=A2326
       )
    ),
    ""VOL_SPIKE_3X"",""""
  ),
"""")
"),"")</f>
        <v/>
      </c>
      <c r="N2326" s="7" t="str">
        <f t="shared" si="6"/>
        <v/>
      </c>
      <c r="O2326" s="7" t="str">
        <f t="shared" si="7"/>
        <v/>
      </c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>
      <c r="A2327" s="5">
        <f>IFERROR(__xludf.DUMMYFUNCTION("""COMPUTED_VALUE"""),45894.0)</f>
        <v>45894</v>
      </c>
      <c r="B2327" s="6">
        <f>IFERROR(__xludf.DUMMYFUNCTION("""COMPUTED_VALUE"""),337.05)</f>
        <v>337.05</v>
      </c>
      <c r="C2327" s="6">
        <f>IFERROR(__xludf.DUMMYFUNCTION("""COMPUTED_VALUE"""),341.4)</f>
        <v>341.4</v>
      </c>
      <c r="D2327" s="6">
        <f>IFERROR(__xludf.DUMMYFUNCTION("""COMPUTED_VALUE"""),337.05)</f>
        <v>337.05</v>
      </c>
      <c r="E2327" s="6">
        <f>IFERROR(__xludf.DUMMYFUNCTION("""COMPUTED_VALUE"""),337.85)</f>
        <v>337.85</v>
      </c>
      <c r="F2327" s="7">
        <f>IFERROR(__xludf.DUMMYFUNCTION("""COMPUTED_VALUE"""),7142387.0)</f>
        <v>7142387</v>
      </c>
      <c r="G2327" s="7" t="str">
        <f>IFERROR(__xludf.DUMMYFUNCTION("""COMPUTED_VALUE"""),"NTPC.NS")</f>
        <v>NTPC.NS</v>
      </c>
      <c r="H2327" s="8">
        <f t="shared" si="1"/>
        <v>0.002373535084</v>
      </c>
      <c r="I2327" s="8">
        <f t="shared" si="2"/>
        <v>0.002373535084</v>
      </c>
      <c r="J2327" s="7" t="str">
        <f t="shared" si="3"/>
        <v>Aug-2025</v>
      </c>
      <c r="K2327" s="9">
        <f t="shared" si="4"/>
        <v>45870</v>
      </c>
      <c r="L2327" s="7" t="str">
        <f t="shared" si="5"/>
        <v/>
      </c>
      <c r="M2327" s="7" t="str">
        <f>IFERROR(__xludf.DUMMYFUNCTION("IFERROR(
  IF(
    F2327 &gt;
    3*AVERAGE(
       FILTER($F$2:$F10491,
         $G$2:$G10491=G2327,
         $A$2:$A10491&gt;=A2327-20,
         $A$2:$A10491&lt;=A2327
       )
    ),
    ""VOL_SPIKE_3X"",""""
  ),
"""")
"),"")</f>
        <v/>
      </c>
      <c r="N2327" s="7" t="str">
        <f t="shared" si="6"/>
        <v/>
      </c>
      <c r="O2327" s="7" t="str">
        <f t="shared" si="7"/>
        <v/>
      </c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>
      <c r="A2328" s="5">
        <f>IFERROR(__xludf.DUMMYFUNCTION("""COMPUTED_VALUE"""),45894.0)</f>
        <v>45894</v>
      </c>
      <c r="B2328" s="6">
        <f>IFERROR(__xludf.DUMMYFUNCTION("""COMPUTED_VALUE"""),236.3)</f>
        <v>236.3</v>
      </c>
      <c r="C2328" s="6">
        <f>IFERROR(__xludf.DUMMYFUNCTION("""COMPUTED_VALUE"""),237.49)</f>
        <v>237.49</v>
      </c>
      <c r="D2328" s="6">
        <f>IFERROR(__xludf.DUMMYFUNCTION("""COMPUTED_VALUE"""),235.65)</f>
        <v>235.65</v>
      </c>
      <c r="E2328" s="6">
        <f>IFERROR(__xludf.DUMMYFUNCTION("""COMPUTED_VALUE"""),236.76)</f>
        <v>236.76</v>
      </c>
      <c r="F2328" s="7">
        <f>IFERROR(__xludf.DUMMYFUNCTION("""COMPUTED_VALUE"""),8854258.0)</f>
        <v>8854258</v>
      </c>
      <c r="G2328" s="7" t="str">
        <f>IFERROR(__xludf.DUMMYFUNCTION("""COMPUTED_VALUE"""),"ONGC.NS")</f>
        <v>ONGC.NS</v>
      </c>
      <c r="H2328" s="8">
        <f t="shared" si="1"/>
        <v>0.001946677952</v>
      </c>
      <c r="I2328" s="8">
        <f t="shared" si="2"/>
        <v>0.001946677952</v>
      </c>
      <c r="J2328" s="7" t="str">
        <f t="shared" si="3"/>
        <v>Aug-2025</v>
      </c>
      <c r="K2328" s="9">
        <f t="shared" si="4"/>
        <v>45870</v>
      </c>
      <c r="L2328" s="7" t="str">
        <f t="shared" si="5"/>
        <v/>
      </c>
      <c r="M2328" s="7" t="str">
        <f>IFERROR(__xludf.DUMMYFUNCTION("IFERROR(
  IF(
    F2328 &gt;
    3*AVERAGE(
       FILTER($F$2:$F10491,
         $G$2:$G10491=G2328,
         $A$2:$A10491&gt;=A2328-20,
         $A$2:$A10491&lt;=A2328
       )
    ),
    ""VOL_SPIKE_3X"",""""
  ),
"""")
"),"")</f>
        <v/>
      </c>
      <c r="N2328" s="7" t="str">
        <f t="shared" si="6"/>
        <v/>
      </c>
      <c r="O2328" s="7" t="str">
        <f t="shared" si="7"/>
        <v/>
      </c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>
      <c r="A2329" s="5">
        <f>IFERROR(__xludf.DUMMYFUNCTION("""COMPUTED_VALUE"""),45894.0)</f>
        <v>45894</v>
      </c>
      <c r="B2329" s="6">
        <f>IFERROR(__xludf.DUMMYFUNCTION("""COMPUTED_VALUE"""),283.35)</f>
        <v>283.35</v>
      </c>
      <c r="C2329" s="6">
        <f>IFERROR(__xludf.DUMMYFUNCTION("""COMPUTED_VALUE"""),284.6)</f>
        <v>284.6</v>
      </c>
      <c r="D2329" s="6">
        <f>IFERROR(__xludf.DUMMYFUNCTION("""COMPUTED_VALUE"""),282.2)</f>
        <v>282.2</v>
      </c>
      <c r="E2329" s="6">
        <f>IFERROR(__xludf.DUMMYFUNCTION("""COMPUTED_VALUE"""),284.15)</f>
        <v>284.15</v>
      </c>
      <c r="F2329" s="7">
        <f>IFERROR(__xludf.DUMMYFUNCTION("""COMPUTED_VALUE"""),7426789.0)</f>
        <v>7426789</v>
      </c>
      <c r="G2329" s="7" t="str">
        <f>IFERROR(__xludf.DUMMYFUNCTION("""COMPUTED_VALUE"""),"POWERGRID.NS")</f>
        <v>POWERGRID.NS</v>
      </c>
      <c r="H2329" s="8">
        <f t="shared" si="1"/>
        <v>0.002823363332</v>
      </c>
      <c r="I2329" s="8">
        <f t="shared" si="2"/>
        <v>0.002823363332</v>
      </c>
      <c r="J2329" s="7" t="str">
        <f t="shared" si="3"/>
        <v>Aug-2025</v>
      </c>
      <c r="K2329" s="9">
        <f t="shared" si="4"/>
        <v>45870</v>
      </c>
      <c r="L2329" s="7" t="str">
        <f t="shared" si="5"/>
        <v/>
      </c>
      <c r="M2329" s="7" t="str">
        <f>IFERROR(__xludf.DUMMYFUNCTION("IFERROR(
  IF(
    F2329 &gt;
    3*AVERAGE(
       FILTER($F$2:$F10491,
         $G$2:$G10491=G2329,
         $A$2:$A10491&gt;=A2329-20,
         $A$2:$A10491&lt;=A2329
       )
    ),
    ""VOL_SPIKE_3X"",""""
  ),
"""")
"),"")</f>
        <v/>
      </c>
      <c r="N2329" s="7" t="str">
        <f t="shared" si="6"/>
        <v/>
      </c>
      <c r="O2329" s="7" t="str">
        <f t="shared" si="7"/>
        <v/>
      </c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>
      <c r="A2330" s="5">
        <f>IFERROR(__xludf.DUMMYFUNCTION("""COMPUTED_VALUE"""),45894.0)</f>
        <v>45894</v>
      </c>
      <c r="B2330" s="6">
        <f>IFERROR(__xludf.DUMMYFUNCTION("""COMPUTED_VALUE"""),1414.7)</f>
        <v>1414.7</v>
      </c>
      <c r="C2330" s="6">
        <f>IFERROR(__xludf.DUMMYFUNCTION("""COMPUTED_VALUE"""),1419.5)</f>
        <v>1419.5</v>
      </c>
      <c r="D2330" s="6">
        <f>IFERROR(__xludf.DUMMYFUNCTION("""COMPUTED_VALUE"""),1405.7)</f>
        <v>1405.7</v>
      </c>
      <c r="E2330" s="6">
        <f>IFERROR(__xludf.DUMMYFUNCTION("""COMPUTED_VALUE"""),1412.6)</f>
        <v>1412.6</v>
      </c>
      <c r="F2330" s="7">
        <f>IFERROR(__xludf.DUMMYFUNCTION("""COMPUTED_VALUE"""),5979407.0)</f>
        <v>5979407</v>
      </c>
      <c r="G2330" s="7" t="str">
        <f>IFERROR(__xludf.DUMMYFUNCTION("""COMPUTED_VALUE"""),"RELIANCE.NS")</f>
        <v>RELIANCE.NS</v>
      </c>
      <c r="H2330" s="8">
        <f t="shared" si="1"/>
        <v>-0.001484413657</v>
      </c>
      <c r="I2330" s="8">
        <f t="shared" si="2"/>
        <v>0.001484413657</v>
      </c>
      <c r="J2330" s="7" t="str">
        <f t="shared" si="3"/>
        <v>Aug-2025</v>
      </c>
      <c r="K2330" s="9">
        <f t="shared" si="4"/>
        <v>45870</v>
      </c>
      <c r="L2330" s="7" t="str">
        <f t="shared" si="5"/>
        <v/>
      </c>
      <c r="M2330" s="7" t="str">
        <f>IFERROR(__xludf.DUMMYFUNCTION("IFERROR(
  IF(
    F2330 &gt;
    3*AVERAGE(
       FILTER($F$2:$F10491,
         $G$2:$G10491=G2330,
         $A$2:$A10491&gt;=A2330-20,
         $A$2:$A10491&lt;=A2330
       )
    ),
    ""VOL_SPIKE_3X"",""""
  ),
"""")
"),"")</f>
        <v/>
      </c>
      <c r="N2330" s="7" t="str">
        <f t="shared" si="6"/>
        <v/>
      </c>
      <c r="O2330" s="7" t="str">
        <f t="shared" si="7"/>
        <v/>
      </c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>
      <c r="A2331" s="5">
        <f>IFERROR(__xludf.DUMMYFUNCTION("""COMPUTED_VALUE"""),45895.0)</f>
        <v>45895</v>
      </c>
      <c r="B2331" s="6">
        <f>IFERROR(__xludf.DUMMYFUNCTION("""COMPUTED_VALUE"""),801.1)</f>
        <v>801.1</v>
      </c>
      <c r="C2331" s="6">
        <f>IFERROR(__xludf.DUMMYFUNCTION("""COMPUTED_VALUE"""),803.45)</f>
        <v>803.45</v>
      </c>
      <c r="D2331" s="6">
        <f>IFERROR(__xludf.DUMMYFUNCTION("""COMPUTED_VALUE"""),787.75)</f>
        <v>787.75</v>
      </c>
      <c r="E2331" s="6">
        <f>IFERROR(__xludf.DUMMYFUNCTION("""COMPUTED_VALUE"""),788.65)</f>
        <v>788.65</v>
      </c>
      <c r="F2331" s="7">
        <f>IFERROR(__xludf.DUMMYFUNCTION("""COMPUTED_VALUE"""),501821.0)</f>
        <v>501821</v>
      </c>
      <c r="G2331" s="7" t="str">
        <f>IFERROR(__xludf.DUMMYFUNCTION("""COMPUTED_VALUE"""),"ADANIENSOL.NS")</f>
        <v>ADANIENSOL.NS</v>
      </c>
      <c r="H2331" s="8">
        <f t="shared" si="1"/>
        <v>-0.01554113094</v>
      </c>
      <c r="I2331" s="8">
        <f t="shared" si="2"/>
        <v>0.01554113094</v>
      </c>
      <c r="J2331" s="7" t="str">
        <f t="shared" si="3"/>
        <v>Aug-2025</v>
      </c>
      <c r="K2331" s="9">
        <f t="shared" si="4"/>
        <v>45870</v>
      </c>
      <c r="L2331" s="7" t="str">
        <f t="shared" si="5"/>
        <v/>
      </c>
      <c r="M2331" s="7" t="str">
        <f>IFERROR(__xludf.DUMMYFUNCTION("IFERROR(
  IF(
    F2331 &gt;
    3*AVERAGE(
       FILTER($F$2:$F10491,
         $G$2:$G10491=G2331,
         $A$2:$A10491&gt;=A2331-20,
         $A$2:$A10491&lt;=A2331
       )
    ),
    ""VOL_SPIKE_3X"",""""
  ),
"""")
"),"")</f>
        <v/>
      </c>
      <c r="N2331" s="7" t="str">
        <f t="shared" si="6"/>
        <v/>
      </c>
      <c r="O2331" s="7" t="str">
        <f t="shared" si="7"/>
        <v/>
      </c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>
      <c r="A2332" s="5">
        <f>IFERROR(__xludf.DUMMYFUNCTION("""COMPUTED_VALUE"""),45895.0)</f>
        <v>45895</v>
      </c>
      <c r="B2332" s="6">
        <f>IFERROR(__xludf.DUMMYFUNCTION("""COMPUTED_VALUE"""),964.15)</f>
        <v>964.15</v>
      </c>
      <c r="C2332" s="6">
        <f>IFERROR(__xludf.DUMMYFUNCTION("""COMPUTED_VALUE"""),965.75)</f>
        <v>965.75</v>
      </c>
      <c r="D2332" s="6">
        <f>IFERROR(__xludf.DUMMYFUNCTION("""COMPUTED_VALUE"""),926.0)</f>
        <v>926</v>
      </c>
      <c r="E2332" s="6">
        <f>IFERROR(__xludf.DUMMYFUNCTION("""COMPUTED_VALUE"""),931.25)</f>
        <v>931.25</v>
      </c>
      <c r="F2332" s="7">
        <f>IFERROR(__xludf.DUMMYFUNCTION("""COMPUTED_VALUE"""),1462770.0)</f>
        <v>1462770</v>
      </c>
      <c r="G2332" s="7" t="str">
        <f>IFERROR(__xludf.DUMMYFUNCTION("""COMPUTED_VALUE"""),"ADANIGREEN.NS")</f>
        <v>ADANIGREEN.NS</v>
      </c>
      <c r="H2332" s="8">
        <f t="shared" si="1"/>
        <v>-0.03412332106</v>
      </c>
      <c r="I2332" s="8">
        <f t="shared" si="2"/>
        <v>0.03412332106</v>
      </c>
      <c r="J2332" s="7" t="str">
        <f t="shared" si="3"/>
        <v>Aug-2025</v>
      </c>
      <c r="K2332" s="9">
        <f t="shared" si="4"/>
        <v>45870</v>
      </c>
      <c r="L2332" s="7" t="str">
        <f t="shared" si="5"/>
        <v/>
      </c>
      <c r="M2332" s="7" t="str">
        <f>IFERROR(__xludf.DUMMYFUNCTION("IFERROR(
  IF(
    F2332 &gt;
    3*AVERAGE(
       FILTER($F$2:$F10491,
         $G$2:$G10491=G2332,
         $A$2:$A10491&gt;=A2332-20,
         $A$2:$A10491&lt;=A2332
       )
    ),
    ""VOL_SPIKE_3X"",""""
  ),
"""")
"),"")</f>
        <v/>
      </c>
      <c r="N2332" s="7" t="str">
        <f t="shared" si="6"/>
        <v/>
      </c>
      <c r="O2332" s="7" t="str">
        <f t="shared" si="7"/>
        <v/>
      </c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>
      <c r="A2333" s="5">
        <f>IFERROR(__xludf.DUMMYFUNCTION("""COMPUTED_VALUE"""),45895.0)</f>
        <v>45895</v>
      </c>
      <c r="B2333" s="6">
        <f>IFERROR(__xludf.DUMMYFUNCTION("""COMPUTED_VALUE"""),317.3)</f>
        <v>317.3</v>
      </c>
      <c r="C2333" s="6">
        <f>IFERROR(__xludf.DUMMYFUNCTION("""COMPUTED_VALUE"""),318.3)</f>
        <v>318.3</v>
      </c>
      <c r="D2333" s="6">
        <f>IFERROR(__xludf.DUMMYFUNCTION("""COMPUTED_VALUE"""),311.05)</f>
        <v>311.05</v>
      </c>
      <c r="E2333" s="6">
        <f>IFERROR(__xludf.DUMMYFUNCTION("""COMPUTED_VALUE"""),312.1)</f>
        <v>312.1</v>
      </c>
      <c r="F2333" s="7">
        <f>IFERROR(__xludf.DUMMYFUNCTION("""COMPUTED_VALUE"""),1.081977E7)</f>
        <v>10819770</v>
      </c>
      <c r="G2333" s="7" t="str">
        <f>IFERROR(__xludf.DUMMYFUNCTION("""COMPUTED_VALUE"""),"BPCL.NS")</f>
        <v>BPCL.NS</v>
      </c>
      <c r="H2333" s="8">
        <f t="shared" si="1"/>
        <v>-0.01638827608</v>
      </c>
      <c r="I2333" s="8">
        <f t="shared" si="2"/>
        <v>0.01638827608</v>
      </c>
      <c r="J2333" s="7" t="str">
        <f t="shared" si="3"/>
        <v>Aug-2025</v>
      </c>
      <c r="K2333" s="9">
        <f t="shared" si="4"/>
        <v>45870</v>
      </c>
      <c r="L2333" s="7" t="str">
        <f t="shared" si="5"/>
        <v/>
      </c>
      <c r="M2333" s="7" t="str">
        <f>IFERROR(__xludf.DUMMYFUNCTION("IFERROR(
  IF(
    F2333 &gt;
    3*AVERAGE(
       FILTER($F$2:$F10491,
         $G$2:$G10491=G2333,
         $A$2:$A10491&gt;=A2333-20,
         $A$2:$A10491&lt;=A2333
       )
    ),
    ""VOL_SPIKE_3X"",""""
  ),
"""")
"),"")</f>
        <v/>
      </c>
      <c r="N2333" s="7" t="str">
        <f t="shared" si="6"/>
        <v/>
      </c>
      <c r="O2333" s="7" t="str">
        <f t="shared" si="7"/>
        <v/>
      </c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>
      <c r="A2334" s="5">
        <f>IFERROR(__xludf.DUMMYFUNCTION("""COMPUTED_VALUE"""),45895.0)</f>
        <v>45895</v>
      </c>
      <c r="B2334" s="6">
        <f>IFERROR(__xludf.DUMMYFUNCTION("""COMPUTED_VALUE"""),379.0)</f>
        <v>379</v>
      </c>
      <c r="C2334" s="6">
        <f>IFERROR(__xludf.DUMMYFUNCTION("""COMPUTED_VALUE"""),379.85)</f>
        <v>379.85</v>
      </c>
      <c r="D2334" s="6">
        <f>IFERROR(__xludf.DUMMYFUNCTION("""COMPUTED_VALUE"""),371.4)</f>
        <v>371.4</v>
      </c>
      <c r="E2334" s="6">
        <f>IFERROR(__xludf.DUMMYFUNCTION("""COMPUTED_VALUE"""),372.45)</f>
        <v>372.45</v>
      </c>
      <c r="F2334" s="7">
        <f>IFERROR(__xludf.DUMMYFUNCTION("""COMPUTED_VALUE"""),6381642.0)</f>
        <v>6381642</v>
      </c>
      <c r="G2334" s="7" t="str">
        <f>IFERROR(__xludf.DUMMYFUNCTION("""COMPUTED_VALUE"""),"COALINDIA.NS")</f>
        <v>COALINDIA.NS</v>
      </c>
      <c r="H2334" s="8">
        <f t="shared" si="1"/>
        <v>-0.0172823219</v>
      </c>
      <c r="I2334" s="8">
        <f t="shared" si="2"/>
        <v>0.0172823219</v>
      </c>
      <c r="J2334" s="7" t="str">
        <f t="shared" si="3"/>
        <v>Aug-2025</v>
      </c>
      <c r="K2334" s="9">
        <f t="shared" si="4"/>
        <v>45870</v>
      </c>
      <c r="L2334" s="7" t="str">
        <f t="shared" si="5"/>
        <v/>
      </c>
      <c r="M2334" s="7" t="str">
        <f>IFERROR(__xludf.DUMMYFUNCTION("IFERROR(
  IF(
    F2334 &gt;
    3*AVERAGE(
       FILTER($F$2:$F10491,
         $G$2:$G10491=G2334,
         $A$2:$A10491&gt;=A2334-20,
         $A$2:$A10491&lt;=A2334
       )
    ),
    ""VOL_SPIKE_3X"",""""
  ),
"""")
"),"")</f>
        <v/>
      </c>
      <c r="N2334" s="7" t="str">
        <f t="shared" si="6"/>
        <v/>
      </c>
      <c r="O2334" s="7" t="str">
        <f t="shared" si="7"/>
        <v/>
      </c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>
      <c r="A2335" s="5">
        <f>IFERROR(__xludf.DUMMYFUNCTION("""COMPUTED_VALUE"""),45895.0)</f>
        <v>45895</v>
      </c>
      <c r="B2335" s="6">
        <f>IFERROR(__xludf.DUMMYFUNCTION("""COMPUTED_VALUE"""),388.2)</f>
        <v>388.2</v>
      </c>
      <c r="C2335" s="6">
        <f>IFERROR(__xludf.DUMMYFUNCTION("""COMPUTED_VALUE"""),391.4)</f>
        <v>391.4</v>
      </c>
      <c r="D2335" s="6">
        <f>IFERROR(__xludf.DUMMYFUNCTION("""COMPUTED_VALUE"""),381.95)</f>
        <v>381.95</v>
      </c>
      <c r="E2335" s="6">
        <f>IFERROR(__xludf.DUMMYFUNCTION("""COMPUTED_VALUE"""),382.95)</f>
        <v>382.95</v>
      </c>
      <c r="F2335" s="7">
        <f>IFERROR(__xludf.DUMMYFUNCTION("""COMPUTED_VALUE"""),4825204.0)</f>
        <v>4825204</v>
      </c>
      <c r="G2335" s="7" t="str">
        <f>IFERROR(__xludf.DUMMYFUNCTION("""COMPUTED_VALUE"""),"HINDPETRO.NS")</f>
        <v>HINDPETRO.NS</v>
      </c>
      <c r="H2335" s="8">
        <f t="shared" si="1"/>
        <v>-0.01352395672</v>
      </c>
      <c r="I2335" s="8">
        <f t="shared" si="2"/>
        <v>0.01352395672</v>
      </c>
      <c r="J2335" s="7" t="str">
        <f t="shared" si="3"/>
        <v>Aug-2025</v>
      </c>
      <c r="K2335" s="9">
        <f t="shared" si="4"/>
        <v>45870</v>
      </c>
      <c r="L2335" s="7" t="str">
        <f t="shared" si="5"/>
        <v/>
      </c>
      <c r="M2335" s="7" t="str">
        <f>IFERROR(__xludf.DUMMYFUNCTION("IFERROR(
  IF(
    F2335 &gt;
    3*AVERAGE(
       FILTER($F$2:$F10491,
         $G$2:$G10491=G2335,
         $A$2:$A10491&gt;=A2335-20,
         $A$2:$A10491&lt;=A2335
       )
    ),
    ""VOL_SPIKE_3X"",""""
  ),
"""")
"),"")</f>
        <v/>
      </c>
      <c r="N2335" s="7" t="str">
        <f t="shared" si="6"/>
        <v/>
      </c>
      <c r="O2335" s="7" t="str">
        <f t="shared" si="7"/>
        <v/>
      </c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>
      <c r="A2336" s="5">
        <f>IFERROR(__xludf.DUMMYFUNCTION("""COMPUTED_VALUE"""),45895.0)</f>
        <v>45895</v>
      </c>
      <c r="B2336" s="6">
        <f>IFERROR(__xludf.DUMMYFUNCTION("""COMPUTED_VALUE"""),139.5)</f>
        <v>139.5</v>
      </c>
      <c r="C2336" s="6">
        <f>IFERROR(__xludf.DUMMYFUNCTION("""COMPUTED_VALUE"""),140.42)</f>
        <v>140.42</v>
      </c>
      <c r="D2336" s="6">
        <f>IFERROR(__xludf.DUMMYFUNCTION("""COMPUTED_VALUE"""),138.55)</f>
        <v>138.55</v>
      </c>
      <c r="E2336" s="6">
        <f>IFERROR(__xludf.DUMMYFUNCTION("""COMPUTED_VALUE"""),138.96)</f>
        <v>138.96</v>
      </c>
      <c r="F2336" s="7">
        <f>IFERROR(__xludf.DUMMYFUNCTION("""COMPUTED_VALUE"""),1.0846493E7)</f>
        <v>10846493</v>
      </c>
      <c r="G2336" s="7" t="str">
        <f>IFERROR(__xludf.DUMMYFUNCTION("""COMPUTED_VALUE"""),"IOC.NS")</f>
        <v>IOC.NS</v>
      </c>
      <c r="H2336" s="8">
        <f t="shared" si="1"/>
        <v>-0.003870967742</v>
      </c>
      <c r="I2336" s="8">
        <f t="shared" si="2"/>
        <v>0.003870967742</v>
      </c>
      <c r="J2336" s="7" t="str">
        <f t="shared" si="3"/>
        <v>Aug-2025</v>
      </c>
      <c r="K2336" s="9">
        <f t="shared" si="4"/>
        <v>45870</v>
      </c>
      <c r="L2336" s="7" t="str">
        <f t="shared" si="5"/>
        <v/>
      </c>
      <c r="M2336" s="7" t="str">
        <f>IFERROR(__xludf.DUMMYFUNCTION("IFERROR(
  IF(
    F2336 &gt;
    3*AVERAGE(
       FILTER($F$2:$F10491,
         $G$2:$G10491=G2336,
         $A$2:$A10491&gt;=A2336-20,
         $A$2:$A10491&lt;=A2336
       )
    ),
    ""VOL_SPIKE_3X"",""""
  ),
"""")
"),"")</f>
        <v/>
      </c>
      <c r="N2336" s="7" t="str">
        <f t="shared" si="6"/>
        <v/>
      </c>
      <c r="O2336" s="7" t="str">
        <f t="shared" si="7"/>
        <v/>
      </c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>
      <c r="A2337" s="5">
        <f>IFERROR(__xludf.DUMMYFUNCTION("""COMPUTED_VALUE"""),45895.0)</f>
        <v>45895</v>
      </c>
      <c r="B2337" s="6">
        <f>IFERROR(__xludf.DUMMYFUNCTION("""COMPUTED_VALUE"""),336.15)</f>
        <v>336.15</v>
      </c>
      <c r="C2337" s="6">
        <f>IFERROR(__xludf.DUMMYFUNCTION("""COMPUTED_VALUE"""),337.4)</f>
        <v>337.4</v>
      </c>
      <c r="D2337" s="6">
        <f>IFERROR(__xludf.DUMMYFUNCTION("""COMPUTED_VALUE"""),331.75)</f>
        <v>331.75</v>
      </c>
      <c r="E2337" s="6">
        <f>IFERROR(__xludf.DUMMYFUNCTION("""COMPUTED_VALUE"""),333.2)</f>
        <v>333.2</v>
      </c>
      <c r="F2337" s="7">
        <f>IFERROR(__xludf.DUMMYFUNCTION("""COMPUTED_VALUE"""),1.3113388E7)</f>
        <v>13113388</v>
      </c>
      <c r="G2337" s="7" t="str">
        <f>IFERROR(__xludf.DUMMYFUNCTION("""COMPUTED_VALUE"""),"NTPC.NS")</f>
        <v>NTPC.NS</v>
      </c>
      <c r="H2337" s="8">
        <f t="shared" si="1"/>
        <v>-0.008775844117</v>
      </c>
      <c r="I2337" s="8">
        <f t="shared" si="2"/>
        <v>0.008775844117</v>
      </c>
      <c r="J2337" s="7" t="str">
        <f t="shared" si="3"/>
        <v>Aug-2025</v>
      </c>
      <c r="K2337" s="9">
        <f t="shared" si="4"/>
        <v>45870</v>
      </c>
      <c r="L2337" s="7" t="str">
        <f t="shared" si="5"/>
        <v/>
      </c>
      <c r="M2337" s="7" t="str">
        <f>IFERROR(__xludf.DUMMYFUNCTION("IFERROR(
  IF(
    F2337 &gt;
    3*AVERAGE(
       FILTER($F$2:$F10491,
         $G$2:$G10491=G2337,
         $A$2:$A10491&gt;=A2337-20,
         $A$2:$A10491&lt;=A2337
       )
    ),
    ""VOL_SPIKE_3X"",""""
  ),
"""")
"),"")</f>
        <v/>
      </c>
      <c r="N2337" s="7" t="str">
        <f t="shared" si="6"/>
        <v/>
      </c>
      <c r="O2337" s="7" t="str">
        <f t="shared" si="7"/>
        <v/>
      </c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>
      <c r="A2338" s="5">
        <f>IFERROR(__xludf.DUMMYFUNCTION("""COMPUTED_VALUE"""),45895.0)</f>
        <v>45895</v>
      </c>
      <c r="B2338" s="6">
        <f>IFERROR(__xludf.DUMMYFUNCTION("""COMPUTED_VALUE"""),236.66)</f>
        <v>236.66</v>
      </c>
      <c r="C2338" s="6">
        <f>IFERROR(__xludf.DUMMYFUNCTION("""COMPUTED_VALUE"""),237.3)</f>
        <v>237.3</v>
      </c>
      <c r="D2338" s="6">
        <f>IFERROR(__xludf.DUMMYFUNCTION("""COMPUTED_VALUE"""),233.8)</f>
        <v>233.8</v>
      </c>
      <c r="E2338" s="6">
        <f>IFERROR(__xludf.DUMMYFUNCTION("""COMPUTED_VALUE"""),234.19)</f>
        <v>234.19</v>
      </c>
      <c r="F2338" s="7">
        <f>IFERROR(__xludf.DUMMYFUNCTION("""COMPUTED_VALUE"""),1.4671897E7)</f>
        <v>14671897</v>
      </c>
      <c r="G2338" s="7" t="str">
        <f>IFERROR(__xludf.DUMMYFUNCTION("""COMPUTED_VALUE"""),"ONGC.NS")</f>
        <v>ONGC.NS</v>
      </c>
      <c r="H2338" s="8">
        <f t="shared" si="1"/>
        <v>-0.01043691372</v>
      </c>
      <c r="I2338" s="8">
        <f t="shared" si="2"/>
        <v>0.01043691372</v>
      </c>
      <c r="J2338" s="7" t="str">
        <f t="shared" si="3"/>
        <v>Aug-2025</v>
      </c>
      <c r="K2338" s="9">
        <f t="shared" si="4"/>
        <v>45870</v>
      </c>
      <c r="L2338" s="7" t="str">
        <f t="shared" si="5"/>
        <v/>
      </c>
      <c r="M2338" s="7" t="str">
        <f>IFERROR(__xludf.DUMMYFUNCTION("IFERROR(
  IF(
    F2338 &gt;
    3*AVERAGE(
       FILTER($F$2:$F10491,
         $G$2:$G10491=G2338,
         $A$2:$A10491&gt;=A2338-20,
         $A$2:$A10491&lt;=A2338
       )
    ),
    ""VOL_SPIKE_3X"",""""
  ),
"""")
"),"")</f>
        <v/>
      </c>
      <c r="N2338" s="7" t="str">
        <f t="shared" si="6"/>
        <v/>
      </c>
      <c r="O2338" s="7" t="str">
        <f t="shared" si="7"/>
        <v/>
      </c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>
      <c r="A2339" s="5">
        <f>IFERROR(__xludf.DUMMYFUNCTION("""COMPUTED_VALUE"""),45895.0)</f>
        <v>45895</v>
      </c>
      <c r="B2339" s="6">
        <f>IFERROR(__xludf.DUMMYFUNCTION("""COMPUTED_VALUE"""),283.0)</f>
        <v>283</v>
      </c>
      <c r="C2339" s="6">
        <f>IFERROR(__xludf.DUMMYFUNCTION("""COMPUTED_VALUE"""),283.8)</f>
        <v>283.8</v>
      </c>
      <c r="D2339" s="6">
        <f>IFERROR(__xludf.DUMMYFUNCTION("""COMPUTED_VALUE"""),278.9)</f>
        <v>278.9</v>
      </c>
      <c r="E2339" s="6">
        <f>IFERROR(__xludf.DUMMYFUNCTION("""COMPUTED_VALUE"""),279.9)</f>
        <v>279.9</v>
      </c>
      <c r="F2339" s="7">
        <f>IFERROR(__xludf.DUMMYFUNCTION("""COMPUTED_VALUE"""),2.290591E7)</f>
        <v>22905910</v>
      </c>
      <c r="G2339" s="7" t="str">
        <f>IFERROR(__xludf.DUMMYFUNCTION("""COMPUTED_VALUE"""),"POWERGRID.NS")</f>
        <v>POWERGRID.NS</v>
      </c>
      <c r="H2339" s="8">
        <f t="shared" si="1"/>
        <v>-0.0109540636</v>
      </c>
      <c r="I2339" s="8">
        <f t="shared" si="2"/>
        <v>0.0109540636</v>
      </c>
      <c r="J2339" s="7" t="str">
        <f t="shared" si="3"/>
        <v>Aug-2025</v>
      </c>
      <c r="K2339" s="9">
        <f t="shared" si="4"/>
        <v>45870</v>
      </c>
      <c r="L2339" s="7" t="str">
        <f t="shared" si="5"/>
        <v/>
      </c>
      <c r="M2339" s="7" t="str">
        <f>IFERROR(__xludf.DUMMYFUNCTION("IFERROR(
  IF(
    F2339 &gt;
    3*AVERAGE(
       FILTER($F$2:$F10491,
         $G$2:$G10491=G2339,
         $A$2:$A10491&gt;=A2339-20,
         $A$2:$A10491&lt;=A2339
       )
    ),
    ""VOL_SPIKE_3X"",""""
  ),
"""")
"),"")</f>
        <v/>
      </c>
      <c r="N2339" s="7" t="str">
        <f t="shared" si="6"/>
        <v/>
      </c>
      <c r="O2339" s="7" t="str">
        <f t="shared" si="7"/>
        <v/>
      </c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>
      <c r="A2340" s="5">
        <f>IFERROR(__xludf.DUMMYFUNCTION("""COMPUTED_VALUE"""),45895.0)</f>
        <v>45895</v>
      </c>
      <c r="B2340" s="6">
        <f>IFERROR(__xludf.DUMMYFUNCTION("""COMPUTED_VALUE"""),1408.0)</f>
        <v>1408</v>
      </c>
      <c r="C2340" s="6">
        <f>IFERROR(__xludf.DUMMYFUNCTION("""COMPUTED_VALUE"""),1410.0)</f>
        <v>1410</v>
      </c>
      <c r="D2340" s="6">
        <f>IFERROR(__xludf.DUMMYFUNCTION("""COMPUTED_VALUE"""),1381.6)</f>
        <v>1381.6</v>
      </c>
      <c r="E2340" s="6">
        <f>IFERROR(__xludf.DUMMYFUNCTION("""COMPUTED_VALUE"""),1384.9)</f>
        <v>1384.9</v>
      </c>
      <c r="F2340" s="7">
        <f>IFERROR(__xludf.DUMMYFUNCTION("""COMPUTED_VALUE"""),1.2145259E7)</f>
        <v>12145259</v>
      </c>
      <c r="G2340" s="7" t="str">
        <f>IFERROR(__xludf.DUMMYFUNCTION("""COMPUTED_VALUE"""),"RELIANCE.NS")</f>
        <v>RELIANCE.NS</v>
      </c>
      <c r="H2340" s="8">
        <f t="shared" si="1"/>
        <v>-0.01640625</v>
      </c>
      <c r="I2340" s="8">
        <f t="shared" si="2"/>
        <v>0.01640625</v>
      </c>
      <c r="J2340" s="7" t="str">
        <f t="shared" si="3"/>
        <v>Aug-2025</v>
      </c>
      <c r="K2340" s="9">
        <f t="shared" si="4"/>
        <v>45870</v>
      </c>
      <c r="L2340" s="7" t="str">
        <f t="shared" si="5"/>
        <v/>
      </c>
      <c r="M2340" s="7" t="str">
        <f>IFERROR(__xludf.DUMMYFUNCTION("IFERROR(
  IF(
    F2340 &gt;
    3*AVERAGE(
       FILTER($F$2:$F10491,
         $G$2:$G10491=G2340,
         $A$2:$A10491&gt;=A2340-20,
         $A$2:$A10491&lt;=A2340
       )
    ),
    ""VOL_SPIKE_3X"",""""
  ),
"""")
"),"")</f>
        <v/>
      </c>
      <c r="N2340" s="7" t="str">
        <f t="shared" si="6"/>
        <v/>
      </c>
      <c r="O2340" s="7" t="str">
        <f t="shared" si="7"/>
        <v/>
      </c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>
      <c r="A2341" s="5">
        <f>IFERROR(__xludf.DUMMYFUNCTION("""COMPUTED_VALUE"""),45897.0)</f>
        <v>45897</v>
      </c>
      <c r="B2341" s="6">
        <f>IFERROR(__xludf.DUMMYFUNCTION("""COMPUTED_VALUE"""),786.0)</f>
        <v>786</v>
      </c>
      <c r="C2341" s="6">
        <f>IFERROR(__xludf.DUMMYFUNCTION("""COMPUTED_VALUE"""),793.0)</f>
        <v>793</v>
      </c>
      <c r="D2341" s="6">
        <f>IFERROR(__xludf.DUMMYFUNCTION("""COMPUTED_VALUE"""),767.3)</f>
        <v>767.3</v>
      </c>
      <c r="E2341" s="6">
        <f>IFERROR(__xludf.DUMMYFUNCTION("""COMPUTED_VALUE"""),770.95)</f>
        <v>770.95</v>
      </c>
      <c r="F2341" s="7">
        <f>IFERROR(__xludf.DUMMYFUNCTION("""COMPUTED_VALUE"""),891046.0)</f>
        <v>891046</v>
      </c>
      <c r="G2341" s="7" t="str">
        <f>IFERROR(__xludf.DUMMYFUNCTION("""COMPUTED_VALUE"""),"ADANIENSOL.NS")</f>
        <v>ADANIENSOL.NS</v>
      </c>
      <c r="H2341" s="8">
        <f t="shared" si="1"/>
        <v>-0.0191475827</v>
      </c>
      <c r="I2341" s="8">
        <f t="shared" si="2"/>
        <v>0.0191475827</v>
      </c>
      <c r="J2341" s="7" t="str">
        <f t="shared" si="3"/>
        <v>Aug-2025</v>
      </c>
      <c r="K2341" s="9">
        <f t="shared" si="4"/>
        <v>45870</v>
      </c>
      <c r="L2341" s="7" t="str">
        <f t="shared" si="5"/>
        <v/>
      </c>
      <c r="M2341" s="7" t="str">
        <f>IFERROR(__xludf.DUMMYFUNCTION("IFERROR(
  IF(
    F2341 &gt;
    3*AVERAGE(
       FILTER($F$2:$F10491,
         $G$2:$G10491=G2341,
         $A$2:$A10491&gt;=A2341-20,
         $A$2:$A10491&lt;=A2341
       )
    ),
    ""VOL_SPIKE_3X"",""""
  ),
"""")
"),"")</f>
        <v/>
      </c>
      <c r="N2341" s="7" t="str">
        <f t="shared" si="6"/>
        <v/>
      </c>
      <c r="O2341" s="7" t="str">
        <f t="shared" si="7"/>
        <v/>
      </c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>
      <c r="A2342" s="5">
        <f>IFERROR(__xludf.DUMMYFUNCTION("""COMPUTED_VALUE"""),45897.0)</f>
        <v>45897</v>
      </c>
      <c r="B2342" s="6">
        <f>IFERROR(__xludf.DUMMYFUNCTION("""COMPUTED_VALUE"""),931.0)</f>
        <v>931</v>
      </c>
      <c r="C2342" s="6">
        <f>IFERROR(__xludf.DUMMYFUNCTION("""COMPUTED_VALUE"""),935.0)</f>
        <v>935</v>
      </c>
      <c r="D2342" s="6">
        <f>IFERROR(__xludf.DUMMYFUNCTION("""COMPUTED_VALUE"""),917.1)</f>
        <v>917.1</v>
      </c>
      <c r="E2342" s="6">
        <f>IFERROR(__xludf.DUMMYFUNCTION("""COMPUTED_VALUE"""),921.15)</f>
        <v>921.15</v>
      </c>
      <c r="F2342" s="7">
        <f>IFERROR(__xludf.DUMMYFUNCTION("""COMPUTED_VALUE"""),1308868.0)</f>
        <v>1308868</v>
      </c>
      <c r="G2342" s="7" t="str">
        <f>IFERROR(__xludf.DUMMYFUNCTION("""COMPUTED_VALUE"""),"ADANIGREEN.NS")</f>
        <v>ADANIGREEN.NS</v>
      </c>
      <c r="H2342" s="8">
        <f t="shared" si="1"/>
        <v>-0.01058002148</v>
      </c>
      <c r="I2342" s="8">
        <f t="shared" si="2"/>
        <v>0.01058002148</v>
      </c>
      <c r="J2342" s="7" t="str">
        <f t="shared" si="3"/>
        <v>Aug-2025</v>
      </c>
      <c r="K2342" s="9">
        <f t="shared" si="4"/>
        <v>45870</v>
      </c>
      <c r="L2342" s="7" t="str">
        <f t="shared" si="5"/>
        <v/>
      </c>
      <c r="M2342" s="7" t="str">
        <f>IFERROR(__xludf.DUMMYFUNCTION("IFERROR(
  IF(
    F2342 &gt;
    3*AVERAGE(
       FILTER($F$2:$F10491,
         $G$2:$G10491=G2342,
         $A$2:$A10491&gt;=A2342-20,
         $A$2:$A10491&lt;=A2342
       )
    ),
    ""VOL_SPIKE_3X"",""""
  ),
"""")
"),"")</f>
        <v/>
      </c>
      <c r="N2342" s="7" t="str">
        <f t="shared" si="6"/>
        <v/>
      </c>
      <c r="O2342" s="7" t="str">
        <f t="shared" si="7"/>
        <v/>
      </c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>
      <c r="A2343" s="5">
        <f>IFERROR(__xludf.DUMMYFUNCTION("""COMPUTED_VALUE"""),45897.0)</f>
        <v>45897</v>
      </c>
      <c r="B2343" s="6">
        <f>IFERROR(__xludf.DUMMYFUNCTION("""COMPUTED_VALUE"""),315.6)</f>
        <v>315.6</v>
      </c>
      <c r="C2343" s="6">
        <f>IFERROR(__xludf.DUMMYFUNCTION("""COMPUTED_VALUE"""),315.6)</f>
        <v>315.6</v>
      </c>
      <c r="D2343" s="6">
        <f>IFERROR(__xludf.DUMMYFUNCTION("""COMPUTED_VALUE"""),310.0)</f>
        <v>310</v>
      </c>
      <c r="E2343" s="6">
        <f>IFERROR(__xludf.DUMMYFUNCTION("""COMPUTED_VALUE"""),310.7)</f>
        <v>310.7</v>
      </c>
      <c r="F2343" s="7">
        <f>IFERROR(__xludf.DUMMYFUNCTION("""COMPUTED_VALUE"""),8888325.0)</f>
        <v>8888325</v>
      </c>
      <c r="G2343" s="7" t="str">
        <f>IFERROR(__xludf.DUMMYFUNCTION("""COMPUTED_VALUE"""),"BPCL.NS")</f>
        <v>BPCL.NS</v>
      </c>
      <c r="H2343" s="8">
        <f t="shared" si="1"/>
        <v>-0.01552598226</v>
      </c>
      <c r="I2343" s="8">
        <f t="shared" si="2"/>
        <v>0.01552598226</v>
      </c>
      <c r="J2343" s="7" t="str">
        <f t="shared" si="3"/>
        <v>Aug-2025</v>
      </c>
      <c r="K2343" s="9">
        <f t="shared" si="4"/>
        <v>45870</v>
      </c>
      <c r="L2343" s="7" t="str">
        <f t="shared" si="5"/>
        <v/>
      </c>
      <c r="M2343" s="7" t="str">
        <f>IFERROR(__xludf.DUMMYFUNCTION("IFERROR(
  IF(
    F2343 &gt;
    3*AVERAGE(
       FILTER($F$2:$F10491,
         $G$2:$G10491=G2343,
         $A$2:$A10491&gt;=A2343-20,
         $A$2:$A10491&lt;=A2343
       )
    ),
    ""VOL_SPIKE_3X"",""""
  ),
"""")
"),"")</f>
        <v/>
      </c>
      <c r="N2343" s="7" t="str">
        <f t="shared" si="6"/>
        <v/>
      </c>
      <c r="O2343" s="7" t="str">
        <f t="shared" si="7"/>
        <v/>
      </c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>
      <c r="A2344" s="5">
        <f>IFERROR(__xludf.DUMMYFUNCTION("""COMPUTED_VALUE"""),45897.0)</f>
        <v>45897</v>
      </c>
      <c r="B2344" s="6">
        <f>IFERROR(__xludf.DUMMYFUNCTION("""COMPUTED_VALUE"""),372.5)</f>
        <v>372.5</v>
      </c>
      <c r="C2344" s="6">
        <f>IFERROR(__xludf.DUMMYFUNCTION("""COMPUTED_VALUE"""),375.9)</f>
        <v>375.9</v>
      </c>
      <c r="D2344" s="6">
        <f>IFERROR(__xludf.DUMMYFUNCTION("""COMPUTED_VALUE"""),368.65)</f>
        <v>368.65</v>
      </c>
      <c r="E2344" s="6">
        <f>IFERROR(__xludf.DUMMYFUNCTION("""COMPUTED_VALUE"""),374.3)</f>
        <v>374.3</v>
      </c>
      <c r="F2344" s="7">
        <f>IFERROR(__xludf.DUMMYFUNCTION("""COMPUTED_VALUE"""),4372269.0)</f>
        <v>4372269</v>
      </c>
      <c r="G2344" s="7" t="str">
        <f>IFERROR(__xludf.DUMMYFUNCTION("""COMPUTED_VALUE"""),"COALINDIA.NS")</f>
        <v>COALINDIA.NS</v>
      </c>
      <c r="H2344" s="8">
        <f t="shared" si="1"/>
        <v>0.004832214765</v>
      </c>
      <c r="I2344" s="8">
        <f t="shared" si="2"/>
        <v>0.004832214765</v>
      </c>
      <c r="J2344" s="7" t="str">
        <f t="shared" si="3"/>
        <v>Aug-2025</v>
      </c>
      <c r="K2344" s="9">
        <f t="shared" si="4"/>
        <v>45870</v>
      </c>
      <c r="L2344" s="7" t="str">
        <f t="shared" si="5"/>
        <v/>
      </c>
      <c r="M2344" s="7" t="str">
        <f>IFERROR(__xludf.DUMMYFUNCTION("IFERROR(
  IF(
    F2344 &gt;
    3*AVERAGE(
       FILTER($F$2:$F10491,
         $G$2:$G10491=G2344,
         $A$2:$A10491&gt;=A2344-20,
         $A$2:$A10491&lt;=A2344
       )
    ),
    ""VOL_SPIKE_3X"",""""
  ),
"""")
"),"")</f>
        <v/>
      </c>
      <c r="N2344" s="7" t="str">
        <f t="shared" si="6"/>
        <v/>
      </c>
      <c r="O2344" s="7" t="str">
        <f t="shared" si="7"/>
        <v/>
      </c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>
      <c r="A2345" s="5">
        <f>IFERROR(__xludf.DUMMYFUNCTION("""COMPUTED_VALUE"""),45897.0)</f>
        <v>45897</v>
      </c>
      <c r="B2345" s="6">
        <f>IFERROR(__xludf.DUMMYFUNCTION("""COMPUTED_VALUE"""),384.65)</f>
        <v>384.65</v>
      </c>
      <c r="C2345" s="6">
        <f>IFERROR(__xludf.DUMMYFUNCTION("""COMPUTED_VALUE"""),386.5)</f>
        <v>386.5</v>
      </c>
      <c r="D2345" s="6">
        <f>IFERROR(__xludf.DUMMYFUNCTION("""COMPUTED_VALUE"""),380.8)</f>
        <v>380.8</v>
      </c>
      <c r="E2345" s="6">
        <f>IFERROR(__xludf.DUMMYFUNCTION("""COMPUTED_VALUE"""),381.75)</f>
        <v>381.75</v>
      </c>
      <c r="F2345" s="7">
        <f>IFERROR(__xludf.DUMMYFUNCTION("""COMPUTED_VALUE"""),3975225.0)</f>
        <v>3975225</v>
      </c>
      <c r="G2345" s="7" t="str">
        <f>IFERROR(__xludf.DUMMYFUNCTION("""COMPUTED_VALUE"""),"HINDPETRO.NS")</f>
        <v>HINDPETRO.NS</v>
      </c>
      <c r="H2345" s="8">
        <f t="shared" si="1"/>
        <v>-0.007539321461</v>
      </c>
      <c r="I2345" s="8">
        <f t="shared" si="2"/>
        <v>0.007539321461</v>
      </c>
      <c r="J2345" s="7" t="str">
        <f t="shared" si="3"/>
        <v>Aug-2025</v>
      </c>
      <c r="K2345" s="9">
        <f t="shared" si="4"/>
        <v>45870</v>
      </c>
      <c r="L2345" s="7" t="str">
        <f t="shared" si="5"/>
        <v/>
      </c>
      <c r="M2345" s="7" t="str">
        <f>IFERROR(__xludf.DUMMYFUNCTION("IFERROR(
  IF(
    F2345 &gt;
    3*AVERAGE(
       FILTER($F$2:$F10491,
         $G$2:$G10491=G2345,
         $A$2:$A10491&gt;=A2345-20,
         $A$2:$A10491&lt;=A2345
       )
    ),
    ""VOL_SPIKE_3X"",""""
  ),
"""")
"),"")</f>
        <v/>
      </c>
      <c r="N2345" s="7" t="str">
        <f t="shared" si="6"/>
        <v/>
      </c>
      <c r="O2345" s="7" t="str">
        <f t="shared" si="7"/>
        <v/>
      </c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>
      <c r="A2346" s="5">
        <f>IFERROR(__xludf.DUMMYFUNCTION("""COMPUTED_VALUE"""),45897.0)</f>
        <v>45897</v>
      </c>
      <c r="B2346" s="6">
        <f>IFERROR(__xludf.DUMMYFUNCTION("""COMPUTED_VALUE"""),139.0)</f>
        <v>139</v>
      </c>
      <c r="C2346" s="6">
        <f>IFERROR(__xludf.DUMMYFUNCTION("""COMPUTED_VALUE"""),139.93)</f>
        <v>139.93</v>
      </c>
      <c r="D2346" s="6">
        <f>IFERROR(__xludf.DUMMYFUNCTION("""COMPUTED_VALUE"""),138.1)</f>
        <v>138.1</v>
      </c>
      <c r="E2346" s="6">
        <f>IFERROR(__xludf.DUMMYFUNCTION("""COMPUTED_VALUE"""),138.49)</f>
        <v>138.49</v>
      </c>
      <c r="F2346" s="7">
        <f>IFERROR(__xludf.DUMMYFUNCTION("""COMPUTED_VALUE"""),8420916.0)</f>
        <v>8420916</v>
      </c>
      <c r="G2346" s="7" t="str">
        <f>IFERROR(__xludf.DUMMYFUNCTION("""COMPUTED_VALUE"""),"IOC.NS")</f>
        <v>IOC.NS</v>
      </c>
      <c r="H2346" s="8">
        <f t="shared" si="1"/>
        <v>-0.003669064748</v>
      </c>
      <c r="I2346" s="8">
        <f t="shared" si="2"/>
        <v>0.003669064748</v>
      </c>
      <c r="J2346" s="7" t="str">
        <f t="shared" si="3"/>
        <v>Aug-2025</v>
      </c>
      <c r="K2346" s="9">
        <f t="shared" si="4"/>
        <v>45870</v>
      </c>
      <c r="L2346" s="7" t="str">
        <f t="shared" si="5"/>
        <v/>
      </c>
      <c r="M2346" s="7" t="str">
        <f>IFERROR(__xludf.DUMMYFUNCTION("IFERROR(
  IF(
    F2346 &gt;
    3*AVERAGE(
       FILTER($F$2:$F10491,
         $G$2:$G10491=G2346,
         $A$2:$A10491&gt;=A2346-20,
         $A$2:$A10491&lt;=A2346
       )
    ),
    ""VOL_SPIKE_3X"",""""
  ),
"""")
"),"")</f>
        <v/>
      </c>
      <c r="N2346" s="7" t="str">
        <f t="shared" si="6"/>
        <v/>
      </c>
      <c r="O2346" s="7" t="str">
        <f t="shared" si="7"/>
        <v/>
      </c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>
      <c r="A2347" s="5">
        <f>IFERROR(__xludf.DUMMYFUNCTION("""COMPUTED_VALUE"""),45897.0)</f>
        <v>45897</v>
      </c>
      <c r="B2347" s="6">
        <f>IFERROR(__xludf.DUMMYFUNCTION("""COMPUTED_VALUE"""),331.25)</f>
        <v>331.25</v>
      </c>
      <c r="C2347" s="6">
        <f>IFERROR(__xludf.DUMMYFUNCTION("""COMPUTED_VALUE"""),332.9)</f>
        <v>332.9</v>
      </c>
      <c r="D2347" s="6">
        <f>IFERROR(__xludf.DUMMYFUNCTION("""COMPUTED_VALUE"""),328.7)</f>
        <v>328.7</v>
      </c>
      <c r="E2347" s="6">
        <f>IFERROR(__xludf.DUMMYFUNCTION("""COMPUTED_VALUE"""),330.8)</f>
        <v>330.8</v>
      </c>
      <c r="F2347" s="7">
        <f>IFERROR(__xludf.DUMMYFUNCTION("""COMPUTED_VALUE"""),1.0486948E7)</f>
        <v>10486948</v>
      </c>
      <c r="G2347" s="7" t="str">
        <f>IFERROR(__xludf.DUMMYFUNCTION("""COMPUTED_VALUE"""),"NTPC.NS")</f>
        <v>NTPC.NS</v>
      </c>
      <c r="H2347" s="8">
        <f t="shared" si="1"/>
        <v>-0.001358490566</v>
      </c>
      <c r="I2347" s="8">
        <f t="shared" si="2"/>
        <v>0.001358490566</v>
      </c>
      <c r="J2347" s="7" t="str">
        <f t="shared" si="3"/>
        <v>Aug-2025</v>
      </c>
      <c r="K2347" s="9">
        <f t="shared" si="4"/>
        <v>45870</v>
      </c>
      <c r="L2347" s="7" t="str">
        <f t="shared" si="5"/>
        <v/>
      </c>
      <c r="M2347" s="7" t="str">
        <f>IFERROR(__xludf.DUMMYFUNCTION("IFERROR(
  IF(
    F2347 &gt;
    3*AVERAGE(
       FILTER($F$2:$F10491,
         $G$2:$G10491=G2347,
         $A$2:$A10491&gt;=A2347-20,
         $A$2:$A10491&lt;=A2347
       )
    ),
    ""VOL_SPIKE_3X"",""""
  ),
"""")
"),"")</f>
        <v/>
      </c>
      <c r="N2347" s="7" t="str">
        <f t="shared" si="6"/>
        <v/>
      </c>
      <c r="O2347" s="7" t="str">
        <f t="shared" si="7"/>
        <v/>
      </c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>
      <c r="A2348" s="5">
        <f>IFERROR(__xludf.DUMMYFUNCTION("""COMPUTED_VALUE"""),45897.0)</f>
        <v>45897</v>
      </c>
      <c r="B2348" s="6">
        <f>IFERROR(__xludf.DUMMYFUNCTION("""COMPUTED_VALUE"""),234.3)</f>
        <v>234.3</v>
      </c>
      <c r="C2348" s="6">
        <f>IFERROR(__xludf.DUMMYFUNCTION("""COMPUTED_VALUE"""),235.28)</f>
        <v>235.28</v>
      </c>
      <c r="D2348" s="6">
        <f>IFERROR(__xludf.DUMMYFUNCTION("""COMPUTED_VALUE"""),232.38)</f>
        <v>232.38</v>
      </c>
      <c r="E2348" s="6">
        <f>IFERROR(__xludf.DUMMYFUNCTION("""COMPUTED_VALUE"""),233.39)</f>
        <v>233.39</v>
      </c>
      <c r="F2348" s="7">
        <f>IFERROR(__xludf.DUMMYFUNCTION("""COMPUTED_VALUE"""),1.3870643E7)</f>
        <v>13870643</v>
      </c>
      <c r="G2348" s="7" t="str">
        <f>IFERROR(__xludf.DUMMYFUNCTION("""COMPUTED_VALUE"""),"ONGC.NS")</f>
        <v>ONGC.NS</v>
      </c>
      <c r="H2348" s="8">
        <f t="shared" si="1"/>
        <v>-0.003883909518</v>
      </c>
      <c r="I2348" s="8">
        <f t="shared" si="2"/>
        <v>0.003883909518</v>
      </c>
      <c r="J2348" s="7" t="str">
        <f t="shared" si="3"/>
        <v>Aug-2025</v>
      </c>
      <c r="K2348" s="9">
        <f t="shared" si="4"/>
        <v>45870</v>
      </c>
      <c r="L2348" s="7" t="str">
        <f t="shared" si="5"/>
        <v/>
      </c>
      <c r="M2348" s="7" t="str">
        <f>IFERROR(__xludf.DUMMYFUNCTION("IFERROR(
  IF(
    F2348 &gt;
    3*AVERAGE(
       FILTER($F$2:$F10491,
         $G$2:$G10491=G2348,
         $A$2:$A10491&gt;=A2348-20,
         $A$2:$A10491&lt;=A2348
       )
    ),
    ""VOL_SPIKE_3X"",""""
  ),
"""")
"),"")</f>
        <v/>
      </c>
      <c r="N2348" s="7" t="str">
        <f t="shared" si="6"/>
        <v/>
      </c>
      <c r="O2348" s="7" t="str">
        <f t="shared" si="7"/>
        <v/>
      </c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>
      <c r="A2349" s="5">
        <f>IFERROR(__xludf.DUMMYFUNCTION("""COMPUTED_VALUE"""),45897.0)</f>
        <v>45897</v>
      </c>
      <c r="B2349" s="6">
        <f>IFERROR(__xludf.DUMMYFUNCTION("""COMPUTED_VALUE"""),282.0)</f>
        <v>282</v>
      </c>
      <c r="C2349" s="6">
        <f>IFERROR(__xludf.DUMMYFUNCTION("""COMPUTED_VALUE"""),282.0)</f>
        <v>282</v>
      </c>
      <c r="D2349" s="6">
        <f>IFERROR(__xludf.DUMMYFUNCTION("""COMPUTED_VALUE"""),273.6)</f>
        <v>273.6</v>
      </c>
      <c r="E2349" s="6">
        <f>IFERROR(__xludf.DUMMYFUNCTION("""COMPUTED_VALUE"""),274.45)</f>
        <v>274.45</v>
      </c>
      <c r="F2349" s="7">
        <f>IFERROR(__xludf.DUMMYFUNCTION("""COMPUTED_VALUE"""),1.2455072E7)</f>
        <v>12455072</v>
      </c>
      <c r="G2349" s="7" t="str">
        <f>IFERROR(__xludf.DUMMYFUNCTION("""COMPUTED_VALUE"""),"POWERGRID.NS")</f>
        <v>POWERGRID.NS</v>
      </c>
      <c r="H2349" s="8">
        <f t="shared" si="1"/>
        <v>-0.02677304965</v>
      </c>
      <c r="I2349" s="8">
        <f t="shared" si="2"/>
        <v>0.02677304965</v>
      </c>
      <c r="J2349" s="7" t="str">
        <f t="shared" si="3"/>
        <v>Aug-2025</v>
      </c>
      <c r="K2349" s="9">
        <f t="shared" si="4"/>
        <v>45870</v>
      </c>
      <c r="L2349" s="7" t="str">
        <f t="shared" si="5"/>
        <v/>
      </c>
      <c r="M2349" s="7" t="str">
        <f>IFERROR(__xludf.DUMMYFUNCTION("IFERROR(
  IF(
    F2349 &gt;
    3*AVERAGE(
       FILTER($F$2:$F10491,
         $G$2:$G10491=G2349,
         $A$2:$A10491&gt;=A2349-20,
         $A$2:$A10491&lt;=A2349
       )
    ),
    ""VOL_SPIKE_3X"",""""
  ),
"""")
"),"")</f>
        <v/>
      </c>
      <c r="N2349" s="7" t="str">
        <f t="shared" si="6"/>
        <v/>
      </c>
      <c r="O2349" s="7" t="str">
        <f t="shared" si="7"/>
        <v/>
      </c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>
      <c r="A2350" s="5">
        <f>IFERROR(__xludf.DUMMYFUNCTION("""COMPUTED_VALUE"""),45897.0)</f>
        <v>45897</v>
      </c>
      <c r="B2350" s="6">
        <f>IFERROR(__xludf.DUMMYFUNCTION("""COMPUTED_VALUE"""),1389.9)</f>
        <v>1389.9</v>
      </c>
      <c r="C2350" s="6">
        <f>IFERROR(__xludf.DUMMYFUNCTION("""COMPUTED_VALUE"""),1392.2)</f>
        <v>1392.2</v>
      </c>
      <c r="D2350" s="6">
        <f>IFERROR(__xludf.DUMMYFUNCTION("""COMPUTED_VALUE"""),1366.5)</f>
        <v>1366.5</v>
      </c>
      <c r="E2350" s="6">
        <f>IFERROR(__xludf.DUMMYFUNCTION("""COMPUTED_VALUE"""),1385.9)</f>
        <v>1385.9</v>
      </c>
      <c r="F2350" s="7">
        <f>IFERROR(__xludf.DUMMYFUNCTION("""COMPUTED_VALUE"""),1.3161813E7)</f>
        <v>13161813</v>
      </c>
      <c r="G2350" s="7" t="str">
        <f>IFERROR(__xludf.DUMMYFUNCTION("""COMPUTED_VALUE"""),"RELIANCE.NS")</f>
        <v>RELIANCE.NS</v>
      </c>
      <c r="H2350" s="8">
        <f t="shared" si="1"/>
        <v>-0.002877904885</v>
      </c>
      <c r="I2350" s="8">
        <f t="shared" si="2"/>
        <v>0.002877904885</v>
      </c>
      <c r="J2350" s="7" t="str">
        <f t="shared" si="3"/>
        <v>Aug-2025</v>
      </c>
      <c r="K2350" s="9">
        <f t="shared" si="4"/>
        <v>45870</v>
      </c>
      <c r="L2350" s="7" t="str">
        <f t="shared" si="5"/>
        <v/>
      </c>
      <c r="M2350" s="7" t="str">
        <f>IFERROR(__xludf.DUMMYFUNCTION("IFERROR(
  IF(
    F2350 &gt;
    3*AVERAGE(
       FILTER($F$2:$F10491,
         $G$2:$G10491=G2350,
         $A$2:$A10491&gt;=A2350-20,
         $A$2:$A10491&lt;=A2350
       )
    ),
    ""VOL_SPIKE_3X"",""""
  ),
"""")
"),"")</f>
        <v/>
      </c>
      <c r="N2350" s="7" t="str">
        <f t="shared" si="6"/>
        <v/>
      </c>
      <c r="O2350" s="7" t="str">
        <f t="shared" si="7"/>
        <v/>
      </c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>
      <c r="A2351" s="5">
        <f>IFERROR(__xludf.DUMMYFUNCTION("""COMPUTED_VALUE"""),45898.0)</f>
        <v>45898</v>
      </c>
      <c r="B2351" s="6">
        <f>IFERROR(__xludf.DUMMYFUNCTION("""COMPUTED_VALUE"""),775.4)</f>
        <v>775.4</v>
      </c>
      <c r="C2351" s="6">
        <f>IFERROR(__xludf.DUMMYFUNCTION("""COMPUTED_VALUE"""),776.4)</f>
        <v>776.4</v>
      </c>
      <c r="D2351" s="6">
        <f>IFERROR(__xludf.DUMMYFUNCTION("""COMPUTED_VALUE"""),759.25)</f>
        <v>759.25</v>
      </c>
      <c r="E2351" s="6">
        <f>IFERROR(__xludf.DUMMYFUNCTION("""COMPUTED_VALUE"""),764.15)</f>
        <v>764.15</v>
      </c>
      <c r="F2351" s="7">
        <f>IFERROR(__xludf.DUMMYFUNCTION("""COMPUTED_VALUE"""),1341814.0)</f>
        <v>1341814</v>
      </c>
      <c r="G2351" s="7" t="str">
        <f>IFERROR(__xludf.DUMMYFUNCTION("""COMPUTED_VALUE"""),"ADANIENSOL.NS")</f>
        <v>ADANIENSOL.NS</v>
      </c>
      <c r="H2351" s="8">
        <f t="shared" si="1"/>
        <v>-0.0145086407</v>
      </c>
      <c r="I2351" s="8">
        <f t="shared" si="2"/>
        <v>0.0145086407</v>
      </c>
      <c r="J2351" s="7" t="str">
        <f t="shared" si="3"/>
        <v>Aug-2025</v>
      </c>
      <c r="K2351" s="9">
        <f t="shared" si="4"/>
        <v>45870</v>
      </c>
      <c r="L2351" s="7" t="str">
        <f t="shared" si="5"/>
        <v/>
      </c>
      <c r="M2351" s="7" t="str">
        <f>IFERROR(__xludf.DUMMYFUNCTION("IFERROR(
  IF(
    F2351 &gt;
    3*AVERAGE(
       FILTER($F$2:$F10491,
         $G$2:$G10491=G2351,
         $A$2:$A10491&gt;=A2351-20,
         $A$2:$A10491&lt;=A2351
       )
    ),
    ""VOL_SPIKE_3X"",""""
  ),
"""")
"),"")</f>
        <v/>
      </c>
      <c r="N2351" s="7" t="str">
        <f t="shared" si="6"/>
        <v/>
      </c>
      <c r="O2351" s="7" t="str">
        <f t="shared" si="7"/>
        <v/>
      </c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>
      <c r="A2352" s="5">
        <f>IFERROR(__xludf.DUMMYFUNCTION("""COMPUTED_VALUE"""),45898.0)</f>
        <v>45898</v>
      </c>
      <c r="B2352" s="6">
        <f>IFERROR(__xludf.DUMMYFUNCTION("""COMPUTED_VALUE"""),920.15)</f>
        <v>920.15</v>
      </c>
      <c r="C2352" s="6">
        <f>IFERROR(__xludf.DUMMYFUNCTION("""COMPUTED_VALUE"""),926.8)</f>
        <v>926.8</v>
      </c>
      <c r="D2352" s="6">
        <f>IFERROR(__xludf.DUMMYFUNCTION("""COMPUTED_VALUE"""),908.5)</f>
        <v>908.5</v>
      </c>
      <c r="E2352" s="6">
        <f>IFERROR(__xludf.DUMMYFUNCTION("""COMPUTED_VALUE"""),913.5)</f>
        <v>913.5</v>
      </c>
      <c r="F2352" s="7">
        <f>IFERROR(__xludf.DUMMYFUNCTION("""COMPUTED_VALUE"""),1477870.0)</f>
        <v>1477870</v>
      </c>
      <c r="G2352" s="7" t="str">
        <f>IFERROR(__xludf.DUMMYFUNCTION("""COMPUTED_VALUE"""),"ADANIGREEN.NS")</f>
        <v>ADANIGREEN.NS</v>
      </c>
      <c r="H2352" s="8">
        <f t="shared" si="1"/>
        <v>-0.007227082541</v>
      </c>
      <c r="I2352" s="8">
        <f t="shared" si="2"/>
        <v>0.007227082541</v>
      </c>
      <c r="J2352" s="7" t="str">
        <f t="shared" si="3"/>
        <v>Aug-2025</v>
      </c>
      <c r="K2352" s="9">
        <f t="shared" si="4"/>
        <v>45870</v>
      </c>
      <c r="L2352" s="7" t="str">
        <f t="shared" si="5"/>
        <v/>
      </c>
      <c r="M2352" s="7" t="str">
        <f>IFERROR(__xludf.DUMMYFUNCTION("IFERROR(
  IF(
    F2352 &gt;
    3*AVERAGE(
       FILTER($F$2:$F10491,
         $G$2:$G10491=G2352,
         $A$2:$A10491&gt;=A2352-20,
         $A$2:$A10491&lt;=A2352
       )
    ),
    ""VOL_SPIKE_3X"",""""
  ),
"""")
"),"")</f>
        <v/>
      </c>
      <c r="N2352" s="7" t="str">
        <f t="shared" si="6"/>
        <v/>
      </c>
      <c r="O2352" s="7" t="str">
        <f t="shared" si="7"/>
        <v/>
      </c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>
      <c r="A2353" s="5">
        <f>IFERROR(__xludf.DUMMYFUNCTION("""COMPUTED_VALUE"""),45898.0)</f>
        <v>45898</v>
      </c>
      <c r="B2353" s="6">
        <f>IFERROR(__xludf.DUMMYFUNCTION("""COMPUTED_VALUE"""),310.7)</f>
        <v>310.7</v>
      </c>
      <c r="C2353" s="6">
        <f>IFERROR(__xludf.DUMMYFUNCTION("""COMPUTED_VALUE"""),312.3)</f>
        <v>312.3</v>
      </c>
      <c r="D2353" s="6">
        <f>IFERROR(__xludf.DUMMYFUNCTION("""COMPUTED_VALUE"""),307.0)</f>
        <v>307</v>
      </c>
      <c r="E2353" s="6">
        <f>IFERROR(__xludf.DUMMYFUNCTION("""COMPUTED_VALUE"""),308.2)</f>
        <v>308.2</v>
      </c>
      <c r="F2353" s="7">
        <f>IFERROR(__xludf.DUMMYFUNCTION("""COMPUTED_VALUE"""),4334416.0)</f>
        <v>4334416</v>
      </c>
      <c r="G2353" s="7" t="str">
        <f>IFERROR(__xludf.DUMMYFUNCTION("""COMPUTED_VALUE"""),"BPCL.NS")</f>
        <v>BPCL.NS</v>
      </c>
      <c r="H2353" s="8">
        <f t="shared" si="1"/>
        <v>-0.008046346958</v>
      </c>
      <c r="I2353" s="8">
        <f t="shared" si="2"/>
        <v>0.008046346958</v>
      </c>
      <c r="J2353" s="7" t="str">
        <f t="shared" si="3"/>
        <v>Aug-2025</v>
      </c>
      <c r="K2353" s="9">
        <f t="shared" si="4"/>
        <v>45870</v>
      </c>
      <c r="L2353" s="7" t="str">
        <f t="shared" si="5"/>
        <v/>
      </c>
      <c r="M2353" s="7" t="str">
        <f>IFERROR(__xludf.DUMMYFUNCTION("IFERROR(
  IF(
    F2353 &gt;
    3*AVERAGE(
       FILTER($F$2:$F10491,
         $G$2:$G10491=G2353,
         $A$2:$A10491&gt;=A2353-20,
         $A$2:$A10491&lt;=A2353
       )
    ),
    ""VOL_SPIKE_3X"",""""
  ),
"""")
"),"")</f>
        <v/>
      </c>
      <c r="N2353" s="7" t="str">
        <f t="shared" si="6"/>
        <v/>
      </c>
      <c r="O2353" s="7" t="str">
        <f t="shared" si="7"/>
        <v/>
      </c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>
      <c r="A2354" s="5">
        <f>IFERROR(__xludf.DUMMYFUNCTION("""COMPUTED_VALUE"""),45898.0)</f>
        <v>45898</v>
      </c>
      <c r="B2354" s="6">
        <f>IFERROR(__xludf.DUMMYFUNCTION("""COMPUTED_VALUE"""),372.65)</f>
        <v>372.65</v>
      </c>
      <c r="C2354" s="6">
        <f>IFERROR(__xludf.DUMMYFUNCTION("""COMPUTED_VALUE"""),379.0)</f>
        <v>379</v>
      </c>
      <c r="D2354" s="6">
        <f>IFERROR(__xludf.DUMMYFUNCTION("""COMPUTED_VALUE"""),372.65)</f>
        <v>372.65</v>
      </c>
      <c r="E2354" s="6">
        <f>IFERROR(__xludf.DUMMYFUNCTION("""COMPUTED_VALUE"""),374.8)</f>
        <v>374.8</v>
      </c>
      <c r="F2354" s="7">
        <f>IFERROR(__xludf.DUMMYFUNCTION("""COMPUTED_VALUE"""),4578400.0)</f>
        <v>4578400</v>
      </c>
      <c r="G2354" s="7" t="str">
        <f>IFERROR(__xludf.DUMMYFUNCTION("""COMPUTED_VALUE"""),"COALINDIA.NS")</f>
        <v>COALINDIA.NS</v>
      </c>
      <c r="H2354" s="8">
        <f t="shared" si="1"/>
        <v>0.005769488796</v>
      </c>
      <c r="I2354" s="8">
        <f t="shared" si="2"/>
        <v>0.005769488796</v>
      </c>
      <c r="J2354" s="7" t="str">
        <f t="shared" si="3"/>
        <v>Aug-2025</v>
      </c>
      <c r="K2354" s="9">
        <f t="shared" si="4"/>
        <v>45870</v>
      </c>
      <c r="L2354" s="7" t="str">
        <f t="shared" si="5"/>
        <v/>
      </c>
      <c r="M2354" s="7" t="str">
        <f>IFERROR(__xludf.DUMMYFUNCTION("IFERROR(
  IF(
    F2354 &gt;
    3*AVERAGE(
       FILTER($F$2:$F10491,
         $G$2:$G10491=G2354,
         $A$2:$A10491&gt;=A2354-20,
         $A$2:$A10491&lt;=A2354
       )
    ),
    ""VOL_SPIKE_3X"",""""
  ),
"""")
"),"")</f>
        <v/>
      </c>
      <c r="N2354" s="7" t="str">
        <f t="shared" si="6"/>
        <v/>
      </c>
      <c r="O2354" s="7" t="str">
        <f t="shared" si="7"/>
        <v/>
      </c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>
      <c r="A2355" s="5">
        <f>IFERROR(__xludf.DUMMYFUNCTION("""COMPUTED_VALUE"""),45898.0)</f>
        <v>45898</v>
      </c>
      <c r="B2355" s="6">
        <f>IFERROR(__xludf.DUMMYFUNCTION("""COMPUTED_VALUE"""),381.75)</f>
        <v>381.75</v>
      </c>
      <c r="C2355" s="6">
        <f>IFERROR(__xludf.DUMMYFUNCTION("""COMPUTED_VALUE"""),383.85)</f>
        <v>383.85</v>
      </c>
      <c r="D2355" s="6">
        <f>IFERROR(__xludf.DUMMYFUNCTION("""COMPUTED_VALUE"""),375.05)</f>
        <v>375.05</v>
      </c>
      <c r="E2355" s="6">
        <f>IFERROR(__xludf.DUMMYFUNCTION("""COMPUTED_VALUE"""),375.9)</f>
        <v>375.9</v>
      </c>
      <c r="F2355" s="7">
        <f>IFERROR(__xludf.DUMMYFUNCTION("""COMPUTED_VALUE"""),3112442.0)</f>
        <v>3112442</v>
      </c>
      <c r="G2355" s="7" t="str">
        <f>IFERROR(__xludf.DUMMYFUNCTION("""COMPUTED_VALUE"""),"HINDPETRO.NS")</f>
        <v>HINDPETRO.NS</v>
      </c>
      <c r="H2355" s="8">
        <f t="shared" si="1"/>
        <v>-0.01532416503</v>
      </c>
      <c r="I2355" s="8">
        <f t="shared" si="2"/>
        <v>0.01532416503</v>
      </c>
      <c r="J2355" s="7" t="str">
        <f t="shared" si="3"/>
        <v>Aug-2025</v>
      </c>
      <c r="K2355" s="9">
        <f t="shared" si="4"/>
        <v>45870</v>
      </c>
      <c r="L2355" s="7" t="str">
        <f t="shared" si="5"/>
        <v/>
      </c>
      <c r="M2355" s="7" t="str">
        <f>IFERROR(__xludf.DUMMYFUNCTION("IFERROR(
  IF(
    F2355 &gt;
    3*AVERAGE(
       FILTER($F$2:$F10491,
         $G$2:$G10491=G2355,
         $A$2:$A10491&gt;=A2355-20,
         $A$2:$A10491&lt;=A2355
       )
    ),
    ""VOL_SPIKE_3X"",""""
  ),
"""")
"),"")</f>
        <v/>
      </c>
      <c r="N2355" s="7" t="str">
        <f t="shared" si="6"/>
        <v/>
      </c>
      <c r="O2355" s="7" t="str">
        <f t="shared" si="7"/>
        <v/>
      </c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>
      <c r="A2356" s="5">
        <f>IFERROR(__xludf.DUMMYFUNCTION("""COMPUTED_VALUE"""),45898.0)</f>
        <v>45898</v>
      </c>
      <c r="B2356" s="6">
        <f>IFERROR(__xludf.DUMMYFUNCTION("""COMPUTED_VALUE"""),138.49)</f>
        <v>138.49</v>
      </c>
      <c r="C2356" s="6">
        <f>IFERROR(__xludf.DUMMYFUNCTION("""COMPUTED_VALUE"""),139.49)</f>
        <v>139.49</v>
      </c>
      <c r="D2356" s="6">
        <f>IFERROR(__xludf.DUMMYFUNCTION("""COMPUTED_VALUE"""),136.46)</f>
        <v>136.46</v>
      </c>
      <c r="E2356" s="6">
        <f>IFERROR(__xludf.DUMMYFUNCTION("""COMPUTED_VALUE"""),136.62)</f>
        <v>136.62</v>
      </c>
      <c r="F2356" s="7">
        <f>IFERROR(__xludf.DUMMYFUNCTION("""COMPUTED_VALUE"""),1.0577763E7)</f>
        <v>10577763</v>
      </c>
      <c r="G2356" s="7" t="str">
        <f>IFERROR(__xludf.DUMMYFUNCTION("""COMPUTED_VALUE"""),"IOC.NS")</f>
        <v>IOC.NS</v>
      </c>
      <c r="H2356" s="8">
        <f t="shared" si="1"/>
        <v>-0.01350277998</v>
      </c>
      <c r="I2356" s="8">
        <f t="shared" si="2"/>
        <v>0.01350277998</v>
      </c>
      <c r="J2356" s="7" t="str">
        <f t="shared" si="3"/>
        <v>Aug-2025</v>
      </c>
      <c r="K2356" s="9">
        <f t="shared" si="4"/>
        <v>45870</v>
      </c>
      <c r="L2356" s="7" t="str">
        <f t="shared" si="5"/>
        <v/>
      </c>
      <c r="M2356" s="7" t="str">
        <f>IFERROR(__xludf.DUMMYFUNCTION("IFERROR(
  IF(
    F2356 &gt;
    3*AVERAGE(
       FILTER($F$2:$F10491,
         $G$2:$G10491=G2356,
         $A$2:$A10491&gt;=A2356-20,
         $A$2:$A10491&lt;=A2356
       )
    ),
    ""VOL_SPIKE_3X"",""""
  ),
"""")
"),"")</f>
        <v/>
      </c>
      <c r="N2356" s="7" t="str">
        <f t="shared" si="6"/>
        <v/>
      </c>
      <c r="O2356" s="7" t="str">
        <f t="shared" si="7"/>
        <v/>
      </c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>
      <c r="A2357" s="5">
        <f>IFERROR(__xludf.DUMMYFUNCTION("""COMPUTED_VALUE"""),45898.0)</f>
        <v>45898</v>
      </c>
      <c r="B2357" s="6">
        <f>IFERROR(__xludf.DUMMYFUNCTION("""COMPUTED_VALUE"""),331.0)</f>
        <v>331</v>
      </c>
      <c r="C2357" s="6">
        <f>IFERROR(__xludf.DUMMYFUNCTION("""COMPUTED_VALUE"""),331.5)</f>
        <v>331.5</v>
      </c>
      <c r="D2357" s="6">
        <f>IFERROR(__xludf.DUMMYFUNCTION("""COMPUTED_VALUE"""),327.0)</f>
        <v>327</v>
      </c>
      <c r="E2357" s="6">
        <f>IFERROR(__xludf.DUMMYFUNCTION("""COMPUTED_VALUE"""),327.55)</f>
        <v>327.55</v>
      </c>
      <c r="F2357" s="7">
        <f>IFERROR(__xludf.DUMMYFUNCTION("""COMPUTED_VALUE"""),1.1813425E7)</f>
        <v>11813425</v>
      </c>
      <c r="G2357" s="7" t="str">
        <f>IFERROR(__xludf.DUMMYFUNCTION("""COMPUTED_VALUE"""),"NTPC.NS")</f>
        <v>NTPC.NS</v>
      </c>
      <c r="H2357" s="8">
        <f t="shared" si="1"/>
        <v>-0.01042296073</v>
      </c>
      <c r="I2357" s="8">
        <f t="shared" si="2"/>
        <v>0.01042296073</v>
      </c>
      <c r="J2357" s="7" t="str">
        <f t="shared" si="3"/>
        <v>Aug-2025</v>
      </c>
      <c r="K2357" s="9">
        <f t="shared" si="4"/>
        <v>45870</v>
      </c>
      <c r="L2357" s="7" t="str">
        <f t="shared" si="5"/>
        <v/>
      </c>
      <c r="M2357" s="7" t="str">
        <f>IFERROR(__xludf.DUMMYFUNCTION("IFERROR(
  IF(
    F2357 &gt;
    3*AVERAGE(
       FILTER($F$2:$F10491,
         $G$2:$G10491=G2357,
         $A$2:$A10491&gt;=A2357-20,
         $A$2:$A10491&lt;=A2357
       )
    ),
    ""VOL_SPIKE_3X"",""""
  ),
"""")
"),"")</f>
        <v/>
      </c>
      <c r="N2357" s="7" t="str">
        <f t="shared" si="6"/>
        <v/>
      </c>
      <c r="O2357" s="7" t="str">
        <f t="shared" si="7"/>
        <v/>
      </c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>
      <c r="A2358" s="5">
        <f>IFERROR(__xludf.DUMMYFUNCTION("""COMPUTED_VALUE"""),45898.0)</f>
        <v>45898</v>
      </c>
      <c r="B2358" s="6">
        <f>IFERROR(__xludf.DUMMYFUNCTION("""COMPUTED_VALUE"""),233.39)</f>
        <v>233.39</v>
      </c>
      <c r="C2358" s="6">
        <f>IFERROR(__xludf.DUMMYFUNCTION("""COMPUTED_VALUE"""),235.37)</f>
        <v>235.37</v>
      </c>
      <c r="D2358" s="6">
        <f>IFERROR(__xludf.DUMMYFUNCTION("""COMPUTED_VALUE"""),231.33)</f>
        <v>231.33</v>
      </c>
      <c r="E2358" s="6">
        <f>IFERROR(__xludf.DUMMYFUNCTION("""COMPUTED_VALUE"""),233.71)</f>
        <v>233.71</v>
      </c>
      <c r="F2358" s="7">
        <f>IFERROR(__xludf.DUMMYFUNCTION("""COMPUTED_VALUE"""),9928988.0)</f>
        <v>9928988</v>
      </c>
      <c r="G2358" s="7" t="str">
        <f>IFERROR(__xludf.DUMMYFUNCTION("""COMPUTED_VALUE"""),"ONGC.NS")</f>
        <v>ONGC.NS</v>
      </c>
      <c r="H2358" s="8">
        <f t="shared" si="1"/>
        <v>0.001371095591</v>
      </c>
      <c r="I2358" s="8">
        <f t="shared" si="2"/>
        <v>0.001371095591</v>
      </c>
      <c r="J2358" s="7" t="str">
        <f t="shared" si="3"/>
        <v>Aug-2025</v>
      </c>
      <c r="K2358" s="9">
        <f t="shared" si="4"/>
        <v>45870</v>
      </c>
      <c r="L2358" s="7" t="str">
        <f t="shared" si="5"/>
        <v/>
      </c>
      <c r="M2358" s="7" t="str">
        <f>IFERROR(__xludf.DUMMYFUNCTION("IFERROR(
  IF(
    F2358 &gt;
    3*AVERAGE(
       FILTER($F$2:$F10491,
         $G$2:$G10491=G2358,
         $A$2:$A10491&gt;=A2358-20,
         $A$2:$A10491&lt;=A2358
       )
    ),
    ""VOL_SPIKE_3X"",""""
  ),
"""")
"),"")</f>
        <v/>
      </c>
      <c r="N2358" s="7" t="str">
        <f t="shared" si="6"/>
        <v/>
      </c>
      <c r="O2358" s="7" t="str">
        <f t="shared" si="7"/>
        <v/>
      </c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>
      <c r="A2359" s="5">
        <f>IFERROR(__xludf.DUMMYFUNCTION("""COMPUTED_VALUE"""),45898.0)</f>
        <v>45898</v>
      </c>
      <c r="B2359" s="6">
        <f>IFERROR(__xludf.DUMMYFUNCTION("""COMPUTED_VALUE"""),273.6)</f>
        <v>273.6</v>
      </c>
      <c r="C2359" s="6">
        <f>IFERROR(__xludf.DUMMYFUNCTION("""COMPUTED_VALUE"""),276.1)</f>
        <v>276.1</v>
      </c>
      <c r="D2359" s="6">
        <f>IFERROR(__xludf.DUMMYFUNCTION("""COMPUTED_VALUE"""),272.25)</f>
        <v>272.25</v>
      </c>
      <c r="E2359" s="6">
        <f>IFERROR(__xludf.DUMMYFUNCTION("""COMPUTED_VALUE"""),275.25)</f>
        <v>275.25</v>
      </c>
      <c r="F2359" s="7">
        <f>IFERROR(__xludf.DUMMYFUNCTION("""COMPUTED_VALUE"""),1.2841075E7)</f>
        <v>12841075</v>
      </c>
      <c r="G2359" s="7" t="str">
        <f>IFERROR(__xludf.DUMMYFUNCTION("""COMPUTED_VALUE"""),"POWERGRID.NS")</f>
        <v>POWERGRID.NS</v>
      </c>
      <c r="H2359" s="8">
        <f t="shared" si="1"/>
        <v>0.006030701754</v>
      </c>
      <c r="I2359" s="8">
        <f t="shared" si="2"/>
        <v>0.006030701754</v>
      </c>
      <c r="J2359" s="7" t="str">
        <f t="shared" si="3"/>
        <v>Aug-2025</v>
      </c>
      <c r="K2359" s="9">
        <f t="shared" si="4"/>
        <v>45870</v>
      </c>
      <c r="L2359" s="7" t="str">
        <f t="shared" si="5"/>
        <v/>
      </c>
      <c r="M2359" s="7" t="str">
        <f>IFERROR(__xludf.DUMMYFUNCTION("IFERROR(
  IF(
    F2359 &gt;
    3*AVERAGE(
       FILTER($F$2:$F10491,
         $G$2:$G10491=G2359,
         $A$2:$A10491&gt;=A2359-20,
         $A$2:$A10491&lt;=A2359
       )
    ),
    ""VOL_SPIKE_3X"",""""
  ),
"""")
"),"")</f>
        <v/>
      </c>
      <c r="N2359" s="7" t="str">
        <f t="shared" si="6"/>
        <v/>
      </c>
      <c r="O2359" s="7" t="str">
        <f t="shared" si="7"/>
        <v/>
      </c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>
      <c r="A2360" s="5">
        <f>IFERROR(__xludf.DUMMYFUNCTION("""COMPUTED_VALUE"""),45898.0)</f>
        <v>45898</v>
      </c>
      <c r="B2360" s="6">
        <f>IFERROR(__xludf.DUMMYFUNCTION("""COMPUTED_VALUE"""),1381.1)</f>
        <v>1381.1</v>
      </c>
      <c r="C2360" s="6">
        <f>IFERROR(__xludf.DUMMYFUNCTION("""COMPUTED_VALUE"""),1403.5)</f>
        <v>1403.5</v>
      </c>
      <c r="D2360" s="6">
        <f>IFERROR(__xludf.DUMMYFUNCTION("""COMPUTED_VALUE"""),1350.0)</f>
        <v>1350</v>
      </c>
      <c r="E2360" s="6">
        <f>IFERROR(__xludf.DUMMYFUNCTION("""COMPUTED_VALUE"""),1357.2)</f>
        <v>1357.2</v>
      </c>
      <c r="F2360" s="7">
        <f>IFERROR(__xludf.DUMMYFUNCTION("""COMPUTED_VALUE"""),1.8758842E7)</f>
        <v>18758842</v>
      </c>
      <c r="G2360" s="7" t="str">
        <f>IFERROR(__xludf.DUMMYFUNCTION("""COMPUTED_VALUE"""),"RELIANCE.NS")</f>
        <v>RELIANCE.NS</v>
      </c>
      <c r="H2360" s="8">
        <f t="shared" si="1"/>
        <v>-0.0173050467</v>
      </c>
      <c r="I2360" s="8">
        <f t="shared" si="2"/>
        <v>0.0173050467</v>
      </c>
      <c r="J2360" s="7" t="str">
        <f t="shared" si="3"/>
        <v>Aug-2025</v>
      </c>
      <c r="K2360" s="9">
        <f t="shared" si="4"/>
        <v>45870</v>
      </c>
      <c r="L2360" s="7" t="str">
        <f t="shared" si="5"/>
        <v/>
      </c>
      <c r="M2360" s="7" t="str">
        <f>IFERROR(__xludf.DUMMYFUNCTION("IFERROR(
  IF(
    F2360 &gt;
    3*AVERAGE(
       FILTER($F$2:$F10491,
         $G$2:$G10491=G2360,
         $A$2:$A10491&gt;=A2360-20,
         $A$2:$A10491&lt;=A2360
       )
    ),
    ""VOL_SPIKE_3X"",""""
  ),
"""")
"),"")</f>
        <v/>
      </c>
      <c r="N2360" s="7" t="str">
        <f t="shared" si="6"/>
        <v/>
      </c>
      <c r="O2360" s="7" t="str">
        <f t="shared" si="7"/>
        <v/>
      </c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>
      <c r="A2361" s="5">
        <f>IFERROR(__xludf.DUMMYFUNCTION("""COMPUTED_VALUE"""),45901.0)</f>
        <v>45901</v>
      </c>
      <c r="B2361" s="6">
        <f>IFERROR(__xludf.DUMMYFUNCTION("""COMPUTED_VALUE"""),770.15)</f>
        <v>770.15</v>
      </c>
      <c r="C2361" s="6">
        <f>IFERROR(__xludf.DUMMYFUNCTION("""COMPUTED_VALUE"""),777.6)</f>
        <v>777.6</v>
      </c>
      <c r="D2361" s="6">
        <f>IFERROR(__xludf.DUMMYFUNCTION("""COMPUTED_VALUE"""),763.3)</f>
        <v>763.3</v>
      </c>
      <c r="E2361" s="6">
        <f>IFERROR(__xludf.DUMMYFUNCTION("""COMPUTED_VALUE"""),766.65)</f>
        <v>766.65</v>
      </c>
      <c r="F2361" s="7">
        <f>IFERROR(__xludf.DUMMYFUNCTION("""COMPUTED_VALUE"""),891853.0)</f>
        <v>891853</v>
      </c>
      <c r="G2361" s="7" t="str">
        <f>IFERROR(__xludf.DUMMYFUNCTION("""COMPUTED_VALUE"""),"ADANIENSOL.NS")</f>
        <v>ADANIENSOL.NS</v>
      </c>
      <c r="H2361" s="8">
        <f t="shared" si="1"/>
        <v>-0.00454456924</v>
      </c>
      <c r="I2361" s="8">
        <f t="shared" si="2"/>
        <v>0.00454456924</v>
      </c>
      <c r="J2361" s="7" t="str">
        <f t="shared" si="3"/>
        <v>Sep-2025</v>
      </c>
      <c r="K2361" s="9">
        <f t="shared" si="4"/>
        <v>45901</v>
      </c>
      <c r="L2361" s="7" t="str">
        <f t="shared" si="5"/>
        <v/>
      </c>
      <c r="M2361" s="7" t="str">
        <f>IFERROR(__xludf.DUMMYFUNCTION("IFERROR(
  IF(
    F2361 &gt;
    3*AVERAGE(
       FILTER($F$2:$F10491,
         $G$2:$G10491=G2361,
         $A$2:$A10491&gt;=A2361-20,
         $A$2:$A10491&lt;=A2361
       )
    ),
    ""VOL_SPIKE_3X"",""""
  ),
"""")
"),"")</f>
        <v/>
      </c>
      <c r="N2361" s="7" t="str">
        <f t="shared" si="6"/>
        <v/>
      </c>
      <c r="O2361" s="7" t="str">
        <f t="shared" si="7"/>
        <v/>
      </c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>
      <c r="A2362" s="5">
        <f>IFERROR(__xludf.DUMMYFUNCTION("""COMPUTED_VALUE"""),45901.0)</f>
        <v>45901</v>
      </c>
      <c r="B2362" s="6">
        <f>IFERROR(__xludf.DUMMYFUNCTION("""COMPUTED_VALUE"""),920.4)</f>
        <v>920.4</v>
      </c>
      <c r="C2362" s="6">
        <f>IFERROR(__xludf.DUMMYFUNCTION("""COMPUTED_VALUE"""),933.7)</f>
        <v>933.7</v>
      </c>
      <c r="D2362" s="6">
        <f>IFERROR(__xludf.DUMMYFUNCTION("""COMPUTED_VALUE"""),918.05)</f>
        <v>918.05</v>
      </c>
      <c r="E2362" s="6">
        <f>IFERROR(__xludf.DUMMYFUNCTION("""COMPUTED_VALUE"""),931.55)</f>
        <v>931.55</v>
      </c>
      <c r="F2362" s="7">
        <f>IFERROR(__xludf.DUMMYFUNCTION("""COMPUTED_VALUE"""),839458.0)</f>
        <v>839458</v>
      </c>
      <c r="G2362" s="7" t="str">
        <f>IFERROR(__xludf.DUMMYFUNCTION("""COMPUTED_VALUE"""),"ADANIGREEN.NS")</f>
        <v>ADANIGREEN.NS</v>
      </c>
      <c r="H2362" s="8">
        <f t="shared" si="1"/>
        <v>0.01211429813</v>
      </c>
      <c r="I2362" s="8">
        <f t="shared" si="2"/>
        <v>0.01211429813</v>
      </c>
      <c r="J2362" s="7" t="str">
        <f t="shared" si="3"/>
        <v>Sep-2025</v>
      </c>
      <c r="K2362" s="9">
        <f t="shared" si="4"/>
        <v>45901</v>
      </c>
      <c r="L2362" s="7" t="str">
        <f t="shared" si="5"/>
        <v/>
      </c>
      <c r="M2362" s="7" t="str">
        <f>IFERROR(__xludf.DUMMYFUNCTION("IFERROR(
  IF(
    F2362 &gt;
    3*AVERAGE(
       FILTER($F$2:$F10491,
         $G$2:$G10491=G2362,
         $A$2:$A10491&gt;=A2362-20,
         $A$2:$A10491&lt;=A2362
       )
    ),
    ""VOL_SPIKE_3X"",""""
  ),
"""")
"),"")</f>
        <v/>
      </c>
      <c r="N2362" s="7" t="str">
        <f t="shared" si="6"/>
        <v/>
      </c>
      <c r="O2362" s="7" t="str">
        <f t="shared" si="7"/>
        <v/>
      </c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>
      <c r="A2363" s="5">
        <f>IFERROR(__xludf.DUMMYFUNCTION("""COMPUTED_VALUE"""),45901.0)</f>
        <v>45901</v>
      </c>
      <c r="B2363" s="6">
        <f>IFERROR(__xludf.DUMMYFUNCTION("""COMPUTED_VALUE"""),308.5)</f>
        <v>308.5</v>
      </c>
      <c r="C2363" s="6">
        <f>IFERROR(__xludf.DUMMYFUNCTION("""COMPUTED_VALUE"""),315.55)</f>
        <v>315.55</v>
      </c>
      <c r="D2363" s="6">
        <f>IFERROR(__xludf.DUMMYFUNCTION("""COMPUTED_VALUE"""),306.8)</f>
        <v>306.8</v>
      </c>
      <c r="E2363" s="6">
        <f>IFERROR(__xludf.DUMMYFUNCTION("""COMPUTED_VALUE"""),314.75)</f>
        <v>314.75</v>
      </c>
      <c r="F2363" s="7">
        <f>IFERROR(__xludf.DUMMYFUNCTION("""COMPUTED_VALUE"""),3672180.0)</f>
        <v>3672180</v>
      </c>
      <c r="G2363" s="7" t="str">
        <f>IFERROR(__xludf.DUMMYFUNCTION("""COMPUTED_VALUE"""),"BPCL.NS")</f>
        <v>BPCL.NS</v>
      </c>
      <c r="H2363" s="8">
        <f t="shared" si="1"/>
        <v>0.02025931929</v>
      </c>
      <c r="I2363" s="8">
        <f t="shared" si="2"/>
        <v>0.02025931929</v>
      </c>
      <c r="J2363" s="7" t="str">
        <f t="shared" si="3"/>
        <v>Sep-2025</v>
      </c>
      <c r="K2363" s="9">
        <f t="shared" si="4"/>
        <v>45901</v>
      </c>
      <c r="L2363" s="7" t="str">
        <f t="shared" si="5"/>
        <v/>
      </c>
      <c r="M2363" s="7" t="str">
        <f>IFERROR(__xludf.DUMMYFUNCTION("IFERROR(
  IF(
    F2363 &gt;
    3*AVERAGE(
       FILTER($F$2:$F10491,
         $G$2:$G10491=G2363,
         $A$2:$A10491&gt;=A2363-20,
         $A$2:$A10491&lt;=A2363
       )
    ),
    ""VOL_SPIKE_3X"",""""
  ),
"""")
"),"")</f>
        <v/>
      </c>
      <c r="N2363" s="7" t="str">
        <f t="shared" si="6"/>
        <v/>
      </c>
      <c r="O2363" s="7" t="str">
        <f t="shared" si="7"/>
        <v/>
      </c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>
      <c r="A2364" s="5">
        <f>IFERROR(__xludf.DUMMYFUNCTION("""COMPUTED_VALUE"""),45901.0)</f>
        <v>45901</v>
      </c>
      <c r="B2364" s="6">
        <f>IFERROR(__xludf.DUMMYFUNCTION("""COMPUTED_VALUE"""),375.3)</f>
        <v>375.3</v>
      </c>
      <c r="C2364" s="6">
        <f>IFERROR(__xludf.DUMMYFUNCTION("""COMPUTED_VALUE"""),378.6)</f>
        <v>378.6</v>
      </c>
      <c r="D2364" s="6">
        <f>IFERROR(__xludf.DUMMYFUNCTION("""COMPUTED_VALUE"""),375.1)</f>
        <v>375.1</v>
      </c>
      <c r="E2364" s="6">
        <f>IFERROR(__xludf.DUMMYFUNCTION("""COMPUTED_VALUE"""),377.9)</f>
        <v>377.9</v>
      </c>
      <c r="F2364" s="7">
        <f>IFERROR(__xludf.DUMMYFUNCTION("""COMPUTED_VALUE"""),2829114.0)</f>
        <v>2829114</v>
      </c>
      <c r="G2364" s="7" t="str">
        <f>IFERROR(__xludf.DUMMYFUNCTION("""COMPUTED_VALUE"""),"COALINDIA.NS")</f>
        <v>COALINDIA.NS</v>
      </c>
      <c r="H2364" s="8">
        <f t="shared" si="1"/>
        <v>0.0069277911</v>
      </c>
      <c r="I2364" s="8">
        <f t="shared" si="2"/>
        <v>0.0069277911</v>
      </c>
      <c r="J2364" s="7" t="str">
        <f t="shared" si="3"/>
        <v>Sep-2025</v>
      </c>
      <c r="K2364" s="9">
        <f t="shared" si="4"/>
        <v>45901</v>
      </c>
      <c r="L2364" s="7" t="str">
        <f t="shared" si="5"/>
        <v/>
      </c>
      <c r="M2364" s="7" t="str">
        <f>IFERROR(__xludf.DUMMYFUNCTION("IFERROR(
  IF(
    F2364 &gt;
    3*AVERAGE(
       FILTER($F$2:$F10491,
         $G$2:$G10491=G2364,
         $A$2:$A10491&gt;=A2364-20,
         $A$2:$A10491&lt;=A2364
       )
    ),
    ""VOL_SPIKE_3X"",""""
  ),
"""")
"),"")</f>
        <v/>
      </c>
      <c r="N2364" s="7" t="str">
        <f t="shared" si="6"/>
        <v/>
      </c>
      <c r="O2364" s="7" t="str">
        <f t="shared" si="7"/>
        <v/>
      </c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>
      <c r="A2365" s="5">
        <f>IFERROR(__xludf.DUMMYFUNCTION("""COMPUTED_VALUE"""),45901.0)</f>
        <v>45901</v>
      </c>
      <c r="B2365" s="6">
        <f>IFERROR(__xludf.DUMMYFUNCTION("""COMPUTED_VALUE"""),377.0)</f>
        <v>377</v>
      </c>
      <c r="C2365" s="6">
        <f>IFERROR(__xludf.DUMMYFUNCTION("""COMPUTED_VALUE"""),385.7)</f>
        <v>385.7</v>
      </c>
      <c r="D2365" s="6">
        <f>IFERROR(__xludf.DUMMYFUNCTION("""COMPUTED_VALUE"""),376.6)</f>
        <v>376.6</v>
      </c>
      <c r="E2365" s="6">
        <f>IFERROR(__xludf.DUMMYFUNCTION("""COMPUTED_VALUE"""),385.25)</f>
        <v>385.25</v>
      </c>
      <c r="F2365" s="7">
        <f>IFERROR(__xludf.DUMMYFUNCTION("""COMPUTED_VALUE"""),2360108.0)</f>
        <v>2360108</v>
      </c>
      <c r="G2365" s="7" t="str">
        <f>IFERROR(__xludf.DUMMYFUNCTION("""COMPUTED_VALUE"""),"HINDPETRO.NS")</f>
        <v>HINDPETRO.NS</v>
      </c>
      <c r="H2365" s="8">
        <f t="shared" si="1"/>
        <v>0.02188328912</v>
      </c>
      <c r="I2365" s="8">
        <f t="shared" si="2"/>
        <v>0.02188328912</v>
      </c>
      <c r="J2365" s="7" t="str">
        <f t="shared" si="3"/>
        <v>Sep-2025</v>
      </c>
      <c r="K2365" s="9">
        <f t="shared" si="4"/>
        <v>45901</v>
      </c>
      <c r="L2365" s="7" t="str">
        <f t="shared" si="5"/>
        <v/>
      </c>
      <c r="M2365" s="7" t="str">
        <f>IFERROR(__xludf.DUMMYFUNCTION("IFERROR(
  IF(
    F2365 &gt;
    3*AVERAGE(
       FILTER($F$2:$F10491,
         $G$2:$G10491=G2365,
         $A$2:$A10491&gt;=A2365-20,
         $A$2:$A10491&lt;=A2365
       )
    ),
    ""VOL_SPIKE_3X"",""""
  ),
"""")
"),"")</f>
        <v/>
      </c>
      <c r="N2365" s="7" t="str">
        <f t="shared" si="6"/>
        <v/>
      </c>
      <c r="O2365" s="7" t="str">
        <f t="shared" si="7"/>
        <v/>
      </c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>
      <c r="A2366" s="5">
        <f>IFERROR(__xludf.DUMMYFUNCTION("""COMPUTED_VALUE"""),45901.0)</f>
        <v>45901</v>
      </c>
      <c r="B2366" s="6">
        <f>IFERROR(__xludf.DUMMYFUNCTION("""COMPUTED_VALUE"""),137.0)</f>
        <v>137</v>
      </c>
      <c r="C2366" s="6">
        <f>IFERROR(__xludf.DUMMYFUNCTION("""COMPUTED_VALUE"""),139.74)</f>
        <v>139.74</v>
      </c>
      <c r="D2366" s="6">
        <f>IFERROR(__xludf.DUMMYFUNCTION("""COMPUTED_VALUE"""),136.76)</f>
        <v>136.76</v>
      </c>
      <c r="E2366" s="6">
        <f>IFERROR(__xludf.DUMMYFUNCTION("""COMPUTED_VALUE"""),139.56)</f>
        <v>139.56</v>
      </c>
      <c r="F2366" s="7">
        <f>IFERROR(__xludf.DUMMYFUNCTION("""COMPUTED_VALUE"""),6229505.0)</f>
        <v>6229505</v>
      </c>
      <c r="G2366" s="7" t="str">
        <f>IFERROR(__xludf.DUMMYFUNCTION("""COMPUTED_VALUE"""),"IOC.NS")</f>
        <v>IOC.NS</v>
      </c>
      <c r="H2366" s="8">
        <f t="shared" si="1"/>
        <v>0.01868613139</v>
      </c>
      <c r="I2366" s="8">
        <f t="shared" si="2"/>
        <v>0.01868613139</v>
      </c>
      <c r="J2366" s="7" t="str">
        <f t="shared" si="3"/>
        <v>Sep-2025</v>
      </c>
      <c r="K2366" s="9">
        <f t="shared" si="4"/>
        <v>45901</v>
      </c>
      <c r="L2366" s="7" t="str">
        <f t="shared" si="5"/>
        <v/>
      </c>
      <c r="M2366" s="7" t="str">
        <f>IFERROR(__xludf.DUMMYFUNCTION("IFERROR(
  IF(
    F2366 &gt;
    3*AVERAGE(
       FILTER($F$2:$F10491,
         $G$2:$G10491=G2366,
         $A$2:$A10491&gt;=A2366-20,
         $A$2:$A10491&lt;=A2366
       )
    ),
    ""VOL_SPIKE_3X"",""""
  ),
"""")
"),"")</f>
        <v/>
      </c>
      <c r="N2366" s="7" t="str">
        <f t="shared" si="6"/>
        <v/>
      </c>
      <c r="O2366" s="7" t="str">
        <f t="shared" si="7"/>
        <v/>
      </c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>
      <c r="A2367" s="5">
        <f>IFERROR(__xludf.DUMMYFUNCTION("""COMPUTED_VALUE"""),45901.0)</f>
        <v>45901</v>
      </c>
      <c r="B2367" s="6">
        <f>IFERROR(__xludf.DUMMYFUNCTION("""COMPUTED_VALUE"""),328.0)</f>
        <v>328</v>
      </c>
      <c r="C2367" s="6">
        <f>IFERROR(__xludf.DUMMYFUNCTION("""COMPUTED_VALUE"""),331.6)</f>
        <v>331.6</v>
      </c>
      <c r="D2367" s="6">
        <f>IFERROR(__xludf.DUMMYFUNCTION("""COMPUTED_VALUE"""),328.0)</f>
        <v>328</v>
      </c>
      <c r="E2367" s="6">
        <f>IFERROR(__xludf.DUMMYFUNCTION("""COMPUTED_VALUE"""),330.7)</f>
        <v>330.7</v>
      </c>
      <c r="F2367" s="7">
        <f>IFERROR(__xludf.DUMMYFUNCTION("""COMPUTED_VALUE"""),6897558.0)</f>
        <v>6897558</v>
      </c>
      <c r="G2367" s="7" t="str">
        <f>IFERROR(__xludf.DUMMYFUNCTION("""COMPUTED_VALUE"""),"NTPC.NS")</f>
        <v>NTPC.NS</v>
      </c>
      <c r="H2367" s="8">
        <f t="shared" si="1"/>
        <v>0.008231707317</v>
      </c>
      <c r="I2367" s="8">
        <f t="shared" si="2"/>
        <v>0.008231707317</v>
      </c>
      <c r="J2367" s="7" t="str">
        <f t="shared" si="3"/>
        <v>Sep-2025</v>
      </c>
      <c r="K2367" s="9">
        <f t="shared" si="4"/>
        <v>45901</v>
      </c>
      <c r="L2367" s="7" t="str">
        <f t="shared" si="5"/>
        <v/>
      </c>
      <c r="M2367" s="7" t="str">
        <f>IFERROR(__xludf.DUMMYFUNCTION("IFERROR(
  IF(
    F2367 &gt;
    3*AVERAGE(
       FILTER($F$2:$F10491,
         $G$2:$G10491=G2367,
         $A$2:$A10491&gt;=A2367-20,
         $A$2:$A10491&lt;=A2367
       )
    ),
    ""VOL_SPIKE_3X"",""""
  ),
"""")
"),"")</f>
        <v/>
      </c>
      <c r="N2367" s="7" t="str">
        <f t="shared" si="6"/>
        <v/>
      </c>
      <c r="O2367" s="7" t="str">
        <f t="shared" si="7"/>
        <v/>
      </c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>
      <c r="A2368" s="5">
        <f>IFERROR(__xludf.DUMMYFUNCTION("""COMPUTED_VALUE"""),45901.0)</f>
        <v>45901</v>
      </c>
      <c r="B2368" s="6">
        <f>IFERROR(__xludf.DUMMYFUNCTION("""COMPUTED_VALUE"""),234.0)</f>
        <v>234</v>
      </c>
      <c r="C2368" s="6">
        <f>IFERROR(__xludf.DUMMYFUNCTION("""COMPUTED_VALUE"""),239.19)</f>
        <v>239.19</v>
      </c>
      <c r="D2368" s="6">
        <f>IFERROR(__xludf.DUMMYFUNCTION("""COMPUTED_VALUE"""),233.07)</f>
        <v>233.07</v>
      </c>
      <c r="E2368" s="6">
        <f>IFERROR(__xludf.DUMMYFUNCTION("""COMPUTED_VALUE"""),238.72)</f>
        <v>238.72</v>
      </c>
      <c r="F2368" s="7">
        <f>IFERROR(__xludf.DUMMYFUNCTION("""COMPUTED_VALUE"""),4366396.0)</f>
        <v>4366396</v>
      </c>
      <c r="G2368" s="7" t="str">
        <f>IFERROR(__xludf.DUMMYFUNCTION("""COMPUTED_VALUE"""),"ONGC.NS")</f>
        <v>ONGC.NS</v>
      </c>
      <c r="H2368" s="8">
        <f t="shared" si="1"/>
        <v>0.02017094017</v>
      </c>
      <c r="I2368" s="8">
        <f t="shared" si="2"/>
        <v>0.02017094017</v>
      </c>
      <c r="J2368" s="7" t="str">
        <f t="shared" si="3"/>
        <v>Sep-2025</v>
      </c>
      <c r="K2368" s="9">
        <f t="shared" si="4"/>
        <v>45901</v>
      </c>
      <c r="L2368" s="7" t="str">
        <f t="shared" si="5"/>
        <v/>
      </c>
      <c r="M2368" s="7" t="str">
        <f>IFERROR(__xludf.DUMMYFUNCTION("IFERROR(
  IF(
    F2368 &gt;
    3*AVERAGE(
       FILTER($F$2:$F10491,
         $G$2:$G10491=G2368,
         $A$2:$A10491&gt;=A2368-20,
         $A$2:$A10491&lt;=A2368
       )
    ),
    ""VOL_SPIKE_3X"",""""
  ),
"""")
"),"")</f>
        <v/>
      </c>
      <c r="N2368" s="7" t="str">
        <f t="shared" si="6"/>
        <v/>
      </c>
      <c r="O2368" s="7" t="str">
        <f t="shared" si="7"/>
        <v/>
      </c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>
      <c r="A2369" s="5">
        <f>IFERROR(__xludf.DUMMYFUNCTION("""COMPUTED_VALUE"""),45901.0)</f>
        <v>45901</v>
      </c>
      <c r="B2369" s="6">
        <f>IFERROR(__xludf.DUMMYFUNCTION("""COMPUTED_VALUE"""),276.0)</f>
        <v>276</v>
      </c>
      <c r="C2369" s="6">
        <f>IFERROR(__xludf.DUMMYFUNCTION("""COMPUTED_VALUE"""),280.6)</f>
        <v>280.6</v>
      </c>
      <c r="D2369" s="6">
        <f>IFERROR(__xludf.DUMMYFUNCTION("""COMPUTED_VALUE"""),276.0)</f>
        <v>276</v>
      </c>
      <c r="E2369" s="6">
        <f>IFERROR(__xludf.DUMMYFUNCTION("""COMPUTED_VALUE"""),279.85)</f>
        <v>279.85</v>
      </c>
      <c r="F2369" s="7">
        <f>IFERROR(__xludf.DUMMYFUNCTION("""COMPUTED_VALUE"""),1.0820878E7)</f>
        <v>10820878</v>
      </c>
      <c r="G2369" s="7" t="str">
        <f>IFERROR(__xludf.DUMMYFUNCTION("""COMPUTED_VALUE"""),"POWERGRID.NS")</f>
        <v>POWERGRID.NS</v>
      </c>
      <c r="H2369" s="8">
        <f t="shared" si="1"/>
        <v>0.01394927536</v>
      </c>
      <c r="I2369" s="8">
        <f t="shared" si="2"/>
        <v>0.01394927536</v>
      </c>
      <c r="J2369" s="7" t="str">
        <f t="shared" si="3"/>
        <v>Sep-2025</v>
      </c>
      <c r="K2369" s="9">
        <f t="shared" si="4"/>
        <v>45901</v>
      </c>
      <c r="L2369" s="7" t="str">
        <f t="shared" si="5"/>
        <v/>
      </c>
      <c r="M2369" s="7" t="str">
        <f>IFERROR(__xludf.DUMMYFUNCTION("IFERROR(
  IF(
    F2369 &gt;
    3*AVERAGE(
       FILTER($F$2:$F10491,
         $G$2:$G10491=G2369,
         $A$2:$A10491&gt;=A2369-20,
         $A$2:$A10491&lt;=A2369
       )
    ),
    ""VOL_SPIKE_3X"",""""
  ),
"""")
"),"")</f>
        <v/>
      </c>
      <c r="N2369" s="7" t="str">
        <f t="shared" si="6"/>
        <v/>
      </c>
      <c r="O2369" s="7" t="str">
        <f t="shared" si="7"/>
        <v/>
      </c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>
      <c r="A2370" s="5">
        <f>IFERROR(__xludf.DUMMYFUNCTION("""COMPUTED_VALUE"""),45901.0)</f>
        <v>45901</v>
      </c>
      <c r="B2370" s="6">
        <f>IFERROR(__xludf.DUMMYFUNCTION("""COMPUTED_VALUE"""),1356.0)</f>
        <v>1356</v>
      </c>
      <c r="C2370" s="6">
        <f>IFERROR(__xludf.DUMMYFUNCTION("""COMPUTED_VALUE"""),1363.2)</f>
        <v>1363.2</v>
      </c>
      <c r="D2370" s="6">
        <f>IFERROR(__xludf.DUMMYFUNCTION("""COMPUTED_VALUE"""),1340.6)</f>
        <v>1340.6</v>
      </c>
      <c r="E2370" s="6">
        <f>IFERROR(__xludf.DUMMYFUNCTION("""COMPUTED_VALUE"""),1353.9)</f>
        <v>1353.9</v>
      </c>
      <c r="F2370" s="7">
        <f>IFERROR(__xludf.DUMMYFUNCTION("""COMPUTED_VALUE"""),1.1232238E7)</f>
        <v>11232238</v>
      </c>
      <c r="G2370" s="7" t="str">
        <f>IFERROR(__xludf.DUMMYFUNCTION("""COMPUTED_VALUE"""),"RELIANCE.NS")</f>
        <v>RELIANCE.NS</v>
      </c>
      <c r="H2370" s="8">
        <f t="shared" si="1"/>
        <v>-0.001548672566</v>
      </c>
      <c r="I2370" s="8">
        <f t="shared" si="2"/>
        <v>0.001548672566</v>
      </c>
      <c r="J2370" s="7" t="str">
        <f t="shared" si="3"/>
        <v>Sep-2025</v>
      </c>
      <c r="K2370" s="9">
        <f t="shared" si="4"/>
        <v>45901</v>
      </c>
      <c r="L2370" s="7" t="str">
        <f t="shared" si="5"/>
        <v/>
      </c>
      <c r="M2370" s="7" t="str">
        <f>IFERROR(__xludf.DUMMYFUNCTION("IFERROR(
  IF(
    F2370 &gt;
    3*AVERAGE(
       FILTER($F$2:$F10491,
         $G$2:$G10491=G2370,
         $A$2:$A10491&gt;=A2370-20,
         $A$2:$A10491&lt;=A2370
       )
    ),
    ""VOL_SPIKE_3X"",""""
  ),
"""")
"),"")</f>
        <v/>
      </c>
      <c r="N2370" s="7" t="str">
        <f t="shared" si="6"/>
        <v/>
      </c>
      <c r="O2370" s="7" t="str">
        <f t="shared" si="7"/>
        <v/>
      </c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>
      <c r="A2371" s="5">
        <f>IFERROR(__xludf.DUMMYFUNCTION("""COMPUTED_VALUE"""),45902.0)</f>
        <v>45902</v>
      </c>
      <c r="B2371" s="6">
        <f>IFERROR(__xludf.DUMMYFUNCTION("""COMPUTED_VALUE"""),772.9)</f>
        <v>772.9</v>
      </c>
      <c r="C2371" s="6">
        <f>IFERROR(__xludf.DUMMYFUNCTION("""COMPUTED_VALUE"""),772.95)</f>
        <v>772.95</v>
      </c>
      <c r="D2371" s="6">
        <f>IFERROR(__xludf.DUMMYFUNCTION("""COMPUTED_VALUE"""),761.2)</f>
        <v>761.2</v>
      </c>
      <c r="E2371" s="6">
        <f>IFERROR(__xludf.DUMMYFUNCTION("""COMPUTED_VALUE"""),763.05)</f>
        <v>763.05</v>
      </c>
      <c r="F2371" s="7">
        <f>IFERROR(__xludf.DUMMYFUNCTION("""COMPUTED_VALUE"""),567133.0)</f>
        <v>567133</v>
      </c>
      <c r="G2371" s="7" t="str">
        <f>IFERROR(__xludf.DUMMYFUNCTION("""COMPUTED_VALUE"""),"ADANIENSOL.NS")</f>
        <v>ADANIENSOL.NS</v>
      </c>
      <c r="H2371" s="8">
        <f t="shared" si="1"/>
        <v>-0.01274421012</v>
      </c>
      <c r="I2371" s="8">
        <f t="shared" si="2"/>
        <v>0.01274421012</v>
      </c>
      <c r="J2371" s="7" t="str">
        <f t="shared" si="3"/>
        <v>Sep-2025</v>
      </c>
      <c r="K2371" s="9">
        <f t="shared" si="4"/>
        <v>45901</v>
      </c>
      <c r="L2371" s="7" t="str">
        <f t="shared" si="5"/>
        <v/>
      </c>
      <c r="M2371" s="7" t="str">
        <f>IFERROR(__xludf.DUMMYFUNCTION("IFERROR(
  IF(
    F2371 &gt;
    3*AVERAGE(
       FILTER($F$2:$F10491,
         $G$2:$G10491=G2371,
         $A$2:$A10491&gt;=A2371-20,
         $A$2:$A10491&lt;=A2371
       )
    ),
    ""VOL_SPIKE_3X"",""""
  ),
"""")
"),"")</f>
        <v/>
      </c>
      <c r="N2371" s="7" t="str">
        <f t="shared" si="6"/>
        <v/>
      </c>
      <c r="O2371" s="7" t="str">
        <f t="shared" si="7"/>
        <v/>
      </c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>
      <c r="A2372" s="5">
        <f>IFERROR(__xludf.DUMMYFUNCTION("""COMPUTED_VALUE"""),45902.0)</f>
        <v>45902</v>
      </c>
      <c r="B2372" s="6">
        <f>IFERROR(__xludf.DUMMYFUNCTION("""COMPUTED_VALUE"""),934.8)</f>
        <v>934.8</v>
      </c>
      <c r="C2372" s="6">
        <f>IFERROR(__xludf.DUMMYFUNCTION("""COMPUTED_VALUE"""),943.45)</f>
        <v>943.45</v>
      </c>
      <c r="D2372" s="6">
        <f>IFERROR(__xludf.DUMMYFUNCTION("""COMPUTED_VALUE"""),929.0)</f>
        <v>929</v>
      </c>
      <c r="E2372" s="6">
        <f>IFERROR(__xludf.DUMMYFUNCTION("""COMPUTED_VALUE"""),933.85)</f>
        <v>933.85</v>
      </c>
      <c r="F2372" s="7">
        <f>IFERROR(__xludf.DUMMYFUNCTION("""COMPUTED_VALUE"""),967218.0)</f>
        <v>967218</v>
      </c>
      <c r="G2372" s="7" t="str">
        <f>IFERROR(__xludf.DUMMYFUNCTION("""COMPUTED_VALUE"""),"ADANIGREEN.NS")</f>
        <v>ADANIGREEN.NS</v>
      </c>
      <c r="H2372" s="8">
        <f t="shared" si="1"/>
        <v>-0.001016260163</v>
      </c>
      <c r="I2372" s="8">
        <f t="shared" si="2"/>
        <v>0.001016260163</v>
      </c>
      <c r="J2372" s="7" t="str">
        <f t="shared" si="3"/>
        <v>Sep-2025</v>
      </c>
      <c r="K2372" s="9">
        <f t="shared" si="4"/>
        <v>45901</v>
      </c>
      <c r="L2372" s="7" t="str">
        <f t="shared" si="5"/>
        <v/>
      </c>
      <c r="M2372" s="7" t="str">
        <f>IFERROR(__xludf.DUMMYFUNCTION("IFERROR(
  IF(
    F2372 &gt;
    3*AVERAGE(
       FILTER($F$2:$F10491,
         $G$2:$G10491=G2372,
         $A$2:$A10491&gt;=A2372-20,
         $A$2:$A10491&lt;=A2372
       )
    ),
    ""VOL_SPIKE_3X"",""""
  ),
"""")
"),"")</f>
        <v/>
      </c>
      <c r="N2372" s="7" t="str">
        <f t="shared" si="6"/>
        <v/>
      </c>
      <c r="O2372" s="7" t="str">
        <f t="shared" si="7"/>
        <v/>
      </c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>
      <c r="A2373" s="5">
        <f>IFERROR(__xludf.DUMMYFUNCTION("""COMPUTED_VALUE"""),45902.0)</f>
        <v>45902</v>
      </c>
      <c r="B2373" s="6">
        <f>IFERROR(__xludf.DUMMYFUNCTION("""COMPUTED_VALUE"""),315.9)</f>
        <v>315.9</v>
      </c>
      <c r="C2373" s="6">
        <f>IFERROR(__xludf.DUMMYFUNCTION("""COMPUTED_VALUE"""),317.3)</f>
        <v>317.3</v>
      </c>
      <c r="D2373" s="6">
        <f>IFERROR(__xludf.DUMMYFUNCTION("""COMPUTED_VALUE"""),312.75)</f>
        <v>312.75</v>
      </c>
      <c r="E2373" s="6">
        <f>IFERROR(__xludf.DUMMYFUNCTION("""COMPUTED_VALUE"""),314.95)</f>
        <v>314.95</v>
      </c>
      <c r="F2373" s="7">
        <f>IFERROR(__xludf.DUMMYFUNCTION("""COMPUTED_VALUE"""),3405312.0)</f>
        <v>3405312</v>
      </c>
      <c r="G2373" s="7" t="str">
        <f>IFERROR(__xludf.DUMMYFUNCTION("""COMPUTED_VALUE"""),"BPCL.NS")</f>
        <v>BPCL.NS</v>
      </c>
      <c r="H2373" s="8">
        <f t="shared" si="1"/>
        <v>-0.003007280785</v>
      </c>
      <c r="I2373" s="8">
        <f t="shared" si="2"/>
        <v>0.003007280785</v>
      </c>
      <c r="J2373" s="7" t="str">
        <f t="shared" si="3"/>
        <v>Sep-2025</v>
      </c>
      <c r="K2373" s="9">
        <f t="shared" si="4"/>
        <v>45901</v>
      </c>
      <c r="L2373" s="7" t="str">
        <f t="shared" si="5"/>
        <v/>
      </c>
      <c r="M2373" s="7" t="str">
        <f>IFERROR(__xludf.DUMMYFUNCTION("IFERROR(
  IF(
    F2373 &gt;
    3*AVERAGE(
       FILTER($F$2:$F10491,
         $G$2:$G10491=G2373,
         $A$2:$A10491&gt;=A2373-20,
         $A$2:$A10491&lt;=A2373
       )
    ),
    ""VOL_SPIKE_3X"",""""
  ),
"""")
"),"")</f>
        <v/>
      </c>
      <c r="N2373" s="7" t="str">
        <f t="shared" si="6"/>
        <v/>
      </c>
      <c r="O2373" s="7" t="str">
        <f t="shared" si="7"/>
        <v/>
      </c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>
      <c r="A2374" s="5">
        <f>IFERROR(__xludf.DUMMYFUNCTION("""COMPUTED_VALUE"""),45902.0)</f>
        <v>45902</v>
      </c>
      <c r="B2374" s="6">
        <f>IFERROR(__xludf.DUMMYFUNCTION("""COMPUTED_VALUE"""),381.15)</f>
        <v>381.15</v>
      </c>
      <c r="C2374" s="6">
        <f>IFERROR(__xludf.DUMMYFUNCTION("""COMPUTED_VALUE"""),385.0)</f>
        <v>385</v>
      </c>
      <c r="D2374" s="6">
        <f>IFERROR(__xludf.DUMMYFUNCTION("""COMPUTED_VALUE"""),379.05)</f>
        <v>379.05</v>
      </c>
      <c r="E2374" s="6">
        <f>IFERROR(__xludf.DUMMYFUNCTION("""COMPUTED_VALUE"""),380.1)</f>
        <v>380.1</v>
      </c>
      <c r="F2374" s="7">
        <f>IFERROR(__xludf.DUMMYFUNCTION("""COMPUTED_VALUE"""),7511709.0)</f>
        <v>7511709</v>
      </c>
      <c r="G2374" s="7" t="str">
        <f>IFERROR(__xludf.DUMMYFUNCTION("""COMPUTED_VALUE"""),"COALINDIA.NS")</f>
        <v>COALINDIA.NS</v>
      </c>
      <c r="H2374" s="8">
        <f t="shared" si="1"/>
        <v>-0.002754820937</v>
      </c>
      <c r="I2374" s="8">
        <f t="shared" si="2"/>
        <v>0.002754820937</v>
      </c>
      <c r="J2374" s="7" t="str">
        <f t="shared" si="3"/>
        <v>Sep-2025</v>
      </c>
      <c r="K2374" s="9">
        <f t="shared" si="4"/>
        <v>45901</v>
      </c>
      <c r="L2374" s="7" t="str">
        <f t="shared" si="5"/>
        <v/>
      </c>
      <c r="M2374" s="7" t="str">
        <f>IFERROR(__xludf.DUMMYFUNCTION("IFERROR(
  IF(
    F2374 &gt;
    3*AVERAGE(
       FILTER($F$2:$F10491,
         $G$2:$G10491=G2374,
         $A$2:$A10491&gt;=A2374-20,
         $A$2:$A10491&lt;=A2374
       )
    ),
    ""VOL_SPIKE_3X"",""""
  ),
"""")
"),"")</f>
        <v/>
      </c>
      <c r="N2374" s="7" t="str">
        <f t="shared" si="6"/>
        <v/>
      </c>
      <c r="O2374" s="7" t="str">
        <f t="shared" si="7"/>
        <v/>
      </c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>
      <c r="A2375" s="5">
        <f>IFERROR(__xludf.DUMMYFUNCTION("""COMPUTED_VALUE"""),45902.0)</f>
        <v>45902</v>
      </c>
      <c r="B2375" s="6">
        <f>IFERROR(__xludf.DUMMYFUNCTION("""COMPUTED_VALUE"""),385.25)</f>
        <v>385.25</v>
      </c>
      <c r="C2375" s="6">
        <f>IFERROR(__xludf.DUMMYFUNCTION("""COMPUTED_VALUE"""),387.35)</f>
        <v>387.35</v>
      </c>
      <c r="D2375" s="6">
        <f>IFERROR(__xludf.DUMMYFUNCTION("""COMPUTED_VALUE"""),382.0)</f>
        <v>382</v>
      </c>
      <c r="E2375" s="6">
        <f>IFERROR(__xludf.DUMMYFUNCTION("""COMPUTED_VALUE"""),384.6)</f>
        <v>384.6</v>
      </c>
      <c r="F2375" s="7">
        <f>IFERROR(__xludf.DUMMYFUNCTION("""COMPUTED_VALUE"""),1630216.0)</f>
        <v>1630216</v>
      </c>
      <c r="G2375" s="7" t="str">
        <f>IFERROR(__xludf.DUMMYFUNCTION("""COMPUTED_VALUE"""),"HINDPETRO.NS")</f>
        <v>HINDPETRO.NS</v>
      </c>
      <c r="H2375" s="8">
        <f t="shared" si="1"/>
        <v>-0.001687216093</v>
      </c>
      <c r="I2375" s="8">
        <f t="shared" si="2"/>
        <v>0.001687216093</v>
      </c>
      <c r="J2375" s="7" t="str">
        <f t="shared" si="3"/>
        <v>Sep-2025</v>
      </c>
      <c r="K2375" s="9">
        <f t="shared" si="4"/>
        <v>45901</v>
      </c>
      <c r="L2375" s="7" t="str">
        <f t="shared" si="5"/>
        <v/>
      </c>
      <c r="M2375" s="7" t="str">
        <f>IFERROR(__xludf.DUMMYFUNCTION("IFERROR(
  IF(
    F2375 &gt;
    3*AVERAGE(
       FILTER($F$2:$F10491,
         $G$2:$G10491=G2375,
         $A$2:$A10491&gt;=A2375-20,
         $A$2:$A10491&lt;=A2375
       )
    ),
    ""VOL_SPIKE_3X"",""""
  ),
"""")
"),"")</f>
        <v/>
      </c>
      <c r="N2375" s="7" t="str">
        <f t="shared" si="6"/>
        <v/>
      </c>
      <c r="O2375" s="7" t="str">
        <f t="shared" si="7"/>
        <v/>
      </c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>
      <c r="A2376" s="5">
        <f>IFERROR(__xludf.DUMMYFUNCTION("""COMPUTED_VALUE"""),45902.0)</f>
        <v>45902</v>
      </c>
      <c r="B2376" s="6">
        <f>IFERROR(__xludf.DUMMYFUNCTION("""COMPUTED_VALUE"""),139.56)</f>
        <v>139.56</v>
      </c>
      <c r="C2376" s="6">
        <f>IFERROR(__xludf.DUMMYFUNCTION("""COMPUTED_VALUE"""),140.66)</f>
        <v>140.66</v>
      </c>
      <c r="D2376" s="6">
        <f>IFERROR(__xludf.DUMMYFUNCTION("""COMPUTED_VALUE"""),139.1)</f>
        <v>139.1</v>
      </c>
      <c r="E2376" s="6">
        <f>IFERROR(__xludf.DUMMYFUNCTION("""COMPUTED_VALUE"""),139.62)</f>
        <v>139.62</v>
      </c>
      <c r="F2376" s="7">
        <f>IFERROR(__xludf.DUMMYFUNCTION("""COMPUTED_VALUE"""),3714758.0)</f>
        <v>3714758</v>
      </c>
      <c r="G2376" s="7" t="str">
        <f>IFERROR(__xludf.DUMMYFUNCTION("""COMPUTED_VALUE"""),"IOC.NS")</f>
        <v>IOC.NS</v>
      </c>
      <c r="H2376" s="8">
        <f t="shared" si="1"/>
        <v>0.0004299226139</v>
      </c>
      <c r="I2376" s="8">
        <f t="shared" si="2"/>
        <v>0.0004299226139</v>
      </c>
      <c r="J2376" s="7" t="str">
        <f t="shared" si="3"/>
        <v>Sep-2025</v>
      </c>
      <c r="K2376" s="9">
        <f t="shared" si="4"/>
        <v>45901</v>
      </c>
      <c r="L2376" s="7" t="str">
        <f t="shared" si="5"/>
        <v/>
      </c>
      <c r="M2376" s="7" t="str">
        <f>IFERROR(__xludf.DUMMYFUNCTION("IFERROR(
  IF(
    F2376 &gt;
    3*AVERAGE(
       FILTER($F$2:$F10491,
         $G$2:$G10491=G2376,
         $A$2:$A10491&gt;=A2376-20,
         $A$2:$A10491&lt;=A2376
       )
    ),
    ""VOL_SPIKE_3X"",""""
  ),
"""")
"),"")</f>
        <v/>
      </c>
      <c r="N2376" s="7" t="str">
        <f t="shared" si="6"/>
        <v/>
      </c>
      <c r="O2376" s="7" t="str">
        <f t="shared" si="7"/>
        <v/>
      </c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>
      <c r="A2377" s="5">
        <f>IFERROR(__xludf.DUMMYFUNCTION("""COMPUTED_VALUE"""),45902.0)</f>
        <v>45902</v>
      </c>
      <c r="B2377" s="6">
        <f>IFERROR(__xludf.DUMMYFUNCTION("""COMPUTED_VALUE"""),331.1)</f>
        <v>331.1</v>
      </c>
      <c r="C2377" s="6">
        <f>IFERROR(__xludf.DUMMYFUNCTION("""COMPUTED_VALUE"""),338.25)</f>
        <v>338.25</v>
      </c>
      <c r="D2377" s="6">
        <f>IFERROR(__xludf.DUMMYFUNCTION("""COMPUTED_VALUE"""),331.1)</f>
        <v>331.1</v>
      </c>
      <c r="E2377" s="6">
        <f>IFERROR(__xludf.DUMMYFUNCTION("""COMPUTED_VALUE"""),336.3)</f>
        <v>336.3</v>
      </c>
      <c r="F2377" s="7">
        <f>IFERROR(__xludf.DUMMYFUNCTION("""COMPUTED_VALUE"""),9224639.0)</f>
        <v>9224639</v>
      </c>
      <c r="G2377" s="7" t="str">
        <f>IFERROR(__xludf.DUMMYFUNCTION("""COMPUTED_VALUE"""),"NTPC.NS")</f>
        <v>NTPC.NS</v>
      </c>
      <c r="H2377" s="8">
        <f t="shared" si="1"/>
        <v>0.01570522501</v>
      </c>
      <c r="I2377" s="8">
        <f t="shared" si="2"/>
        <v>0.01570522501</v>
      </c>
      <c r="J2377" s="7" t="str">
        <f t="shared" si="3"/>
        <v>Sep-2025</v>
      </c>
      <c r="K2377" s="9">
        <f t="shared" si="4"/>
        <v>45901</v>
      </c>
      <c r="L2377" s="7" t="str">
        <f t="shared" si="5"/>
        <v/>
      </c>
      <c r="M2377" s="7" t="str">
        <f>IFERROR(__xludf.DUMMYFUNCTION("IFERROR(
  IF(
    F2377 &gt;
    3*AVERAGE(
       FILTER($F$2:$F10491,
         $G$2:$G10491=G2377,
         $A$2:$A10491&gt;=A2377-20,
         $A$2:$A10491&lt;=A2377
       )
    ),
    ""VOL_SPIKE_3X"",""""
  ),
"""")
"),"")</f>
        <v/>
      </c>
      <c r="N2377" s="7" t="str">
        <f t="shared" si="6"/>
        <v/>
      </c>
      <c r="O2377" s="7" t="str">
        <f t="shared" si="7"/>
        <v/>
      </c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>
      <c r="A2378" s="5">
        <f>IFERROR(__xludf.DUMMYFUNCTION("""COMPUTED_VALUE"""),45902.0)</f>
        <v>45902</v>
      </c>
      <c r="B2378" s="6">
        <f>IFERROR(__xludf.DUMMYFUNCTION("""COMPUTED_VALUE"""),238.75)</f>
        <v>238.75</v>
      </c>
      <c r="C2378" s="6">
        <f>IFERROR(__xludf.DUMMYFUNCTION("""COMPUTED_VALUE"""),242.5)</f>
        <v>242.5</v>
      </c>
      <c r="D2378" s="6">
        <f>IFERROR(__xludf.DUMMYFUNCTION("""COMPUTED_VALUE"""),237.4)</f>
        <v>237.4</v>
      </c>
      <c r="E2378" s="6">
        <f>IFERROR(__xludf.DUMMYFUNCTION("""COMPUTED_VALUE"""),239.49)</f>
        <v>239.49</v>
      </c>
      <c r="F2378" s="7">
        <f>IFERROR(__xludf.DUMMYFUNCTION("""COMPUTED_VALUE"""),5921193.0)</f>
        <v>5921193</v>
      </c>
      <c r="G2378" s="7" t="str">
        <f>IFERROR(__xludf.DUMMYFUNCTION("""COMPUTED_VALUE"""),"ONGC.NS")</f>
        <v>ONGC.NS</v>
      </c>
      <c r="H2378" s="8">
        <f t="shared" si="1"/>
        <v>0.00309947644</v>
      </c>
      <c r="I2378" s="8">
        <f t="shared" si="2"/>
        <v>0.00309947644</v>
      </c>
      <c r="J2378" s="7" t="str">
        <f t="shared" si="3"/>
        <v>Sep-2025</v>
      </c>
      <c r="K2378" s="9">
        <f t="shared" si="4"/>
        <v>45901</v>
      </c>
      <c r="L2378" s="7" t="str">
        <f t="shared" si="5"/>
        <v/>
      </c>
      <c r="M2378" s="7" t="str">
        <f>IFERROR(__xludf.DUMMYFUNCTION("IFERROR(
  IF(
    F2378 &gt;
    3*AVERAGE(
       FILTER($F$2:$F10491,
         $G$2:$G10491=G2378,
         $A$2:$A10491&gt;=A2378-20,
         $A$2:$A10491&lt;=A2378
       )
    ),
    ""VOL_SPIKE_3X"",""""
  ),
"""")
"),"")</f>
        <v/>
      </c>
      <c r="N2378" s="7" t="str">
        <f t="shared" si="6"/>
        <v/>
      </c>
      <c r="O2378" s="7" t="str">
        <f t="shared" si="7"/>
        <v/>
      </c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>
      <c r="A2379" s="5">
        <f>IFERROR(__xludf.DUMMYFUNCTION("""COMPUTED_VALUE"""),45902.0)</f>
        <v>45902</v>
      </c>
      <c r="B2379" s="6">
        <f>IFERROR(__xludf.DUMMYFUNCTION("""COMPUTED_VALUE"""),280.2)</f>
        <v>280.2</v>
      </c>
      <c r="C2379" s="6">
        <f>IFERROR(__xludf.DUMMYFUNCTION("""COMPUTED_VALUE"""),287.9)</f>
        <v>287.9</v>
      </c>
      <c r="D2379" s="6">
        <f>IFERROR(__xludf.DUMMYFUNCTION("""COMPUTED_VALUE"""),279.85)</f>
        <v>279.85</v>
      </c>
      <c r="E2379" s="6">
        <f>IFERROR(__xludf.DUMMYFUNCTION("""COMPUTED_VALUE"""),286.7)</f>
        <v>286.7</v>
      </c>
      <c r="F2379" s="7">
        <f>IFERROR(__xludf.DUMMYFUNCTION("""COMPUTED_VALUE"""),1.6983677E7)</f>
        <v>16983677</v>
      </c>
      <c r="G2379" s="7" t="str">
        <f>IFERROR(__xludf.DUMMYFUNCTION("""COMPUTED_VALUE"""),"POWERGRID.NS")</f>
        <v>POWERGRID.NS</v>
      </c>
      <c r="H2379" s="8">
        <f t="shared" si="1"/>
        <v>0.02319771592</v>
      </c>
      <c r="I2379" s="8">
        <f t="shared" si="2"/>
        <v>0.02319771592</v>
      </c>
      <c r="J2379" s="7" t="str">
        <f t="shared" si="3"/>
        <v>Sep-2025</v>
      </c>
      <c r="K2379" s="9">
        <f t="shared" si="4"/>
        <v>45901</v>
      </c>
      <c r="L2379" s="7" t="str">
        <f t="shared" si="5"/>
        <v/>
      </c>
      <c r="M2379" s="7" t="str">
        <f>IFERROR(__xludf.DUMMYFUNCTION("IFERROR(
  IF(
    F2379 &gt;
    3*AVERAGE(
       FILTER($F$2:$F10491,
         $G$2:$G10491=G2379,
         $A$2:$A10491&gt;=A2379-20,
         $A$2:$A10491&lt;=A2379
       )
    ),
    ""VOL_SPIKE_3X"",""""
  ),
"""")
"),"")</f>
        <v/>
      </c>
      <c r="N2379" s="7" t="str">
        <f t="shared" si="6"/>
        <v/>
      </c>
      <c r="O2379" s="7" t="str">
        <f t="shared" si="7"/>
        <v/>
      </c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>
      <c r="A2380" s="5">
        <f>IFERROR(__xludf.DUMMYFUNCTION("""COMPUTED_VALUE"""),45902.0)</f>
        <v>45902</v>
      </c>
      <c r="B2380" s="6">
        <f>IFERROR(__xludf.DUMMYFUNCTION("""COMPUTED_VALUE"""),1354.8)</f>
        <v>1354.8</v>
      </c>
      <c r="C2380" s="6">
        <f>IFERROR(__xludf.DUMMYFUNCTION("""COMPUTED_VALUE"""),1384.5)</f>
        <v>1384.5</v>
      </c>
      <c r="D2380" s="6">
        <f>IFERROR(__xludf.DUMMYFUNCTION("""COMPUTED_VALUE"""),1354.5)</f>
        <v>1354.5</v>
      </c>
      <c r="E2380" s="6">
        <f>IFERROR(__xludf.DUMMYFUNCTION("""COMPUTED_VALUE"""),1366.5)</f>
        <v>1366.5</v>
      </c>
      <c r="F2380" s="7">
        <f>IFERROR(__xludf.DUMMYFUNCTION("""COMPUTED_VALUE"""),1.1517006E7)</f>
        <v>11517006</v>
      </c>
      <c r="G2380" s="7" t="str">
        <f>IFERROR(__xludf.DUMMYFUNCTION("""COMPUTED_VALUE"""),"RELIANCE.NS")</f>
        <v>RELIANCE.NS</v>
      </c>
      <c r="H2380" s="8">
        <f t="shared" si="1"/>
        <v>0.008635961027</v>
      </c>
      <c r="I2380" s="8">
        <f t="shared" si="2"/>
        <v>0.008635961027</v>
      </c>
      <c r="J2380" s="7" t="str">
        <f t="shared" si="3"/>
        <v>Sep-2025</v>
      </c>
      <c r="K2380" s="9">
        <f t="shared" si="4"/>
        <v>45901</v>
      </c>
      <c r="L2380" s="7" t="str">
        <f t="shared" si="5"/>
        <v/>
      </c>
      <c r="M2380" s="7" t="str">
        <f>IFERROR(__xludf.DUMMYFUNCTION("IFERROR(
  IF(
    F2380 &gt;
    3*AVERAGE(
       FILTER($F$2:$F10491,
         $G$2:$G10491=G2380,
         $A$2:$A10491&gt;=A2380-20,
         $A$2:$A10491&lt;=A2380
       )
    ),
    ""VOL_SPIKE_3X"",""""
  ),
"""")
"),"")</f>
        <v/>
      </c>
      <c r="N2380" s="7" t="str">
        <f t="shared" si="6"/>
        <v/>
      </c>
      <c r="O2380" s="7" t="str">
        <f t="shared" si="7"/>
        <v/>
      </c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>
      <c r="A2381" s="5">
        <f>IFERROR(__xludf.DUMMYFUNCTION("""COMPUTED_VALUE"""),45903.0)</f>
        <v>45903</v>
      </c>
      <c r="B2381" s="6">
        <f>IFERROR(__xludf.DUMMYFUNCTION("""COMPUTED_VALUE"""),768.9)</f>
        <v>768.9</v>
      </c>
      <c r="C2381" s="6">
        <f>IFERROR(__xludf.DUMMYFUNCTION("""COMPUTED_VALUE"""),768.9)</f>
        <v>768.9</v>
      </c>
      <c r="D2381" s="6">
        <f>IFERROR(__xludf.DUMMYFUNCTION("""COMPUTED_VALUE"""),760.1)</f>
        <v>760.1</v>
      </c>
      <c r="E2381" s="6">
        <f>IFERROR(__xludf.DUMMYFUNCTION("""COMPUTED_VALUE"""),763.7)</f>
        <v>763.7</v>
      </c>
      <c r="F2381" s="7">
        <f>IFERROR(__xludf.DUMMYFUNCTION("""COMPUTED_VALUE"""),565805.0)</f>
        <v>565805</v>
      </c>
      <c r="G2381" s="7" t="str">
        <f>IFERROR(__xludf.DUMMYFUNCTION("""COMPUTED_VALUE"""),"ADANIENSOL.NS")</f>
        <v>ADANIENSOL.NS</v>
      </c>
      <c r="H2381" s="8">
        <f t="shared" si="1"/>
        <v>-0.00676290805</v>
      </c>
      <c r="I2381" s="8">
        <f t="shared" si="2"/>
        <v>0.00676290805</v>
      </c>
      <c r="J2381" s="7" t="str">
        <f t="shared" si="3"/>
        <v>Sep-2025</v>
      </c>
      <c r="K2381" s="9">
        <f t="shared" si="4"/>
        <v>45901</v>
      </c>
      <c r="L2381" s="7" t="str">
        <f t="shared" si="5"/>
        <v/>
      </c>
      <c r="M2381" s="7" t="str">
        <f>IFERROR(__xludf.DUMMYFUNCTION("IFERROR(
  IF(
    F2381 &gt;
    3*AVERAGE(
       FILTER($F$2:$F10491,
         $G$2:$G10491=G2381,
         $A$2:$A10491&gt;=A2381-20,
         $A$2:$A10491&lt;=A2381
       )
    ),
    ""VOL_SPIKE_3X"",""""
  ),
"""")
"),"")</f>
        <v/>
      </c>
      <c r="N2381" s="7" t="str">
        <f t="shared" si="6"/>
        <v/>
      </c>
      <c r="O2381" s="7" t="str">
        <f t="shared" si="7"/>
        <v/>
      </c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>
      <c r="A2382" s="5">
        <f>IFERROR(__xludf.DUMMYFUNCTION("""COMPUTED_VALUE"""),45903.0)</f>
        <v>45903</v>
      </c>
      <c r="B2382" s="6">
        <f>IFERROR(__xludf.DUMMYFUNCTION("""COMPUTED_VALUE"""),933.85)</f>
        <v>933.85</v>
      </c>
      <c r="C2382" s="6">
        <f>IFERROR(__xludf.DUMMYFUNCTION("""COMPUTED_VALUE"""),939.55)</f>
        <v>939.55</v>
      </c>
      <c r="D2382" s="6">
        <f>IFERROR(__xludf.DUMMYFUNCTION("""COMPUTED_VALUE"""),931.15)</f>
        <v>931.15</v>
      </c>
      <c r="E2382" s="6">
        <f>IFERROR(__xludf.DUMMYFUNCTION("""COMPUTED_VALUE"""),935.7)</f>
        <v>935.7</v>
      </c>
      <c r="F2382" s="7">
        <f>IFERROR(__xludf.DUMMYFUNCTION("""COMPUTED_VALUE"""),626485.0)</f>
        <v>626485</v>
      </c>
      <c r="G2382" s="7" t="str">
        <f>IFERROR(__xludf.DUMMYFUNCTION("""COMPUTED_VALUE"""),"ADANIGREEN.NS")</f>
        <v>ADANIGREEN.NS</v>
      </c>
      <c r="H2382" s="8">
        <f t="shared" si="1"/>
        <v>0.001981046207</v>
      </c>
      <c r="I2382" s="8">
        <f t="shared" si="2"/>
        <v>0.001981046207</v>
      </c>
      <c r="J2382" s="7" t="str">
        <f t="shared" si="3"/>
        <v>Sep-2025</v>
      </c>
      <c r="K2382" s="9">
        <f t="shared" si="4"/>
        <v>45901</v>
      </c>
      <c r="L2382" s="7" t="str">
        <f t="shared" si="5"/>
        <v/>
      </c>
      <c r="M2382" s="7" t="str">
        <f>IFERROR(__xludf.DUMMYFUNCTION("IFERROR(
  IF(
    F2382 &gt;
    3*AVERAGE(
       FILTER($F$2:$F10491,
         $G$2:$G10491=G2382,
         $A$2:$A10491&gt;=A2382-20,
         $A$2:$A10491&lt;=A2382
       )
    ),
    ""VOL_SPIKE_3X"",""""
  ),
"""")
"),"")</f>
        <v/>
      </c>
      <c r="N2382" s="7" t="str">
        <f t="shared" si="6"/>
        <v/>
      </c>
      <c r="O2382" s="7" t="str">
        <f t="shared" si="7"/>
        <v/>
      </c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>
      <c r="A2383" s="5">
        <f>IFERROR(__xludf.DUMMYFUNCTION("""COMPUTED_VALUE"""),45903.0)</f>
        <v>45903</v>
      </c>
      <c r="B2383" s="6">
        <f>IFERROR(__xludf.DUMMYFUNCTION("""COMPUTED_VALUE"""),314.95)</f>
        <v>314.95</v>
      </c>
      <c r="C2383" s="6">
        <f>IFERROR(__xludf.DUMMYFUNCTION("""COMPUTED_VALUE"""),320.5)</f>
        <v>320.5</v>
      </c>
      <c r="D2383" s="6">
        <f>IFERROR(__xludf.DUMMYFUNCTION("""COMPUTED_VALUE"""),314.05)</f>
        <v>314.05</v>
      </c>
      <c r="E2383" s="6">
        <f>IFERROR(__xludf.DUMMYFUNCTION("""COMPUTED_VALUE"""),314.85)</f>
        <v>314.85</v>
      </c>
      <c r="F2383" s="7">
        <f>IFERROR(__xludf.DUMMYFUNCTION("""COMPUTED_VALUE"""),6616690.0)</f>
        <v>6616690</v>
      </c>
      <c r="G2383" s="7" t="str">
        <f>IFERROR(__xludf.DUMMYFUNCTION("""COMPUTED_VALUE"""),"BPCL.NS")</f>
        <v>BPCL.NS</v>
      </c>
      <c r="H2383" s="8">
        <f t="shared" si="1"/>
        <v>-0.000317510716</v>
      </c>
      <c r="I2383" s="8">
        <f t="shared" si="2"/>
        <v>0.000317510716</v>
      </c>
      <c r="J2383" s="7" t="str">
        <f t="shared" si="3"/>
        <v>Sep-2025</v>
      </c>
      <c r="K2383" s="9">
        <f t="shared" si="4"/>
        <v>45901</v>
      </c>
      <c r="L2383" s="7" t="str">
        <f t="shared" si="5"/>
        <v/>
      </c>
      <c r="M2383" s="7" t="str">
        <f>IFERROR(__xludf.DUMMYFUNCTION("IFERROR(
  IF(
    F2383 &gt;
    3*AVERAGE(
       FILTER($F$2:$F10491,
         $G$2:$G10491=G2383,
         $A$2:$A10491&gt;=A2383-20,
         $A$2:$A10491&lt;=A2383
       )
    ),
    ""VOL_SPIKE_3X"",""""
  ),
"""")
"),"")</f>
        <v/>
      </c>
      <c r="N2383" s="7" t="str">
        <f t="shared" si="6"/>
        <v/>
      </c>
      <c r="O2383" s="7" t="str">
        <f t="shared" si="7"/>
        <v/>
      </c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>
      <c r="A2384" s="5">
        <f>IFERROR(__xludf.DUMMYFUNCTION("""COMPUTED_VALUE"""),45903.0)</f>
        <v>45903</v>
      </c>
      <c r="B2384" s="6">
        <f>IFERROR(__xludf.DUMMYFUNCTION("""COMPUTED_VALUE"""),380.95)</f>
        <v>380.95</v>
      </c>
      <c r="C2384" s="6">
        <f>IFERROR(__xludf.DUMMYFUNCTION("""COMPUTED_VALUE"""),393.3)</f>
        <v>393.3</v>
      </c>
      <c r="D2384" s="6">
        <f>IFERROR(__xludf.DUMMYFUNCTION("""COMPUTED_VALUE"""),380.0)</f>
        <v>380</v>
      </c>
      <c r="E2384" s="6">
        <f>IFERROR(__xludf.DUMMYFUNCTION("""COMPUTED_VALUE"""),389.8)</f>
        <v>389.8</v>
      </c>
      <c r="F2384" s="7">
        <f>IFERROR(__xludf.DUMMYFUNCTION("""COMPUTED_VALUE"""),8111851.0)</f>
        <v>8111851</v>
      </c>
      <c r="G2384" s="7" t="str">
        <f>IFERROR(__xludf.DUMMYFUNCTION("""COMPUTED_VALUE"""),"COALINDIA.NS")</f>
        <v>COALINDIA.NS</v>
      </c>
      <c r="H2384" s="8">
        <f t="shared" si="1"/>
        <v>0.0232313952</v>
      </c>
      <c r="I2384" s="8">
        <f t="shared" si="2"/>
        <v>0.0232313952</v>
      </c>
      <c r="J2384" s="7" t="str">
        <f t="shared" si="3"/>
        <v>Sep-2025</v>
      </c>
      <c r="K2384" s="9">
        <f t="shared" si="4"/>
        <v>45901</v>
      </c>
      <c r="L2384" s="7" t="str">
        <f t="shared" si="5"/>
        <v/>
      </c>
      <c r="M2384" s="7" t="str">
        <f>IFERROR(__xludf.DUMMYFUNCTION("IFERROR(
  IF(
    F2384 &gt;
    3*AVERAGE(
       FILTER($F$2:$F10491,
         $G$2:$G10491=G2384,
         $A$2:$A10491&gt;=A2384-20,
         $A$2:$A10491&lt;=A2384
       )
    ),
    ""VOL_SPIKE_3X"",""""
  ),
"""")
"),"")</f>
        <v/>
      </c>
      <c r="N2384" s="7" t="str">
        <f t="shared" si="6"/>
        <v/>
      </c>
      <c r="O2384" s="7" t="str">
        <f t="shared" si="7"/>
        <v/>
      </c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>
      <c r="A2385" s="5">
        <f>IFERROR(__xludf.DUMMYFUNCTION("""COMPUTED_VALUE"""),45903.0)</f>
        <v>45903</v>
      </c>
      <c r="B2385" s="6">
        <f>IFERROR(__xludf.DUMMYFUNCTION("""COMPUTED_VALUE"""),383.0)</f>
        <v>383</v>
      </c>
      <c r="C2385" s="6">
        <f>IFERROR(__xludf.DUMMYFUNCTION("""COMPUTED_VALUE"""),391.65)</f>
        <v>391.65</v>
      </c>
      <c r="D2385" s="6">
        <f>IFERROR(__xludf.DUMMYFUNCTION("""COMPUTED_VALUE"""),383.0)</f>
        <v>383</v>
      </c>
      <c r="E2385" s="6">
        <f>IFERROR(__xludf.DUMMYFUNCTION("""COMPUTED_VALUE"""),387.25)</f>
        <v>387.25</v>
      </c>
      <c r="F2385" s="7">
        <f>IFERROR(__xludf.DUMMYFUNCTION("""COMPUTED_VALUE"""),2725471.0)</f>
        <v>2725471</v>
      </c>
      <c r="G2385" s="7" t="str">
        <f>IFERROR(__xludf.DUMMYFUNCTION("""COMPUTED_VALUE"""),"HINDPETRO.NS")</f>
        <v>HINDPETRO.NS</v>
      </c>
      <c r="H2385" s="8">
        <f t="shared" si="1"/>
        <v>0.01109660574</v>
      </c>
      <c r="I2385" s="8">
        <f t="shared" si="2"/>
        <v>0.01109660574</v>
      </c>
      <c r="J2385" s="7" t="str">
        <f t="shared" si="3"/>
        <v>Sep-2025</v>
      </c>
      <c r="K2385" s="9">
        <f t="shared" si="4"/>
        <v>45901</v>
      </c>
      <c r="L2385" s="7" t="str">
        <f t="shared" si="5"/>
        <v/>
      </c>
      <c r="M2385" s="7" t="str">
        <f>IFERROR(__xludf.DUMMYFUNCTION("IFERROR(
  IF(
    F2385 &gt;
    3*AVERAGE(
       FILTER($F$2:$F10491,
         $G$2:$G10491=G2385,
         $A$2:$A10491&gt;=A2385-20,
         $A$2:$A10491&lt;=A2385
       )
    ),
    ""VOL_SPIKE_3X"",""""
  ),
"""")
"),"")</f>
        <v/>
      </c>
      <c r="N2385" s="7" t="str">
        <f t="shared" si="6"/>
        <v/>
      </c>
      <c r="O2385" s="7" t="str">
        <f t="shared" si="7"/>
        <v/>
      </c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>
      <c r="A2386" s="5">
        <f>IFERROR(__xludf.DUMMYFUNCTION("""COMPUTED_VALUE"""),45903.0)</f>
        <v>45903</v>
      </c>
      <c r="B2386" s="6">
        <f>IFERROR(__xludf.DUMMYFUNCTION("""COMPUTED_VALUE"""),139.6)</f>
        <v>139.6</v>
      </c>
      <c r="C2386" s="6">
        <f>IFERROR(__xludf.DUMMYFUNCTION("""COMPUTED_VALUE"""),141.4)</f>
        <v>141.4</v>
      </c>
      <c r="D2386" s="6">
        <f>IFERROR(__xludf.DUMMYFUNCTION("""COMPUTED_VALUE"""),139.51)</f>
        <v>139.51</v>
      </c>
      <c r="E2386" s="6">
        <f>IFERROR(__xludf.DUMMYFUNCTION("""COMPUTED_VALUE"""),140.49)</f>
        <v>140.49</v>
      </c>
      <c r="F2386" s="7">
        <f>IFERROR(__xludf.DUMMYFUNCTION("""COMPUTED_VALUE"""),4902101.0)</f>
        <v>4902101</v>
      </c>
      <c r="G2386" s="7" t="str">
        <f>IFERROR(__xludf.DUMMYFUNCTION("""COMPUTED_VALUE"""),"IOC.NS")</f>
        <v>IOC.NS</v>
      </c>
      <c r="H2386" s="8">
        <f t="shared" si="1"/>
        <v>0.006375358166</v>
      </c>
      <c r="I2386" s="8">
        <f t="shared" si="2"/>
        <v>0.006375358166</v>
      </c>
      <c r="J2386" s="7" t="str">
        <f t="shared" si="3"/>
        <v>Sep-2025</v>
      </c>
      <c r="K2386" s="9">
        <f t="shared" si="4"/>
        <v>45901</v>
      </c>
      <c r="L2386" s="7" t="str">
        <f t="shared" si="5"/>
        <v/>
      </c>
      <c r="M2386" s="7" t="str">
        <f>IFERROR(__xludf.DUMMYFUNCTION("IFERROR(
  IF(
    F2386 &gt;
    3*AVERAGE(
       FILTER($F$2:$F10491,
         $G$2:$G10491=G2386,
         $A$2:$A10491&gt;=A2386-20,
         $A$2:$A10491&lt;=A2386
       )
    ),
    ""VOL_SPIKE_3X"",""""
  ),
"""")
"),"")</f>
        <v/>
      </c>
      <c r="N2386" s="7" t="str">
        <f t="shared" si="6"/>
        <v/>
      </c>
      <c r="O2386" s="7" t="str">
        <f t="shared" si="7"/>
        <v/>
      </c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>
      <c r="A2387" s="5">
        <f>IFERROR(__xludf.DUMMYFUNCTION("""COMPUTED_VALUE"""),45903.0)</f>
        <v>45903</v>
      </c>
      <c r="B2387" s="6">
        <f>IFERROR(__xludf.DUMMYFUNCTION("""COMPUTED_VALUE"""),336.5)</f>
        <v>336.5</v>
      </c>
      <c r="C2387" s="6">
        <f>IFERROR(__xludf.DUMMYFUNCTION("""COMPUTED_VALUE"""),338.0)</f>
        <v>338</v>
      </c>
      <c r="D2387" s="6">
        <f>IFERROR(__xludf.DUMMYFUNCTION("""COMPUTED_VALUE"""),333.5)</f>
        <v>333.5</v>
      </c>
      <c r="E2387" s="6">
        <f>IFERROR(__xludf.DUMMYFUNCTION("""COMPUTED_VALUE"""),334.25)</f>
        <v>334.25</v>
      </c>
      <c r="F2387" s="7">
        <f>IFERROR(__xludf.DUMMYFUNCTION("""COMPUTED_VALUE"""),1.0778333E7)</f>
        <v>10778333</v>
      </c>
      <c r="G2387" s="7" t="str">
        <f>IFERROR(__xludf.DUMMYFUNCTION("""COMPUTED_VALUE"""),"NTPC.NS")</f>
        <v>NTPC.NS</v>
      </c>
      <c r="H2387" s="8">
        <f t="shared" si="1"/>
        <v>-0.006686478455</v>
      </c>
      <c r="I2387" s="8">
        <f t="shared" si="2"/>
        <v>0.006686478455</v>
      </c>
      <c r="J2387" s="7" t="str">
        <f t="shared" si="3"/>
        <v>Sep-2025</v>
      </c>
      <c r="K2387" s="9">
        <f t="shared" si="4"/>
        <v>45901</v>
      </c>
      <c r="L2387" s="7" t="str">
        <f t="shared" si="5"/>
        <v/>
      </c>
      <c r="M2387" s="7" t="str">
        <f>IFERROR(__xludf.DUMMYFUNCTION("IFERROR(
  IF(
    F2387 &gt;
    3*AVERAGE(
       FILTER($F$2:$F10491,
         $G$2:$G10491=G2387,
         $A$2:$A10491&gt;=A2387-20,
         $A$2:$A10491&lt;=A2387
       )
    ),
    ""VOL_SPIKE_3X"",""""
  ),
"""")
"),"")</f>
        <v/>
      </c>
      <c r="N2387" s="7" t="str">
        <f t="shared" si="6"/>
        <v/>
      </c>
      <c r="O2387" s="7" t="str">
        <f t="shared" si="7"/>
        <v/>
      </c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>
      <c r="A2388" s="5">
        <f>IFERROR(__xludf.DUMMYFUNCTION("""COMPUTED_VALUE"""),45903.0)</f>
        <v>45903</v>
      </c>
      <c r="B2388" s="6">
        <f>IFERROR(__xludf.DUMMYFUNCTION("""COMPUTED_VALUE"""),239.5)</f>
        <v>239.5</v>
      </c>
      <c r="C2388" s="6">
        <f>IFERROR(__xludf.DUMMYFUNCTION("""COMPUTED_VALUE"""),241.94)</f>
        <v>241.94</v>
      </c>
      <c r="D2388" s="6">
        <f>IFERROR(__xludf.DUMMYFUNCTION("""COMPUTED_VALUE"""),238.46)</f>
        <v>238.46</v>
      </c>
      <c r="E2388" s="6">
        <f>IFERROR(__xludf.DUMMYFUNCTION("""COMPUTED_VALUE"""),239.07)</f>
        <v>239.07</v>
      </c>
      <c r="F2388" s="7">
        <f>IFERROR(__xludf.DUMMYFUNCTION("""COMPUTED_VALUE"""),4364007.0)</f>
        <v>4364007</v>
      </c>
      <c r="G2388" s="7" t="str">
        <f>IFERROR(__xludf.DUMMYFUNCTION("""COMPUTED_VALUE"""),"ONGC.NS")</f>
        <v>ONGC.NS</v>
      </c>
      <c r="H2388" s="8">
        <f t="shared" si="1"/>
        <v>-0.001795407098</v>
      </c>
      <c r="I2388" s="8">
        <f t="shared" si="2"/>
        <v>0.001795407098</v>
      </c>
      <c r="J2388" s="7" t="str">
        <f t="shared" si="3"/>
        <v>Sep-2025</v>
      </c>
      <c r="K2388" s="9">
        <f t="shared" si="4"/>
        <v>45901</v>
      </c>
      <c r="L2388" s="7" t="str">
        <f t="shared" si="5"/>
        <v/>
      </c>
      <c r="M2388" s="7" t="str">
        <f>IFERROR(__xludf.DUMMYFUNCTION("IFERROR(
  IF(
    F2388 &gt;
    3*AVERAGE(
       FILTER($F$2:$F10491,
         $G$2:$G10491=G2388,
         $A$2:$A10491&gt;=A2388-20,
         $A$2:$A10491&lt;=A2388
       )
    ),
    ""VOL_SPIKE_3X"",""""
  ),
"""")
"),"")</f>
        <v/>
      </c>
      <c r="N2388" s="7" t="str">
        <f t="shared" si="6"/>
        <v/>
      </c>
      <c r="O2388" s="7" t="str">
        <f t="shared" si="7"/>
        <v/>
      </c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>
      <c r="A2389" s="5">
        <f>IFERROR(__xludf.DUMMYFUNCTION("""COMPUTED_VALUE"""),45903.0)</f>
        <v>45903</v>
      </c>
      <c r="B2389" s="6">
        <f>IFERROR(__xludf.DUMMYFUNCTION("""COMPUTED_VALUE"""),289.0)</f>
        <v>289</v>
      </c>
      <c r="C2389" s="6">
        <f>IFERROR(__xludf.DUMMYFUNCTION("""COMPUTED_VALUE"""),289.2)</f>
        <v>289.2</v>
      </c>
      <c r="D2389" s="6">
        <f>IFERROR(__xludf.DUMMYFUNCTION("""COMPUTED_VALUE"""),285.6)</f>
        <v>285.6</v>
      </c>
      <c r="E2389" s="6">
        <f>IFERROR(__xludf.DUMMYFUNCTION("""COMPUTED_VALUE"""),286.05)</f>
        <v>286.05</v>
      </c>
      <c r="F2389" s="7">
        <f>IFERROR(__xludf.DUMMYFUNCTION("""COMPUTED_VALUE"""),3.0178885E7)</f>
        <v>30178885</v>
      </c>
      <c r="G2389" s="7" t="str">
        <f>IFERROR(__xludf.DUMMYFUNCTION("""COMPUTED_VALUE"""),"POWERGRID.NS")</f>
        <v>POWERGRID.NS</v>
      </c>
      <c r="H2389" s="8">
        <f t="shared" si="1"/>
        <v>-0.01020761246</v>
      </c>
      <c r="I2389" s="8">
        <f t="shared" si="2"/>
        <v>0.01020761246</v>
      </c>
      <c r="J2389" s="7" t="str">
        <f t="shared" si="3"/>
        <v>Sep-2025</v>
      </c>
      <c r="K2389" s="9">
        <f t="shared" si="4"/>
        <v>45901</v>
      </c>
      <c r="L2389" s="7" t="str">
        <f t="shared" si="5"/>
        <v/>
      </c>
      <c r="M2389" s="7" t="str">
        <f>IFERROR(__xludf.DUMMYFUNCTION("IFERROR(
  IF(
    F2389 &gt;
    3*AVERAGE(
       FILTER($F$2:$F10491,
         $G$2:$G10491=G2389,
         $A$2:$A10491&gt;=A2389-20,
         $A$2:$A10491&lt;=A2389
       )
    ),
    ""VOL_SPIKE_3X"",""""
  ),
"""")
"),"")</f>
        <v/>
      </c>
      <c r="N2389" s="7" t="str">
        <f t="shared" si="6"/>
        <v/>
      </c>
      <c r="O2389" s="7" t="str">
        <f t="shared" si="7"/>
        <v/>
      </c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>
      <c r="A2390" s="5">
        <f>IFERROR(__xludf.DUMMYFUNCTION("""COMPUTED_VALUE"""),45903.0)</f>
        <v>45903</v>
      </c>
      <c r="B2390" s="6">
        <f>IFERROR(__xludf.DUMMYFUNCTION("""COMPUTED_VALUE"""),1369.7)</f>
        <v>1369.7</v>
      </c>
      <c r="C2390" s="6">
        <f>IFERROR(__xludf.DUMMYFUNCTION("""COMPUTED_VALUE"""),1376.5)</f>
        <v>1376.5</v>
      </c>
      <c r="D2390" s="6">
        <f>IFERROR(__xludf.DUMMYFUNCTION("""COMPUTED_VALUE"""),1360.5)</f>
        <v>1360.5</v>
      </c>
      <c r="E2390" s="6">
        <f>IFERROR(__xludf.DUMMYFUNCTION("""COMPUTED_VALUE"""),1372.6)</f>
        <v>1372.6</v>
      </c>
      <c r="F2390" s="7">
        <f>IFERROR(__xludf.DUMMYFUNCTION("""COMPUTED_VALUE"""),7847563.0)</f>
        <v>7847563</v>
      </c>
      <c r="G2390" s="7" t="str">
        <f>IFERROR(__xludf.DUMMYFUNCTION("""COMPUTED_VALUE"""),"RELIANCE.NS")</f>
        <v>RELIANCE.NS</v>
      </c>
      <c r="H2390" s="8">
        <f t="shared" si="1"/>
        <v>0.002117251953</v>
      </c>
      <c r="I2390" s="8">
        <f t="shared" si="2"/>
        <v>0.002117251953</v>
      </c>
      <c r="J2390" s="7" t="str">
        <f t="shared" si="3"/>
        <v>Sep-2025</v>
      </c>
      <c r="K2390" s="9">
        <f t="shared" si="4"/>
        <v>45901</v>
      </c>
      <c r="L2390" s="7" t="str">
        <f t="shared" si="5"/>
        <v/>
      </c>
      <c r="M2390" s="7" t="str">
        <f>IFERROR(__xludf.DUMMYFUNCTION("IFERROR(
  IF(
    F2390 &gt;
    3*AVERAGE(
       FILTER($F$2:$F10491,
         $G$2:$G10491=G2390,
         $A$2:$A10491&gt;=A2390-20,
         $A$2:$A10491&lt;=A2390
       )
    ),
    ""VOL_SPIKE_3X"",""""
  ),
"""")
"),"")</f>
        <v/>
      </c>
      <c r="N2390" s="7" t="str">
        <f t="shared" si="6"/>
        <v/>
      </c>
      <c r="O2390" s="7" t="str">
        <f t="shared" si="7"/>
        <v/>
      </c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>
      <c r="A2391" s="5">
        <f>IFERROR(__xludf.DUMMYFUNCTION("""COMPUTED_VALUE"""),45904.0)</f>
        <v>45904</v>
      </c>
      <c r="B2391" s="6">
        <f>IFERROR(__xludf.DUMMYFUNCTION("""COMPUTED_VALUE"""),771.0)</f>
        <v>771</v>
      </c>
      <c r="C2391" s="6">
        <f>IFERROR(__xludf.DUMMYFUNCTION("""COMPUTED_VALUE"""),775.25)</f>
        <v>775.25</v>
      </c>
      <c r="D2391" s="6">
        <f>IFERROR(__xludf.DUMMYFUNCTION("""COMPUTED_VALUE"""),757.0)</f>
        <v>757</v>
      </c>
      <c r="E2391" s="6">
        <f>IFERROR(__xludf.DUMMYFUNCTION("""COMPUTED_VALUE"""),758.35)</f>
        <v>758.35</v>
      </c>
      <c r="F2391" s="7">
        <f>IFERROR(__xludf.DUMMYFUNCTION("""COMPUTED_VALUE"""),514778.0)</f>
        <v>514778</v>
      </c>
      <c r="G2391" s="7" t="str">
        <f>IFERROR(__xludf.DUMMYFUNCTION("""COMPUTED_VALUE"""),"ADANIENSOL.NS")</f>
        <v>ADANIENSOL.NS</v>
      </c>
      <c r="H2391" s="8">
        <f t="shared" si="1"/>
        <v>-0.01640726329</v>
      </c>
      <c r="I2391" s="8">
        <f t="shared" si="2"/>
        <v>0.01640726329</v>
      </c>
      <c r="J2391" s="7" t="str">
        <f t="shared" si="3"/>
        <v>Sep-2025</v>
      </c>
      <c r="K2391" s="9">
        <f t="shared" si="4"/>
        <v>45901</v>
      </c>
      <c r="L2391" s="7" t="str">
        <f t="shared" si="5"/>
        <v/>
      </c>
      <c r="M2391" s="7" t="str">
        <f>IFERROR(__xludf.DUMMYFUNCTION("IFERROR(
  IF(
    F2391 &gt;
    3*AVERAGE(
       FILTER($F$2:$F10491,
         $G$2:$G10491=G2391,
         $A$2:$A10491&gt;=A2391-20,
         $A$2:$A10491&lt;=A2391
       )
    ),
    ""VOL_SPIKE_3X"",""""
  ),
"""")
"),"")</f>
        <v/>
      </c>
      <c r="N2391" s="7" t="str">
        <f t="shared" si="6"/>
        <v/>
      </c>
      <c r="O2391" s="7" t="str">
        <f t="shared" si="7"/>
        <v/>
      </c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>
      <c r="A2392" s="5">
        <f>IFERROR(__xludf.DUMMYFUNCTION("""COMPUTED_VALUE"""),45904.0)</f>
        <v>45904</v>
      </c>
      <c r="B2392" s="6">
        <f>IFERROR(__xludf.DUMMYFUNCTION("""COMPUTED_VALUE"""),944.4)</f>
        <v>944.4</v>
      </c>
      <c r="C2392" s="6">
        <f>IFERROR(__xludf.DUMMYFUNCTION("""COMPUTED_VALUE"""),954.15)</f>
        <v>954.15</v>
      </c>
      <c r="D2392" s="6">
        <f>IFERROR(__xludf.DUMMYFUNCTION("""COMPUTED_VALUE"""),926.5)</f>
        <v>926.5</v>
      </c>
      <c r="E2392" s="6">
        <f>IFERROR(__xludf.DUMMYFUNCTION("""COMPUTED_VALUE"""),929.15)</f>
        <v>929.15</v>
      </c>
      <c r="F2392" s="7">
        <f>IFERROR(__xludf.DUMMYFUNCTION("""COMPUTED_VALUE"""),865803.0)</f>
        <v>865803</v>
      </c>
      <c r="G2392" s="7" t="str">
        <f>IFERROR(__xludf.DUMMYFUNCTION("""COMPUTED_VALUE"""),"ADANIGREEN.NS")</f>
        <v>ADANIGREEN.NS</v>
      </c>
      <c r="H2392" s="8">
        <f t="shared" si="1"/>
        <v>-0.01614781872</v>
      </c>
      <c r="I2392" s="8">
        <f t="shared" si="2"/>
        <v>0.01614781872</v>
      </c>
      <c r="J2392" s="7" t="str">
        <f t="shared" si="3"/>
        <v>Sep-2025</v>
      </c>
      <c r="K2392" s="9">
        <f t="shared" si="4"/>
        <v>45901</v>
      </c>
      <c r="L2392" s="7" t="str">
        <f t="shared" si="5"/>
        <v/>
      </c>
      <c r="M2392" s="7" t="str">
        <f>IFERROR(__xludf.DUMMYFUNCTION("IFERROR(
  IF(
    F2392 &gt;
    3*AVERAGE(
       FILTER($F$2:$F10491,
         $G$2:$G10491=G2392,
         $A$2:$A10491&gt;=A2392-20,
         $A$2:$A10491&lt;=A2392
       )
    ),
    ""VOL_SPIKE_3X"",""""
  ),
"""")
"),"")</f>
        <v/>
      </c>
      <c r="N2392" s="7" t="str">
        <f t="shared" si="6"/>
        <v/>
      </c>
      <c r="O2392" s="7" t="str">
        <f t="shared" si="7"/>
        <v/>
      </c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>
      <c r="A2393" s="5">
        <f>IFERROR(__xludf.DUMMYFUNCTION("""COMPUTED_VALUE"""),45904.0)</f>
        <v>45904</v>
      </c>
      <c r="B2393" s="6">
        <f>IFERROR(__xludf.DUMMYFUNCTION("""COMPUTED_VALUE"""),319.85)</f>
        <v>319.85</v>
      </c>
      <c r="C2393" s="6">
        <f>IFERROR(__xludf.DUMMYFUNCTION("""COMPUTED_VALUE"""),319.85)</f>
        <v>319.85</v>
      </c>
      <c r="D2393" s="6">
        <f>IFERROR(__xludf.DUMMYFUNCTION("""COMPUTED_VALUE"""),312.5)</f>
        <v>312.5</v>
      </c>
      <c r="E2393" s="6">
        <f>IFERROR(__xludf.DUMMYFUNCTION("""COMPUTED_VALUE"""),312.9)</f>
        <v>312.9</v>
      </c>
      <c r="F2393" s="7">
        <f>IFERROR(__xludf.DUMMYFUNCTION("""COMPUTED_VALUE"""),5225640.0)</f>
        <v>5225640</v>
      </c>
      <c r="G2393" s="7" t="str">
        <f>IFERROR(__xludf.DUMMYFUNCTION("""COMPUTED_VALUE"""),"BPCL.NS")</f>
        <v>BPCL.NS</v>
      </c>
      <c r="H2393" s="8">
        <f t="shared" si="1"/>
        <v>-0.02172893544</v>
      </c>
      <c r="I2393" s="8">
        <f t="shared" si="2"/>
        <v>0.02172893544</v>
      </c>
      <c r="J2393" s="7" t="str">
        <f t="shared" si="3"/>
        <v>Sep-2025</v>
      </c>
      <c r="K2393" s="9">
        <f t="shared" si="4"/>
        <v>45901</v>
      </c>
      <c r="L2393" s="7" t="str">
        <f t="shared" si="5"/>
        <v/>
      </c>
      <c r="M2393" s="7" t="str">
        <f>IFERROR(__xludf.DUMMYFUNCTION("IFERROR(
  IF(
    F2393 &gt;
    3*AVERAGE(
       FILTER($F$2:$F10491,
         $G$2:$G10491=G2393,
         $A$2:$A10491&gt;=A2393-20,
         $A$2:$A10491&lt;=A2393
       )
    ),
    ""VOL_SPIKE_3X"",""""
  ),
"""")
"),"")</f>
        <v/>
      </c>
      <c r="N2393" s="7" t="str">
        <f t="shared" si="6"/>
        <v/>
      </c>
      <c r="O2393" s="7" t="str">
        <f t="shared" si="7"/>
        <v/>
      </c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>
      <c r="A2394" s="5">
        <f>IFERROR(__xludf.DUMMYFUNCTION("""COMPUTED_VALUE"""),45904.0)</f>
        <v>45904</v>
      </c>
      <c r="B2394" s="6">
        <f>IFERROR(__xludf.DUMMYFUNCTION("""COMPUTED_VALUE"""),391.8)</f>
        <v>391.8</v>
      </c>
      <c r="C2394" s="6">
        <f>IFERROR(__xludf.DUMMYFUNCTION("""COMPUTED_VALUE"""),392.1)</f>
        <v>392.1</v>
      </c>
      <c r="D2394" s="6">
        <f>IFERROR(__xludf.DUMMYFUNCTION("""COMPUTED_VALUE"""),385.7)</f>
        <v>385.7</v>
      </c>
      <c r="E2394" s="6">
        <f>IFERROR(__xludf.DUMMYFUNCTION("""COMPUTED_VALUE"""),391.45)</f>
        <v>391.45</v>
      </c>
      <c r="F2394" s="7">
        <f>IFERROR(__xludf.DUMMYFUNCTION("""COMPUTED_VALUE"""),5515006.0)</f>
        <v>5515006</v>
      </c>
      <c r="G2394" s="7" t="str">
        <f>IFERROR(__xludf.DUMMYFUNCTION("""COMPUTED_VALUE"""),"COALINDIA.NS")</f>
        <v>COALINDIA.NS</v>
      </c>
      <c r="H2394" s="8">
        <f t="shared" si="1"/>
        <v>-0.0008933129148</v>
      </c>
      <c r="I2394" s="8">
        <f t="shared" si="2"/>
        <v>0.0008933129148</v>
      </c>
      <c r="J2394" s="7" t="str">
        <f t="shared" si="3"/>
        <v>Sep-2025</v>
      </c>
      <c r="K2394" s="9">
        <f t="shared" si="4"/>
        <v>45901</v>
      </c>
      <c r="L2394" s="7" t="str">
        <f t="shared" si="5"/>
        <v/>
      </c>
      <c r="M2394" s="7" t="str">
        <f>IFERROR(__xludf.DUMMYFUNCTION("IFERROR(
  IF(
    F2394 &gt;
    3*AVERAGE(
       FILTER($F$2:$F10491,
         $G$2:$G10491=G2394,
         $A$2:$A10491&gt;=A2394-20,
         $A$2:$A10491&lt;=A2394
       )
    ),
    ""VOL_SPIKE_3X"",""""
  ),
"""")
"),"")</f>
        <v/>
      </c>
      <c r="N2394" s="7" t="str">
        <f t="shared" si="6"/>
        <v/>
      </c>
      <c r="O2394" s="7" t="str">
        <f t="shared" si="7"/>
        <v/>
      </c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>
      <c r="A2395" s="5">
        <f>IFERROR(__xludf.DUMMYFUNCTION("""COMPUTED_VALUE"""),45904.0)</f>
        <v>45904</v>
      </c>
      <c r="B2395" s="6">
        <f>IFERROR(__xludf.DUMMYFUNCTION("""COMPUTED_VALUE"""),389.1)</f>
        <v>389.1</v>
      </c>
      <c r="C2395" s="6">
        <f>IFERROR(__xludf.DUMMYFUNCTION("""COMPUTED_VALUE"""),391.95)</f>
        <v>391.95</v>
      </c>
      <c r="D2395" s="6">
        <f>IFERROR(__xludf.DUMMYFUNCTION("""COMPUTED_VALUE"""),383.5)</f>
        <v>383.5</v>
      </c>
      <c r="E2395" s="6">
        <f>IFERROR(__xludf.DUMMYFUNCTION("""COMPUTED_VALUE"""),384.6)</f>
        <v>384.6</v>
      </c>
      <c r="F2395" s="7">
        <f>IFERROR(__xludf.DUMMYFUNCTION("""COMPUTED_VALUE"""),2609930.0)</f>
        <v>2609930</v>
      </c>
      <c r="G2395" s="7" t="str">
        <f>IFERROR(__xludf.DUMMYFUNCTION("""COMPUTED_VALUE"""),"HINDPETRO.NS")</f>
        <v>HINDPETRO.NS</v>
      </c>
      <c r="H2395" s="8">
        <f t="shared" si="1"/>
        <v>-0.01156515035</v>
      </c>
      <c r="I2395" s="8">
        <f t="shared" si="2"/>
        <v>0.01156515035</v>
      </c>
      <c r="J2395" s="7" t="str">
        <f t="shared" si="3"/>
        <v>Sep-2025</v>
      </c>
      <c r="K2395" s="9">
        <f t="shared" si="4"/>
        <v>45901</v>
      </c>
      <c r="L2395" s="7" t="str">
        <f t="shared" si="5"/>
        <v/>
      </c>
      <c r="M2395" s="7" t="str">
        <f>IFERROR(__xludf.DUMMYFUNCTION("IFERROR(
  IF(
    F2395 &gt;
    3*AVERAGE(
       FILTER($F$2:$F10491,
         $G$2:$G10491=G2395,
         $A$2:$A10491&gt;=A2395-20,
         $A$2:$A10491&lt;=A2395
       )
    ),
    ""VOL_SPIKE_3X"",""""
  ),
"""")
"),"")</f>
        <v/>
      </c>
      <c r="N2395" s="7" t="str">
        <f t="shared" si="6"/>
        <v/>
      </c>
      <c r="O2395" s="7" t="str">
        <f t="shared" si="7"/>
        <v/>
      </c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>
      <c r="A2396" s="5">
        <f>IFERROR(__xludf.DUMMYFUNCTION("""COMPUTED_VALUE"""),45904.0)</f>
        <v>45904</v>
      </c>
      <c r="B2396" s="6">
        <f>IFERROR(__xludf.DUMMYFUNCTION("""COMPUTED_VALUE"""),141.18)</f>
        <v>141.18</v>
      </c>
      <c r="C2396" s="6">
        <f>IFERROR(__xludf.DUMMYFUNCTION("""COMPUTED_VALUE"""),141.7)</f>
        <v>141.7</v>
      </c>
      <c r="D2396" s="6">
        <f>IFERROR(__xludf.DUMMYFUNCTION("""COMPUTED_VALUE"""),139.35)</f>
        <v>139.35</v>
      </c>
      <c r="E2396" s="6">
        <f>IFERROR(__xludf.DUMMYFUNCTION("""COMPUTED_VALUE"""),139.68)</f>
        <v>139.68</v>
      </c>
      <c r="F2396" s="7">
        <f>IFERROR(__xludf.DUMMYFUNCTION("""COMPUTED_VALUE"""),4768126.0)</f>
        <v>4768126</v>
      </c>
      <c r="G2396" s="7" t="str">
        <f>IFERROR(__xludf.DUMMYFUNCTION("""COMPUTED_VALUE"""),"IOC.NS")</f>
        <v>IOC.NS</v>
      </c>
      <c r="H2396" s="8">
        <f t="shared" si="1"/>
        <v>-0.01062473438</v>
      </c>
      <c r="I2396" s="8">
        <f t="shared" si="2"/>
        <v>0.01062473438</v>
      </c>
      <c r="J2396" s="7" t="str">
        <f t="shared" si="3"/>
        <v>Sep-2025</v>
      </c>
      <c r="K2396" s="9">
        <f t="shared" si="4"/>
        <v>45901</v>
      </c>
      <c r="L2396" s="7" t="str">
        <f t="shared" si="5"/>
        <v/>
      </c>
      <c r="M2396" s="7" t="str">
        <f>IFERROR(__xludf.DUMMYFUNCTION("IFERROR(
  IF(
    F2396 &gt;
    3*AVERAGE(
       FILTER($F$2:$F10491,
         $G$2:$G10491=G2396,
         $A$2:$A10491&gt;=A2396-20,
         $A$2:$A10491&lt;=A2396
       )
    ),
    ""VOL_SPIKE_3X"",""""
  ),
"""")
"),"")</f>
        <v/>
      </c>
      <c r="N2396" s="7" t="str">
        <f t="shared" si="6"/>
        <v/>
      </c>
      <c r="O2396" s="7" t="str">
        <f t="shared" si="7"/>
        <v/>
      </c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>
      <c r="A2397" s="5">
        <f>IFERROR(__xludf.DUMMYFUNCTION("""COMPUTED_VALUE"""),45904.0)</f>
        <v>45904</v>
      </c>
      <c r="B2397" s="6">
        <f>IFERROR(__xludf.DUMMYFUNCTION("""COMPUTED_VALUE"""),333.5)</f>
        <v>333.5</v>
      </c>
      <c r="C2397" s="6">
        <f>IFERROR(__xludf.DUMMYFUNCTION("""COMPUTED_VALUE"""),334.9)</f>
        <v>334.9</v>
      </c>
      <c r="D2397" s="6">
        <f>IFERROR(__xludf.DUMMYFUNCTION("""COMPUTED_VALUE"""),329.3)</f>
        <v>329.3</v>
      </c>
      <c r="E2397" s="6">
        <f>IFERROR(__xludf.DUMMYFUNCTION("""COMPUTED_VALUE"""),330.05)</f>
        <v>330.05</v>
      </c>
      <c r="F2397" s="7">
        <f>IFERROR(__xludf.DUMMYFUNCTION("""COMPUTED_VALUE"""),7934237.0)</f>
        <v>7934237</v>
      </c>
      <c r="G2397" s="7" t="str">
        <f>IFERROR(__xludf.DUMMYFUNCTION("""COMPUTED_VALUE"""),"NTPC.NS")</f>
        <v>NTPC.NS</v>
      </c>
      <c r="H2397" s="8">
        <f t="shared" si="1"/>
        <v>-0.01034482759</v>
      </c>
      <c r="I2397" s="8">
        <f t="shared" si="2"/>
        <v>0.01034482759</v>
      </c>
      <c r="J2397" s="7" t="str">
        <f t="shared" si="3"/>
        <v>Sep-2025</v>
      </c>
      <c r="K2397" s="9">
        <f t="shared" si="4"/>
        <v>45901</v>
      </c>
      <c r="L2397" s="7" t="str">
        <f t="shared" si="5"/>
        <v/>
      </c>
      <c r="M2397" s="7" t="str">
        <f>IFERROR(__xludf.DUMMYFUNCTION("IFERROR(
  IF(
    F2397 &gt;
    3*AVERAGE(
       FILTER($F$2:$F10491,
         $G$2:$G10491=G2397,
         $A$2:$A10491&gt;=A2397-20,
         $A$2:$A10491&lt;=A2397
       )
    ),
    ""VOL_SPIKE_3X"",""""
  ),
"""")
"),"")</f>
        <v/>
      </c>
      <c r="N2397" s="7" t="str">
        <f t="shared" si="6"/>
        <v/>
      </c>
      <c r="O2397" s="7" t="str">
        <f t="shared" si="7"/>
        <v/>
      </c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>
      <c r="A2398" s="5">
        <f>IFERROR(__xludf.DUMMYFUNCTION("""COMPUTED_VALUE"""),45904.0)</f>
        <v>45904</v>
      </c>
      <c r="B2398" s="6">
        <f>IFERROR(__xludf.DUMMYFUNCTION("""COMPUTED_VALUE"""),239.07)</f>
        <v>239.07</v>
      </c>
      <c r="C2398" s="6">
        <f>IFERROR(__xludf.DUMMYFUNCTION("""COMPUTED_VALUE"""),239.35)</f>
        <v>239.35</v>
      </c>
      <c r="D2398" s="6">
        <f>IFERROR(__xludf.DUMMYFUNCTION("""COMPUTED_VALUE"""),235.43)</f>
        <v>235.43</v>
      </c>
      <c r="E2398" s="6">
        <f>IFERROR(__xludf.DUMMYFUNCTION("""COMPUTED_VALUE"""),235.72)</f>
        <v>235.72</v>
      </c>
      <c r="F2398" s="7">
        <f>IFERROR(__xludf.DUMMYFUNCTION("""COMPUTED_VALUE"""),8778730.0)</f>
        <v>8778730</v>
      </c>
      <c r="G2398" s="7" t="str">
        <f>IFERROR(__xludf.DUMMYFUNCTION("""COMPUTED_VALUE"""),"ONGC.NS")</f>
        <v>ONGC.NS</v>
      </c>
      <c r="H2398" s="8">
        <f t="shared" si="1"/>
        <v>-0.01401263228</v>
      </c>
      <c r="I2398" s="8">
        <f t="shared" si="2"/>
        <v>0.01401263228</v>
      </c>
      <c r="J2398" s="7" t="str">
        <f t="shared" si="3"/>
        <v>Sep-2025</v>
      </c>
      <c r="K2398" s="9">
        <f t="shared" si="4"/>
        <v>45901</v>
      </c>
      <c r="L2398" s="7" t="str">
        <f t="shared" si="5"/>
        <v/>
      </c>
      <c r="M2398" s="7" t="str">
        <f>IFERROR(__xludf.DUMMYFUNCTION("IFERROR(
  IF(
    F2398 &gt;
    3*AVERAGE(
       FILTER($F$2:$F10491,
         $G$2:$G10491=G2398,
         $A$2:$A10491&gt;=A2398-20,
         $A$2:$A10491&lt;=A2398
       )
    ),
    ""VOL_SPIKE_3X"",""""
  ),
"""")
"),"")</f>
        <v/>
      </c>
      <c r="N2398" s="7" t="str">
        <f t="shared" si="6"/>
        <v/>
      </c>
      <c r="O2398" s="7" t="str">
        <f t="shared" si="7"/>
        <v/>
      </c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>
      <c r="A2399" s="5">
        <f>IFERROR(__xludf.DUMMYFUNCTION("""COMPUTED_VALUE"""),45904.0)</f>
        <v>45904</v>
      </c>
      <c r="B2399" s="6">
        <f>IFERROR(__xludf.DUMMYFUNCTION("""COMPUTED_VALUE"""),286.85)</f>
        <v>286.85</v>
      </c>
      <c r="C2399" s="6">
        <f>IFERROR(__xludf.DUMMYFUNCTION("""COMPUTED_VALUE"""),287.95)</f>
        <v>287.95</v>
      </c>
      <c r="D2399" s="6">
        <f>IFERROR(__xludf.DUMMYFUNCTION("""COMPUTED_VALUE"""),280.9)</f>
        <v>280.9</v>
      </c>
      <c r="E2399" s="6">
        <f>IFERROR(__xludf.DUMMYFUNCTION("""COMPUTED_VALUE"""),281.8)</f>
        <v>281.8</v>
      </c>
      <c r="F2399" s="7">
        <f>IFERROR(__xludf.DUMMYFUNCTION("""COMPUTED_VALUE"""),5946090.0)</f>
        <v>5946090</v>
      </c>
      <c r="G2399" s="7" t="str">
        <f>IFERROR(__xludf.DUMMYFUNCTION("""COMPUTED_VALUE"""),"POWERGRID.NS")</f>
        <v>POWERGRID.NS</v>
      </c>
      <c r="H2399" s="8">
        <f t="shared" si="1"/>
        <v>-0.01760502005</v>
      </c>
      <c r="I2399" s="8">
        <f t="shared" si="2"/>
        <v>0.01760502005</v>
      </c>
      <c r="J2399" s="7" t="str">
        <f t="shared" si="3"/>
        <v>Sep-2025</v>
      </c>
      <c r="K2399" s="9">
        <f t="shared" si="4"/>
        <v>45901</v>
      </c>
      <c r="L2399" s="7" t="str">
        <f t="shared" si="5"/>
        <v/>
      </c>
      <c r="M2399" s="7" t="str">
        <f>IFERROR(__xludf.DUMMYFUNCTION("IFERROR(
  IF(
    F2399 &gt;
    3*AVERAGE(
       FILTER($F$2:$F10491,
         $G$2:$G10491=G2399,
         $A$2:$A10491&gt;=A2399-20,
         $A$2:$A10491&lt;=A2399
       )
    ),
    ""VOL_SPIKE_3X"",""""
  ),
"""")
"),"")</f>
        <v/>
      </c>
      <c r="N2399" s="7" t="str">
        <f t="shared" si="6"/>
        <v/>
      </c>
      <c r="O2399" s="7" t="str">
        <f t="shared" si="7"/>
        <v/>
      </c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>
      <c r="A2400" s="5">
        <f>IFERROR(__xludf.DUMMYFUNCTION("""COMPUTED_VALUE"""),45904.0)</f>
        <v>45904</v>
      </c>
      <c r="B2400" s="6">
        <f>IFERROR(__xludf.DUMMYFUNCTION("""COMPUTED_VALUE"""),1371.8)</f>
        <v>1371.8</v>
      </c>
      <c r="C2400" s="6">
        <f>IFERROR(__xludf.DUMMYFUNCTION("""COMPUTED_VALUE"""),1374.0)</f>
        <v>1374</v>
      </c>
      <c r="D2400" s="6">
        <f>IFERROR(__xludf.DUMMYFUNCTION("""COMPUTED_VALUE"""),1357.1)</f>
        <v>1357.1</v>
      </c>
      <c r="E2400" s="6">
        <f>IFERROR(__xludf.DUMMYFUNCTION("""COMPUTED_VALUE"""),1359.3)</f>
        <v>1359.3</v>
      </c>
      <c r="F2400" s="7">
        <f>IFERROR(__xludf.DUMMYFUNCTION("""COMPUTED_VALUE"""),1.3223177E7)</f>
        <v>13223177</v>
      </c>
      <c r="G2400" s="7" t="str">
        <f>IFERROR(__xludf.DUMMYFUNCTION("""COMPUTED_VALUE"""),"RELIANCE.NS")</f>
        <v>RELIANCE.NS</v>
      </c>
      <c r="H2400" s="8">
        <f t="shared" si="1"/>
        <v>-0.009112115469</v>
      </c>
      <c r="I2400" s="8">
        <f t="shared" si="2"/>
        <v>0.009112115469</v>
      </c>
      <c r="J2400" s="7" t="str">
        <f t="shared" si="3"/>
        <v>Sep-2025</v>
      </c>
      <c r="K2400" s="9">
        <f t="shared" si="4"/>
        <v>45901</v>
      </c>
      <c r="L2400" s="7" t="str">
        <f t="shared" si="5"/>
        <v/>
      </c>
      <c r="M2400" s="7" t="str">
        <f>IFERROR(__xludf.DUMMYFUNCTION("IFERROR(
  IF(
    F2400 &gt;
    3*AVERAGE(
       FILTER($F$2:$F10491,
         $G$2:$G10491=G2400,
         $A$2:$A10491&gt;=A2400-20,
         $A$2:$A10491&lt;=A2400
       )
    ),
    ""VOL_SPIKE_3X"",""""
  ),
"""")
"),"")</f>
        <v/>
      </c>
      <c r="N2400" s="7" t="str">
        <f t="shared" si="6"/>
        <v/>
      </c>
      <c r="O2400" s="7" t="str">
        <f t="shared" si="7"/>
        <v/>
      </c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>
      <c r="A2401" s="5">
        <f>IFERROR(__xludf.DUMMYFUNCTION("""COMPUTED_VALUE"""),45905.0)</f>
        <v>45905</v>
      </c>
      <c r="B2401" s="6">
        <f>IFERROR(__xludf.DUMMYFUNCTION("""COMPUTED_VALUE"""),759.0)</f>
        <v>759</v>
      </c>
      <c r="C2401" s="6">
        <f>IFERROR(__xludf.DUMMYFUNCTION("""COMPUTED_VALUE"""),761.45)</f>
        <v>761.45</v>
      </c>
      <c r="D2401" s="6">
        <f>IFERROR(__xludf.DUMMYFUNCTION("""COMPUTED_VALUE"""),744.9)</f>
        <v>744.9</v>
      </c>
      <c r="E2401" s="6">
        <f>IFERROR(__xludf.DUMMYFUNCTION("""COMPUTED_VALUE"""),755.95)</f>
        <v>755.95</v>
      </c>
      <c r="F2401" s="7">
        <f>IFERROR(__xludf.DUMMYFUNCTION("""COMPUTED_VALUE"""),880798.0)</f>
        <v>880798</v>
      </c>
      <c r="G2401" s="7" t="str">
        <f>IFERROR(__xludf.DUMMYFUNCTION("""COMPUTED_VALUE"""),"ADANIENSOL.NS")</f>
        <v>ADANIENSOL.NS</v>
      </c>
      <c r="H2401" s="8">
        <f t="shared" si="1"/>
        <v>-0.004018445323</v>
      </c>
      <c r="I2401" s="8">
        <f t="shared" si="2"/>
        <v>0.004018445323</v>
      </c>
      <c r="J2401" s="7" t="str">
        <f t="shared" si="3"/>
        <v>Sep-2025</v>
      </c>
      <c r="K2401" s="9">
        <f t="shared" si="4"/>
        <v>45901</v>
      </c>
      <c r="L2401" s="7" t="str">
        <f t="shared" si="5"/>
        <v/>
      </c>
      <c r="M2401" s="7" t="str">
        <f>IFERROR(__xludf.DUMMYFUNCTION("IFERROR(
  IF(
    F2401 &gt;
    3*AVERAGE(
       FILTER($F$2:$F10491,
         $G$2:$G10491=G2401,
         $A$2:$A10491&gt;=A2401-20,
         $A$2:$A10491&lt;=A2401
       )
    ),
    ""VOL_SPIKE_3X"",""""
  ),
"""")
"),"")</f>
        <v/>
      </c>
      <c r="N2401" s="7" t="str">
        <f t="shared" si="6"/>
        <v/>
      </c>
      <c r="O2401" s="7" t="str">
        <f t="shared" si="7"/>
        <v/>
      </c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>
      <c r="A2402" s="5">
        <f>IFERROR(__xludf.DUMMYFUNCTION("""COMPUTED_VALUE"""),45905.0)</f>
        <v>45905</v>
      </c>
      <c r="B2402" s="6">
        <f>IFERROR(__xludf.DUMMYFUNCTION("""COMPUTED_VALUE"""),932.05)</f>
        <v>932.05</v>
      </c>
      <c r="C2402" s="6">
        <f>IFERROR(__xludf.DUMMYFUNCTION("""COMPUTED_VALUE"""),935.0)</f>
        <v>935</v>
      </c>
      <c r="D2402" s="6">
        <f>IFERROR(__xludf.DUMMYFUNCTION("""COMPUTED_VALUE"""),916.25)</f>
        <v>916.25</v>
      </c>
      <c r="E2402" s="6">
        <f>IFERROR(__xludf.DUMMYFUNCTION("""COMPUTED_VALUE"""),929.35)</f>
        <v>929.35</v>
      </c>
      <c r="F2402" s="7">
        <f>IFERROR(__xludf.DUMMYFUNCTION("""COMPUTED_VALUE"""),847676.0)</f>
        <v>847676</v>
      </c>
      <c r="G2402" s="7" t="str">
        <f>IFERROR(__xludf.DUMMYFUNCTION("""COMPUTED_VALUE"""),"ADANIGREEN.NS")</f>
        <v>ADANIGREEN.NS</v>
      </c>
      <c r="H2402" s="8">
        <f t="shared" si="1"/>
        <v>-0.002896840298</v>
      </c>
      <c r="I2402" s="8">
        <f t="shared" si="2"/>
        <v>0.002896840298</v>
      </c>
      <c r="J2402" s="7" t="str">
        <f t="shared" si="3"/>
        <v>Sep-2025</v>
      </c>
      <c r="K2402" s="9">
        <f t="shared" si="4"/>
        <v>45901</v>
      </c>
      <c r="L2402" s="7" t="str">
        <f t="shared" si="5"/>
        <v/>
      </c>
      <c r="M2402" s="7" t="str">
        <f>IFERROR(__xludf.DUMMYFUNCTION("IFERROR(
  IF(
    F2402 &gt;
    3*AVERAGE(
       FILTER($F$2:$F10491,
         $G$2:$G10491=G2402,
         $A$2:$A10491&gt;=A2402-20,
         $A$2:$A10491&lt;=A2402
       )
    ),
    ""VOL_SPIKE_3X"",""""
  ),
"""")
"),"")</f>
        <v/>
      </c>
      <c r="N2402" s="7" t="str">
        <f t="shared" si="6"/>
        <v/>
      </c>
      <c r="O2402" s="7" t="str">
        <f t="shared" si="7"/>
        <v/>
      </c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>
      <c r="A2403" s="5">
        <f>IFERROR(__xludf.DUMMYFUNCTION("""COMPUTED_VALUE"""),45905.0)</f>
        <v>45905</v>
      </c>
      <c r="B2403" s="6">
        <f>IFERROR(__xludf.DUMMYFUNCTION("""COMPUTED_VALUE"""),313.0)</f>
        <v>313</v>
      </c>
      <c r="C2403" s="6">
        <f>IFERROR(__xludf.DUMMYFUNCTION("""COMPUTED_VALUE"""),316.45)</f>
        <v>316.45</v>
      </c>
      <c r="D2403" s="6">
        <f>IFERROR(__xludf.DUMMYFUNCTION("""COMPUTED_VALUE"""),311.5)</f>
        <v>311.5</v>
      </c>
      <c r="E2403" s="6">
        <f>IFERROR(__xludf.DUMMYFUNCTION("""COMPUTED_VALUE"""),312.5)</f>
        <v>312.5</v>
      </c>
      <c r="F2403" s="7">
        <f>IFERROR(__xludf.DUMMYFUNCTION("""COMPUTED_VALUE"""),6159420.0)</f>
        <v>6159420</v>
      </c>
      <c r="G2403" s="7" t="str">
        <f>IFERROR(__xludf.DUMMYFUNCTION("""COMPUTED_VALUE"""),"BPCL.NS")</f>
        <v>BPCL.NS</v>
      </c>
      <c r="H2403" s="8">
        <f t="shared" si="1"/>
        <v>-0.001597444089</v>
      </c>
      <c r="I2403" s="8">
        <f t="shared" si="2"/>
        <v>0.001597444089</v>
      </c>
      <c r="J2403" s="7" t="str">
        <f t="shared" si="3"/>
        <v>Sep-2025</v>
      </c>
      <c r="K2403" s="9">
        <f t="shared" si="4"/>
        <v>45901</v>
      </c>
      <c r="L2403" s="7" t="str">
        <f t="shared" si="5"/>
        <v/>
      </c>
      <c r="M2403" s="7" t="str">
        <f>IFERROR(__xludf.DUMMYFUNCTION("IFERROR(
  IF(
    F2403 &gt;
    3*AVERAGE(
       FILTER($F$2:$F10491,
         $G$2:$G10491=G2403,
         $A$2:$A10491&gt;=A2403-20,
         $A$2:$A10491&lt;=A2403
       )
    ),
    ""VOL_SPIKE_3X"",""""
  ),
"""")
"),"")</f>
        <v/>
      </c>
      <c r="N2403" s="7" t="str">
        <f t="shared" si="6"/>
        <v/>
      </c>
      <c r="O2403" s="7" t="str">
        <f t="shared" si="7"/>
        <v/>
      </c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>
      <c r="A2404" s="5">
        <f>IFERROR(__xludf.DUMMYFUNCTION("""COMPUTED_VALUE"""),45905.0)</f>
        <v>45905</v>
      </c>
      <c r="B2404" s="6">
        <f>IFERROR(__xludf.DUMMYFUNCTION("""COMPUTED_VALUE"""),392.4)</f>
        <v>392.4</v>
      </c>
      <c r="C2404" s="6">
        <f>IFERROR(__xludf.DUMMYFUNCTION("""COMPUTED_VALUE"""),393.25)</f>
        <v>393.25</v>
      </c>
      <c r="D2404" s="6">
        <f>IFERROR(__xludf.DUMMYFUNCTION("""COMPUTED_VALUE"""),389.0)</f>
        <v>389</v>
      </c>
      <c r="E2404" s="6">
        <f>IFERROR(__xludf.DUMMYFUNCTION("""COMPUTED_VALUE"""),392.65)</f>
        <v>392.65</v>
      </c>
      <c r="F2404" s="7">
        <f>IFERROR(__xludf.DUMMYFUNCTION("""COMPUTED_VALUE"""),4535470.0)</f>
        <v>4535470</v>
      </c>
      <c r="G2404" s="7" t="str">
        <f>IFERROR(__xludf.DUMMYFUNCTION("""COMPUTED_VALUE"""),"COALINDIA.NS")</f>
        <v>COALINDIA.NS</v>
      </c>
      <c r="H2404" s="8">
        <f t="shared" si="1"/>
        <v>0.0006371049949</v>
      </c>
      <c r="I2404" s="8">
        <f t="shared" si="2"/>
        <v>0.0006371049949</v>
      </c>
      <c r="J2404" s="7" t="str">
        <f t="shared" si="3"/>
        <v>Sep-2025</v>
      </c>
      <c r="K2404" s="9">
        <f t="shared" si="4"/>
        <v>45901</v>
      </c>
      <c r="L2404" s="7" t="str">
        <f t="shared" si="5"/>
        <v/>
      </c>
      <c r="M2404" s="7" t="str">
        <f>IFERROR(__xludf.DUMMYFUNCTION("IFERROR(
  IF(
    F2404 &gt;
    3*AVERAGE(
       FILTER($F$2:$F10491,
         $G$2:$G10491=G2404,
         $A$2:$A10491&gt;=A2404-20,
         $A$2:$A10491&lt;=A2404
       )
    ),
    ""VOL_SPIKE_3X"",""""
  ),
"""")
"),"")</f>
        <v/>
      </c>
      <c r="N2404" s="7" t="str">
        <f t="shared" si="6"/>
        <v/>
      </c>
      <c r="O2404" s="7" t="str">
        <f t="shared" si="7"/>
        <v/>
      </c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>
      <c r="A2405" s="5">
        <f>IFERROR(__xludf.DUMMYFUNCTION("""COMPUTED_VALUE"""),45905.0)</f>
        <v>45905</v>
      </c>
      <c r="B2405" s="6">
        <f>IFERROR(__xludf.DUMMYFUNCTION("""COMPUTED_VALUE"""),384.7)</f>
        <v>384.7</v>
      </c>
      <c r="C2405" s="6">
        <f>IFERROR(__xludf.DUMMYFUNCTION("""COMPUTED_VALUE"""),386.55)</f>
        <v>386.55</v>
      </c>
      <c r="D2405" s="6">
        <f>IFERROR(__xludf.DUMMYFUNCTION("""COMPUTED_VALUE"""),380.2)</f>
        <v>380.2</v>
      </c>
      <c r="E2405" s="6">
        <f>IFERROR(__xludf.DUMMYFUNCTION("""COMPUTED_VALUE"""),383.6)</f>
        <v>383.6</v>
      </c>
      <c r="F2405" s="7">
        <f>IFERROR(__xludf.DUMMYFUNCTION("""COMPUTED_VALUE"""),2017875.0)</f>
        <v>2017875</v>
      </c>
      <c r="G2405" s="7" t="str">
        <f>IFERROR(__xludf.DUMMYFUNCTION("""COMPUTED_VALUE"""),"HINDPETRO.NS")</f>
        <v>HINDPETRO.NS</v>
      </c>
      <c r="H2405" s="8">
        <f t="shared" si="1"/>
        <v>-0.002859370938</v>
      </c>
      <c r="I2405" s="8">
        <f t="shared" si="2"/>
        <v>0.002859370938</v>
      </c>
      <c r="J2405" s="7" t="str">
        <f t="shared" si="3"/>
        <v>Sep-2025</v>
      </c>
      <c r="K2405" s="9">
        <f t="shared" si="4"/>
        <v>45901</v>
      </c>
      <c r="L2405" s="7" t="str">
        <f t="shared" si="5"/>
        <v/>
      </c>
      <c r="M2405" s="7" t="str">
        <f>IFERROR(__xludf.DUMMYFUNCTION("IFERROR(
  IF(
    F2405 &gt;
    3*AVERAGE(
       FILTER($F$2:$F10491,
         $G$2:$G10491=G2405,
         $A$2:$A10491&gt;=A2405-20,
         $A$2:$A10491&lt;=A2405
       )
    ),
    ""VOL_SPIKE_3X"",""""
  ),
"""")
"),"")</f>
        <v/>
      </c>
      <c r="N2405" s="7" t="str">
        <f t="shared" si="6"/>
        <v/>
      </c>
      <c r="O2405" s="7" t="str">
        <f t="shared" si="7"/>
        <v/>
      </c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>
      <c r="A2406" s="5">
        <f>IFERROR(__xludf.DUMMYFUNCTION("""COMPUTED_VALUE"""),45905.0)</f>
        <v>45905</v>
      </c>
      <c r="B2406" s="6">
        <f>IFERROR(__xludf.DUMMYFUNCTION("""COMPUTED_VALUE"""),139.45)</f>
        <v>139.45</v>
      </c>
      <c r="C2406" s="6">
        <f>IFERROR(__xludf.DUMMYFUNCTION("""COMPUTED_VALUE"""),140.7)</f>
        <v>140.7</v>
      </c>
      <c r="D2406" s="6">
        <f>IFERROR(__xludf.DUMMYFUNCTION("""COMPUTED_VALUE"""),138.47)</f>
        <v>138.47</v>
      </c>
      <c r="E2406" s="6">
        <f>IFERROR(__xludf.DUMMYFUNCTION("""COMPUTED_VALUE"""),139.65)</f>
        <v>139.65</v>
      </c>
      <c r="F2406" s="7">
        <f>IFERROR(__xludf.DUMMYFUNCTION("""COMPUTED_VALUE"""),4533550.0)</f>
        <v>4533550</v>
      </c>
      <c r="G2406" s="7" t="str">
        <f>IFERROR(__xludf.DUMMYFUNCTION("""COMPUTED_VALUE"""),"IOC.NS")</f>
        <v>IOC.NS</v>
      </c>
      <c r="H2406" s="8">
        <f t="shared" si="1"/>
        <v>0.001434205809</v>
      </c>
      <c r="I2406" s="8">
        <f t="shared" si="2"/>
        <v>0.001434205809</v>
      </c>
      <c r="J2406" s="7" t="str">
        <f t="shared" si="3"/>
        <v>Sep-2025</v>
      </c>
      <c r="K2406" s="9">
        <f t="shared" si="4"/>
        <v>45901</v>
      </c>
      <c r="L2406" s="7" t="str">
        <f t="shared" si="5"/>
        <v/>
      </c>
      <c r="M2406" s="7" t="str">
        <f>IFERROR(__xludf.DUMMYFUNCTION("IFERROR(
  IF(
    F2406 &gt;
    3*AVERAGE(
       FILTER($F$2:$F10491,
         $G$2:$G10491=G2406,
         $A$2:$A10491&gt;=A2406-20,
         $A$2:$A10491&lt;=A2406
       )
    ),
    ""VOL_SPIKE_3X"",""""
  ),
"""")
"),"")</f>
        <v/>
      </c>
      <c r="N2406" s="7" t="str">
        <f t="shared" si="6"/>
        <v/>
      </c>
      <c r="O2406" s="7" t="str">
        <f t="shared" si="7"/>
        <v/>
      </c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>
      <c r="A2407" s="5">
        <f>IFERROR(__xludf.DUMMYFUNCTION("""COMPUTED_VALUE"""),45905.0)</f>
        <v>45905</v>
      </c>
      <c r="B2407" s="6">
        <f>IFERROR(__xludf.DUMMYFUNCTION("""COMPUTED_VALUE"""),330.05)</f>
        <v>330.05</v>
      </c>
      <c r="C2407" s="6">
        <f>IFERROR(__xludf.DUMMYFUNCTION("""COMPUTED_VALUE"""),331.8)</f>
        <v>331.8</v>
      </c>
      <c r="D2407" s="6">
        <f>IFERROR(__xludf.DUMMYFUNCTION("""COMPUTED_VALUE"""),325.95)</f>
        <v>325.95</v>
      </c>
      <c r="E2407" s="6">
        <f>IFERROR(__xludf.DUMMYFUNCTION("""COMPUTED_VALUE"""),328.7)</f>
        <v>328.7</v>
      </c>
      <c r="F2407" s="7">
        <f>IFERROR(__xludf.DUMMYFUNCTION("""COMPUTED_VALUE"""),5678244.0)</f>
        <v>5678244</v>
      </c>
      <c r="G2407" s="7" t="str">
        <f>IFERROR(__xludf.DUMMYFUNCTION("""COMPUTED_VALUE"""),"NTPC.NS")</f>
        <v>NTPC.NS</v>
      </c>
      <c r="H2407" s="8">
        <f t="shared" si="1"/>
        <v>-0.00409028935</v>
      </c>
      <c r="I2407" s="8">
        <f t="shared" si="2"/>
        <v>0.00409028935</v>
      </c>
      <c r="J2407" s="7" t="str">
        <f t="shared" si="3"/>
        <v>Sep-2025</v>
      </c>
      <c r="K2407" s="9">
        <f t="shared" si="4"/>
        <v>45901</v>
      </c>
      <c r="L2407" s="7" t="str">
        <f t="shared" si="5"/>
        <v/>
      </c>
      <c r="M2407" s="7" t="str">
        <f>IFERROR(__xludf.DUMMYFUNCTION("IFERROR(
  IF(
    F2407 &gt;
    3*AVERAGE(
       FILTER($F$2:$F10491,
         $G$2:$G10491=G2407,
         $A$2:$A10491&gt;=A2407-20,
         $A$2:$A10491&lt;=A2407
       )
    ),
    ""VOL_SPIKE_3X"",""""
  ),
"""")
"),"")</f>
        <v/>
      </c>
      <c r="N2407" s="7" t="str">
        <f t="shared" si="6"/>
        <v/>
      </c>
      <c r="O2407" s="7" t="str">
        <f t="shared" si="7"/>
        <v/>
      </c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>
      <c r="A2408" s="5">
        <f>IFERROR(__xludf.DUMMYFUNCTION("""COMPUTED_VALUE"""),45905.0)</f>
        <v>45905</v>
      </c>
      <c r="B2408" s="6">
        <f>IFERROR(__xludf.DUMMYFUNCTION("""COMPUTED_VALUE"""),235.75)</f>
        <v>235.75</v>
      </c>
      <c r="C2408" s="6">
        <f>IFERROR(__xludf.DUMMYFUNCTION("""COMPUTED_VALUE"""),237.16)</f>
        <v>237.16</v>
      </c>
      <c r="D2408" s="6">
        <f>IFERROR(__xludf.DUMMYFUNCTION("""COMPUTED_VALUE"""),233.01)</f>
        <v>233.01</v>
      </c>
      <c r="E2408" s="6">
        <f>IFERROR(__xludf.DUMMYFUNCTION("""COMPUTED_VALUE"""),234.13)</f>
        <v>234.13</v>
      </c>
      <c r="F2408" s="7">
        <f>IFERROR(__xludf.DUMMYFUNCTION("""COMPUTED_VALUE"""),7210683.0)</f>
        <v>7210683</v>
      </c>
      <c r="G2408" s="7" t="str">
        <f>IFERROR(__xludf.DUMMYFUNCTION("""COMPUTED_VALUE"""),"ONGC.NS")</f>
        <v>ONGC.NS</v>
      </c>
      <c r="H2408" s="8">
        <f t="shared" si="1"/>
        <v>-0.006871686108</v>
      </c>
      <c r="I2408" s="8">
        <f t="shared" si="2"/>
        <v>0.006871686108</v>
      </c>
      <c r="J2408" s="7" t="str">
        <f t="shared" si="3"/>
        <v>Sep-2025</v>
      </c>
      <c r="K2408" s="9">
        <f t="shared" si="4"/>
        <v>45901</v>
      </c>
      <c r="L2408" s="7" t="str">
        <f t="shared" si="5"/>
        <v/>
      </c>
      <c r="M2408" s="7" t="str">
        <f>IFERROR(__xludf.DUMMYFUNCTION("IFERROR(
  IF(
    F2408 &gt;
    3*AVERAGE(
       FILTER($F$2:$F10491,
         $G$2:$G10491=G2408,
         $A$2:$A10491&gt;=A2408-20,
         $A$2:$A10491&lt;=A2408
       )
    ),
    ""VOL_SPIKE_3X"",""""
  ),
"""")
"),"")</f>
        <v/>
      </c>
      <c r="N2408" s="7" t="str">
        <f t="shared" si="6"/>
        <v/>
      </c>
      <c r="O2408" s="7" t="str">
        <f t="shared" si="7"/>
        <v/>
      </c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>
      <c r="A2409" s="5">
        <f>IFERROR(__xludf.DUMMYFUNCTION("""COMPUTED_VALUE"""),45905.0)</f>
        <v>45905</v>
      </c>
      <c r="B2409" s="6">
        <f>IFERROR(__xludf.DUMMYFUNCTION("""COMPUTED_VALUE"""),282.35)</f>
        <v>282.35</v>
      </c>
      <c r="C2409" s="6">
        <f>IFERROR(__xludf.DUMMYFUNCTION("""COMPUTED_VALUE"""),286.65)</f>
        <v>286.65</v>
      </c>
      <c r="D2409" s="6">
        <f>IFERROR(__xludf.DUMMYFUNCTION("""COMPUTED_VALUE"""),282.35)</f>
        <v>282.35</v>
      </c>
      <c r="E2409" s="6">
        <f>IFERROR(__xludf.DUMMYFUNCTION("""COMPUTED_VALUE"""),285.35)</f>
        <v>285.35</v>
      </c>
      <c r="F2409" s="7">
        <f>IFERROR(__xludf.DUMMYFUNCTION("""COMPUTED_VALUE"""),9695914.0)</f>
        <v>9695914</v>
      </c>
      <c r="G2409" s="7" t="str">
        <f>IFERROR(__xludf.DUMMYFUNCTION("""COMPUTED_VALUE"""),"POWERGRID.NS")</f>
        <v>POWERGRID.NS</v>
      </c>
      <c r="H2409" s="8">
        <f t="shared" si="1"/>
        <v>0.01062511068</v>
      </c>
      <c r="I2409" s="8">
        <f t="shared" si="2"/>
        <v>0.01062511068</v>
      </c>
      <c r="J2409" s="7" t="str">
        <f t="shared" si="3"/>
        <v>Sep-2025</v>
      </c>
      <c r="K2409" s="9">
        <f t="shared" si="4"/>
        <v>45901</v>
      </c>
      <c r="L2409" s="7" t="str">
        <f t="shared" si="5"/>
        <v/>
      </c>
      <c r="M2409" s="7" t="str">
        <f>IFERROR(__xludf.DUMMYFUNCTION("IFERROR(
  IF(
    F2409 &gt;
    3*AVERAGE(
       FILTER($F$2:$F10491,
         $G$2:$G10491=G2409,
         $A$2:$A10491&gt;=A2409-20,
         $A$2:$A10491&lt;=A2409
       )
    ),
    ""VOL_SPIKE_3X"",""""
  ),
"""")
"),"")</f>
        <v/>
      </c>
      <c r="N2409" s="7" t="str">
        <f t="shared" si="6"/>
        <v/>
      </c>
      <c r="O2409" s="7" t="str">
        <f t="shared" si="7"/>
        <v/>
      </c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>
      <c r="A2410" s="5">
        <f>IFERROR(__xludf.DUMMYFUNCTION("""COMPUTED_VALUE"""),45905.0)</f>
        <v>45905</v>
      </c>
      <c r="B2410" s="6">
        <f>IFERROR(__xludf.DUMMYFUNCTION("""COMPUTED_VALUE"""),1363.0)</f>
        <v>1363</v>
      </c>
      <c r="C2410" s="6">
        <f>IFERROR(__xludf.DUMMYFUNCTION("""COMPUTED_VALUE"""),1381.0)</f>
        <v>1381</v>
      </c>
      <c r="D2410" s="6">
        <f>IFERROR(__xludf.DUMMYFUNCTION("""COMPUTED_VALUE"""),1359.3)</f>
        <v>1359.3</v>
      </c>
      <c r="E2410" s="6">
        <f>IFERROR(__xludf.DUMMYFUNCTION("""COMPUTED_VALUE"""),1375.0)</f>
        <v>1375</v>
      </c>
      <c r="F2410" s="7">
        <f>IFERROR(__xludf.DUMMYFUNCTION("""COMPUTED_VALUE"""),5777575.0)</f>
        <v>5777575</v>
      </c>
      <c r="G2410" s="7" t="str">
        <f>IFERROR(__xludf.DUMMYFUNCTION("""COMPUTED_VALUE"""),"RELIANCE.NS")</f>
        <v>RELIANCE.NS</v>
      </c>
      <c r="H2410" s="8">
        <f t="shared" si="1"/>
        <v>0.008804108584</v>
      </c>
      <c r="I2410" s="8">
        <f t="shared" si="2"/>
        <v>0.008804108584</v>
      </c>
      <c r="J2410" s="7" t="str">
        <f t="shared" si="3"/>
        <v>Sep-2025</v>
      </c>
      <c r="K2410" s="9">
        <f t="shared" si="4"/>
        <v>45901</v>
      </c>
      <c r="L2410" s="7" t="str">
        <f t="shared" si="5"/>
        <v/>
      </c>
      <c r="M2410" s="7" t="str">
        <f>IFERROR(__xludf.DUMMYFUNCTION("IFERROR(
  IF(
    F2410 &gt;
    3*AVERAGE(
       FILTER($F$2:$F10491,
         $G$2:$G10491=G2410,
         $A$2:$A10491&gt;=A2410-20,
         $A$2:$A10491&lt;=A2410
       )
    ),
    ""VOL_SPIKE_3X"",""""
  ),
"""")
"),"")</f>
        <v/>
      </c>
      <c r="N2410" s="7" t="str">
        <f t="shared" si="6"/>
        <v/>
      </c>
      <c r="O2410" s="7" t="str">
        <f t="shared" si="7"/>
        <v/>
      </c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>
      <c r="A2411" s="5">
        <f>IFERROR(__xludf.DUMMYFUNCTION("""COMPUTED_VALUE"""),45908.0)</f>
        <v>45908</v>
      </c>
      <c r="B2411" s="6">
        <f>IFERROR(__xludf.DUMMYFUNCTION("""COMPUTED_VALUE"""),760.0)</f>
        <v>760</v>
      </c>
      <c r="C2411" s="6">
        <f>IFERROR(__xludf.DUMMYFUNCTION("""COMPUTED_VALUE"""),777.95)</f>
        <v>777.95</v>
      </c>
      <c r="D2411" s="6">
        <f>IFERROR(__xludf.DUMMYFUNCTION("""COMPUTED_VALUE"""),757.65)</f>
        <v>757.65</v>
      </c>
      <c r="E2411" s="6">
        <f>IFERROR(__xludf.DUMMYFUNCTION("""COMPUTED_VALUE"""),776.25)</f>
        <v>776.25</v>
      </c>
      <c r="F2411" s="7">
        <f>IFERROR(__xludf.DUMMYFUNCTION("""COMPUTED_VALUE"""),769043.0)</f>
        <v>769043</v>
      </c>
      <c r="G2411" s="7" t="str">
        <f>IFERROR(__xludf.DUMMYFUNCTION("""COMPUTED_VALUE"""),"ADANIENSOL.NS")</f>
        <v>ADANIENSOL.NS</v>
      </c>
      <c r="H2411" s="8">
        <f t="shared" si="1"/>
        <v>0.02138157895</v>
      </c>
      <c r="I2411" s="8">
        <f t="shared" si="2"/>
        <v>0.02138157895</v>
      </c>
      <c r="J2411" s="7" t="str">
        <f t="shared" si="3"/>
        <v>Sep-2025</v>
      </c>
      <c r="K2411" s="9">
        <f t="shared" si="4"/>
        <v>45901</v>
      </c>
      <c r="L2411" s="7" t="str">
        <f t="shared" si="5"/>
        <v/>
      </c>
      <c r="M2411" s="7" t="str">
        <f>IFERROR(__xludf.DUMMYFUNCTION("IFERROR(
  IF(
    F2411 &gt;
    3*AVERAGE(
       FILTER($F$2:$F10491,
         $G$2:$G10491=G2411,
         $A$2:$A10491&gt;=A2411-20,
         $A$2:$A10491&lt;=A2411
       )
    ),
    ""VOL_SPIKE_3X"",""""
  ),
"""")
"),"")</f>
        <v/>
      </c>
      <c r="N2411" s="7" t="str">
        <f t="shared" si="6"/>
        <v/>
      </c>
      <c r="O2411" s="7" t="str">
        <f t="shared" si="7"/>
        <v/>
      </c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>
      <c r="A2412" s="5">
        <f>IFERROR(__xludf.DUMMYFUNCTION("""COMPUTED_VALUE"""),45908.0)</f>
        <v>45908</v>
      </c>
      <c r="B2412" s="6">
        <f>IFERROR(__xludf.DUMMYFUNCTION("""COMPUTED_VALUE"""),934.9)</f>
        <v>934.9</v>
      </c>
      <c r="C2412" s="6">
        <f>IFERROR(__xludf.DUMMYFUNCTION("""COMPUTED_VALUE"""),945.0)</f>
        <v>945</v>
      </c>
      <c r="D2412" s="6">
        <f>IFERROR(__xludf.DUMMYFUNCTION("""COMPUTED_VALUE"""),931.85)</f>
        <v>931.85</v>
      </c>
      <c r="E2412" s="6">
        <f>IFERROR(__xludf.DUMMYFUNCTION("""COMPUTED_VALUE"""),937.2)</f>
        <v>937.2</v>
      </c>
      <c r="F2412" s="7">
        <f>IFERROR(__xludf.DUMMYFUNCTION("""COMPUTED_VALUE"""),1662382.0)</f>
        <v>1662382</v>
      </c>
      <c r="G2412" s="7" t="str">
        <f>IFERROR(__xludf.DUMMYFUNCTION("""COMPUTED_VALUE"""),"ADANIGREEN.NS")</f>
        <v>ADANIGREEN.NS</v>
      </c>
      <c r="H2412" s="8">
        <f t="shared" si="1"/>
        <v>0.002460156166</v>
      </c>
      <c r="I2412" s="8">
        <f t="shared" si="2"/>
        <v>0.002460156166</v>
      </c>
      <c r="J2412" s="7" t="str">
        <f t="shared" si="3"/>
        <v>Sep-2025</v>
      </c>
      <c r="K2412" s="9">
        <f t="shared" si="4"/>
        <v>45901</v>
      </c>
      <c r="L2412" s="7" t="str">
        <f t="shared" si="5"/>
        <v/>
      </c>
      <c r="M2412" s="7" t="str">
        <f>IFERROR(__xludf.DUMMYFUNCTION("IFERROR(
  IF(
    F2412 &gt;
    3*AVERAGE(
       FILTER($F$2:$F10491,
         $G$2:$G10491=G2412,
         $A$2:$A10491&gt;=A2412-20,
         $A$2:$A10491&lt;=A2412
       )
    ),
    ""VOL_SPIKE_3X"",""""
  ),
"""")
"),"")</f>
        <v/>
      </c>
      <c r="N2412" s="7" t="str">
        <f t="shared" si="6"/>
        <v/>
      </c>
      <c r="O2412" s="7" t="str">
        <f t="shared" si="7"/>
        <v/>
      </c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>
      <c r="A2413" s="5">
        <f>IFERROR(__xludf.DUMMYFUNCTION("""COMPUTED_VALUE"""),45908.0)</f>
        <v>45908</v>
      </c>
      <c r="B2413" s="6">
        <f>IFERROR(__xludf.DUMMYFUNCTION("""COMPUTED_VALUE"""),313.9)</f>
        <v>313.9</v>
      </c>
      <c r="C2413" s="6">
        <f>IFERROR(__xludf.DUMMYFUNCTION("""COMPUTED_VALUE"""),318.15)</f>
        <v>318.15</v>
      </c>
      <c r="D2413" s="6">
        <f>IFERROR(__xludf.DUMMYFUNCTION("""COMPUTED_VALUE"""),313.55)</f>
        <v>313.55</v>
      </c>
      <c r="E2413" s="6">
        <f>IFERROR(__xludf.DUMMYFUNCTION("""COMPUTED_VALUE"""),316.45)</f>
        <v>316.45</v>
      </c>
      <c r="F2413" s="7">
        <f>IFERROR(__xludf.DUMMYFUNCTION("""COMPUTED_VALUE"""),2002604.0)</f>
        <v>2002604</v>
      </c>
      <c r="G2413" s="7" t="str">
        <f>IFERROR(__xludf.DUMMYFUNCTION("""COMPUTED_VALUE"""),"BPCL.NS")</f>
        <v>BPCL.NS</v>
      </c>
      <c r="H2413" s="8">
        <f t="shared" si="1"/>
        <v>0.008123606244</v>
      </c>
      <c r="I2413" s="8">
        <f t="shared" si="2"/>
        <v>0.008123606244</v>
      </c>
      <c r="J2413" s="7" t="str">
        <f t="shared" si="3"/>
        <v>Sep-2025</v>
      </c>
      <c r="K2413" s="9">
        <f t="shared" si="4"/>
        <v>45901</v>
      </c>
      <c r="L2413" s="7" t="str">
        <f t="shared" si="5"/>
        <v/>
      </c>
      <c r="M2413" s="7" t="str">
        <f>IFERROR(__xludf.DUMMYFUNCTION("IFERROR(
  IF(
    F2413 &gt;
    3*AVERAGE(
       FILTER($F$2:$F10491,
         $G$2:$G10491=G2413,
         $A$2:$A10491&gt;=A2413-20,
         $A$2:$A10491&lt;=A2413
       )
    ),
    ""VOL_SPIKE_3X"",""""
  ),
"""")
"),"")</f>
        <v/>
      </c>
      <c r="N2413" s="7" t="str">
        <f t="shared" si="6"/>
        <v/>
      </c>
      <c r="O2413" s="7" t="str">
        <f t="shared" si="7"/>
        <v/>
      </c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>
      <c r="A2414" s="5">
        <f>IFERROR(__xludf.DUMMYFUNCTION("""COMPUTED_VALUE"""),45908.0)</f>
        <v>45908</v>
      </c>
      <c r="B2414" s="6">
        <f>IFERROR(__xludf.DUMMYFUNCTION("""COMPUTED_VALUE"""),394.0)</f>
        <v>394</v>
      </c>
      <c r="C2414" s="6">
        <f>IFERROR(__xludf.DUMMYFUNCTION("""COMPUTED_VALUE"""),395.9)</f>
        <v>395.9</v>
      </c>
      <c r="D2414" s="6">
        <f>IFERROR(__xludf.DUMMYFUNCTION("""COMPUTED_VALUE"""),386.3)</f>
        <v>386.3</v>
      </c>
      <c r="E2414" s="6">
        <f>IFERROR(__xludf.DUMMYFUNCTION("""COMPUTED_VALUE"""),387.05)</f>
        <v>387.05</v>
      </c>
      <c r="F2414" s="7">
        <f>IFERROR(__xludf.DUMMYFUNCTION("""COMPUTED_VALUE"""),4607020.0)</f>
        <v>4607020</v>
      </c>
      <c r="G2414" s="7" t="str">
        <f>IFERROR(__xludf.DUMMYFUNCTION("""COMPUTED_VALUE"""),"COALINDIA.NS")</f>
        <v>COALINDIA.NS</v>
      </c>
      <c r="H2414" s="8">
        <f t="shared" si="1"/>
        <v>-0.01763959391</v>
      </c>
      <c r="I2414" s="8">
        <f t="shared" si="2"/>
        <v>0.01763959391</v>
      </c>
      <c r="J2414" s="7" t="str">
        <f t="shared" si="3"/>
        <v>Sep-2025</v>
      </c>
      <c r="K2414" s="9">
        <f t="shared" si="4"/>
        <v>45901</v>
      </c>
      <c r="L2414" s="7" t="str">
        <f t="shared" si="5"/>
        <v/>
      </c>
      <c r="M2414" s="7" t="str">
        <f>IFERROR(__xludf.DUMMYFUNCTION("IFERROR(
  IF(
    F2414 &gt;
    3*AVERAGE(
       FILTER($F$2:$F10491,
         $G$2:$G10491=G2414,
         $A$2:$A10491&gt;=A2414-20,
         $A$2:$A10491&lt;=A2414
       )
    ),
    ""VOL_SPIKE_3X"",""""
  ),
"""")
"),"")</f>
        <v/>
      </c>
      <c r="N2414" s="7" t="str">
        <f t="shared" si="6"/>
        <v/>
      </c>
      <c r="O2414" s="7" t="str">
        <f t="shared" si="7"/>
        <v/>
      </c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>
      <c r="A2415" s="5">
        <f>IFERROR(__xludf.DUMMYFUNCTION("""COMPUTED_VALUE"""),45908.0)</f>
        <v>45908</v>
      </c>
      <c r="B2415" s="6">
        <f>IFERROR(__xludf.DUMMYFUNCTION("""COMPUTED_VALUE"""),384.15)</f>
        <v>384.15</v>
      </c>
      <c r="C2415" s="6">
        <f>IFERROR(__xludf.DUMMYFUNCTION("""COMPUTED_VALUE"""),395.3)</f>
        <v>395.3</v>
      </c>
      <c r="D2415" s="6">
        <f>IFERROR(__xludf.DUMMYFUNCTION("""COMPUTED_VALUE"""),384.15)</f>
        <v>384.15</v>
      </c>
      <c r="E2415" s="6">
        <f>IFERROR(__xludf.DUMMYFUNCTION("""COMPUTED_VALUE"""),393.9)</f>
        <v>393.9</v>
      </c>
      <c r="F2415" s="7">
        <f>IFERROR(__xludf.DUMMYFUNCTION("""COMPUTED_VALUE"""),2956578.0)</f>
        <v>2956578</v>
      </c>
      <c r="G2415" s="7" t="str">
        <f>IFERROR(__xludf.DUMMYFUNCTION("""COMPUTED_VALUE"""),"HINDPETRO.NS")</f>
        <v>HINDPETRO.NS</v>
      </c>
      <c r="H2415" s="8">
        <f t="shared" si="1"/>
        <v>0.02538071066</v>
      </c>
      <c r="I2415" s="8">
        <f t="shared" si="2"/>
        <v>0.02538071066</v>
      </c>
      <c r="J2415" s="7" t="str">
        <f t="shared" si="3"/>
        <v>Sep-2025</v>
      </c>
      <c r="K2415" s="9">
        <f t="shared" si="4"/>
        <v>45901</v>
      </c>
      <c r="L2415" s="7" t="str">
        <f t="shared" si="5"/>
        <v/>
      </c>
      <c r="M2415" s="7" t="str">
        <f>IFERROR(__xludf.DUMMYFUNCTION("IFERROR(
  IF(
    F2415 &gt;
    3*AVERAGE(
       FILTER($F$2:$F10491,
         $G$2:$G10491=G2415,
         $A$2:$A10491&gt;=A2415-20,
         $A$2:$A10491&lt;=A2415
       )
    ),
    ""VOL_SPIKE_3X"",""""
  ),
"""")
"),"")</f>
        <v/>
      </c>
      <c r="N2415" s="7" t="str">
        <f t="shared" si="6"/>
        <v/>
      </c>
      <c r="O2415" s="7" t="str">
        <f t="shared" si="7"/>
        <v/>
      </c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>
      <c r="A2416" s="5">
        <f>IFERROR(__xludf.DUMMYFUNCTION("""COMPUTED_VALUE"""),45908.0)</f>
        <v>45908</v>
      </c>
      <c r="B2416" s="6">
        <f>IFERROR(__xludf.DUMMYFUNCTION("""COMPUTED_VALUE"""),140.0)</f>
        <v>140</v>
      </c>
      <c r="C2416" s="6">
        <f>IFERROR(__xludf.DUMMYFUNCTION("""COMPUTED_VALUE"""),141.89)</f>
        <v>141.89</v>
      </c>
      <c r="D2416" s="6">
        <f>IFERROR(__xludf.DUMMYFUNCTION("""COMPUTED_VALUE"""),140.0)</f>
        <v>140</v>
      </c>
      <c r="E2416" s="6">
        <f>IFERROR(__xludf.DUMMYFUNCTION("""COMPUTED_VALUE"""),140.9)</f>
        <v>140.9</v>
      </c>
      <c r="F2416" s="7">
        <f>IFERROR(__xludf.DUMMYFUNCTION("""COMPUTED_VALUE"""),5069174.0)</f>
        <v>5069174</v>
      </c>
      <c r="G2416" s="7" t="str">
        <f>IFERROR(__xludf.DUMMYFUNCTION("""COMPUTED_VALUE"""),"IOC.NS")</f>
        <v>IOC.NS</v>
      </c>
      <c r="H2416" s="8">
        <f t="shared" si="1"/>
        <v>0.006428571429</v>
      </c>
      <c r="I2416" s="8">
        <f t="shared" si="2"/>
        <v>0.006428571429</v>
      </c>
      <c r="J2416" s="7" t="str">
        <f t="shared" si="3"/>
        <v>Sep-2025</v>
      </c>
      <c r="K2416" s="9">
        <f t="shared" si="4"/>
        <v>45901</v>
      </c>
      <c r="L2416" s="7" t="str">
        <f t="shared" si="5"/>
        <v/>
      </c>
      <c r="M2416" s="7" t="str">
        <f>IFERROR(__xludf.DUMMYFUNCTION("IFERROR(
  IF(
    F2416 &gt;
    3*AVERAGE(
       FILTER($F$2:$F10491,
         $G$2:$G10491=G2416,
         $A$2:$A10491&gt;=A2416-20,
         $A$2:$A10491&lt;=A2416
       )
    ),
    ""VOL_SPIKE_3X"",""""
  ),
"""")
"),"")</f>
        <v/>
      </c>
      <c r="N2416" s="7" t="str">
        <f t="shared" si="6"/>
        <v/>
      </c>
      <c r="O2416" s="7" t="str">
        <f t="shared" si="7"/>
        <v/>
      </c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>
      <c r="A2417" s="5">
        <f>IFERROR(__xludf.DUMMYFUNCTION("""COMPUTED_VALUE"""),45908.0)</f>
        <v>45908</v>
      </c>
      <c r="B2417" s="6">
        <f>IFERROR(__xludf.DUMMYFUNCTION("""COMPUTED_VALUE"""),328.75)</f>
        <v>328.75</v>
      </c>
      <c r="C2417" s="6">
        <f>IFERROR(__xludf.DUMMYFUNCTION("""COMPUTED_VALUE"""),330.95)</f>
        <v>330.95</v>
      </c>
      <c r="D2417" s="6">
        <f>IFERROR(__xludf.DUMMYFUNCTION("""COMPUTED_VALUE"""),326.35)</f>
        <v>326.35</v>
      </c>
      <c r="E2417" s="6">
        <f>IFERROR(__xludf.DUMMYFUNCTION("""COMPUTED_VALUE"""),326.7)</f>
        <v>326.7</v>
      </c>
      <c r="F2417" s="7">
        <f>IFERROR(__xludf.DUMMYFUNCTION("""COMPUTED_VALUE"""),5239184.0)</f>
        <v>5239184</v>
      </c>
      <c r="G2417" s="7" t="str">
        <f>IFERROR(__xludf.DUMMYFUNCTION("""COMPUTED_VALUE"""),"NTPC.NS")</f>
        <v>NTPC.NS</v>
      </c>
      <c r="H2417" s="8">
        <f t="shared" si="1"/>
        <v>-0.006235741445</v>
      </c>
      <c r="I2417" s="8">
        <f t="shared" si="2"/>
        <v>0.006235741445</v>
      </c>
      <c r="J2417" s="7" t="str">
        <f t="shared" si="3"/>
        <v>Sep-2025</v>
      </c>
      <c r="K2417" s="9">
        <f t="shared" si="4"/>
        <v>45901</v>
      </c>
      <c r="L2417" s="7" t="str">
        <f t="shared" si="5"/>
        <v/>
      </c>
      <c r="M2417" s="7" t="str">
        <f>IFERROR(__xludf.DUMMYFUNCTION("IFERROR(
  IF(
    F2417 &gt;
    3*AVERAGE(
       FILTER($F$2:$F10491,
         $G$2:$G10491=G2417,
         $A$2:$A10491&gt;=A2417-20,
         $A$2:$A10491&lt;=A2417
       )
    ),
    ""VOL_SPIKE_3X"",""""
  ),
"""")
"),"")</f>
        <v/>
      </c>
      <c r="N2417" s="7" t="str">
        <f t="shared" si="6"/>
        <v/>
      </c>
      <c r="O2417" s="7" t="str">
        <f t="shared" si="7"/>
        <v/>
      </c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>
      <c r="A2418" s="5">
        <f>IFERROR(__xludf.DUMMYFUNCTION("""COMPUTED_VALUE"""),45908.0)</f>
        <v>45908</v>
      </c>
      <c r="B2418" s="6">
        <f>IFERROR(__xludf.DUMMYFUNCTION("""COMPUTED_VALUE"""),234.13)</f>
        <v>234.13</v>
      </c>
      <c r="C2418" s="6">
        <f>IFERROR(__xludf.DUMMYFUNCTION("""COMPUTED_VALUE"""),234.98)</f>
        <v>234.98</v>
      </c>
      <c r="D2418" s="6">
        <f>IFERROR(__xludf.DUMMYFUNCTION("""COMPUTED_VALUE"""),232.06)</f>
        <v>232.06</v>
      </c>
      <c r="E2418" s="6">
        <f>IFERROR(__xludf.DUMMYFUNCTION("""COMPUTED_VALUE"""),232.53)</f>
        <v>232.53</v>
      </c>
      <c r="F2418" s="7">
        <f>IFERROR(__xludf.DUMMYFUNCTION("""COMPUTED_VALUE"""),8418326.0)</f>
        <v>8418326</v>
      </c>
      <c r="G2418" s="7" t="str">
        <f>IFERROR(__xludf.DUMMYFUNCTION("""COMPUTED_VALUE"""),"ONGC.NS")</f>
        <v>ONGC.NS</v>
      </c>
      <c r="H2418" s="8">
        <f t="shared" si="1"/>
        <v>-0.006833810276</v>
      </c>
      <c r="I2418" s="8">
        <f t="shared" si="2"/>
        <v>0.006833810276</v>
      </c>
      <c r="J2418" s="7" t="str">
        <f t="shared" si="3"/>
        <v>Sep-2025</v>
      </c>
      <c r="K2418" s="9">
        <f t="shared" si="4"/>
        <v>45901</v>
      </c>
      <c r="L2418" s="7" t="str">
        <f t="shared" si="5"/>
        <v/>
      </c>
      <c r="M2418" s="7" t="str">
        <f>IFERROR(__xludf.DUMMYFUNCTION("IFERROR(
  IF(
    F2418 &gt;
    3*AVERAGE(
       FILTER($F$2:$F10491,
         $G$2:$G10491=G2418,
         $A$2:$A10491&gt;=A2418-20,
         $A$2:$A10491&lt;=A2418
       )
    ),
    ""VOL_SPIKE_3X"",""""
  ),
"""")
"),"")</f>
        <v/>
      </c>
      <c r="N2418" s="7" t="str">
        <f t="shared" si="6"/>
        <v/>
      </c>
      <c r="O2418" s="7" t="str">
        <f t="shared" si="7"/>
        <v/>
      </c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>
      <c r="A2419" s="5">
        <f>IFERROR(__xludf.DUMMYFUNCTION("""COMPUTED_VALUE"""),45908.0)</f>
        <v>45908</v>
      </c>
      <c r="B2419" s="6">
        <f>IFERROR(__xludf.DUMMYFUNCTION("""COMPUTED_VALUE"""),286.4)</f>
        <v>286.4</v>
      </c>
      <c r="C2419" s="6">
        <f>IFERROR(__xludf.DUMMYFUNCTION("""COMPUTED_VALUE"""),287.7)</f>
        <v>287.7</v>
      </c>
      <c r="D2419" s="6">
        <f>IFERROR(__xludf.DUMMYFUNCTION("""COMPUTED_VALUE"""),282.1)</f>
        <v>282.1</v>
      </c>
      <c r="E2419" s="6">
        <f>IFERROR(__xludf.DUMMYFUNCTION("""COMPUTED_VALUE"""),282.8)</f>
        <v>282.8</v>
      </c>
      <c r="F2419" s="7">
        <f>IFERROR(__xludf.DUMMYFUNCTION("""COMPUTED_VALUE"""),5186605.0)</f>
        <v>5186605</v>
      </c>
      <c r="G2419" s="7" t="str">
        <f>IFERROR(__xludf.DUMMYFUNCTION("""COMPUTED_VALUE"""),"POWERGRID.NS")</f>
        <v>POWERGRID.NS</v>
      </c>
      <c r="H2419" s="8">
        <f t="shared" si="1"/>
        <v>-0.0125698324</v>
      </c>
      <c r="I2419" s="8">
        <f t="shared" si="2"/>
        <v>0.0125698324</v>
      </c>
      <c r="J2419" s="7" t="str">
        <f t="shared" si="3"/>
        <v>Sep-2025</v>
      </c>
      <c r="K2419" s="9">
        <f t="shared" si="4"/>
        <v>45901</v>
      </c>
      <c r="L2419" s="7" t="str">
        <f t="shared" si="5"/>
        <v/>
      </c>
      <c r="M2419" s="7" t="str">
        <f>IFERROR(__xludf.DUMMYFUNCTION("IFERROR(
  IF(
    F2419 &gt;
    3*AVERAGE(
       FILTER($F$2:$F10491,
         $G$2:$G10491=G2419,
         $A$2:$A10491&gt;=A2419-20,
         $A$2:$A10491&lt;=A2419
       )
    ),
    ""VOL_SPIKE_3X"",""""
  ),
"""")
"),"")</f>
        <v/>
      </c>
      <c r="N2419" s="7" t="str">
        <f t="shared" si="6"/>
        <v/>
      </c>
      <c r="O2419" s="7" t="str">
        <f t="shared" si="7"/>
        <v/>
      </c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>
      <c r="A2420" s="5">
        <f>IFERROR(__xludf.DUMMYFUNCTION("""COMPUTED_VALUE"""),45908.0)</f>
        <v>45908</v>
      </c>
      <c r="B2420" s="6">
        <f>IFERROR(__xludf.DUMMYFUNCTION("""COMPUTED_VALUE"""),1380.0)</f>
        <v>1380</v>
      </c>
      <c r="C2420" s="6">
        <f>IFERROR(__xludf.DUMMYFUNCTION("""COMPUTED_VALUE"""),1386.0)</f>
        <v>1386</v>
      </c>
      <c r="D2420" s="6">
        <f>IFERROR(__xludf.DUMMYFUNCTION("""COMPUTED_VALUE"""),1372.4)</f>
        <v>1372.4</v>
      </c>
      <c r="E2420" s="6">
        <f>IFERROR(__xludf.DUMMYFUNCTION("""COMPUTED_VALUE"""),1378.5)</f>
        <v>1378.5</v>
      </c>
      <c r="F2420" s="7">
        <f>IFERROR(__xludf.DUMMYFUNCTION("""COMPUTED_VALUE"""),6986720.0)</f>
        <v>6986720</v>
      </c>
      <c r="G2420" s="7" t="str">
        <f>IFERROR(__xludf.DUMMYFUNCTION("""COMPUTED_VALUE"""),"RELIANCE.NS")</f>
        <v>RELIANCE.NS</v>
      </c>
      <c r="H2420" s="8">
        <f t="shared" si="1"/>
        <v>-0.001086956522</v>
      </c>
      <c r="I2420" s="8">
        <f t="shared" si="2"/>
        <v>0.001086956522</v>
      </c>
      <c r="J2420" s="7" t="str">
        <f t="shared" si="3"/>
        <v>Sep-2025</v>
      </c>
      <c r="K2420" s="9">
        <f t="shared" si="4"/>
        <v>45901</v>
      </c>
      <c r="L2420" s="7" t="str">
        <f t="shared" si="5"/>
        <v/>
      </c>
      <c r="M2420" s="7" t="str">
        <f>IFERROR(__xludf.DUMMYFUNCTION("IFERROR(
  IF(
    F2420 &gt;
    3*AVERAGE(
       FILTER($F$2:$F10491,
         $G$2:$G10491=G2420,
         $A$2:$A10491&gt;=A2420-20,
         $A$2:$A10491&lt;=A2420
       )
    ),
    ""VOL_SPIKE_3X"",""""
  ),
"""")
"),"")</f>
        <v/>
      </c>
      <c r="N2420" s="7" t="str">
        <f t="shared" si="6"/>
        <v/>
      </c>
      <c r="O2420" s="7" t="str">
        <f t="shared" si="7"/>
        <v/>
      </c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>
      <c r="A2421" s="5">
        <f>IFERROR(__xludf.DUMMYFUNCTION("""COMPUTED_VALUE"""),45909.0)</f>
        <v>45909</v>
      </c>
      <c r="B2421" s="6">
        <f>IFERROR(__xludf.DUMMYFUNCTION("""COMPUTED_VALUE"""),780.1)</f>
        <v>780.1</v>
      </c>
      <c r="C2421" s="6">
        <f>IFERROR(__xludf.DUMMYFUNCTION("""COMPUTED_VALUE"""),795.8)</f>
        <v>795.8</v>
      </c>
      <c r="D2421" s="6">
        <f>IFERROR(__xludf.DUMMYFUNCTION("""COMPUTED_VALUE"""),773.55)</f>
        <v>773.55</v>
      </c>
      <c r="E2421" s="6">
        <f>IFERROR(__xludf.DUMMYFUNCTION("""COMPUTED_VALUE"""),794.15)</f>
        <v>794.15</v>
      </c>
      <c r="F2421" s="7">
        <f>IFERROR(__xludf.DUMMYFUNCTION("""COMPUTED_VALUE"""),1363001.0)</f>
        <v>1363001</v>
      </c>
      <c r="G2421" s="7" t="str">
        <f>IFERROR(__xludf.DUMMYFUNCTION("""COMPUTED_VALUE"""),"ADANIENSOL.NS")</f>
        <v>ADANIENSOL.NS</v>
      </c>
      <c r="H2421" s="8">
        <f t="shared" si="1"/>
        <v>0.01801051147</v>
      </c>
      <c r="I2421" s="8">
        <f t="shared" si="2"/>
        <v>0.01801051147</v>
      </c>
      <c r="J2421" s="7" t="str">
        <f t="shared" si="3"/>
        <v>Sep-2025</v>
      </c>
      <c r="K2421" s="9">
        <f t="shared" si="4"/>
        <v>45901</v>
      </c>
      <c r="L2421" s="7" t="str">
        <f t="shared" si="5"/>
        <v/>
      </c>
      <c r="M2421" s="7" t="str">
        <f>IFERROR(__xludf.DUMMYFUNCTION("IFERROR(
  IF(
    F2421 &gt;
    3*AVERAGE(
       FILTER($F$2:$F10491,
         $G$2:$G10491=G2421,
         $A$2:$A10491&gt;=A2421-20,
         $A$2:$A10491&lt;=A2421
       )
    ),
    ""VOL_SPIKE_3X"",""""
  ),
"""")
"),"")</f>
        <v/>
      </c>
      <c r="N2421" s="7" t="str">
        <f t="shared" si="6"/>
        <v/>
      </c>
      <c r="O2421" s="7" t="str">
        <f t="shared" si="7"/>
        <v/>
      </c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>
      <c r="A2422" s="5">
        <f>IFERROR(__xludf.DUMMYFUNCTION("""COMPUTED_VALUE"""),45909.0)</f>
        <v>45909</v>
      </c>
      <c r="B2422" s="6">
        <f>IFERROR(__xludf.DUMMYFUNCTION("""COMPUTED_VALUE"""),941.9)</f>
        <v>941.9</v>
      </c>
      <c r="C2422" s="6">
        <f>IFERROR(__xludf.DUMMYFUNCTION("""COMPUTED_VALUE"""),947.5)</f>
        <v>947.5</v>
      </c>
      <c r="D2422" s="6">
        <f>IFERROR(__xludf.DUMMYFUNCTION("""COMPUTED_VALUE"""),935.8)</f>
        <v>935.8</v>
      </c>
      <c r="E2422" s="6">
        <f>IFERROR(__xludf.DUMMYFUNCTION("""COMPUTED_VALUE"""),943.7)</f>
        <v>943.7</v>
      </c>
      <c r="F2422" s="7">
        <f>IFERROR(__xludf.DUMMYFUNCTION("""COMPUTED_VALUE"""),868754.0)</f>
        <v>868754</v>
      </c>
      <c r="G2422" s="7" t="str">
        <f>IFERROR(__xludf.DUMMYFUNCTION("""COMPUTED_VALUE"""),"ADANIGREEN.NS")</f>
        <v>ADANIGREEN.NS</v>
      </c>
      <c r="H2422" s="8">
        <f t="shared" si="1"/>
        <v>0.001911030895</v>
      </c>
      <c r="I2422" s="8">
        <f t="shared" si="2"/>
        <v>0.001911030895</v>
      </c>
      <c r="J2422" s="7" t="str">
        <f t="shared" si="3"/>
        <v>Sep-2025</v>
      </c>
      <c r="K2422" s="9">
        <f t="shared" si="4"/>
        <v>45901</v>
      </c>
      <c r="L2422" s="7" t="str">
        <f t="shared" si="5"/>
        <v/>
      </c>
      <c r="M2422" s="7" t="str">
        <f>IFERROR(__xludf.DUMMYFUNCTION("IFERROR(
  IF(
    F2422 &gt;
    3*AVERAGE(
       FILTER($F$2:$F10491,
         $G$2:$G10491=G2422,
         $A$2:$A10491&gt;=A2422-20,
         $A$2:$A10491&lt;=A2422
       )
    ),
    ""VOL_SPIKE_3X"",""""
  ),
"""")
"),"")</f>
        <v/>
      </c>
      <c r="N2422" s="7" t="str">
        <f t="shared" si="6"/>
        <v/>
      </c>
      <c r="O2422" s="7" t="str">
        <f t="shared" si="7"/>
        <v/>
      </c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>
      <c r="A2423" s="5">
        <f>IFERROR(__xludf.DUMMYFUNCTION("""COMPUTED_VALUE"""),45909.0)</f>
        <v>45909</v>
      </c>
      <c r="B2423" s="6">
        <f>IFERROR(__xludf.DUMMYFUNCTION("""COMPUTED_VALUE"""),317.8)</f>
        <v>317.8</v>
      </c>
      <c r="C2423" s="6">
        <f>IFERROR(__xludf.DUMMYFUNCTION("""COMPUTED_VALUE"""),320.15)</f>
        <v>320.15</v>
      </c>
      <c r="D2423" s="6">
        <f>IFERROR(__xludf.DUMMYFUNCTION("""COMPUTED_VALUE"""),313.55)</f>
        <v>313.55</v>
      </c>
      <c r="E2423" s="6">
        <f>IFERROR(__xludf.DUMMYFUNCTION("""COMPUTED_VALUE"""),313.95)</f>
        <v>313.95</v>
      </c>
      <c r="F2423" s="7">
        <f>IFERROR(__xludf.DUMMYFUNCTION("""COMPUTED_VALUE"""),6476251.0)</f>
        <v>6476251</v>
      </c>
      <c r="G2423" s="7" t="str">
        <f>IFERROR(__xludf.DUMMYFUNCTION("""COMPUTED_VALUE"""),"BPCL.NS")</f>
        <v>BPCL.NS</v>
      </c>
      <c r="H2423" s="8">
        <f t="shared" si="1"/>
        <v>-0.01211453744</v>
      </c>
      <c r="I2423" s="8">
        <f t="shared" si="2"/>
        <v>0.01211453744</v>
      </c>
      <c r="J2423" s="7" t="str">
        <f t="shared" si="3"/>
        <v>Sep-2025</v>
      </c>
      <c r="K2423" s="9">
        <f t="shared" si="4"/>
        <v>45901</v>
      </c>
      <c r="L2423" s="7" t="str">
        <f t="shared" si="5"/>
        <v/>
      </c>
      <c r="M2423" s="7" t="str">
        <f>IFERROR(__xludf.DUMMYFUNCTION("IFERROR(
  IF(
    F2423 &gt;
    3*AVERAGE(
       FILTER($F$2:$F10491,
         $G$2:$G10491=G2423,
         $A$2:$A10491&gt;=A2423-20,
         $A$2:$A10491&lt;=A2423
       )
    ),
    ""VOL_SPIKE_3X"",""""
  ),
"""")
"),"")</f>
        <v/>
      </c>
      <c r="N2423" s="7" t="str">
        <f t="shared" si="6"/>
        <v/>
      </c>
      <c r="O2423" s="7" t="str">
        <f t="shared" si="7"/>
        <v/>
      </c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>
      <c r="A2424" s="5">
        <f>IFERROR(__xludf.DUMMYFUNCTION("""COMPUTED_VALUE"""),45909.0)</f>
        <v>45909</v>
      </c>
      <c r="B2424" s="6">
        <f>IFERROR(__xludf.DUMMYFUNCTION("""COMPUTED_VALUE"""),388.7)</f>
        <v>388.7</v>
      </c>
      <c r="C2424" s="6">
        <f>IFERROR(__xludf.DUMMYFUNCTION("""COMPUTED_VALUE"""),389.4)</f>
        <v>389.4</v>
      </c>
      <c r="D2424" s="6">
        <f>IFERROR(__xludf.DUMMYFUNCTION("""COMPUTED_VALUE"""),386.75)</f>
        <v>386.75</v>
      </c>
      <c r="E2424" s="6">
        <f>IFERROR(__xludf.DUMMYFUNCTION("""COMPUTED_VALUE"""),387.95)</f>
        <v>387.95</v>
      </c>
      <c r="F2424" s="7">
        <f>IFERROR(__xludf.DUMMYFUNCTION("""COMPUTED_VALUE"""),4376579.0)</f>
        <v>4376579</v>
      </c>
      <c r="G2424" s="7" t="str">
        <f>IFERROR(__xludf.DUMMYFUNCTION("""COMPUTED_VALUE"""),"COALINDIA.NS")</f>
        <v>COALINDIA.NS</v>
      </c>
      <c r="H2424" s="8">
        <f t="shared" si="1"/>
        <v>-0.001929508618</v>
      </c>
      <c r="I2424" s="8">
        <f t="shared" si="2"/>
        <v>0.001929508618</v>
      </c>
      <c r="J2424" s="7" t="str">
        <f t="shared" si="3"/>
        <v>Sep-2025</v>
      </c>
      <c r="K2424" s="9">
        <f t="shared" si="4"/>
        <v>45901</v>
      </c>
      <c r="L2424" s="7" t="str">
        <f t="shared" si="5"/>
        <v/>
      </c>
      <c r="M2424" s="7" t="str">
        <f>IFERROR(__xludf.DUMMYFUNCTION("IFERROR(
  IF(
    F2424 &gt;
    3*AVERAGE(
       FILTER($F$2:$F10491,
         $G$2:$G10491=G2424,
         $A$2:$A10491&gt;=A2424-20,
         $A$2:$A10491&lt;=A2424
       )
    ),
    ""VOL_SPIKE_3X"",""""
  ),
"""")
"),"")</f>
        <v/>
      </c>
      <c r="N2424" s="7" t="str">
        <f t="shared" si="6"/>
        <v/>
      </c>
      <c r="O2424" s="7" t="str">
        <f t="shared" si="7"/>
        <v/>
      </c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>
      <c r="A2425" s="5">
        <f>IFERROR(__xludf.DUMMYFUNCTION("""COMPUTED_VALUE"""),45909.0)</f>
        <v>45909</v>
      </c>
      <c r="B2425" s="6">
        <f>IFERROR(__xludf.DUMMYFUNCTION("""COMPUTED_VALUE"""),394.0)</f>
        <v>394</v>
      </c>
      <c r="C2425" s="6">
        <f>IFERROR(__xludf.DUMMYFUNCTION("""COMPUTED_VALUE"""),397.0)</f>
        <v>397</v>
      </c>
      <c r="D2425" s="6">
        <f>IFERROR(__xludf.DUMMYFUNCTION("""COMPUTED_VALUE"""),389.3)</f>
        <v>389.3</v>
      </c>
      <c r="E2425" s="6">
        <f>IFERROR(__xludf.DUMMYFUNCTION("""COMPUTED_VALUE"""),389.9)</f>
        <v>389.9</v>
      </c>
      <c r="F2425" s="7">
        <f>IFERROR(__xludf.DUMMYFUNCTION("""COMPUTED_VALUE"""),1921681.0)</f>
        <v>1921681</v>
      </c>
      <c r="G2425" s="7" t="str">
        <f>IFERROR(__xludf.DUMMYFUNCTION("""COMPUTED_VALUE"""),"HINDPETRO.NS")</f>
        <v>HINDPETRO.NS</v>
      </c>
      <c r="H2425" s="8">
        <f t="shared" si="1"/>
        <v>-0.01040609137</v>
      </c>
      <c r="I2425" s="8">
        <f t="shared" si="2"/>
        <v>0.01040609137</v>
      </c>
      <c r="J2425" s="7" t="str">
        <f t="shared" si="3"/>
        <v>Sep-2025</v>
      </c>
      <c r="K2425" s="9">
        <f t="shared" si="4"/>
        <v>45901</v>
      </c>
      <c r="L2425" s="7" t="str">
        <f t="shared" si="5"/>
        <v/>
      </c>
      <c r="M2425" s="7" t="str">
        <f>IFERROR(__xludf.DUMMYFUNCTION("IFERROR(
  IF(
    F2425 &gt;
    3*AVERAGE(
       FILTER($F$2:$F10491,
         $G$2:$G10491=G2425,
         $A$2:$A10491&gt;=A2425-20,
         $A$2:$A10491&lt;=A2425
       )
    ),
    ""VOL_SPIKE_3X"",""""
  ),
"""")
"),"")</f>
        <v/>
      </c>
      <c r="N2425" s="7" t="str">
        <f t="shared" si="6"/>
        <v/>
      </c>
      <c r="O2425" s="7" t="str">
        <f t="shared" si="7"/>
        <v/>
      </c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>
      <c r="A2426" s="5">
        <f>IFERROR(__xludf.DUMMYFUNCTION("""COMPUTED_VALUE"""),45909.0)</f>
        <v>45909</v>
      </c>
      <c r="B2426" s="6">
        <f>IFERROR(__xludf.DUMMYFUNCTION("""COMPUTED_VALUE"""),141.14)</f>
        <v>141.14</v>
      </c>
      <c r="C2426" s="6">
        <f>IFERROR(__xludf.DUMMYFUNCTION("""COMPUTED_VALUE"""),142.1)</f>
        <v>142.1</v>
      </c>
      <c r="D2426" s="6">
        <f>IFERROR(__xludf.DUMMYFUNCTION("""COMPUTED_VALUE"""),140.5)</f>
        <v>140.5</v>
      </c>
      <c r="E2426" s="6">
        <f>IFERROR(__xludf.DUMMYFUNCTION("""COMPUTED_VALUE"""),140.94)</f>
        <v>140.94</v>
      </c>
      <c r="F2426" s="7">
        <f>IFERROR(__xludf.DUMMYFUNCTION("""COMPUTED_VALUE"""),3636766.0)</f>
        <v>3636766</v>
      </c>
      <c r="G2426" s="7" t="str">
        <f>IFERROR(__xludf.DUMMYFUNCTION("""COMPUTED_VALUE"""),"IOC.NS")</f>
        <v>IOC.NS</v>
      </c>
      <c r="H2426" s="8">
        <f t="shared" si="1"/>
        <v>-0.001417032733</v>
      </c>
      <c r="I2426" s="8">
        <f t="shared" si="2"/>
        <v>0.001417032733</v>
      </c>
      <c r="J2426" s="7" t="str">
        <f t="shared" si="3"/>
        <v>Sep-2025</v>
      </c>
      <c r="K2426" s="9">
        <f t="shared" si="4"/>
        <v>45901</v>
      </c>
      <c r="L2426" s="7" t="str">
        <f t="shared" si="5"/>
        <v/>
      </c>
      <c r="M2426" s="7" t="str">
        <f>IFERROR(__xludf.DUMMYFUNCTION("IFERROR(
  IF(
    F2426 &gt;
    3*AVERAGE(
       FILTER($F$2:$F10491,
         $G$2:$G10491=G2426,
         $A$2:$A10491&gt;=A2426-20,
         $A$2:$A10491&lt;=A2426
       )
    ),
    ""VOL_SPIKE_3X"",""""
  ),
"""")
"),"")</f>
        <v/>
      </c>
      <c r="N2426" s="7" t="str">
        <f t="shared" si="6"/>
        <v/>
      </c>
      <c r="O2426" s="7" t="str">
        <f t="shared" si="7"/>
        <v/>
      </c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>
      <c r="A2427" s="5">
        <f>IFERROR(__xludf.DUMMYFUNCTION("""COMPUTED_VALUE"""),45909.0)</f>
        <v>45909</v>
      </c>
      <c r="B2427" s="6">
        <f>IFERROR(__xludf.DUMMYFUNCTION("""COMPUTED_VALUE"""),327.6)</f>
        <v>327.6</v>
      </c>
      <c r="C2427" s="6">
        <f>IFERROR(__xludf.DUMMYFUNCTION("""COMPUTED_VALUE"""),328.15)</f>
        <v>328.15</v>
      </c>
      <c r="D2427" s="6">
        <f>IFERROR(__xludf.DUMMYFUNCTION("""COMPUTED_VALUE"""),323.65)</f>
        <v>323.65</v>
      </c>
      <c r="E2427" s="6">
        <f>IFERROR(__xludf.DUMMYFUNCTION("""COMPUTED_VALUE"""),324.1)</f>
        <v>324.1</v>
      </c>
      <c r="F2427" s="7">
        <f>IFERROR(__xludf.DUMMYFUNCTION("""COMPUTED_VALUE"""),9735495.0)</f>
        <v>9735495</v>
      </c>
      <c r="G2427" s="7" t="str">
        <f>IFERROR(__xludf.DUMMYFUNCTION("""COMPUTED_VALUE"""),"NTPC.NS")</f>
        <v>NTPC.NS</v>
      </c>
      <c r="H2427" s="8">
        <f t="shared" si="1"/>
        <v>-0.01068376068</v>
      </c>
      <c r="I2427" s="8">
        <f t="shared" si="2"/>
        <v>0.01068376068</v>
      </c>
      <c r="J2427" s="7" t="str">
        <f t="shared" si="3"/>
        <v>Sep-2025</v>
      </c>
      <c r="K2427" s="9">
        <f t="shared" si="4"/>
        <v>45901</v>
      </c>
      <c r="L2427" s="7" t="str">
        <f t="shared" si="5"/>
        <v/>
      </c>
      <c r="M2427" s="7" t="str">
        <f>IFERROR(__xludf.DUMMYFUNCTION("IFERROR(
  IF(
    F2427 &gt;
    3*AVERAGE(
       FILTER($F$2:$F10491,
         $G$2:$G10491=G2427,
         $A$2:$A10491&gt;=A2427-20,
         $A$2:$A10491&lt;=A2427
       )
    ),
    ""VOL_SPIKE_3X"",""""
  ),
"""")
"),"")</f>
        <v/>
      </c>
      <c r="N2427" s="7" t="str">
        <f t="shared" si="6"/>
        <v/>
      </c>
      <c r="O2427" s="7" t="str">
        <f t="shared" si="7"/>
        <v/>
      </c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>
      <c r="A2428" s="5">
        <f>IFERROR(__xludf.DUMMYFUNCTION("""COMPUTED_VALUE"""),45909.0)</f>
        <v>45909</v>
      </c>
      <c r="B2428" s="6">
        <f>IFERROR(__xludf.DUMMYFUNCTION("""COMPUTED_VALUE"""),232.53)</f>
        <v>232.53</v>
      </c>
      <c r="C2428" s="6">
        <f>IFERROR(__xludf.DUMMYFUNCTION("""COMPUTED_VALUE"""),234.59)</f>
        <v>234.59</v>
      </c>
      <c r="D2428" s="6">
        <f>IFERROR(__xludf.DUMMYFUNCTION("""COMPUTED_VALUE"""),230.76)</f>
        <v>230.76</v>
      </c>
      <c r="E2428" s="6">
        <f>IFERROR(__xludf.DUMMYFUNCTION("""COMPUTED_VALUE"""),231.33)</f>
        <v>231.33</v>
      </c>
      <c r="F2428" s="7">
        <f>IFERROR(__xludf.DUMMYFUNCTION("""COMPUTED_VALUE"""),1.1665314E7)</f>
        <v>11665314</v>
      </c>
      <c r="G2428" s="7" t="str">
        <f>IFERROR(__xludf.DUMMYFUNCTION("""COMPUTED_VALUE"""),"ONGC.NS")</f>
        <v>ONGC.NS</v>
      </c>
      <c r="H2428" s="8">
        <f t="shared" si="1"/>
        <v>-0.005160624436</v>
      </c>
      <c r="I2428" s="8">
        <f t="shared" si="2"/>
        <v>0.005160624436</v>
      </c>
      <c r="J2428" s="7" t="str">
        <f t="shared" si="3"/>
        <v>Sep-2025</v>
      </c>
      <c r="K2428" s="9">
        <f t="shared" si="4"/>
        <v>45901</v>
      </c>
      <c r="L2428" s="7" t="str">
        <f t="shared" si="5"/>
        <v/>
      </c>
      <c r="M2428" s="7" t="str">
        <f>IFERROR(__xludf.DUMMYFUNCTION("IFERROR(
  IF(
    F2428 &gt;
    3*AVERAGE(
       FILTER($F$2:$F10491,
         $G$2:$G10491=G2428,
         $A$2:$A10491&gt;=A2428-20,
         $A$2:$A10491&lt;=A2428
       )
    ),
    ""VOL_SPIKE_3X"",""""
  ),
"""")
"),"")</f>
        <v/>
      </c>
      <c r="N2428" s="7" t="str">
        <f t="shared" si="6"/>
        <v/>
      </c>
      <c r="O2428" s="7" t="str">
        <f t="shared" si="7"/>
        <v/>
      </c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>
      <c r="A2429" s="5">
        <f>IFERROR(__xludf.DUMMYFUNCTION("""COMPUTED_VALUE"""),45909.0)</f>
        <v>45909</v>
      </c>
      <c r="B2429" s="6">
        <f>IFERROR(__xludf.DUMMYFUNCTION("""COMPUTED_VALUE"""),283.05)</f>
        <v>283.05</v>
      </c>
      <c r="C2429" s="6">
        <f>IFERROR(__xludf.DUMMYFUNCTION("""COMPUTED_VALUE"""),284.35)</f>
        <v>284.35</v>
      </c>
      <c r="D2429" s="6">
        <f>IFERROR(__xludf.DUMMYFUNCTION("""COMPUTED_VALUE"""),281.7)</f>
        <v>281.7</v>
      </c>
      <c r="E2429" s="6">
        <f>IFERROR(__xludf.DUMMYFUNCTION("""COMPUTED_VALUE"""),283.85)</f>
        <v>283.85</v>
      </c>
      <c r="F2429" s="7">
        <f>IFERROR(__xludf.DUMMYFUNCTION("""COMPUTED_VALUE"""),7093190.0)</f>
        <v>7093190</v>
      </c>
      <c r="G2429" s="7" t="str">
        <f>IFERROR(__xludf.DUMMYFUNCTION("""COMPUTED_VALUE"""),"POWERGRID.NS")</f>
        <v>POWERGRID.NS</v>
      </c>
      <c r="H2429" s="8">
        <f t="shared" si="1"/>
        <v>0.002826355768</v>
      </c>
      <c r="I2429" s="8">
        <f t="shared" si="2"/>
        <v>0.002826355768</v>
      </c>
      <c r="J2429" s="7" t="str">
        <f t="shared" si="3"/>
        <v>Sep-2025</v>
      </c>
      <c r="K2429" s="9">
        <f t="shared" si="4"/>
        <v>45901</v>
      </c>
      <c r="L2429" s="7" t="str">
        <f t="shared" si="5"/>
        <v/>
      </c>
      <c r="M2429" s="7" t="str">
        <f>IFERROR(__xludf.DUMMYFUNCTION("IFERROR(
  IF(
    F2429 &gt;
    3*AVERAGE(
       FILTER($F$2:$F10491,
         $G$2:$G10491=G2429,
         $A$2:$A10491&gt;=A2429-20,
         $A$2:$A10491&lt;=A2429
       )
    ),
    ""VOL_SPIKE_3X"",""""
  ),
"""")
"),"")</f>
        <v/>
      </c>
      <c r="N2429" s="7" t="str">
        <f t="shared" si="6"/>
        <v/>
      </c>
      <c r="O2429" s="7" t="str">
        <f t="shared" si="7"/>
        <v/>
      </c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>
      <c r="A2430" s="5">
        <f>IFERROR(__xludf.DUMMYFUNCTION("""COMPUTED_VALUE"""),45909.0)</f>
        <v>45909</v>
      </c>
      <c r="B2430" s="6">
        <f>IFERROR(__xludf.DUMMYFUNCTION("""COMPUTED_VALUE"""),1376.6)</f>
        <v>1376.6</v>
      </c>
      <c r="C2430" s="6">
        <f>IFERROR(__xludf.DUMMYFUNCTION("""COMPUTED_VALUE"""),1381.2)</f>
        <v>1381.2</v>
      </c>
      <c r="D2430" s="6">
        <f>IFERROR(__xludf.DUMMYFUNCTION("""COMPUTED_VALUE"""),1368.7)</f>
        <v>1368.7</v>
      </c>
      <c r="E2430" s="6">
        <f>IFERROR(__xludf.DUMMYFUNCTION("""COMPUTED_VALUE"""),1376.2)</f>
        <v>1376.2</v>
      </c>
      <c r="F2430" s="7">
        <f>IFERROR(__xludf.DUMMYFUNCTION("""COMPUTED_VALUE"""),9754452.0)</f>
        <v>9754452</v>
      </c>
      <c r="G2430" s="7" t="str">
        <f>IFERROR(__xludf.DUMMYFUNCTION("""COMPUTED_VALUE"""),"RELIANCE.NS")</f>
        <v>RELIANCE.NS</v>
      </c>
      <c r="H2430" s="8">
        <f t="shared" si="1"/>
        <v>-0.000290570972</v>
      </c>
      <c r="I2430" s="8">
        <f t="shared" si="2"/>
        <v>0.000290570972</v>
      </c>
      <c r="J2430" s="7" t="str">
        <f t="shared" si="3"/>
        <v>Sep-2025</v>
      </c>
      <c r="K2430" s="9">
        <f t="shared" si="4"/>
        <v>45901</v>
      </c>
      <c r="L2430" s="7" t="str">
        <f t="shared" si="5"/>
        <v/>
      </c>
      <c r="M2430" s="7" t="str">
        <f>IFERROR(__xludf.DUMMYFUNCTION("IFERROR(
  IF(
    F2430 &gt;
    3*AVERAGE(
       FILTER($F$2:$F10491,
         $G$2:$G10491=G2430,
         $A$2:$A10491&gt;=A2430-20,
         $A$2:$A10491&lt;=A2430
       )
    ),
    ""VOL_SPIKE_3X"",""""
  ),
"""")
"),"")</f>
        <v/>
      </c>
      <c r="N2430" s="7" t="str">
        <f t="shared" si="6"/>
        <v/>
      </c>
      <c r="O2430" s="7" t="str">
        <f t="shared" si="7"/>
        <v/>
      </c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>
      <c r="A2431" s="5">
        <f>IFERROR(__xludf.DUMMYFUNCTION("""COMPUTED_VALUE"""),45910.0)</f>
        <v>45910</v>
      </c>
      <c r="B2431" s="6">
        <f>IFERROR(__xludf.DUMMYFUNCTION("""COMPUTED_VALUE"""),794.15)</f>
        <v>794.15</v>
      </c>
      <c r="C2431" s="6">
        <f>IFERROR(__xludf.DUMMYFUNCTION("""COMPUTED_VALUE"""),816.55)</f>
        <v>816.55</v>
      </c>
      <c r="D2431" s="6">
        <f>IFERROR(__xludf.DUMMYFUNCTION("""COMPUTED_VALUE"""),792.05)</f>
        <v>792.05</v>
      </c>
      <c r="E2431" s="6">
        <f>IFERROR(__xludf.DUMMYFUNCTION("""COMPUTED_VALUE"""),811.75)</f>
        <v>811.75</v>
      </c>
      <c r="F2431" s="7">
        <f>IFERROR(__xludf.DUMMYFUNCTION("""COMPUTED_VALUE"""),1040743.0)</f>
        <v>1040743</v>
      </c>
      <c r="G2431" s="7" t="str">
        <f>IFERROR(__xludf.DUMMYFUNCTION("""COMPUTED_VALUE"""),"ADANIENSOL.NS")</f>
        <v>ADANIENSOL.NS</v>
      </c>
      <c r="H2431" s="8">
        <f t="shared" si="1"/>
        <v>0.02216206006</v>
      </c>
      <c r="I2431" s="8">
        <f t="shared" si="2"/>
        <v>0.02216206006</v>
      </c>
      <c r="J2431" s="7" t="str">
        <f t="shared" si="3"/>
        <v>Sep-2025</v>
      </c>
      <c r="K2431" s="9">
        <f t="shared" si="4"/>
        <v>45901</v>
      </c>
      <c r="L2431" s="7" t="str">
        <f t="shared" si="5"/>
        <v/>
      </c>
      <c r="M2431" s="7" t="str">
        <f>IFERROR(__xludf.DUMMYFUNCTION("IFERROR(
  IF(
    F2431 &gt;
    3*AVERAGE(
       FILTER($F$2:$F10491,
         $G$2:$G10491=G2431,
         $A$2:$A10491&gt;=A2431-20,
         $A$2:$A10491&lt;=A2431
       )
    ),
    ""VOL_SPIKE_3X"",""""
  ),
"""")
"),"")</f>
        <v/>
      </c>
      <c r="N2431" s="7" t="str">
        <f t="shared" si="6"/>
        <v/>
      </c>
      <c r="O2431" s="7" t="str">
        <f t="shared" si="7"/>
        <v/>
      </c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>
      <c r="A2432" s="5">
        <f>IFERROR(__xludf.DUMMYFUNCTION("""COMPUTED_VALUE"""),45910.0)</f>
        <v>45910</v>
      </c>
      <c r="B2432" s="6">
        <f>IFERROR(__xludf.DUMMYFUNCTION("""COMPUTED_VALUE"""),946.5)</f>
        <v>946.5</v>
      </c>
      <c r="C2432" s="6">
        <f>IFERROR(__xludf.DUMMYFUNCTION("""COMPUTED_VALUE"""),973.0)</f>
        <v>973</v>
      </c>
      <c r="D2432" s="6">
        <f>IFERROR(__xludf.DUMMYFUNCTION("""COMPUTED_VALUE"""),945.8)</f>
        <v>945.8</v>
      </c>
      <c r="E2432" s="6">
        <f>IFERROR(__xludf.DUMMYFUNCTION("""COMPUTED_VALUE"""),963.35)</f>
        <v>963.35</v>
      </c>
      <c r="F2432" s="7">
        <f>IFERROR(__xludf.DUMMYFUNCTION("""COMPUTED_VALUE"""),1995294.0)</f>
        <v>1995294</v>
      </c>
      <c r="G2432" s="7" t="str">
        <f>IFERROR(__xludf.DUMMYFUNCTION("""COMPUTED_VALUE"""),"ADANIGREEN.NS")</f>
        <v>ADANIGREEN.NS</v>
      </c>
      <c r="H2432" s="8">
        <f t="shared" si="1"/>
        <v>0.01780243001</v>
      </c>
      <c r="I2432" s="8">
        <f t="shared" si="2"/>
        <v>0.01780243001</v>
      </c>
      <c r="J2432" s="7" t="str">
        <f t="shared" si="3"/>
        <v>Sep-2025</v>
      </c>
      <c r="K2432" s="9">
        <f t="shared" si="4"/>
        <v>45901</v>
      </c>
      <c r="L2432" s="7" t="str">
        <f t="shared" si="5"/>
        <v/>
      </c>
      <c r="M2432" s="7" t="str">
        <f>IFERROR(__xludf.DUMMYFUNCTION("IFERROR(
  IF(
    F2432 &gt;
    3*AVERAGE(
       FILTER($F$2:$F10491,
         $G$2:$G10491=G2432,
         $A$2:$A10491&gt;=A2432-20,
         $A$2:$A10491&lt;=A2432
       )
    ),
    ""VOL_SPIKE_3X"",""""
  ),
"""")
"),"")</f>
        <v/>
      </c>
      <c r="N2432" s="7" t="str">
        <f t="shared" si="6"/>
        <v/>
      </c>
      <c r="O2432" s="7" t="str">
        <f t="shared" si="7"/>
        <v/>
      </c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>
      <c r="A2433" s="5">
        <f>IFERROR(__xludf.DUMMYFUNCTION("""COMPUTED_VALUE"""),45910.0)</f>
        <v>45910</v>
      </c>
      <c r="B2433" s="6">
        <f>IFERROR(__xludf.DUMMYFUNCTION("""COMPUTED_VALUE"""),315.5)</f>
        <v>315.5</v>
      </c>
      <c r="C2433" s="6">
        <f>IFERROR(__xludf.DUMMYFUNCTION("""COMPUTED_VALUE"""),318.25)</f>
        <v>318.25</v>
      </c>
      <c r="D2433" s="6">
        <f>IFERROR(__xludf.DUMMYFUNCTION("""COMPUTED_VALUE"""),314.75)</f>
        <v>314.75</v>
      </c>
      <c r="E2433" s="6">
        <f>IFERROR(__xludf.DUMMYFUNCTION("""COMPUTED_VALUE"""),317.95)</f>
        <v>317.95</v>
      </c>
      <c r="F2433" s="7">
        <f>IFERROR(__xludf.DUMMYFUNCTION("""COMPUTED_VALUE"""),5214899.0)</f>
        <v>5214899</v>
      </c>
      <c r="G2433" s="7" t="str">
        <f>IFERROR(__xludf.DUMMYFUNCTION("""COMPUTED_VALUE"""),"BPCL.NS")</f>
        <v>BPCL.NS</v>
      </c>
      <c r="H2433" s="8">
        <f t="shared" si="1"/>
        <v>0.007765451664</v>
      </c>
      <c r="I2433" s="8">
        <f t="shared" si="2"/>
        <v>0.007765451664</v>
      </c>
      <c r="J2433" s="7" t="str">
        <f t="shared" si="3"/>
        <v>Sep-2025</v>
      </c>
      <c r="K2433" s="9">
        <f t="shared" si="4"/>
        <v>45901</v>
      </c>
      <c r="L2433" s="7" t="str">
        <f t="shared" si="5"/>
        <v/>
      </c>
      <c r="M2433" s="7" t="str">
        <f>IFERROR(__xludf.DUMMYFUNCTION("IFERROR(
  IF(
    F2433 &gt;
    3*AVERAGE(
       FILTER($F$2:$F10491,
         $G$2:$G10491=G2433,
         $A$2:$A10491&gt;=A2433-20,
         $A$2:$A10491&lt;=A2433
       )
    ),
    ""VOL_SPIKE_3X"",""""
  ),
"""")
"),"")</f>
        <v/>
      </c>
      <c r="N2433" s="7" t="str">
        <f t="shared" si="6"/>
        <v/>
      </c>
      <c r="O2433" s="7" t="str">
        <f t="shared" si="7"/>
        <v/>
      </c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>
      <c r="A2434" s="5">
        <f>IFERROR(__xludf.DUMMYFUNCTION("""COMPUTED_VALUE"""),45910.0)</f>
        <v>45910</v>
      </c>
      <c r="B2434" s="6">
        <f>IFERROR(__xludf.DUMMYFUNCTION("""COMPUTED_VALUE"""),388.5)</f>
        <v>388.5</v>
      </c>
      <c r="C2434" s="6">
        <f>IFERROR(__xludf.DUMMYFUNCTION("""COMPUTED_VALUE"""),392.65)</f>
        <v>392.65</v>
      </c>
      <c r="D2434" s="6">
        <f>IFERROR(__xludf.DUMMYFUNCTION("""COMPUTED_VALUE"""),388.05)</f>
        <v>388.05</v>
      </c>
      <c r="E2434" s="6">
        <f>IFERROR(__xludf.DUMMYFUNCTION("""COMPUTED_VALUE"""),391.9)</f>
        <v>391.9</v>
      </c>
      <c r="F2434" s="7">
        <f>IFERROR(__xludf.DUMMYFUNCTION("""COMPUTED_VALUE"""),4285507.0)</f>
        <v>4285507</v>
      </c>
      <c r="G2434" s="7" t="str">
        <f>IFERROR(__xludf.DUMMYFUNCTION("""COMPUTED_VALUE"""),"COALINDIA.NS")</f>
        <v>COALINDIA.NS</v>
      </c>
      <c r="H2434" s="8">
        <f t="shared" si="1"/>
        <v>0.008751608752</v>
      </c>
      <c r="I2434" s="8">
        <f t="shared" si="2"/>
        <v>0.008751608752</v>
      </c>
      <c r="J2434" s="7" t="str">
        <f t="shared" si="3"/>
        <v>Sep-2025</v>
      </c>
      <c r="K2434" s="9">
        <f t="shared" si="4"/>
        <v>45901</v>
      </c>
      <c r="L2434" s="7" t="str">
        <f t="shared" si="5"/>
        <v/>
      </c>
      <c r="M2434" s="7" t="str">
        <f>IFERROR(__xludf.DUMMYFUNCTION("IFERROR(
  IF(
    F2434 &gt;
    3*AVERAGE(
       FILTER($F$2:$F10491,
         $G$2:$G10491=G2434,
         $A$2:$A10491&gt;=A2434-20,
         $A$2:$A10491&lt;=A2434
       )
    ),
    ""VOL_SPIKE_3X"",""""
  ),
"""")
"),"")</f>
        <v/>
      </c>
      <c r="N2434" s="7" t="str">
        <f t="shared" si="6"/>
        <v/>
      </c>
      <c r="O2434" s="7" t="str">
        <f t="shared" si="7"/>
        <v/>
      </c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>
      <c r="A2435" s="5">
        <f>IFERROR(__xludf.DUMMYFUNCTION("""COMPUTED_VALUE"""),45910.0)</f>
        <v>45910</v>
      </c>
      <c r="B2435" s="6">
        <f>IFERROR(__xludf.DUMMYFUNCTION("""COMPUTED_VALUE"""),391.0)</f>
        <v>391</v>
      </c>
      <c r="C2435" s="6">
        <f>IFERROR(__xludf.DUMMYFUNCTION("""COMPUTED_VALUE"""),393.9)</f>
        <v>393.9</v>
      </c>
      <c r="D2435" s="6">
        <f>IFERROR(__xludf.DUMMYFUNCTION("""COMPUTED_VALUE"""),388.8)</f>
        <v>388.8</v>
      </c>
      <c r="E2435" s="6">
        <f>IFERROR(__xludf.DUMMYFUNCTION("""COMPUTED_VALUE"""),392.45)</f>
        <v>392.45</v>
      </c>
      <c r="F2435" s="7">
        <f>IFERROR(__xludf.DUMMYFUNCTION("""COMPUTED_VALUE"""),1897568.0)</f>
        <v>1897568</v>
      </c>
      <c r="G2435" s="7" t="str">
        <f>IFERROR(__xludf.DUMMYFUNCTION("""COMPUTED_VALUE"""),"HINDPETRO.NS")</f>
        <v>HINDPETRO.NS</v>
      </c>
      <c r="H2435" s="8">
        <f t="shared" si="1"/>
        <v>0.003708439898</v>
      </c>
      <c r="I2435" s="8">
        <f t="shared" si="2"/>
        <v>0.003708439898</v>
      </c>
      <c r="J2435" s="7" t="str">
        <f t="shared" si="3"/>
        <v>Sep-2025</v>
      </c>
      <c r="K2435" s="9">
        <f t="shared" si="4"/>
        <v>45901</v>
      </c>
      <c r="L2435" s="7" t="str">
        <f t="shared" si="5"/>
        <v/>
      </c>
      <c r="M2435" s="7" t="str">
        <f>IFERROR(__xludf.DUMMYFUNCTION("IFERROR(
  IF(
    F2435 &gt;
    3*AVERAGE(
       FILTER($F$2:$F10491,
         $G$2:$G10491=G2435,
         $A$2:$A10491&gt;=A2435-20,
         $A$2:$A10491&lt;=A2435
       )
    ),
    ""VOL_SPIKE_3X"",""""
  ),
"""")
"),"")</f>
        <v/>
      </c>
      <c r="N2435" s="7" t="str">
        <f t="shared" si="6"/>
        <v/>
      </c>
      <c r="O2435" s="7" t="str">
        <f t="shared" si="7"/>
        <v/>
      </c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>
      <c r="A2436" s="5">
        <f>IFERROR(__xludf.DUMMYFUNCTION("""COMPUTED_VALUE"""),45910.0)</f>
        <v>45910</v>
      </c>
      <c r="B2436" s="6">
        <f>IFERROR(__xludf.DUMMYFUNCTION("""COMPUTED_VALUE"""),141.26)</f>
        <v>141.26</v>
      </c>
      <c r="C2436" s="6">
        <f>IFERROR(__xludf.DUMMYFUNCTION("""COMPUTED_VALUE"""),141.71)</f>
        <v>141.71</v>
      </c>
      <c r="D2436" s="6">
        <f>IFERROR(__xludf.DUMMYFUNCTION("""COMPUTED_VALUE"""),140.81)</f>
        <v>140.81</v>
      </c>
      <c r="E2436" s="6">
        <f>IFERROR(__xludf.DUMMYFUNCTION("""COMPUTED_VALUE"""),141.14)</f>
        <v>141.14</v>
      </c>
      <c r="F2436" s="7">
        <f>IFERROR(__xludf.DUMMYFUNCTION("""COMPUTED_VALUE"""),4302236.0)</f>
        <v>4302236</v>
      </c>
      <c r="G2436" s="7" t="str">
        <f>IFERROR(__xludf.DUMMYFUNCTION("""COMPUTED_VALUE"""),"IOC.NS")</f>
        <v>IOC.NS</v>
      </c>
      <c r="H2436" s="8">
        <f t="shared" si="1"/>
        <v>-0.0008494973807</v>
      </c>
      <c r="I2436" s="8">
        <f t="shared" si="2"/>
        <v>0.0008494973807</v>
      </c>
      <c r="J2436" s="7" t="str">
        <f t="shared" si="3"/>
        <v>Sep-2025</v>
      </c>
      <c r="K2436" s="9">
        <f t="shared" si="4"/>
        <v>45901</v>
      </c>
      <c r="L2436" s="7" t="str">
        <f t="shared" si="5"/>
        <v/>
      </c>
      <c r="M2436" s="7" t="str">
        <f>IFERROR(__xludf.DUMMYFUNCTION("IFERROR(
  IF(
    F2436 &gt;
    3*AVERAGE(
       FILTER($F$2:$F10491,
         $G$2:$G10491=G2436,
         $A$2:$A10491&gt;=A2436-20,
         $A$2:$A10491&lt;=A2436
       )
    ),
    ""VOL_SPIKE_3X"",""""
  ),
"""")
"),"")</f>
        <v/>
      </c>
      <c r="N2436" s="7" t="str">
        <f t="shared" si="6"/>
        <v/>
      </c>
      <c r="O2436" s="7" t="str">
        <f t="shared" si="7"/>
        <v/>
      </c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>
      <c r="A2437" s="5">
        <f>IFERROR(__xludf.DUMMYFUNCTION("""COMPUTED_VALUE"""),45910.0)</f>
        <v>45910</v>
      </c>
      <c r="B2437" s="6">
        <f>IFERROR(__xludf.DUMMYFUNCTION("""COMPUTED_VALUE"""),325.5)</f>
        <v>325.5</v>
      </c>
      <c r="C2437" s="6">
        <f>IFERROR(__xludf.DUMMYFUNCTION("""COMPUTED_VALUE"""),328.05)</f>
        <v>328.05</v>
      </c>
      <c r="D2437" s="6">
        <f>IFERROR(__xludf.DUMMYFUNCTION("""COMPUTED_VALUE"""),325.15)</f>
        <v>325.15</v>
      </c>
      <c r="E2437" s="6">
        <f>IFERROR(__xludf.DUMMYFUNCTION("""COMPUTED_VALUE"""),325.65)</f>
        <v>325.65</v>
      </c>
      <c r="F2437" s="7">
        <f>IFERROR(__xludf.DUMMYFUNCTION("""COMPUTED_VALUE"""),6509477.0)</f>
        <v>6509477</v>
      </c>
      <c r="G2437" s="7" t="str">
        <f>IFERROR(__xludf.DUMMYFUNCTION("""COMPUTED_VALUE"""),"NTPC.NS")</f>
        <v>NTPC.NS</v>
      </c>
      <c r="H2437" s="8">
        <f t="shared" si="1"/>
        <v>0.0004608294931</v>
      </c>
      <c r="I2437" s="8">
        <f t="shared" si="2"/>
        <v>0.0004608294931</v>
      </c>
      <c r="J2437" s="7" t="str">
        <f t="shared" si="3"/>
        <v>Sep-2025</v>
      </c>
      <c r="K2437" s="9">
        <f t="shared" si="4"/>
        <v>45901</v>
      </c>
      <c r="L2437" s="7" t="str">
        <f t="shared" si="5"/>
        <v/>
      </c>
      <c r="M2437" s="7" t="str">
        <f>IFERROR(__xludf.DUMMYFUNCTION("IFERROR(
  IF(
    F2437 &gt;
    3*AVERAGE(
       FILTER($F$2:$F10491,
         $G$2:$G10491=G2437,
         $A$2:$A10491&gt;=A2437-20,
         $A$2:$A10491&lt;=A2437
       )
    ),
    ""VOL_SPIKE_3X"",""""
  ),
"""")
"),"")</f>
        <v/>
      </c>
      <c r="N2437" s="7" t="str">
        <f t="shared" si="6"/>
        <v/>
      </c>
      <c r="O2437" s="7" t="str">
        <f t="shared" si="7"/>
        <v/>
      </c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>
      <c r="A2438" s="5">
        <f>IFERROR(__xludf.DUMMYFUNCTION("""COMPUTED_VALUE"""),45910.0)</f>
        <v>45910</v>
      </c>
      <c r="B2438" s="6">
        <f>IFERROR(__xludf.DUMMYFUNCTION("""COMPUTED_VALUE"""),233.0)</f>
        <v>233</v>
      </c>
      <c r="C2438" s="6">
        <f>IFERROR(__xludf.DUMMYFUNCTION("""COMPUTED_VALUE"""),233.04)</f>
        <v>233.04</v>
      </c>
      <c r="D2438" s="6">
        <f>IFERROR(__xludf.DUMMYFUNCTION("""COMPUTED_VALUE"""),231.0)</f>
        <v>231</v>
      </c>
      <c r="E2438" s="6">
        <f>IFERROR(__xludf.DUMMYFUNCTION("""COMPUTED_VALUE"""),231.74)</f>
        <v>231.74</v>
      </c>
      <c r="F2438" s="7">
        <f>IFERROR(__xludf.DUMMYFUNCTION("""COMPUTED_VALUE"""),1.1775053E7)</f>
        <v>11775053</v>
      </c>
      <c r="G2438" s="7" t="str">
        <f>IFERROR(__xludf.DUMMYFUNCTION("""COMPUTED_VALUE"""),"ONGC.NS")</f>
        <v>ONGC.NS</v>
      </c>
      <c r="H2438" s="8">
        <f t="shared" si="1"/>
        <v>-0.005407725322</v>
      </c>
      <c r="I2438" s="8">
        <f t="shared" si="2"/>
        <v>0.005407725322</v>
      </c>
      <c r="J2438" s="7" t="str">
        <f t="shared" si="3"/>
        <v>Sep-2025</v>
      </c>
      <c r="K2438" s="9">
        <f t="shared" si="4"/>
        <v>45901</v>
      </c>
      <c r="L2438" s="7" t="str">
        <f t="shared" si="5"/>
        <v/>
      </c>
      <c r="M2438" s="7" t="str">
        <f>IFERROR(__xludf.DUMMYFUNCTION("IFERROR(
  IF(
    F2438 &gt;
    3*AVERAGE(
       FILTER($F$2:$F10491,
         $G$2:$G10491=G2438,
         $A$2:$A10491&gt;=A2438-20,
         $A$2:$A10491&lt;=A2438
       )
    ),
    ""VOL_SPIKE_3X"",""""
  ),
"""")
"),"")</f>
        <v/>
      </c>
      <c r="N2438" s="7" t="str">
        <f t="shared" si="6"/>
        <v/>
      </c>
      <c r="O2438" s="7" t="str">
        <f t="shared" si="7"/>
        <v/>
      </c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>
      <c r="A2439" s="5">
        <f>IFERROR(__xludf.DUMMYFUNCTION("""COMPUTED_VALUE"""),45910.0)</f>
        <v>45910</v>
      </c>
      <c r="B2439" s="6">
        <f>IFERROR(__xludf.DUMMYFUNCTION("""COMPUTED_VALUE"""),284.7)</f>
        <v>284.7</v>
      </c>
      <c r="C2439" s="6">
        <f>IFERROR(__xludf.DUMMYFUNCTION("""COMPUTED_VALUE"""),286.45)</f>
        <v>286.45</v>
      </c>
      <c r="D2439" s="6">
        <f>IFERROR(__xludf.DUMMYFUNCTION("""COMPUTED_VALUE"""),282.5)</f>
        <v>282.5</v>
      </c>
      <c r="E2439" s="6">
        <f>IFERROR(__xludf.DUMMYFUNCTION("""COMPUTED_VALUE"""),282.95)</f>
        <v>282.95</v>
      </c>
      <c r="F2439" s="7">
        <f>IFERROR(__xludf.DUMMYFUNCTION("""COMPUTED_VALUE"""),7767863.0)</f>
        <v>7767863</v>
      </c>
      <c r="G2439" s="7" t="str">
        <f>IFERROR(__xludf.DUMMYFUNCTION("""COMPUTED_VALUE"""),"POWERGRID.NS")</f>
        <v>POWERGRID.NS</v>
      </c>
      <c r="H2439" s="8">
        <f t="shared" si="1"/>
        <v>-0.006146821215</v>
      </c>
      <c r="I2439" s="8">
        <f t="shared" si="2"/>
        <v>0.006146821215</v>
      </c>
      <c r="J2439" s="7" t="str">
        <f t="shared" si="3"/>
        <v>Sep-2025</v>
      </c>
      <c r="K2439" s="9">
        <f t="shared" si="4"/>
        <v>45901</v>
      </c>
      <c r="L2439" s="7" t="str">
        <f t="shared" si="5"/>
        <v/>
      </c>
      <c r="M2439" s="7" t="str">
        <f>IFERROR(__xludf.DUMMYFUNCTION("IFERROR(
  IF(
    F2439 &gt;
    3*AVERAGE(
       FILTER($F$2:$F10491,
         $G$2:$G10491=G2439,
         $A$2:$A10491&gt;=A2439-20,
         $A$2:$A10491&lt;=A2439
       )
    ),
    ""VOL_SPIKE_3X"",""""
  ),
"""")
"),"")</f>
        <v/>
      </c>
      <c r="N2439" s="7" t="str">
        <f t="shared" si="6"/>
        <v/>
      </c>
      <c r="O2439" s="7" t="str">
        <f t="shared" si="7"/>
        <v/>
      </c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>
      <c r="A2440" s="5">
        <f>IFERROR(__xludf.DUMMYFUNCTION("""COMPUTED_VALUE"""),45910.0)</f>
        <v>45910</v>
      </c>
      <c r="B2440" s="6">
        <f>IFERROR(__xludf.DUMMYFUNCTION("""COMPUTED_VALUE"""),1383.9)</f>
        <v>1383.9</v>
      </c>
      <c r="C2440" s="6">
        <f>IFERROR(__xludf.DUMMYFUNCTION("""COMPUTED_VALUE"""),1388.5)</f>
        <v>1388.5</v>
      </c>
      <c r="D2440" s="6">
        <f>IFERROR(__xludf.DUMMYFUNCTION("""COMPUTED_VALUE"""),1374.1)</f>
        <v>1374.1</v>
      </c>
      <c r="E2440" s="6">
        <f>IFERROR(__xludf.DUMMYFUNCTION("""COMPUTED_VALUE"""),1377.0)</f>
        <v>1377</v>
      </c>
      <c r="F2440" s="7">
        <f>IFERROR(__xludf.DUMMYFUNCTION("""COMPUTED_VALUE"""),7790815.0)</f>
        <v>7790815</v>
      </c>
      <c r="G2440" s="7" t="str">
        <f>IFERROR(__xludf.DUMMYFUNCTION("""COMPUTED_VALUE"""),"RELIANCE.NS")</f>
        <v>RELIANCE.NS</v>
      </c>
      <c r="H2440" s="8">
        <f t="shared" si="1"/>
        <v>-0.004985909387</v>
      </c>
      <c r="I2440" s="8">
        <f t="shared" si="2"/>
        <v>0.004985909387</v>
      </c>
      <c r="J2440" s="7" t="str">
        <f t="shared" si="3"/>
        <v>Sep-2025</v>
      </c>
      <c r="K2440" s="9">
        <f t="shared" si="4"/>
        <v>45901</v>
      </c>
      <c r="L2440" s="7" t="str">
        <f t="shared" si="5"/>
        <v/>
      </c>
      <c r="M2440" s="7" t="str">
        <f>IFERROR(__xludf.DUMMYFUNCTION("IFERROR(
  IF(
    F2440 &gt;
    3*AVERAGE(
       FILTER($F$2:$F10491,
         $G$2:$G10491=G2440,
         $A$2:$A10491&gt;=A2440-20,
         $A$2:$A10491&lt;=A2440
       )
    ),
    ""VOL_SPIKE_3X"",""""
  ),
"""")
"),"")</f>
        <v/>
      </c>
      <c r="N2440" s="7" t="str">
        <f t="shared" si="6"/>
        <v/>
      </c>
      <c r="O2440" s="7" t="str">
        <f t="shared" si="7"/>
        <v/>
      </c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>
      <c r="A2441" s="5">
        <f>IFERROR(__xludf.DUMMYFUNCTION("""COMPUTED_VALUE"""),45911.0)</f>
        <v>45911</v>
      </c>
      <c r="B2441" s="6">
        <f>IFERROR(__xludf.DUMMYFUNCTION("""COMPUTED_VALUE"""),814.0)</f>
        <v>814</v>
      </c>
      <c r="C2441" s="6">
        <f>IFERROR(__xludf.DUMMYFUNCTION("""COMPUTED_VALUE"""),838.5)</f>
        <v>838.5</v>
      </c>
      <c r="D2441" s="6">
        <f>IFERROR(__xludf.DUMMYFUNCTION("""COMPUTED_VALUE"""),811.6)</f>
        <v>811.6</v>
      </c>
      <c r="E2441" s="6">
        <f>IFERROR(__xludf.DUMMYFUNCTION("""COMPUTED_VALUE"""),813.7)</f>
        <v>813.7</v>
      </c>
      <c r="F2441" s="7">
        <f>IFERROR(__xludf.DUMMYFUNCTION("""COMPUTED_VALUE"""),1366037.0)</f>
        <v>1366037</v>
      </c>
      <c r="G2441" s="7" t="str">
        <f>IFERROR(__xludf.DUMMYFUNCTION("""COMPUTED_VALUE"""),"ADANIENSOL.NS")</f>
        <v>ADANIENSOL.NS</v>
      </c>
      <c r="H2441" s="8">
        <f t="shared" si="1"/>
        <v>-0.0003685503686</v>
      </c>
      <c r="I2441" s="8">
        <f t="shared" si="2"/>
        <v>0.0003685503686</v>
      </c>
      <c r="J2441" s="7" t="str">
        <f t="shared" si="3"/>
        <v>Sep-2025</v>
      </c>
      <c r="K2441" s="9">
        <f t="shared" si="4"/>
        <v>45901</v>
      </c>
      <c r="L2441" s="7" t="str">
        <f t="shared" si="5"/>
        <v/>
      </c>
      <c r="M2441" s="7" t="str">
        <f>IFERROR(__xludf.DUMMYFUNCTION("IFERROR(
  IF(
    F2441 &gt;
    3*AVERAGE(
       FILTER($F$2:$F10491,
         $G$2:$G10491=G2441,
         $A$2:$A10491&gt;=A2441-20,
         $A$2:$A10491&lt;=A2441
       )
    ),
    ""VOL_SPIKE_3X"",""""
  ),
"""")
"),"")</f>
        <v/>
      </c>
      <c r="N2441" s="7" t="str">
        <f t="shared" si="6"/>
        <v/>
      </c>
      <c r="O2441" s="7" t="str">
        <f t="shared" si="7"/>
        <v/>
      </c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>
      <c r="A2442" s="5">
        <f>IFERROR(__xludf.DUMMYFUNCTION("""COMPUTED_VALUE"""),45911.0)</f>
        <v>45911</v>
      </c>
      <c r="B2442" s="6">
        <f>IFERROR(__xludf.DUMMYFUNCTION("""COMPUTED_VALUE"""),965.0)</f>
        <v>965</v>
      </c>
      <c r="C2442" s="6">
        <f>IFERROR(__xludf.DUMMYFUNCTION("""COMPUTED_VALUE"""),1004.8)</f>
        <v>1004.8</v>
      </c>
      <c r="D2442" s="6">
        <f>IFERROR(__xludf.DUMMYFUNCTION("""COMPUTED_VALUE"""),961.2)</f>
        <v>961.2</v>
      </c>
      <c r="E2442" s="6">
        <f>IFERROR(__xludf.DUMMYFUNCTION("""COMPUTED_VALUE"""),976.35)</f>
        <v>976.35</v>
      </c>
      <c r="F2442" s="7">
        <f>IFERROR(__xludf.DUMMYFUNCTION("""COMPUTED_VALUE"""),3601127.0)</f>
        <v>3601127</v>
      </c>
      <c r="G2442" s="7" t="str">
        <f>IFERROR(__xludf.DUMMYFUNCTION("""COMPUTED_VALUE"""),"ADANIGREEN.NS")</f>
        <v>ADANIGREEN.NS</v>
      </c>
      <c r="H2442" s="8">
        <f t="shared" si="1"/>
        <v>0.01176165803</v>
      </c>
      <c r="I2442" s="8">
        <f t="shared" si="2"/>
        <v>0.01176165803</v>
      </c>
      <c r="J2442" s="7" t="str">
        <f t="shared" si="3"/>
        <v>Sep-2025</v>
      </c>
      <c r="K2442" s="9">
        <f t="shared" si="4"/>
        <v>45901</v>
      </c>
      <c r="L2442" s="7" t="str">
        <f t="shared" si="5"/>
        <v/>
      </c>
      <c r="M2442" s="7" t="str">
        <f>IFERROR(__xludf.DUMMYFUNCTION("IFERROR(
  IF(
    F2442 &gt;
    3*AVERAGE(
       FILTER($F$2:$F10491,
         $G$2:$G10491=G2442,
         $A$2:$A10491&gt;=A2442-20,
         $A$2:$A10491&lt;=A2442
       )
    ),
    ""VOL_SPIKE_3X"",""""
  ),
"""")
"),"")</f>
        <v/>
      </c>
      <c r="N2442" s="7" t="str">
        <f t="shared" si="6"/>
        <v/>
      </c>
      <c r="O2442" s="7" t="str">
        <f t="shared" si="7"/>
        <v/>
      </c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>
      <c r="A2443" s="5">
        <f>IFERROR(__xludf.DUMMYFUNCTION("""COMPUTED_VALUE"""),45911.0)</f>
        <v>45911</v>
      </c>
      <c r="B2443" s="6">
        <f>IFERROR(__xludf.DUMMYFUNCTION("""COMPUTED_VALUE"""),318.2)</f>
        <v>318.2</v>
      </c>
      <c r="C2443" s="6">
        <f>IFERROR(__xludf.DUMMYFUNCTION("""COMPUTED_VALUE"""),326.6)</f>
        <v>326.6</v>
      </c>
      <c r="D2443" s="6">
        <f>IFERROR(__xludf.DUMMYFUNCTION("""COMPUTED_VALUE"""),317.5)</f>
        <v>317.5</v>
      </c>
      <c r="E2443" s="6">
        <f>IFERROR(__xludf.DUMMYFUNCTION("""COMPUTED_VALUE"""),320.0)</f>
        <v>320</v>
      </c>
      <c r="F2443" s="7">
        <f>IFERROR(__xludf.DUMMYFUNCTION("""COMPUTED_VALUE"""),7529271.0)</f>
        <v>7529271</v>
      </c>
      <c r="G2443" s="7" t="str">
        <f>IFERROR(__xludf.DUMMYFUNCTION("""COMPUTED_VALUE"""),"BPCL.NS")</f>
        <v>BPCL.NS</v>
      </c>
      <c r="H2443" s="8">
        <f t="shared" si="1"/>
        <v>0.00565681961</v>
      </c>
      <c r="I2443" s="8">
        <f t="shared" si="2"/>
        <v>0.00565681961</v>
      </c>
      <c r="J2443" s="7" t="str">
        <f t="shared" si="3"/>
        <v>Sep-2025</v>
      </c>
      <c r="K2443" s="9">
        <f t="shared" si="4"/>
        <v>45901</v>
      </c>
      <c r="L2443" s="7" t="str">
        <f t="shared" si="5"/>
        <v/>
      </c>
      <c r="M2443" s="7" t="str">
        <f>IFERROR(__xludf.DUMMYFUNCTION("IFERROR(
  IF(
    F2443 &gt;
    3*AVERAGE(
       FILTER($F$2:$F10491,
         $G$2:$G10491=G2443,
         $A$2:$A10491&gt;=A2443-20,
         $A$2:$A10491&lt;=A2443
       )
    ),
    ""VOL_SPIKE_3X"",""""
  ),
"""")
"),"")</f>
        <v/>
      </c>
      <c r="N2443" s="7" t="str">
        <f t="shared" si="6"/>
        <v/>
      </c>
      <c r="O2443" s="7" t="str">
        <f t="shared" si="7"/>
        <v/>
      </c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>
      <c r="A2444" s="5">
        <f>IFERROR(__xludf.DUMMYFUNCTION("""COMPUTED_VALUE"""),45911.0)</f>
        <v>45911</v>
      </c>
      <c r="B2444" s="6">
        <f>IFERROR(__xludf.DUMMYFUNCTION("""COMPUTED_VALUE"""),393.65)</f>
        <v>393.65</v>
      </c>
      <c r="C2444" s="6">
        <f>IFERROR(__xludf.DUMMYFUNCTION("""COMPUTED_VALUE"""),394.5)</f>
        <v>394.5</v>
      </c>
      <c r="D2444" s="6">
        <f>IFERROR(__xludf.DUMMYFUNCTION("""COMPUTED_VALUE"""),390.5)</f>
        <v>390.5</v>
      </c>
      <c r="E2444" s="6">
        <f>IFERROR(__xludf.DUMMYFUNCTION("""COMPUTED_VALUE"""),393.35)</f>
        <v>393.35</v>
      </c>
      <c r="F2444" s="7">
        <f>IFERROR(__xludf.DUMMYFUNCTION("""COMPUTED_VALUE"""),3442373.0)</f>
        <v>3442373</v>
      </c>
      <c r="G2444" s="7" t="str">
        <f>IFERROR(__xludf.DUMMYFUNCTION("""COMPUTED_VALUE"""),"COALINDIA.NS")</f>
        <v>COALINDIA.NS</v>
      </c>
      <c r="H2444" s="8">
        <f t="shared" si="1"/>
        <v>-0.0007620983107</v>
      </c>
      <c r="I2444" s="8">
        <f t="shared" si="2"/>
        <v>0.0007620983107</v>
      </c>
      <c r="J2444" s="7" t="str">
        <f t="shared" si="3"/>
        <v>Sep-2025</v>
      </c>
      <c r="K2444" s="9">
        <f t="shared" si="4"/>
        <v>45901</v>
      </c>
      <c r="L2444" s="7" t="str">
        <f t="shared" si="5"/>
        <v/>
      </c>
      <c r="M2444" s="7" t="str">
        <f>IFERROR(__xludf.DUMMYFUNCTION("IFERROR(
  IF(
    F2444 &gt;
    3*AVERAGE(
       FILTER($F$2:$F10491,
         $G$2:$G10491=G2444,
         $A$2:$A10491&gt;=A2444-20,
         $A$2:$A10491&lt;=A2444
       )
    ),
    ""VOL_SPIKE_3X"",""""
  ),
"""")
"),"")</f>
        <v/>
      </c>
      <c r="N2444" s="7" t="str">
        <f t="shared" si="6"/>
        <v/>
      </c>
      <c r="O2444" s="7" t="str">
        <f t="shared" si="7"/>
        <v/>
      </c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>
      <c r="A2445" s="5">
        <f>IFERROR(__xludf.DUMMYFUNCTION("""COMPUTED_VALUE"""),45911.0)</f>
        <v>45911</v>
      </c>
      <c r="B2445" s="6">
        <f>IFERROR(__xludf.DUMMYFUNCTION("""COMPUTED_VALUE"""),391.0)</f>
        <v>391</v>
      </c>
      <c r="C2445" s="6">
        <f>IFERROR(__xludf.DUMMYFUNCTION("""COMPUTED_VALUE"""),405.8)</f>
        <v>405.8</v>
      </c>
      <c r="D2445" s="6">
        <f>IFERROR(__xludf.DUMMYFUNCTION("""COMPUTED_VALUE"""),391.0)</f>
        <v>391</v>
      </c>
      <c r="E2445" s="6">
        <f>IFERROR(__xludf.DUMMYFUNCTION("""COMPUTED_VALUE"""),397.8)</f>
        <v>397.8</v>
      </c>
      <c r="F2445" s="7">
        <f>IFERROR(__xludf.DUMMYFUNCTION("""COMPUTED_VALUE"""),3642055.0)</f>
        <v>3642055</v>
      </c>
      <c r="G2445" s="7" t="str">
        <f>IFERROR(__xludf.DUMMYFUNCTION("""COMPUTED_VALUE"""),"HINDPETRO.NS")</f>
        <v>HINDPETRO.NS</v>
      </c>
      <c r="H2445" s="8">
        <f t="shared" si="1"/>
        <v>0.01739130435</v>
      </c>
      <c r="I2445" s="8">
        <f t="shared" si="2"/>
        <v>0.01739130435</v>
      </c>
      <c r="J2445" s="7" t="str">
        <f t="shared" si="3"/>
        <v>Sep-2025</v>
      </c>
      <c r="K2445" s="9">
        <f t="shared" si="4"/>
        <v>45901</v>
      </c>
      <c r="L2445" s="7" t="str">
        <f t="shared" si="5"/>
        <v/>
      </c>
      <c r="M2445" s="7" t="str">
        <f>IFERROR(__xludf.DUMMYFUNCTION("IFERROR(
  IF(
    F2445 &gt;
    3*AVERAGE(
       FILTER($F$2:$F10491,
         $G$2:$G10491=G2445,
         $A$2:$A10491&gt;=A2445-20,
         $A$2:$A10491&lt;=A2445
       )
    ),
    ""VOL_SPIKE_3X"",""""
  ),
"""")
"),"")</f>
        <v/>
      </c>
      <c r="N2445" s="7" t="str">
        <f t="shared" si="6"/>
        <v/>
      </c>
      <c r="O2445" s="7" t="str">
        <f t="shared" si="7"/>
        <v/>
      </c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>
      <c r="A2446" s="5">
        <f>IFERROR(__xludf.DUMMYFUNCTION("""COMPUTED_VALUE"""),45911.0)</f>
        <v>45911</v>
      </c>
      <c r="B2446" s="6">
        <f>IFERROR(__xludf.DUMMYFUNCTION("""COMPUTED_VALUE"""),141.05)</f>
        <v>141.05</v>
      </c>
      <c r="C2446" s="6">
        <f>IFERROR(__xludf.DUMMYFUNCTION("""COMPUTED_VALUE"""),145.39)</f>
        <v>145.39</v>
      </c>
      <c r="D2446" s="6">
        <f>IFERROR(__xludf.DUMMYFUNCTION("""COMPUTED_VALUE"""),140.87)</f>
        <v>140.87</v>
      </c>
      <c r="E2446" s="6">
        <f>IFERROR(__xludf.DUMMYFUNCTION("""COMPUTED_VALUE"""),143.93)</f>
        <v>143.93</v>
      </c>
      <c r="F2446" s="7">
        <f>IFERROR(__xludf.DUMMYFUNCTION("""COMPUTED_VALUE"""),1.5031791E7)</f>
        <v>15031791</v>
      </c>
      <c r="G2446" s="7" t="str">
        <f>IFERROR(__xludf.DUMMYFUNCTION("""COMPUTED_VALUE"""),"IOC.NS")</f>
        <v>IOC.NS</v>
      </c>
      <c r="H2446" s="8">
        <f t="shared" si="1"/>
        <v>0.02041829139</v>
      </c>
      <c r="I2446" s="8">
        <f t="shared" si="2"/>
        <v>0.02041829139</v>
      </c>
      <c r="J2446" s="7" t="str">
        <f t="shared" si="3"/>
        <v>Sep-2025</v>
      </c>
      <c r="K2446" s="9">
        <f t="shared" si="4"/>
        <v>45901</v>
      </c>
      <c r="L2446" s="7" t="str">
        <f t="shared" si="5"/>
        <v/>
      </c>
      <c r="M2446" s="7" t="str">
        <f>IFERROR(__xludf.DUMMYFUNCTION("IFERROR(
  IF(
    F2446 &gt;
    3*AVERAGE(
       FILTER($F$2:$F10491,
         $G$2:$G10491=G2446,
         $A$2:$A10491&gt;=A2446-20,
         $A$2:$A10491&lt;=A2446
       )
    ),
    ""VOL_SPIKE_3X"",""""
  ),
"""")
"),"")</f>
        <v/>
      </c>
      <c r="N2446" s="7" t="str">
        <f t="shared" si="6"/>
        <v/>
      </c>
      <c r="O2446" s="7" t="str">
        <f t="shared" si="7"/>
        <v/>
      </c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>
      <c r="A2447" s="5">
        <f>IFERROR(__xludf.DUMMYFUNCTION("""COMPUTED_VALUE"""),45911.0)</f>
        <v>45911</v>
      </c>
      <c r="B2447" s="6">
        <f>IFERROR(__xludf.DUMMYFUNCTION("""COMPUTED_VALUE"""),326.45)</f>
        <v>326.45</v>
      </c>
      <c r="C2447" s="6">
        <f>IFERROR(__xludf.DUMMYFUNCTION("""COMPUTED_VALUE"""),333.5)</f>
        <v>333.5</v>
      </c>
      <c r="D2447" s="6">
        <f>IFERROR(__xludf.DUMMYFUNCTION("""COMPUTED_VALUE"""),326.0)</f>
        <v>326</v>
      </c>
      <c r="E2447" s="6">
        <f>IFERROR(__xludf.DUMMYFUNCTION("""COMPUTED_VALUE"""),331.05)</f>
        <v>331.05</v>
      </c>
      <c r="F2447" s="7">
        <f>IFERROR(__xludf.DUMMYFUNCTION("""COMPUTED_VALUE"""),1.0309925E7)</f>
        <v>10309925</v>
      </c>
      <c r="G2447" s="7" t="str">
        <f>IFERROR(__xludf.DUMMYFUNCTION("""COMPUTED_VALUE"""),"NTPC.NS")</f>
        <v>NTPC.NS</v>
      </c>
      <c r="H2447" s="8">
        <f t="shared" si="1"/>
        <v>0.01409097871</v>
      </c>
      <c r="I2447" s="8">
        <f t="shared" si="2"/>
        <v>0.01409097871</v>
      </c>
      <c r="J2447" s="7" t="str">
        <f t="shared" si="3"/>
        <v>Sep-2025</v>
      </c>
      <c r="K2447" s="9">
        <f t="shared" si="4"/>
        <v>45901</v>
      </c>
      <c r="L2447" s="7" t="str">
        <f t="shared" si="5"/>
        <v/>
      </c>
      <c r="M2447" s="7" t="str">
        <f>IFERROR(__xludf.DUMMYFUNCTION("IFERROR(
  IF(
    F2447 &gt;
    3*AVERAGE(
       FILTER($F$2:$F10491,
         $G$2:$G10491=G2447,
         $A$2:$A10491&gt;=A2447-20,
         $A$2:$A10491&lt;=A2447
       )
    ),
    ""VOL_SPIKE_3X"",""""
  ),
"""")
"),"")</f>
        <v/>
      </c>
      <c r="N2447" s="7" t="str">
        <f t="shared" si="6"/>
        <v/>
      </c>
      <c r="O2447" s="7" t="str">
        <f t="shared" si="7"/>
        <v/>
      </c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>
      <c r="A2448" s="5">
        <f>IFERROR(__xludf.DUMMYFUNCTION("""COMPUTED_VALUE"""),45911.0)</f>
        <v>45911</v>
      </c>
      <c r="B2448" s="6">
        <f>IFERROR(__xludf.DUMMYFUNCTION("""COMPUTED_VALUE"""),232.1)</f>
        <v>232.1</v>
      </c>
      <c r="C2448" s="6">
        <f>IFERROR(__xludf.DUMMYFUNCTION("""COMPUTED_VALUE"""),235.22)</f>
        <v>235.22</v>
      </c>
      <c r="D2448" s="6">
        <f>IFERROR(__xludf.DUMMYFUNCTION("""COMPUTED_VALUE"""),232.1)</f>
        <v>232.1</v>
      </c>
      <c r="E2448" s="6">
        <f>IFERROR(__xludf.DUMMYFUNCTION("""COMPUTED_VALUE"""),233.76)</f>
        <v>233.76</v>
      </c>
      <c r="F2448" s="7">
        <f>IFERROR(__xludf.DUMMYFUNCTION("""COMPUTED_VALUE"""),1.1047708E7)</f>
        <v>11047708</v>
      </c>
      <c r="G2448" s="7" t="str">
        <f>IFERROR(__xludf.DUMMYFUNCTION("""COMPUTED_VALUE"""),"ONGC.NS")</f>
        <v>ONGC.NS</v>
      </c>
      <c r="H2448" s="8">
        <f t="shared" si="1"/>
        <v>0.007152089617</v>
      </c>
      <c r="I2448" s="8">
        <f t="shared" si="2"/>
        <v>0.007152089617</v>
      </c>
      <c r="J2448" s="7" t="str">
        <f t="shared" si="3"/>
        <v>Sep-2025</v>
      </c>
      <c r="K2448" s="9">
        <f t="shared" si="4"/>
        <v>45901</v>
      </c>
      <c r="L2448" s="7" t="str">
        <f t="shared" si="5"/>
        <v/>
      </c>
      <c r="M2448" s="7" t="str">
        <f>IFERROR(__xludf.DUMMYFUNCTION("IFERROR(
  IF(
    F2448 &gt;
    3*AVERAGE(
       FILTER($F$2:$F10491,
         $G$2:$G10491=G2448,
         $A$2:$A10491&gt;=A2448-20,
         $A$2:$A10491&lt;=A2448
       )
    ),
    ""VOL_SPIKE_3X"",""""
  ),
"""")
"),"")</f>
        <v/>
      </c>
      <c r="N2448" s="7" t="str">
        <f t="shared" si="6"/>
        <v/>
      </c>
      <c r="O2448" s="7" t="str">
        <f t="shared" si="7"/>
        <v/>
      </c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>
      <c r="A2449" s="5">
        <f>IFERROR(__xludf.DUMMYFUNCTION("""COMPUTED_VALUE"""),45911.0)</f>
        <v>45911</v>
      </c>
      <c r="B2449" s="6">
        <f>IFERROR(__xludf.DUMMYFUNCTION("""COMPUTED_VALUE"""),282.55)</f>
        <v>282.55</v>
      </c>
      <c r="C2449" s="6">
        <f>IFERROR(__xludf.DUMMYFUNCTION("""COMPUTED_VALUE"""),288.7)</f>
        <v>288.7</v>
      </c>
      <c r="D2449" s="6">
        <f>IFERROR(__xludf.DUMMYFUNCTION("""COMPUTED_VALUE"""),282.55)</f>
        <v>282.55</v>
      </c>
      <c r="E2449" s="6">
        <f>IFERROR(__xludf.DUMMYFUNCTION("""COMPUTED_VALUE"""),286.8)</f>
        <v>286.8</v>
      </c>
      <c r="F2449" s="7">
        <f>IFERROR(__xludf.DUMMYFUNCTION("""COMPUTED_VALUE"""),7406625.0)</f>
        <v>7406625</v>
      </c>
      <c r="G2449" s="7" t="str">
        <f>IFERROR(__xludf.DUMMYFUNCTION("""COMPUTED_VALUE"""),"POWERGRID.NS")</f>
        <v>POWERGRID.NS</v>
      </c>
      <c r="H2449" s="8">
        <f t="shared" si="1"/>
        <v>0.01504158556</v>
      </c>
      <c r="I2449" s="8">
        <f t="shared" si="2"/>
        <v>0.01504158556</v>
      </c>
      <c r="J2449" s="7" t="str">
        <f t="shared" si="3"/>
        <v>Sep-2025</v>
      </c>
      <c r="K2449" s="9">
        <f t="shared" si="4"/>
        <v>45901</v>
      </c>
      <c r="L2449" s="7" t="str">
        <f t="shared" si="5"/>
        <v/>
      </c>
      <c r="M2449" s="7" t="str">
        <f>IFERROR(__xludf.DUMMYFUNCTION("IFERROR(
  IF(
    F2449 &gt;
    3*AVERAGE(
       FILTER($F$2:$F10491,
         $G$2:$G10491=G2449,
         $A$2:$A10491&gt;=A2449-20,
         $A$2:$A10491&lt;=A2449
       )
    ),
    ""VOL_SPIKE_3X"",""""
  ),
"""")
"),"")</f>
        <v/>
      </c>
      <c r="N2449" s="7" t="str">
        <f t="shared" si="6"/>
        <v/>
      </c>
      <c r="O2449" s="7" t="str">
        <f t="shared" si="7"/>
        <v/>
      </c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>
      <c r="A2450" s="5">
        <f>IFERROR(__xludf.DUMMYFUNCTION("""COMPUTED_VALUE"""),45911.0)</f>
        <v>45911</v>
      </c>
      <c r="B2450" s="6">
        <f>IFERROR(__xludf.DUMMYFUNCTION("""COMPUTED_VALUE"""),1376.0)</f>
        <v>1376</v>
      </c>
      <c r="C2450" s="6">
        <f>IFERROR(__xludf.DUMMYFUNCTION("""COMPUTED_VALUE"""),1385.5)</f>
        <v>1385.5</v>
      </c>
      <c r="D2450" s="6">
        <f>IFERROR(__xludf.DUMMYFUNCTION("""COMPUTED_VALUE"""),1375.0)</f>
        <v>1375</v>
      </c>
      <c r="E2450" s="6">
        <f>IFERROR(__xludf.DUMMYFUNCTION("""COMPUTED_VALUE"""),1383.3)</f>
        <v>1383.3</v>
      </c>
      <c r="F2450" s="7">
        <f>IFERROR(__xludf.DUMMYFUNCTION("""COMPUTED_VALUE"""),9766072.0)</f>
        <v>9766072</v>
      </c>
      <c r="G2450" s="7" t="str">
        <f>IFERROR(__xludf.DUMMYFUNCTION("""COMPUTED_VALUE"""),"RELIANCE.NS")</f>
        <v>RELIANCE.NS</v>
      </c>
      <c r="H2450" s="8">
        <f t="shared" si="1"/>
        <v>0.005305232558</v>
      </c>
      <c r="I2450" s="8">
        <f t="shared" si="2"/>
        <v>0.005305232558</v>
      </c>
      <c r="J2450" s="7" t="str">
        <f t="shared" si="3"/>
        <v>Sep-2025</v>
      </c>
      <c r="K2450" s="9">
        <f t="shared" si="4"/>
        <v>45901</v>
      </c>
      <c r="L2450" s="7" t="str">
        <f t="shared" si="5"/>
        <v/>
      </c>
      <c r="M2450" s="7" t="str">
        <f>IFERROR(__xludf.DUMMYFUNCTION("IFERROR(
  IF(
    F2450 &gt;
    3*AVERAGE(
       FILTER($F$2:$F10491,
         $G$2:$G10491=G2450,
         $A$2:$A10491&gt;=A2450-20,
         $A$2:$A10491&lt;=A2450
       )
    ),
    ""VOL_SPIKE_3X"",""""
  ),
"""")
"),"")</f>
        <v/>
      </c>
      <c r="N2450" s="7" t="str">
        <f t="shared" si="6"/>
        <v/>
      </c>
      <c r="O2450" s="7" t="str">
        <f t="shared" si="7"/>
        <v/>
      </c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>
      <c r="A2451" s="5">
        <f>IFERROR(__xludf.DUMMYFUNCTION("""COMPUTED_VALUE"""),45912.0)</f>
        <v>45912</v>
      </c>
      <c r="B2451" s="6">
        <f>IFERROR(__xludf.DUMMYFUNCTION("""COMPUTED_VALUE"""),817.35)</f>
        <v>817.35</v>
      </c>
      <c r="C2451" s="6">
        <f>IFERROR(__xludf.DUMMYFUNCTION("""COMPUTED_VALUE"""),831.3)</f>
        <v>831.3</v>
      </c>
      <c r="D2451" s="6">
        <f>IFERROR(__xludf.DUMMYFUNCTION("""COMPUTED_VALUE"""),812.6)</f>
        <v>812.6</v>
      </c>
      <c r="E2451" s="6">
        <f>IFERROR(__xludf.DUMMYFUNCTION("""COMPUTED_VALUE"""),829.9)</f>
        <v>829.9</v>
      </c>
      <c r="F2451" s="7">
        <f>IFERROR(__xludf.DUMMYFUNCTION("""COMPUTED_VALUE"""),1214068.0)</f>
        <v>1214068</v>
      </c>
      <c r="G2451" s="7" t="str">
        <f>IFERROR(__xludf.DUMMYFUNCTION("""COMPUTED_VALUE"""),"ADANIENSOL.NS")</f>
        <v>ADANIENSOL.NS</v>
      </c>
      <c r="H2451" s="8">
        <f t="shared" si="1"/>
        <v>0.0153544993</v>
      </c>
      <c r="I2451" s="8">
        <f t="shared" si="2"/>
        <v>0.0153544993</v>
      </c>
      <c r="J2451" s="7" t="str">
        <f t="shared" si="3"/>
        <v>Sep-2025</v>
      </c>
      <c r="K2451" s="9">
        <f t="shared" si="4"/>
        <v>45901</v>
      </c>
      <c r="L2451" s="7" t="str">
        <f t="shared" si="5"/>
        <v/>
      </c>
      <c r="M2451" s="7" t="str">
        <f>IFERROR(__xludf.DUMMYFUNCTION("IFERROR(
  IF(
    F2451 &gt;
    3*AVERAGE(
       FILTER($F$2:$F10491,
         $G$2:$G10491=G2451,
         $A$2:$A10491&gt;=A2451-20,
         $A$2:$A10491&lt;=A2451
       )
    ),
    ""VOL_SPIKE_3X"",""""
  ),
"""")
"),"")</f>
        <v/>
      </c>
      <c r="N2451" s="7" t="str">
        <f t="shared" si="6"/>
        <v/>
      </c>
      <c r="O2451" s="7" t="str">
        <f t="shared" si="7"/>
        <v/>
      </c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>
      <c r="A2452" s="5">
        <f>IFERROR(__xludf.DUMMYFUNCTION("""COMPUTED_VALUE"""),45912.0)</f>
        <v>45912</v>
      </c>
      <c r="B2452" s="6">
        <f>IFERROR(__xludf.DUMMYFUNCTION("""COMPUTED_VALUE"""),981.0)</f>
        <v>981</v>
      </c>
      <c r="C2452" s="6">
        <f>IFERROR(__xludf.DUMMYFUNCTION("""COMPUTED_VALUE"""),986.55)</f>
        <v>986.55</v>
      </c>
      <c r="D2452" s="6">
        <f>IFERROR(__xludf.DUMMYFUNCTION("""COMPUTED_VALUE"""),975.45)</f>
        <v>975.45</v>
      </c>
      <c r="E2452" s="6">
        <f>IFERROR(__xludf.DUMMYFUNCTION("""COMPUTED_VALUE"""),981.7)</f>
        <v>981.7</v>
      </c>
      <c r="F2452" s="7">
        <f>IFERROR(__xludf.DUMMYFUNCTION("""COMPUTED_VALUE"""),1086098.0)</f>
        <v>1086098</v>
      </c>
      <c r="G2452" s="7" t="str">
        <f>IFERROR(__xludf.DUMMYFUNCTION("""COMPUTED_VALUE"""),"ADANIGREEN.NS")</f>
        <v>ADANIGREEN.NS</v>
      </c>
      <c r="H2452" s="8">
        <f t="shared" si="1"/>
        <v>0.0007135575943</v>
      </c>
      <c r="I2452" s="8">
        <f t="shared" si="2"/>
        <v>0.0007135575943</v>
      </c>
      <c r="J2452" s="7" t="str">
        <f t="shared" si="3"/>
        <v>Sep-2025</v>
      </c>
      <c r="K2452" s="9">
        <f t="shared" si="4"/>
        <v>45901</v>
      </c>
      <c r="L2452" s="7" t="str">
        <f t="shared" si="5"/>
        <v/>
      </c>
      <c r="M2452" s="7" t="str">
        <f>IFERROR(__xludf.DUMMYFUNCTION("IFERROR(
  IF(
    F2452 &gt;
    3*AVERAGE(
       FILTER($F$2:$F10491,
         $G$2:$G10491=G2452,
         $A$2:$A10491&gt;=A2452-20,
         $A$2:$A10491&lt;=A2452
       )
    ),
    ""VOL_SPIKE_3X"",""""
  ),
"""")
"),"")</f>
        <v/>
      </c>
      <c r="N2452" s="7" t="str">
        <f t="shared" si="6"/>
        <v/>
      </c>
      <c r="O2452" s="7" t="str">
        <f t="shared" si="7"/>
        <v/>
      </c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>
      <c r="A2453" s="5">
        <f>IFERROR(__xludf.DUMMYFUNCTION("""COMPUTED_VALUE"""),45912.0)</f>
        <v>45912</v>
      </c>
      <c r="B2453" s="6">
        <f>IFERROR(__xludf.DUMMYFUNCTION("""COMPUTED_VALUE"""),321.05)</f>
        <v>321.05</v>
      </c>
      <c r="C2453" s="6">
        <f>IFERROR(__xludf.DUMMYFUNCTION("""COMPUTED_VALUE"""),323.2)</f>
        <v>323.2</v>
      </c>
      <c r="D2453" s="6">
        <f>IFERROR(__xludf.DUMMYFUNCTION("""COMPUTED_VALUE"""),317.05)</f>
        <v>317.05</v>
      </c>
      <c r="E2453" s="6">
        <f>IFERROR(__xludf.DUMMYFUNCTION("""COMPUTED_VALUE"""),318.0)</f>
        <v>318</v>
      </c>
      <c r="F2453" s="7">
        <f>IFERROR(__xludf.DUMMYFUNCTION("""COMPUTED_VALUE"""),4705998.0)</f>
        <v>4705998</v>
      </c>
      <c r="G2453" s="7" t="str">
        <f>IFERROR(__xludf.DUMMYFUNCTION("""COMPUTED_VALUE"""),"BPCL.NS")</f>
        <v>BPCL.NS</v>
      </c>
      <c r="H2453" s="8">
        <f t="shared" si="1"/>
        <v>-0.009500077869</v>
      </c>
      <c r="I2453" s="8">
        <f t="shared" si="2"/>
        <v>0.009500077869</v>
      </c>
      <c r="J2453" s="7" t="str">
        <f t="shared" si="3"/>
        <v>Sep-2025</v>
      </c>
      <c r="K2453" s="9">
        <f t="shared" si="4"/>
        <v>45901</v>
      </c>
      <c r="L2453" s="7" t="str">
        <f t="shared" si="5"/>
        <v/>
      </c>
      <c r="M2453" s="7" t="str">
        <f>IFERROR(__xludf.DUMMYFUNCTION("IFERROR(
  IF(
    F2453 &gt;
    3*AVERAGE(
       FILTER($F$2:$F10491,
         $G$2:$G10491=G2453,
         $A$2:$A10491&gt;=A2453-20,
         $A$2:$A10491&lt;=A2453
       )
    ),
    ""VOL_SPIKE_3X"",""""
  ),
"""")
"),"")</f>
        <v/>
      </c>
      <c r="N2453" s="7" t="str">
        <f t="shared" si="6"/>
        <v/>
      </c>
      <c r="O2453" s="7" t="str">
        <f t="shared" si="7"/>
        <v/>
      </c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>
      <c r="A2454" s="5">
        <f>IFERROR(__xludf.DUMMYFUNCTION("""COMPUTED_VALUE"""),45912.0)</f>
        <v>45912</v>
      </c>
      <c r="B2454" s="6">
        <f>IFERROR(__xludf.DUMMYFUNCTION("""COMPUTED_VALUE"""),393.55)</f>
        <v>393.55</v>
      </c>
      <c r="C2454" s="6">
        <f>IFERROR(__xludf.DUMMYFUNCTION("""COMPUTED_VALUE"""),396.2)</f>
        <v>396.2</v>
      </c>
      <c r="D2454" s="6">
        <f>IFERROR(__xludf.DUMMYFUNCTION("""COMPUTED_VALUE"""),393.2)</f>
        <v>393.2</v>
      </c>
      <c r="E2454" s="6">
        <f>IFERROR(__xludf.DUMMYFUNCTION("""COMPUTED_VALUE"""),394.35)</f>
        <v>394.35</v>
      </c>
      <c r="F2454" s="7">
        <f>IFERROR(__xludf.DUMMYFUNCTION("""COMPUTED_VALUE"""),4276055.0)</f>
        <v>4276055</v>
      </c>
      <c r="G2454" s="7" t="str">
        <f>IFERROR(__xludf.DUMMYFUNCTION("""COMPUTED_VALUE"""),"COALINDIA.NS")</f>
        <v>COALINDIA.NS</v>
      </c>
      <c r="H2454" s="8">
        <f t="shared" si="1"/>
        <v>0.002032778554</v>
      </c>
      <c r="I2454" s="8">
        <f t="shared" si="2"/>
        <v>0.002032778554</v>
      </c>
      <c r="J2454" s="7" t="str">
        <f t="shared" si="3"/>
        <v>Sep-2025</v>
      </c>
      <c r="K2454" s="9">
        <f t="shared" si="4"/>
        <v>45901</v>
      </c>
      <c r="L2454" s="7" t="str">
        <f t="shared" si="5"/>
        <v/>
      </c>
      <c r="M2454" s="7" t="str">
        <f>IFERROR(__xludf.DUMMYFUNCTION("IFERROR(
  IF(
    F2454 &gt;
    3*AVERAGE(
       FILTER($F$2:$F10491,
         $G$2:$G10491=G2454,
         $A$2:$A10491&gt;=A2454-20,
         $A$2:$A10491&lt;=A2454
       )
    ),
    ""VOL_SPIKE_3X"",""""
  ),
"""")
"),"")</f>
        <v/>
      </c>
      <c r="N2454" s="7" t="str">
        <f t="shared" si="6"/>
        <v/>
      </c>
      <c r="O2454" s="7" t="str">
        <f t="shared" si="7"/>
        <v/>
      </c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>
      <c r="A2455" s="5">
        <f>IFERROR(__xludf.DUMMYFUNCTION("""COMPUTED_VALUE"""),45912.0)</f>
        <v>45912</v>
      </c>
      <c r="B2455" s="6">
        <f>IFERROR(__xludf.DUMMYFUNCTION("""COMPUTED_VALUE"""),398.95)</f>
        <v>398.95</v>
      </c>
      <c r="C2455" s="6">
        <f>IFERROR(__xludf.DUMMYFUNCTION("""COMPUTED_VALUE"""),401.05)</f>
        <v>401.05</v>
      </c>
      <c r="D2455" s="6">
        <f>IFERROR(__xludf.DUMMYFUNCTION("""COMPUTED_VALUE"""),396.55)</f>
        <v>396.55</v>
      </c>
      <c r="E2455" s="6">
        <f>IFERROR(__xludf.DUMMYFUNCTION("""COMPUTED_VALUE"""),398.75)</f>
        <v>398.75</v>
      </c>
      <c r="F2455" s="7">
        <f>IFERROR(__xludf.DUMMYFUNCTION("""COMPUTED_VALUE"""),1389746.0)</f>
        <v>1389746</v>
      </c>
      <c r="G2455" s="7" t="str">
        <f>IFERROR(__xludf.DUMMYFUNCTION("""COMPUTED_VALUE"""),"HINDPETRO.NS")</f>
        <v>HINDPETRO.NS</v>
      </c>
      <c r="H2455" s="8">
        <f t="shared" si="1"/>
        <v>-0.0005013159544</v>
      </c>
      <c r="I2455" s="8">
        <f t="shared" si="2"/>
        <v>0.0005013159544</v>
      </c>
      <c r="J2455" s="7" t="str">
        <f t="shared" si="3"/>
        <v>Sep-2025</v>
      </c>
      <c r="K2455" s="9">
        <f t="shared" si="4"/>
        <v>45901</v>
      </c>
      <c r="L2455" s="7" t="str">
        <f t="shared" si="5"/>
        <v/>
      </c>
      <c r="M2455" s="7" t="str">
        <f>IFERROR(__xludf.DUMMYFUNCTION("IFERROR(
  IF(
    F2455 &gt;
    3*AVERAGE(
       FILTER($F$2:$F10491,
         $G$2:$G10491=G2455,
         $A$2:$A10491&gt;=A2455-20,
         $A$2:$A10491&lt;=A2455
       )
    ),
    ""VOL_SPIKE_3X"",""""
  ),
"""")
"),"")</f>
        <v/>
      </c>
      <c r="N2455" s="7" t="str">
        <f t="shared" si="6"/>
        <v/>
      </c>
      <c r="O2455" s="7" t="str">
        <f t="shared" si="7"/>
        <v/>
      </c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>
      <c r="A2456" s="5">
        <f>IFERROR(__xludf.DUMMYFUNCTION("""COMPUTED_VALUE"""),45912.0)</f>
        <v>45912</v>
      </c>
      <c r="B2456" s="6">
        <f>IFERROR(__xludf.DUMMYFUNCTION("""COMPUTED_VALUE"""),144.98)</f>
        <v>144.98</v>
      </c>
      <c r="C2456" s="6">
        <f>IFERROR(__xludf.DUMMYFUNCTION("""COMPUTED_VALUE"""),145.2)</f>
        <v>145.2</v>
      </c>
      <c r="D2456" s="6">
        <f>IFERROR(__xludf.DUMMYFUNCTION("""COMPUTED_VALUE"""),142.42)</f>
        <v>142.42</v>
      </c>
      <c r="E2456" s="6">
        <f>IFERROR(__xludf.DUMMYFUNCTION("""COMPUTED_VALUE"""),142.61)</f>
        <v>142.61</v>
      </c>
      <c r="F2456" s="7">
        <f>IFERROR(__xludf.DUMMYFUNCTION("""COMPUTED_VALUE"""),9001678.0)</f>
        <v>9001678</v>
      </c>
      <c r="G2456" s="7" t="str">
        <f>IFERROR(__xludf.DUMMYFUNCTION("""COMPUTED_VALUE"""),"IOC.NS")</f>
        <v>IOC.NS</v>
      </c>
      <c r="H2456" s="8">
        <f t="shared" si="1"/>
        <v>-0.01634708236</v>
      </c>
      <c r="I2456" s="8">
        <f t="shared" si="2"/>
        <v>0.01634708236</v>
      </c>
      <c r="J2456" s="7" t="str">
        <f t="shared" si="3"/>
        <v>Sep-2025</v>
      </c>
      <c r="K2456" s="9">
        <f t="shared" si="4"/>
        <v>45901</v>
      </c>
      <c r="L2456" s="7" t="str">
        <f t="shared" si="5"/>
        <v/>
      </c>
      <c r="M2456" s="7" t="str">
        <f>IFERROR(__xludf.DUMMYFUNCTION("IFERROR(
  IF(
    F2456 &gt;
    3*AVERAGE(
       FILTER($F$2:$F10491,
         $G$2:$G10491=G2456,
         $A$2:$A10491&gt;=A2456-20,
         $A$2:$A10491&lt;=A2456
       )
    ),
    ""VOL_SPIKE_3X"",""""
  ),
"""")
"),"")</f>
        <v/>
      </c>
      <c r="N2456" s="7" t="str">
        <f t="shared" si="6"/>
        <v/>
      </c>
      <c r="O2456" s="7" t="str">
        <f t="shared" si="7"/>
        <v/>
      </c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>
      <c r="A2457" s="5">
        <f>IFERROR(__xludf.DUMMYFUNCTION("""COMPUTED_VALUE"""),45912.0)</f>
        <v>45912</v>
      </c>
      <c r="B2457" s="6">
        <f>IFERROR(__xludf.DUMMYFUNCTION("""COMPUTED_VALUE"""),332.0)</f>
        <v>332</v>
      </c>
      <c r="C2457" s="6">
        <f>IFERROR(__xludf.DUMMYFUNCTION("""COMPUTED_VALUE"""),333.5)</f>
        <v>333.5</v>
      </c>
      <c r="D2457" s="6">
        <f>IFERROR(__xludf.DUMMYFUNCTION("""COMPUTED_VALUE"""),328.4)</f>
        <v>328.4</v>
      </c>
      <c r="E2457" s="6">
        <f>IFERROR(__xludf.DUMMYFUNCTION("""COMPUTED_VALUE"""),331.7)</f>
        <v>331.7</v>
      </c>
      <c r="F2457" s="7">
        <f>IFERROR(__xludf.DUMMYFUNCTION("""COMPUTED_VALUE"""),5257048.0)</f>
        <v>5257048</v>
      </c>
      <c r="G2457" s="7" t="str">
        <f>IFERROR(__xludf.DUMMYFUNCTION("""COMPUTED_VALUE"""),"NTPC.NS")</f>
        <v>NTPC.NS</v>
      </c>
      <c r="H2457" s="8">
        <f t="shared" si="1"/>
        <v>-0.0009036144578</v>
      </c>
      <c r="I2457" s="8">
        <f t="shared" si="2"/>
        <v>0.0009036144578</v>
      </c>
      <c r="J2457" s="7" t="str">
        <f t="shared" si="3"/>
        <v>Sep-2025</v>
      </c>
      <c r="K2457" s="9">
        <f t="shared" si="4"/>
        <v>45901</v>
      </c>
      <c r="L2457" s="7" t="str">
        <f t="shared" si="5"/>
        <v/>
      </c>
      <c r="M2457" s="7" t="str">
        <f>IFERROR(__xludf.DUMMYFUNCTION("IFERROR(
  IF(
    F2457 &gt;
    3*AVERAGE(
       FILTER($F$2:$F10491,
         $G$2:$G10491=G2457,
         $A$2:$A10491&gt;=A2457-20,
         $A$2:$A10491&lt;=A2457
       )
    ),
    ""VOL_SPIKE_3X"",""""
  ),
"""")
"),"")</f>
        <v/>
      </c>
      <c r="N2457" s="7" t="str">
        <f t="shared" si="6"/>
        <v/>
      </c>
      <c r="O2457" s="7" t="str">
        <f t="shared" si="7"/>
        <v/>
      </c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>
      <c r="A2458" s="5">
        <f>IFERROR(__xludf.DUMMYFUNCTION("""COMPUTED_VALUE"""),45912.0)</f>
        <v>45912</v>
      </c>
      <c r="B2458" s="6">
        <f>IFERROR(__xludf.DUMMYFUNCTION("""COMPUTED_VALUE"""),234.51)</f>
        <v>234.51</v>
      </c>
      <c r="C2458" s="6">
        <f>IFERROR(__xludf.DUMMYFUNCTION("""COMPUTED_VALUE"""),235.41)</f>
        <v>235.41</v>
      </c>
      <c r="D2458" s="6">
        <f>IFERROR(__xludf.DUMMYFUNCTION("""COMPUTED_VALUE"""),232.7)</f>
        <v>232.7</v>
      </c>
      <c r="E2458" s="6">
        <f>IFERROR(__xludf.DUMMYFUNCTION("""COMPUTED_VALUE"""),233.25)</f>
        <v>233.25</v>
      </c>
      <c r="F2458" s="7">
        <f>IFERROR(__xludf.DUMMYFUNCTION("""COMPUTED_VALUE"""),6073522.0)</f>
        <v>6073522</v>
      </c>
      <c r="G2458" s="7" t="str">
        <f>IFERROR(__xludf.DUMMYFUNCTION("""COMPUTED_VALUE"""),"ONGC.NS")</f>
        <v>ONGC.NS</v>
      </c>
      <c r="H2458" s="8">
        <f t="shared" si="1"/>
        <v>-0.005372905207</v>
      </c>
      <c r="I2458" s="8">
        <f t="shared" si="2"/>
        <v>0.005372905207</v>
      </c>
      <c r="J2458" s="7" t="str">
        <f t="shared" si="3"/>
        <v>Sep-2025</v>
      </c>
      <c r="K2458" s="9">
        <f t="shared" si="4"/>
        <v>45901</v>
      </c>
      <c r="L2458" s="7" t="str">
        <f t="shared" si="5"/>
        <v/>
      </c>
      <c r="M2458" s="7" t="str">
        <f>IFERROR(__xludf.DUMMYFUNCTION("IFERROR(
  IF(
    F2458 &gt;
    3*AVERAGE(
       FILTER($F$2:$F10491,
         $G$2:$G10491=G2458,
         $A$2:$A10491&gt;=A2458-20,
         $A$2:$A10491&lt;=A2458
       )
    ),
    ""VOL_SPIKE_3X"",""""
  ),
"""")
"),"")</f>
        <v/>
      </c>
      <c r="N2458" s="7" t="str">
        <f t="shared" si="6"/>
        <v/>
      </c>
      <c r="O2458" s="7" t="str">
        <f t="shared" si="7"/>
        <v/>
      </c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>
      <c r="A2459" s="5">
        <f>IFERROR(__xludf.DUMMYFUNCTION("""COMPUTED_VALUE"""),45912.0)</f>
        <v>45912</v>
      </c>
      <c r="B2459" s="6">
        <f>IFERROR(__xludf.DUMMYFUNCTION("""COMPUTED_VALUE"""),287.25)</f>
        <v>287.25</v>
      </c>
      <c r="C2459" s="6">
        <f>IFERROR(__xludf.DUMMYFUNCTION("""COMPUTED_VALUE"""),288.6)</f>
        <v>288.6</v>
      </c>
      <c r="D2459" s="6">
        <f>IFERROR(__xludf.DUMMYFUNCTION("""COMPUTED_VALUE"""),285.1)</f>
        <v>285.1</v>
      </c>
      <c r="E2459" s="6">
        <f>IFERROR(__xludf.DUMMYFUNCTION("""COMPUTED_VALUE"""),287.65)</f>
        <v>287.65</v>
      </c>
      <c r="F2459" s="7">
        <f>IFERROR(__xludf.DUMMYFUNCTION("""COMPUTED_VALUE"""),7618852.0)</f>
        <v>7618852</v>
      </c>
      <c r="G2459" s="7" t="str">
        <f>IFERROR(__xludf.DUMMYFUNCTION("""COMPUTED_VALUE"""),"POWERGRID.NS")</f>
        <v>POWERGRID.NS</v>
      </c>
      <c r="H2459" s="8">
        <f t="shared" si="1"/>
        <v>0.001392515231</v>
      </c>
      <c r="I2459" s="8">
        <f t="shared" si="2"/>
        <v>0.001392515231</v>
      </c>
      <c r="J2459" s="7" t="str">
        <f t="shared" si="3"/>
        <v>Sep-2025</v>
      </c>
      <c r="K2459" s="9">
        <f t="shared" si="4"/>
        <v>45901</v>
      </c>
      <c r="L2459" s="7" t="str">
        <f t="shared" si="5"/>
        <v/>
      </c>
      <c r="M2459" s="7" t="str">
        <f>IFERROR(__xludf.DUMMYFUNCTION("IFERROR(
  IF(
    F2459 &gt;
    3*AVERAGE(
       FILTER($F$2:$F10491,
         $G$2:$G10491=G2459,
         $A$2:$A10491&gt;=A2459-20,
         $A$2:$A10491&lt;=A2459
       )
    ),
    ""VOL_SPIKE_3X"",""""
  ),
"""")
"),"")</f>
        <v/>
      </c>
      <c r="N2459" s="7" t="str">
        <f t="shared" si="6"/>
        <v/>
      </c>
      <c r="O2459" s="7" t="str">
        <f t="shared" si="7"/>
        <v/>
      </c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>
      <c r="A2460" s="5">
        <f>IFERROR(__xludf.DUMMYFUNCTION("""COMPUTED_VALUE"""),45912.0)</f>
        <v>45912</v>
      </c>
      <c r="B2460" s="6">
        <f>IFERROR(__xludf.DUMMYFUNCTION("""COMPUTED_VALUE"""),1383.3)</f>
        <v>1383.3</v>
      </c>
      <c r="C2460" s="6">
        <f>IFERROR(__xludf.DUMMYFUNCTION("""COMPUTED_VALUE"""),1396.3)</f>
        <v>1396.3</v>
      </c>
      <c r="D2460" s="6">
        <f>IFERROR(__xludf.DUMMYFUNCTION("""COMPUTED_VALUE"""),1380.5)</f>
        <v>1380.5</v>
      </c>
      <c r="E2460" s="6">
        <f>IFERROR(__xludf.DUMMYFUNCTION("""COMPUTED_VALUE"""),1395.0)</f>
        <v>1395</v>
      </c>
      <c r="F2460" s="7">
        <f>IFERROR(__xludf.DUMMYFUNCTION("""COMPUTED_VALUE"""),7403368.0)</f>
        <v>7403368</v>
      </c>
      <c r="G2460" s="7" t="str">
        <f>IFERROR(__xludf.DUMMYFUNCTION("""COMPUTED_VALUE"""),"RELIANCE.NS")</f>
        <v>RELIANCE.NS</v>
      </c>
      <c r="H2460" s="8">
        <f t="shared" si="1"/>
        <v>0.008458035133</v>
      </c>
      <c r="I2460" s="8">
        <f t="shared" si="2"/>
        <v>0.008458035133</v>
      </c>
      <c r="J2460" s="7" t="str">
        <f t="shared" si="3"/>
        <v>Sep-2025</v>
      </c>
      <c r="K2460" s="9">
        <f t="shared" si="4"/>
        <v>45901</v>
      </c>
      <c r="L2460" s="7" t="str">
        <f t="shared" si="5"/>
        <v/>
      </c>
      <c r="M2460" s="7" t="str">
        <f>IFERROR(__xludf.DUMMYFUNCTION("IFERROR(
  IF(
    F2460 &gt;
    3*AVERAGE(
       FILTER($F$2:$F10491,
         $G$2:$G10491=G2460,
         $A$2:$A10491&gt;=A2460-20,
         $A$2:$A10491&lt;=A2460
       )
    ),
    ""VOL_SPIKE_3X"",""""
  ),
"""")
"),"")</f>
        <v/>
      </c>
      <c r="N2460" s="7" t="str">
        <f t="shared" si="6"/>
        <v/>
      </c>
      <c r="O2460" s="7" t="str">
        <f t="shared" si="7"/>
        <v/>
      </c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>
      <c r="A2461" s="5">
        <f>IFERROR(__xludf.DUMMYFUNCTION("""COMPUTED_VALUE"""),45915.0)</f>
        <v>45915</v>
      </c>
      <c r="B2461" s="6">
        <f>IFERROR(__xludf.DUMMYFUNCTION("""COMPUTED_VALUE"""),834.0)</f>
        <v>834</v>
      </c>
      <c r="C2461" s="6">
        <f>IFERROR(__xludf.DUMMYFUNCTION("""COMPUTED_VALUE"""),843.4)</f>
        <v>843.4</v>
      </c>
      <c r="D2461" s="6">
        <f>IFERROR(__xludf.DUMMYFUNCTION("""COMPUTED_VALUE"""),830.05)</f>
        <v>830.05</v>
      </c>
      <c r="E2461" s="6">
        <f>IFERROR(__xludf.DUMMYFUNCTION("""COMPUTED_VALUE"""),837.15)</f>
        <v>837.15</v>
      </c>
      <c r="F2461" s="7">
        <f>IFERROR(__xludf.DUMMYFUNCTION("""COMPUTED_VALUE"""),1406308.0)</f>
        <v>1406308</v>
      </c>
      <c r="G2461" s="7" t="str">
        <f>IFERROR(__xludf.DUMMYFUNCTION("""COMPUTED_VALUE"""),"ADANIENSOL.NS")</f>
        <v>ADANIENSOL.NS</v>
      </c>
      <c r="H2461" s="8">
        <f t="shared" si="1"/>
        <v>0.003776978417</v>
      </c>
      <c r="I2461" s="8">
        <f t="shared" si="2"/>
        <v>0.003776978417</v>
      </c>
      <c r="J2461" s="7" t="str">
        <f t="shared" si="3"/>
        <v>Sep-2025</v>
      </c>
      <c r="K2461" s="9">
        <f t="shared" si="4"/>
        <v>45901</v>
      </c>
      <c r="L2461" s="7" t="str">
        <f t="shared" si="5"/>
        <v/>
      </c>
      <c r="M2461" s="7" t="str">
        <f>IFERROR(__xludf.DUMMYFUNCTION("IFERROR(
  IF(
    F2461 &gt;
    3*AVERAGE(
       FILTER($F$2:$F10491,
         $G$2:$G10491=G2461,
         $A$2:$A10491&gt;=A2461-20,
         $A$2:$A10491&lt;=A2461
       )
    ),
    ""VOL_SPIKE_3X"",""""
  ),
"""")
"),"")</f>
        <v/>
      </c>
      <c r="N2461" s="7" t="str">
        <f t="shared" si="6"/>
        <v/>
      </c>
      <c r="O2461" s="7" t="str">
        <f t="shared" si="7"/>
        <v/>
      </c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>
      <c r="A2462" s="5">
        <f>IFERROR(__xludf.DUMMYFUNCTION("""COMPUTED_VALUE"""),45915.0)</f>
        <v>45915</v>
      </c>
      <c r="B2462" s="6">
        <f>IFERROR(__xludf.DUMMYFUNCTION("""COMPUTED_VALUE"""),984.0)</f>
        <v>984</v>
      </c>
      <c r="C2462" s="6">
        <f>IFERROR(__xludf.DUMMYFUNCTION("""COMPUTED_VALUE"""),993.8)</f>
        <v>993.8</v>
      </c>
      <c r="D2462" s="6">
        <f>IFERROR(__xludf.DUMMYFUNCTION("""COMPUTED_VALUE"""),983.45)</f>
        <v>983.45</v>
      </c>
      <c r="E2462" s="6">
        <f>IFERROR(__xludf.DUMMYFUNCTION("""COMPUTED_VALUE"""),986.7)</f>
        <v>986.7</v>
      </c>
      <c r="F2462" s="7">
        <f>IFERROR(__xludf.DUMMYFUNCTION("""COMPUTED_VALUE"""),924070.0)</f>
        <v>924070</v>
      </c>
      <c r="G2462" s="7" t="str">
        <f>IFERROR(__xludf.DUMMYFUNCTION("""COMPUTED_VALUE"""),"ADANIGREEN.NS")</f>
        <v>ADANIGREEN.NS</v>
      </c>
      <c r="H2462" s="8">
        <f t="shared" si="1"/>
        <v>0.002743902439</v>
      </c>
      <c r="I2462" s="8">
        <f t="shared" si="2"/>
        <v>0.002743902439</v>
      </c>
      <c r="J2462" s="7" t="str">
        <f t="shared" si="3"/>
        <v>Sep-2025</v>
      </c>
      <c r="K2462" s="9">
        <f t="shared" si="4"/>
        <v>45901</v>
      </c>
      <c r="L2462" s="7" t="str">
        <f t="shared" si="5"/>
        <v/>
      </c>
      <c r="M2462" s="7" t="str">
        <f>IFERROR(__xludf.DUMMYFUNCTION("IFERROR(
  IF(
    F2462 &gt;
    3*AVERAGE(
       FILTER($F$2:$F10491,
         $G$2:$G10491=G2462,
         $A$2:$A10491&gt;=A2462-20,
         $A$2:$A10491&lt;=A2462
       )
    ),
    ""VOL_SPIKE_3X"",""""
  ),
"""")
"),"")</f>
        <v/>
      </c>
      <c r="N2462" s="7" t="str">
        <f t="shared" si="6"/>
        <v/>
      </c>
      <c r="O2462" s="7" t="str">
        <f t="shared" si="7"/>
        <v/>
      </c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>
      <c r="A2463" s="5">
        <f>IFERROR(__xludf.DUMMYFUNCTION("""COMPUTED_VALUE"""),45915.0)</f>
        <v>45915</v>
      </c>
      <c r="B2463" s="6">
        <f>IFERROR(__xludf.DUMMYFUNCTION("""COMPUTED_VALUE"""),318.3)</f>
        <v>318.3</v>
      </c>
      <c r="C2463" s="6">
        <f>IFERROR(__xludf.DUMMYFUNCTION("""COMPUTED_VALUE"""),320.7)</f>
        <v>320.7</v>
      </c>
      <c r="D2463" s="6">
        <f>IFERROR(__xludf.DUMMYFUNCTION("""COMPUTED_VALUE"""),315.7)</f>
        <v>315.7</v>
      </c>
      <c r="E2463" s="6">
        <f>IFERROR(__xludf.DUMMYFUNCTION("""COMPUTED_VALUE"""),317.75)</f>
        <v>317.75</v>
      </c>
      <c r="F2463" s="7">
        <f>IFERROR(__xludf.DUMMYFUNCTION("""COMPUTED_VALUE"""),4653626.0)</f>
        <v>4653626</v>
      </c>
      <c r="G2463" s="7" t="str">
        <f>IFERROR(__xludf.DUMMYFUNCTION("""COMPUTED_VALUE"""),"BPCL.NS")</f>
        <v>BPCL.NS</v>
      </c>
      <c r="H2463" s="8">
        <f t="shared" si="1"/>
        <v>-0.001727929626</v>
      </c>
      <c r="I2463" s="8">
        <f t="shared" si="2"/>
        <v>0.001727929626</v>
      </c>
      <c r="J2463" s="7" t="str">
        <f t="shared" si="3"/>
        <v>Sep-2025</v>
      </c>
      <c r="K2463" s="9">
        <f t="shared" si="4"/>
        <v>45901</v>
      </c>
      <c r="L2463" s="7" t="str">
        <f t="shared" si="5"/>
        <v/>
      </c>
      <c r="M2463" s="7" t="str">
        <f>IFERROR(__xludf.DUMMYFUNCTION("IFERROR(
  IF(
    F2463 &gt;
    3*AVERAGE(
       FILTER($F$2:$F10491,
         $G$2:$G10491=G2463,
         $A$2:$A10491&gt;=A2463-20,
         $A$2:$A10491&lt;=A2463
       )
    ),
    ""VOL_SPIKE_3X"",""""
  ),
"""")
"),"")</f>
        <v/>
      </c>
      <c r="N2463" s="7" t="str">
        <f t="shared" si="6"/>
        <v/>
      </c>
      <c r="O2463" s="7" t="str">
        <f t="shared" si="7"/>
        <v/>
      </c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>
      <c r="A2464" s="5">
        <f>IFERROR(__xludf.DUMMYFUNCTION("""COMPUTED_VALUE"""),45915.0)</f>
        <v>45915</v>
      </c>
      <c r="B2464" s="6">
        <f>IFERROR(__xludf.DUMMYFUNCTION("""COMPUTED_VALUE"""),394.35)</f>
        <v>394.35</v>
      </c>
      <c r="C2464" s="6">
        <f>IFERROR(__xludf.DUMMYFUNCTION("""COMPUTED_VALUE"""),400.65)</f>
        <v>400.65</v>
      </c>
      <c r="D2464" s="6">
        <f>IFERROR(__xludf.DUMMYFUNCTION("""COMPUTED_VALUE"""),394.3)</f>
        <v>394.3</v>
      </c>
      <c r="E2464" s="6">
        <f>IFERROR(__xludf.DUMMYFUNCTION("""COMPUTED_VALUE"""),394.75)</f>
        <v>394.75</v>
      </c>
      <c r="F2464" s="7">
        <f>IFERROR(__xludf.DUMMYFUNCTION("""COMPUTED_VALUE"""),4618798.0)</f>
        <v>4618798</v>
      </c>
      <c r="G2464" s="7" t="str">
        <f>IFERROR(__xludf.DUMMYFUNCTION("""COMPUTED_VALUE"""),"COALINDIA.NS")</f>
        <v>COALINDIA.NS</v>
      </c>
      <c r="H2464" s="8">
        <f t="shared" si="1"/>
        <v>0.001014327374</v>
      </c>
      <c r="I2464" s="8">
        <f t="shared" si="2"/>
        <v>0.001014327374</v>
      </c>
      <c r="J2464" s="7" t="str">
        <f t="shared" si="3"/>
        <v>Sep-2025</v>
      </c>
      <c r="K2464" s="9">
        <f t="shared" si="4"/>
        <v>45901</v>
      </c>
      <c r="L2464" s="7" t="str">
        <f t="shared" si="5"/>
        <v/>
      </c>
      <c r="M2464" s="7" t="str">
        <f>IFERROR(__xludf.DUMMYFUNCTION("IFERROR(
  IF(
    F2464 &gt;
    3*AVERAGE(
       FILTER($F$2:$F10491,
         $G$2:$G10491=G2464,
         $A$2:$A10491&gt;=A2464-20,
         $A$2:$A10491&lt;=A2464
       )
    ),
    ""VOL_SPIKE_3X"",""""
  ),
"""")
"),"")</f>
        <v/>
      </c>
      <c r="N2464" s="7" t="str">
        <f t="shared" si="6"/>
        <v/>
      </c>
      <c r="O2464" s="7" t="str">
        <f t="shared" si="7"/>
        <v/>
      </c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>
      <c r="A2465" s="5">
        <f>IFERROR(__xludf.DUMMYFUNCTION("""COMPUTED_VALUE"""),45915.0)</f>
        <v>45915</v>
      </c>
      <c r="B2465" s="6">
        <f>IFERROR(__xludf.DUMMYFUNCTION("""COMPUTED_VALUE"""),398.75)</f>
        <v>398.75</v>
      </c>
      <c r="C2465" s="6">
        <f>IFERROR(__xludf.DUMMYFUNCTION("""COMPUTED_VALUE"""),400.65)</f>
        <v>400.65</v>
      </c>
      <c r="D2465" s="6">
        <f>IFERROR(__xludf.DUMMYFUNCTION("""COMPUTED_VALUE"""),396.2)</f>
        <v>396.2</v>
      </c>
      <c r="E2465" s="6">
        <f>IFERROR(__xludf.DUMMYFUNCTION("""COMPUTED_VALUE"""),399.85)</f>
        <v>399.85</v>
      </c>
      <c r="F2465" s="7">
        <f>IFERROR(__xludf.DUMMYFUNCTION("""COMPUTED_VALUE"""),1227975.0)</f>
        <v>1227975</v>
      </c>
      <c r="G2465" s="7" t="str">
        <f>IFERROR(__xludf.DUMMYFUNCTION("""COMPUTED_VALUE"""),"HINDPETRO.NS")</f>
        <v>HINDPETRO.NS</v>
      </c>
      <c r="H2465" s="8">
        <f t="shared" si="1"/>
        <v>0.00275862069</v>
      </c>
      <c r="I2465" s="8">
        <f t="shared" si="2"/>
        <v>0.00275862069</v>
      </c>
      <c r="J2465" s="7" t="str">
        <f t="shared" si="3"/>
        <v>Sep-2025</v>
      </c>
      <c r="K2465" s="9">
        <f t="shared" si="4"/>
        <v>45901</v>
      </c>
      <c r="L2465" s="7" t="str">
        <f t="shared" si="5"/>
        <v/>
      </c>
      <c r="M2465" s="7" t="str">
        <f>IFERROR(__xludf.DUMMYFUNCTION("IFERROR(
  IF(
    F2465 &gt;
    3*AVERAGE(
       FILTER($F$2:$F10491,
         $G$2:$G10491=G2465,
         $A$2:$A10491&gt;=A2465-20,
         $A$2:$A10491&lt;=A2465
       )
    ),
    ""VOL_SPIKE_3X"",""""
  ),
"""")
"),"")</f>
        <v/>
      </c>
      <c r="N2465" s="7" t="str">
        <f t="shared" si="6"/>
        <v/>
      </c>
      <c r="O2465" s="7" t="str">
        <f t="shared" si="7"/>
        <v/>
      </c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>
      <c r="A2466" s="5">
        <f>IFERROR(__xludf.DUMMYFUNCTION("""COMPUTED_VALUE"""),45915.0)</f>
        <v>45915</v>
      </c>
      <c r="B2466" s="6">
        <f>IFERROR(__xludf.DUMMYFUNCTION("""COMPUTED_VALUE"""),142.74)</f>
        <v>142.74</v>
      </c>
      <c r="C2466" s="6">
        <f>IFERROR(__xludf.DUMMYFUNCTION("""COMPUTED_VALUE"""),144.19)</f>
        <v>144.19</v>
      </c>
      <c r="D2466" s="6">
        <f>IFERROR(__xludf.DUMMYFUNCTION("""COMPUTED_VALUE"""),142.31)</f>
        <v>142.31</v>
      </c>
      <c r="E2466" s="6">
        <f>IFERROR(__xludf.DUMMYFUNCTION("""COMPUTED_VALUE"""),143.99)</f>
        <v>143.99</v>
      </c>
      <c r="F2466" s="7">
        <f>IFERROR(__xludf.DUMMYFUNCTION("""COMPUTED_VALUE"""),8158591.0)</f>
        <v>8158591</v>
      </c>
      <c r="G2466" s="7" t="str">
        <f>IFERROR(__xludf.DUMMYFUNCTION("""COMPUTED_VALUE"""),"IOC.NS")</f>
        <v>IOC.NS</v>
      </c>
      <c r="H2466" s="8">
        <f t="shared" si="1"/>
        <v>0.008757180888</v>
      </c>
      <c r="I2466" s="8">
        <f t="shared" si="2"/>
        <v>0.008757180888</v>
      </c>
      <c r="J2466" s="7" t="str">
        <f t="shared" si="3"/>
        <v>Sep-2025</v>
      </c>
      <c r="K2466" s="9">
        <f t="shared" si="4"/>
        <v>45901</v>
      </c>
      <c r="L2466" s="7" t="str">
        <f t="shared" si="5"/>
        <v/>
      </c>
      <c r="M2466" s="7" t="str">
        <f>IFERROR(__xludf.DUMMYFUNCTION("IFERROR(
  IF(
    F2466 &gt;
    3*AVERAGE(
       FILTER($F$2:$F10491,
         $G$2:$G10491=G2466,
         $A$2:$A10491&gt;=A2466-20,
         $A$2:$A10491&lt;=A2466
       )
    ),
    ""VOL_SPIKE_3X"",""""
  ),
"""")
"),"")</f>
        <v/>
      </c>
      <c r="N2466" s="7" t="str">
        <f t="shared" si="6"/>
        <v/>
      </c>
      <c r="O2466" s="7" t="str">
        <f t="shared" si="7"/>
        <v/>
      </c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>
      <c r="A2467" s="5">
        <f>IFERROR(__xludf.DUMMYFUNCTION("""COMPUTED_VALUE"""),45915.0)</f>
        <v>45915</v>
      </c>
      <c r="B2467" s="6">
        <f>IFERROR(__xludf.DUMMYFUNCTION("""COMPUTED_VALUE"""),331.0)</f>
        <v>331</v>
      </c>
      <c r="C2467" s="6">
        <f>IFERROR(__xludf.DUMMYFUNCTION("""COMPUTED_VALUE"""),333.8)</f>
        <v>333.8</v>
      </c>
      <c r="D2467" s="6">
        <f>IFERROR(__xludf.DUMMYFUNCTION("""COMPUTED_VALUE"""),330.65)</f>
        <v>330.65</v>
      </c>
      <c r="E2467" s="6">
        <f>IFERROR(__xludf.DUMMYFUNCTION("""COMPUTED_VALUE"""),331.1)</f>
        <v>331.1</v>
      </c>
      <c r="F2467" s="7">
        <f>IFERROR(__xludf.DUMMYFUNCTION("""COMPUTED_VALUE"""),6566824.0)</f>
        <v>6566824</v>
      </c>
      <c r="G2467" s="7" t="str">
        <f>IFERROR(__xludf.DUMMYFUNCTION("""COMPUTED_VALUE"""),"NTPC.NS")</f>
        <v>NTPC.NS</v>
      </c>
      <c r="H2467" s="8">
        <f t="shared" si="1"/>
        <v>0.0003021148036</v>
      </c>
      <c r="I2467" s="8">
        <f t="shared" si="2"/>
        <v>0.0003021148036</v>
      </c>
      <c r="J2467" s="7" t="str">
        <f t="shared" si="3"/>
        <v>Sep-2025</v>
      </c>
      <c r="K2467" s="9">
        <f t="shared" si="4"/>
        <v>45901</v>
      </c>
      <c r="L2467" s="7" t="str">
        <f t="shared" si="5"/>
        <v/>
      </c>
      <c r="M2467" s="7" t="str">
        <f>IFERROR(__xludf.DUMMYFUNCTION("IFERROR(
  IF(
    F2467 &gt;
    3*AVERAGE(
       FILTER($F$2:$F10491,
         $G$2:$G10491=G2467,
         $A$2:$A10491&gt;=A2467-20,
         $A$2:$A10491&lt;=A2467
       )
    ),
    ""VOL_SPIKE_3X"",""""
  ),
"""")
"),"")</f>
        <v/>
      </c>
      <c r="N2467" s="7" t="str">
        <f t="shared" si="6"/>
        <v/>
      </c>
      <c r="O2467" s="7" t="str">
        <f t="shared" si="7"/>
        <v/>
      </c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>
      <c r="A2468" s="5">
        <f>IFERROR(__xludf.DUMMYFUNCTION("""COMPUTED_VALUE"""),45915.0)</f>
        <v>45915</v>
      </c>
      <c r="B2468" s="6">
        <f>IFERROR(__xludf.DUMMYFUNCTION("""COMPUTED_VALUE"""),233.15)</f>
        <v>233.15</v>
      </c>
      <c r="C2468" s="6">
        <f>IFERROR(__xludf.DUMMYFUNCTION("""COMPUTED_VALUE"""),234.19)</f>
        <v>234.19</v>
      </c>
      <c r="D2468" s="6">
        <f>IFERROR(__xludf.DUMMYFUNCTION("""COMPUTED_VALUE"""),232.0)</f>
        <v>232</v>
      </c>
      <c r="E2468" s="6">
        <f>IFERROR(__xludf.DUMMYFUNCTION("""COMPUTED_VALUE"""),232.26)</f>
        <v>232.26</v>
      </c>
      <c r="F2468" s="7">
        <f>IFERROR(__xludf.DUMMYFUNCTION("""COMPUTED_VALUE"""),6153784.0)</f>
        <v>6153784</v>
      </c>
      <c r="G2468" s="7" t="str">
        <f>IFERROR(__xludf.DUMMYFUNCTION("""COMPUTED_VALUE"""),"ONGC.NS")</f>
        <v>ONGC.NS</v>
      </c>
      <c r="H2468" s="8">
        <f t="shared" si="1"/>
        <v>-0.00381728501</v>
      </c>
      <c r="I2468" s="8">
        <f t="shared" si="2"/>
        <v>0.00381728501</v>
      </c>
      <c r="J2468" s="7" t="str">
        <f t="shared" si="3"/>
        <v>Sep-2025</v>
      </c>
      <c r="K2468" s="9">
        <f t="shared" si="4"/>
        <v>45901</v>
      </c>
      <c r="L2468" s="7" t="str">
        <f t="shared" si="5"/>
        <v/>
      </c>
      <c r="M2468" s="7" t="str">
        <f>IFERROR(__xludf.DUMMYFUNCTION("IFERROR(
  IF(
    F2468 &gt;
    3*AVERAGE(
       FILTER($F$2:$F10491,
         $G$2:$G10491=G2468,
         $A$2:$A10491&gt;=A2468-20,
         $A$2:$A10491&lt;=A2468
       )
    ),
    ""VOL_SPIKE_3X"",""""
  ),
"""")
"),"")</f>
        <v/>
      </c>
      <c r="N2468" s="7" t="str">
        <f t="shared" si="6"/>
        <v/>
      </c>
      <c r="O2468" s="7" t="str">
        <f t="shared" si="7"/>
        <v/>
      </c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>
      <c r="A2469" s="5">
        <f>IFERROR(__xludf.DUMMYFUNCTION("""COMPUTED_VALUE"""),45915.0)</f>
        <v>45915</v>
      </c>
      <c r="B2469" s="6">
        <f>IFERROR(__xludf.DUMMYFUNCTION("""COMPUTED_VALUE"""),288.3)</f>
        <v>288.3</v>
      </c>
      <c r="C2469" s="6">
        <f>IFERROR(__xludf.DUMMYFUNCTION("""COMPUTED_VALUE"""),288.8)</f>
        <v>288.8</v>
      </c>
      <c r="D2469" s="6">
        <f>IFERROR(__xludf.DUMMYFUNCTION("""COMPUTED_VALUE"""),285.75)</f>
        <v>285.75</v>
      </c>
      <c r="E2469" s="6">
        <f>IFERROR(__xludf.DUMMYFUNCTION("""COMPUTED_VALUE"""),286.25)</f>
        <v>286.25</v>
      </c>
      <c r="F2469" s="7">
        <f>IFERROR(__xludf.DUMMYFUNCTION("""COMPUTED_VALUE"""),5420800.0)</f>
        <v>5420800</v>
      </c>
      <c r="G2469" s="7" t="str">
        <f>IFERROR(__xludf.DUMMYFUNCTION("""COMPUTED_VALUE"""),"POWERGRID.NS")</f>
        <v>POWERGRID.NS</v>
      </c>
      <c r="H2469" s="8">
        <f t="shared" si="1"/>
        <v>-0.00711064863</v>
      </c>
      <c r="I2469" s="8">
        <f t="shared" si="2"/>
        <v>0.00711064863</v>
      </c>
      <c r="J2469" s="7" t="str">
        <f t="shared" si="3"/>
        <v>Sep-2025</v>
      </c>
      <c r="K2469" s="9">
        <f t="shared" si="4"/>
        <v>45901</v>
      </c>
      <c r="L2469" s="7" t="str">
        <f t="shared" si="5"/>
        <v/>
      </c>
      <c r="M2469" s="7" t="str">
        <f>IFERROR(__xludf.DUMMYFUNCTION("IFERROR(
  IF(
    F2469 &gt;
    3*AVERAGE(
       FILTER($F$2:$F10491,
         $G$2:$G10491=G2469,
         $A$2:$A10491&gt;=A2469-20,
         $A$2:$A10491&lt;=A2469
       )
    ),
    ""VOL_SPIKE_3X"",""""
  ),
"""")
"),"")</f>
        <v/>
      </c>
      <c r="N2469" s="7" t="str">
        <f t="shared" si="6"/>
        <v/>
      </c>
      <c r="O2469" s="7" t="str">
        <f t="shared" si="7"/>
        <v/>
      </c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>
      <c r="A2470" s="5">
        <f>IFERROR(__xludf.DUMMYFUNCTION("""COMPUTED_VALUE"""),45915.0)</f>
        <v>45915</v>
      </c>
      <c r="B2470" s="6">
        <f>IFERROR(__xludf.DUMMYFUNCTION("""COMPUTED_VALUE"""),1393.0)</f>
        <v>1393</v>
      </c>
      <c r="C2470" s="6">
        <f>IFERROR(__xludf.DUMMYFUNCTION("""COMPUTED_VALUE"""),1400.8)</f>
        <v>1400.8</v>
      </c>
      <c r="D2470" s="6">
        <f>IFERROR(__xludf.DUMMYFUNCTION("""COMPUTED_VALUE"""),1388.6)</f>
        <v>1388.6</v>
      </c>
      <c r="E2470" s="6">
        <f>IFERROR(__xludf.DUMMYFUNCTION("""COMPUTED_VALUE"""),1399.3)</f>
        <v>1399.3</v>
      </c>
      <c r="F2470" s="7">
        <f>IFERROR(__xludf.DUMMYFUNCTION("""COMPUTED_VALUE"""),5396697.0)</f>
        <v>5396697</v>
      </c>
      <c r="G2470" s="7" t="str">
        <f>IFERROR(__xludf.DUMMYFUNCTION("""COMPUTED_VALUE"""),"RELIANCE.NS")</f>
        <v>RELIANCE.NS</v>
      </c>
      <c r="H2470" s="8">
        <f t="shared" si="1"/>
        <v>0.004522613065</v>
      </c>
      <c r="I2470" s="8">
        <f t="shared" si="2"/>
        <v>0.004522613065</v>
      </c>
      <c r="J2470" s="7" t="str">
        <f t="shared" si="3"/>
        <v>Sep-2025</v>
      </c>
      <c r="K2470" s="9">
        <f t="shared" si="4"/>
        <v>45901</v>
      </c>
      <c r="L2470" s="7" t="str">
        <f t="shared" si="5"/>
        <v/>
      </c>
      <c r="M2470" s="7" t="str">
        <f>IFERROR(__xludf.DUMMYFUNCTION("IFERROR(
  IF(
    F2470 &gt;
    3*AVERAGE(
       FILTER($F$2:$F10491,
         $G$2:$G10491=G2470,
         $A$2:$A10491&gt;=A2470-20,
         $A$2:$A10491&lt;=A2470
       )
    ),
    ""VOL_SPIKE_3X"",""""
  ),
"""")
"),"")</f>
        <v/>
      </c>
      <c r="N2470" s="7" t="str">
        <f t="shared" si="6"/>
        <v/>
      </c>
      <c r="O2470" s="7" t="str">
        <f t="shared" si="7"/>
        <v/>
      </c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hidden="1">
      <c r="A2471" s="5">
        <f>IFERROR(__xludf.DUMMYFUNCTION("""COMPUTED_VALUE"""),45916.0)</f>
        <v>45916</v>
      </c>
      <c r="B2471" s="7">
        <f>IFERROR(__xludf.DUMMYFUNCTION("""COMPUTED_VALUE"""),319.35)</f>
        <v>319.35</v>
      </c>
      <c r="C2471" s="7">
        <f>IFERROR(__xludf.DUMMYFUNCTION("""COMPUTED_VALUE"""),321.1)</f>
        <v>321.1</v>
      </c>
      <c r="D2471" s="7">
        <f>IFERROR(__xludf.DUMMYFUNCTION("""COMPUTED_VALUE"""),316.5)</f>
        <v>316.5</v>
      </c>
      <c r="E2471" s="7">
        <f>IFERROR(__xludf.DUMMYFUNCTION("""COMPUTED_VALUE"""),318.25)</f>
        <v>318.25</v>
      </c>
      <c r="F2471" s="7">
        <f>IFERROR(__xludf.DUMMYFUNCTION("""COMPUTED_VALUE"""),5381837.0)</f>
        <v>5381837</v>
      </c>
      <c r="G2471" s="7" t="str">
        <f>IFERROR(__xludf.DUMMYFUNCTION("""COMPUTED_VALUE"""),"BPCL.NS")</f>
        <v>BPCL.NS</v>
      </c>
      <c r="H2471" s="8"/>
      <c r="I2471" s="8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hidden="1">
      <c r="A2472" s="5">
        <f>IFERROR(__xludf.DUMMYFUNCTION("""COMPUTED_VALUE"""),45916.0)</f>
        <v>45916</v>
      </c>
      <c r="B2472" s="7">
        <f>IFERROR(__xludf.DUMMYFUNCTION("""COMPUTED_VALUE"""),401.8)</f>
        <v>401.8</v>
      </c>
      <c r="C2472" s="7">
        <f>IFERROR(__xludf.DUMMYFUNCTION("""COMPUTED_VALUE"""),403.05)</f>
        <v>403.05</v>
      </c>
      <c r="D2472" s="7">
        <f>IFERROR(__xludf.DUMMYFUNCTION("""COMPUTED_VALUE"""),400.15)</f>
        <v>400.15</v>
      </c>
      <c r="E2472" s="7">
        <f>IFERROR(__xludf.DUMMYFUNCTION("""COMPUTED_VALUE"""),402.0)</f>
        <v>402</v>
      </c>
      <c r="F2472" s="7">
        <f>IFERROR(__xludf.DUMMYFUNCTION("""COMPUTED_VALUE"""),1344352.0)</f>
        <v>1344352</v>
      </c>
      <c r="G2472" s="7" t="str">
        <f>IFERROR(__xludf.DUMMYFUNCTION("""COMPUTED_VALUE"""),"HINDPETRO.NS")</f>
        <v>HINDPETRO.NS</v>
      </c>
      <c r="H2472" s="8"/>
      <c r="I2472" s="8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hidden="1">
      <c r="A2473" s="5">
        <f>IFERROR(__xludf.DUMMYFUNCTION("""COMPUTED_VALUE"""),45916.0)</f>
        <v>45916</v>
      </c>
      <c r="B2473" s="7">
        <f>IFERROR(__xludf.DUMMYFUNCTION("""COMPUTED_VALUE"""),144.05)</f>
        <v>144.05</v>
      </c>
      <c r="C2473" s="7">
        <f>IFERROR(__xludf.DUMMYFUNCTION("""COMPUTED_VALUE"""),145.14)</f>
        <v>145.14</v>
      </c>
      <c r="D2473" s="7">
        <f>IFERROR(__xludf.DUMMYFUNCTION("""COMPUTED_VALUE"""),143.82)</f>
        <v>143.82</v>
      </c>
      <c r="E2473" s="7">
        <f>IFERROR(__xludf.DUMMYFUNCTION("""COMPUTED_VALUE"""),144.98)</f>
        <v>144.98</v>
      </c>
      <c r="F2473" s="7">
        <f>IFERROR(__xludf.DUMMYFUNCTION("""COMPUTED_VALUE"""),6389553.0)</f>
        <v>6389553</v>
      </c>
      <c r="G2473" s="7" t="str">
        <f>IFERROR(__xludf.DUMMYFUNCTION("""COMPUTED_VALUE"""),"IOC.NS")</f>
        <v>IOC.NS</v>
      </c>
      <c r="H2473" s="8"/>
      <c r="I2473" s="8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hidden="1">
      <c r="A2474" s="5">
        <f>IFERROR(__xludf.DUMMYFUNCTION("""COMPUTED_VALUE"""),45916.0)</f>
        <v>45916</v>
      </c>
      <c r="B2474" s="7">
        <f>IFERROR(__xludf.DUMMYFUNCTION("""COMPUTED_VALUE"""),331.2)</f>
        <v>331.2</v>
      </c>
      <c r="C2474" s="7">
        <f>IFERROR(__xludf.DUMMYFUNCTION("""COMPUTED_VALUE"""),335.8)</f>
        <v>335.8</v>
      </c>
      <c r="D2474" s="7">
        <f>IFERROR(__xludf.DUMMYFUNCTION("""COMPUTED_VALUE"""),331.2)</f>
        <v>331.2</v>
      </c>
      <c r="E2474" s="7">
        <f>IFERROR(__xludf.DUMMYFUNCTION("""COMPUTED_VALUE"""),335.05)</f>
        <v>335.05</v>
      </c>
      <c r="F2474" s="7">
        <f>IFERROR(__xludf.DUMMYFUNCTION("""COMPUTED_VALUE"""),8784885.0)</f>
        <v>8784885</v>
      </c>
      <c r="G2474" s="7" t="str">
        <f>IFERROR(__xludf.DUMMYFUNCTION("""COMPUTED_VALUE"""),"NTPC.NS")</f>
        <v>NTPC.NS</v>
      </c>
      <c r="H2474" s="8"/>
      <c r="I2474" s="8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hidden="1">
      <c r="A2475" s="5">
        <f>IFERROR(__xludf.DUMMYFUNCTION("""COMPUTED_VALUE"""),45916.0)</f>
        <v>45916</v>
      </c>
      <c r="B2475" s="7">
        <f>IFERROR(__xludf.DUMMYFUNCTION("""COMPUTED_VALUE"""),232.48)</f>
        <v>232.48</v>
      </c>
      <c r="C2475" s="7">
        <f>IFERROR(__xludf.DUMMYFUNCTION("""COMPUTED_VALUE"""),235.27)</f>
        <v>235.27</v>
      </c>
      <c r="D2475" s="7">
        <f>IFERROR(__xludf.DUMMYFUNCTION("""COMPUTED_VALUE"""),232.42)</f>
        <v>232.42</v>
      </c>
      <c r="E2475" s="7">
        <f>IFERROR(__xludf.DUMMYFUNCTION("""COMPUTED_VALUE"""),235.09)</f>
        <v>235.09</v>
      </c>
      <c r="F2475" s="7">
        <f>IFERROR(__xludf.DUMMYFUNCTION("""COMPUTED_VALUE"""),7319845.0)</f>
        <v>7319845</v>
      </c>
      <c r="G2475" s="7" t="str">
        <f>IFERROR(__xludf.DUMMYFUNCTION("""COMPUTED_VALUE"""),"ONGC.NS")</f>
        <v>ONGC.NS</v>
      </c>
      <c r="H2475" s="8"/>
      <c r="I2475" s="8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hidden="1">
      <c r="A2476" s="5">
        <f>IFERROR(__xludf.DUMMYFUNCTION("""COMPUTED_VALUE"""),45916.0)</f>
        <v>45916</v>
      </c>
      <c r="B2476" s="7">
        <f>IFERROR(__xludf.DUMMYFUNCTION("""COMPUTED_VALUE"""),1404.7)</f>
        <v>1404.7</v>
      </c>
      <c r="C2476" s="7">
        <f>IFERROR(__xludf.DUMMYFUNCTION("""COMPUTED_VALUE"""),1408.0)</f>
        <v>1408</v>
      </c>
      <c r="D2476" s="7">
        <f>IFERROR(__xludf.DUMMYFUNCTION("""COMPUTED_VALUE"""),1398.2)</f>
        <v>1398.2</v>
      </c>
      <c r="E2476" s="7">
        <f>IFERROR(__xludf.DUMMYFUNCTION("""COMPUTED_VALUE"""),1405.3)</f>
        <v>1405.3</v>
      </c>
      <c r="F2476" s="7">
        <f>IFERROR(__xludf.DUMMYFUNCTION("""COMPUTED_VALUE"""),8686919.0)</f>
        <v>8686919</v>
      </c>
      <c r="G2476" s="7" t="str">
        <f>IFERROR(__xludf.DUMMYFUNCTION("""COMPUTED_VALUE"""),"RELIANCE.NS")</f>
        <v>RELIANCE.NS</v>
      </c>
      <c r="H2476" s="8"/>
      <c r="I2476" s="8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hidden="1">
      <c r="A2477" s="7"/>
      <c r="B2477" s="7"/>
      <c r="C2477" s="7"/>
      <c r="D2477" s="7"/>
      <c r="E2477" s="7"/>
      <c r="F2477" s="7"/>
      <c r="G2477" s="7"/>
      <c r="H2477" s="8"/>
      <c r="I2477" s="8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hidden="1">
      <c r="A2478" s="7"/>
      <c r="B2478" s="7"/>
      <c r="C2478" s="7"/>
      <c r="D2478" s="7"/>
      <c r="E2478" s="7"/>
      <c r="F2478" s="7"/>
      <c r="G2478" s="7"/>
      <c r="H2478" s="8"/>
      <c r="I2478" s="8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hidden="1">
      <c r="A2479" s="7"/>
      <c r="B2479" s="7"/>
      <c r="C2479" s="7"/>
      <c r="D2479" s="7"/>
      <c r="E2479" s="7"/>
      <c r="F2479" s="7"/>
      <c r="G2479" s="7"/>
      <c r="H2479" s="8"/>
      <c r="I2479" s="8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hidden="1">
      <c r="A2480" s="7"/>
      <c r="B2480" s="7"/>
      <c r="C2480" s="7"/>
      <c r="D2480" s="7"/>
      <c r="E2480" s="7"/>
      <c r="F2480" s="7"/>
      <c r="G2480" s="7"/>
      <c r="H2480" s="8"/>
      <c r="I2480" s="8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hidden="1">
      <c r="A2481" s="7"/>
      <c r="B2481" s="7"/>
      <c r="C2481" s="7"/>
      <c r="D2481" s="7"/>
      <c r="E2481" s="7"/>
      <c r="F2481" s="7"/>
      <c r="G2481" s="7"/>
      <c r="H2481" s="8"/>
      <c r="I2481" s="8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hidden="1">
      <c r="A2482" s="7"/>
      <c r="B2482" s="7"/>
      <c r="C2482" s="7"/>
      <c r="D2482" s="7"/>
      <c r="E2482" s="7"/>
      <c r="F2482" s="7"/>
      <c r="G2482" s="7"/>
      <c r="H2482" s="8"/>
      <c r="I2482" s="8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hidden="1">
      <c r="A2483" s="7"/>
      <c r="B2483" s="7"/>
      <c r="C2483" s="7"/>
      <c r="D2483" s="7"/>
      <c r="E2483" s="7"/>
      <c r="F2483" s="7"/>
      <c r="G2483" s="7"/>
      <c r="H2483" s="8"/>
      <c r="I2483" s="8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hidden="1">
      <c r="A2484" s="7"/>
      <c r="B2484" s="7"/>
      <c r="C2484" s="7"/>
      <c r="D2484" s="7"/>
      <c r="E2484" s="7"/>
      <c r="F2484" s="7"/>
      <c r="G2484" s="7"/>
      <c r="H2484" s="8"/>
      <c r="I2484" s="8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hidden="1">
      <c r="A2485" s="7"/>
      <c r="B2485" s="7"/>
      <c r="C2485" s="7"/>
      <c r="D2485" s="7"/>
      <c r="E2485" s="7"/>
      <c r="F2485" s="7"/>
      <c r="G2485" s="7"/>
      <c r="H2485" s="8"/>
      <c r="I2485" s="8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hidden="1">
      <c r="A2486" s="7"/>
      <c r="B2486" s="7"/>
      <c r="C2486" s="7"/>
      <c r="D2486" s="7"/>
      <c r="E2486" s="7"/>
      <c r="F2486" s="7"/>
      <c r="G2486" s="7"/>
      <c r="H2486" s="8"/>
      <c r="I2486" s="8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hidden="1">
      <c r="A2487" s="7"/>
      <c r="B2487" s="7"/>
      <c r="C2487" s="7"/>
      <c r="D2487" s="7"/>
      <c r="E2487" s="7"/>
      <c r="F2487" s="7"/>
      <c r="G2487" s="7"/>
      <c r="H2487" s="8"/>
      <c r="I2487" s="8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hidden="1">
      <c r="A2488" s="7"/>
      <c r="B2488" s="7"/>
      <c r="C2488" s="7"/>
      <c r="D2488" s="7"/>
      <c r="E2488" s="7"/>
      <c r="F2488" s="7"/>
      <c r="G2488" s="7"/>
      <c r="H2488" s="8"/>
      <c r="I2488" s="8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hidden="1">
      <c r="A2489" s="7"/>
      <c r="B2489" s="7"/>
      <c r="C2489" s="7"/>
      <c r="D2489" s="7"/>
      <c r="E2489" s="7"/>
      <c r="F2489" s="7"/>
      <c r="G2489" s="7"/>
      <c r="H2489" s="8"/>
      <c r="I2489" s="8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hidden="1">
      <c r="A2490" s="7"/>
      <c r="B2490" s="7"/>
      <c r="C2490" s="7"/>
      <c r="D2490" s="7"/>
      <c r="E2490" s="7"/>
      <c r="F2490" s="7"/>
      <c r="G2490" s="7"/>
      <c r="H2490" s="8"/>
      <c r="I2490" s="8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hidden="1">
      <c r="A2491" s="7"/>
      <c r="B2491" s="7"/>
      <c r="C2491" s="7"/>
      <c r="D2491" s="7"/>
      <c r="E2491" s="7"/>
      <c r="F2491" s="7"/>
      <c r="G2491" s="7"/>
      <c r="H2491" s="8"/>
      <c r="I2491" s="8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hidden="1">
      <c r="A2492" s="7"/>
      <c r="B2492" s="7"/>
      <c r="C2492" s="7"/>
      <c r="D2492" s="7"/>
      <c r="E2492" s="7"/>
      <c r="F2492" s="7"/>
      <c r="G2492" s="7"/>
      <c r="H2492" s="8"/>
      <c r="I2492" s="8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hidden="1">
      <c r="A2493" s="7"/>
      <c r="B2493" s="7"/>
      <c r="C2493" s="7"/>
      <c r="D2493" s="7"/>
      <c r="E2493" s="7"/>
      <c r="F2493" s="7"/>
      <c r="G2493" s="7"/>
      <c r="H2493" s="8"/>
      <c r="I2493" s="8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hidden="1">
      <c r="A2494" s="7"/>
      <c r="B2494" s="7"/>
      <c r="C2494" s="7"/>
      <c r="D2494" s="7"/>
      <c r="E2494" s="7"/>
      <c r="F2494" s="7"/>
      <c r="G2494" s="7"/>
      <c r="H2494" s="8"/>
      <c r="I2494" s="8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hidden="1">
      <c r="A2495" s="7"/>
      <c r="B2495" s="7"/>
      <c r="C2495" s="7"/>
      <c r="D2495" s="7"/>
      <c r="E2495" s="7"/>
      <c r="F2495" s="7"/>
      <c r="G2495" s="7"/>
      <c r="H2495" s="8"/>
      <c r="I2495" s="8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hidden="1">
      <c r="A2496" s="7"/>
      <c r="B2496" s="7"/>
      <c r="C2496" s="7"/>
      <c r="D2496" s="7"/>
      <c r="E2496" s="7"/>
      <c r="F2496" s="7"/>
      <c r="G2496" s="7"/>
      <c r="H2496" s="8"/>
      <c r="I2496" s="8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hidden="1">
      <c r="A2497" s="7"/>
      <c r="B2497" s="7"/>
      <c r="C2497" s="7"/>
      <c r="D2497" s="7"/>
      <c r="E2497" s="7"/>
      <c r="F2497" s="7"/>
      <c r="G2497" s="7"/>
      <c r="H2497" s="8"/>
      <c r="I2497" s="8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hidden="1">
      <c r="A2498" s="7"/>
      <c r="B2498" s="7"/>
      <c r="C2498" s="7"/>
      <c r="D2498" s="7"/>
      <c r="E2498" s="7"/>
      <c r="F2498" s="7"/>
      <c r="G2498" s="7"/>
      <c r="H2498" s="8"/>
      <c r="I2498" s="8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hidden="1">
      <c r="A2499" s="7"/>
      <c r="B2499" s="7"/>
      <c r="C2499" s="7"/>
      <c r="D2499" s="7"/>
      <c r="E2499" s="7"/>
      <c r="F2499" s="7"/>
      <c r="G2499" s="7"/>
      <c r="H2499" s="8"/>
      <c r="I2499" s="8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hidden="1">
      <c r="A2500" s="7"/>
      <c r="B2500" s="7"/>
      <c r="C2500" s="7"/>
      <c r="D2500" s="7"/>
      <c r="E2500" s="7"/>
      <c r="F2500" s="7"/>
      <c r="G2500" s="7"/>
      <c r="H2500" s="8"/>
      <c r="I2500" s="8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hidden="1">
      <c r="A2501" s="7"/>
      <c r="B2501" s="7"/>
      <c r="C2501" s="7"/>
      <c r="D2501" s="7"/>
      <c r="E2501" s="7"/>
      <c r="F2501" s="7"/>
      <c r="G2501" s="7"/>
      <c r="H2501" s="8"/>
      <c r="I2501" s="8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hidden="1">
      <c r="A2502" s="7"/>
      <c r="B2502" s="7"/>
      <c r="C2502" s="7"/>
      <c r="D2502" s="7"/>
      <c r="E2502" s="7"/>
      <c r="F2502" s="7"/>
      <c r="G2502" s="7"/>
      <c r="H2502" s="8"/>
      <c r="I2502" s="8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hidden="1">
      <c r="A2503" s="7"/>
      <c r="B2503" s="7"/>
      <c r="C2503" s="7"/>
      <c r="D2503" s="7"/>
      <c r="E2503" s="7"/>
      <c r="F2503" s="7"/>
      <c r="G2503" s="7"/>
      <c r="H2503" s="8"/>
      <c r="I2503" s="8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hidden="1">
      <c r="A2504" s="7"/>
      <c r="B2504" s="7"/>
      <c r="C2504" s="7"/>
      <c r="D2504" s="7"/>
      <c r="E2504" s="7"/>
      <c r="F2504" s="7"/>
      <c r="G2504" s="7"/>
      <c r="H2504" s="8"/>
      <c r="I2504" s="8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hidden="1">
      <c r="A2505" s="7"/>
      <c r="B2505" s="7"/>
      <c r="C2505" s="7"/>
      <c r="D2505" s="7"/>
      <c r="E2505" s="7"/>
      <c r="F2505" s="7"/>
      <c r="G2505" s="7"/>
      <c r="H2505" s="8"/>
      <c r="I2505" s="8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hidden="1">
      <c r="A2506" s="7"/>
      <c r="B2506" s="7"/>
      <c r="C2506" s="7"/>
      <c r="D2506" s="7"/>
      <c r="E2506" s="7"/>
      <c r="F2506" s="7"/>
      <c r="G2506" s="7"/>
      <c r="H2506" s="8"/>
      <c r="I2506" s="8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hidden="1">
      <c r="A2507" s="7"/>
      <c r="B2507" s="7"/>
      <c r="C2507" s="7"/>
      <c r="D2507" s="7"/>
      <c r="E2507" s="7"/>
      <c r="F2507" s="7"/>
      <c r="G2507" s="7"/>
      <c r="H2507" s="8"/>
      <c r="I2507" s="8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hidden="1">
      <c r="A2508" s="7"/>
      <c r="B2508" s="7"/>
      <c r="C2508" s="7"/>
      <c r="D2508" s="7"/>
      <c r="E2508" s="7"/>
      <c r="F2508" s="7"/>
      <c r="G2508" s="7"/>
      <c r="H2508" s="8"/>
      <c r="I2508" s="8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hidden="1">
      <c r="A2509" s="7"/>
      <c r="B2509" s="7"/>
      <c r="C2509" s="7"/>
      <c r="D2509" s="7"/>
      <c r="E2509" s="7"/>
      <c r="F2509" s="7"/>
      <c r="G2509" s="7"/>
      <c r="H2509" s="8"/>
      <c r="I2509" s="8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hidden="1">
      <c r="A2510" s="7"/>
      <c r="B2510" s="7"/>
      <c r="C2510" s="7"/>
      <c r="D2510" s="7"/>
      <c r="E2510" s="7"/>
      <c r="F2510" s="7"/>
      <c r="G2510" s="7"/>
      <c r="H2510" s="8"/>
      <c r="I2510" s="8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hidden="1">
      <c r="A2511" s="7"/>
      <c r="B2511" s="7"/>
      <c r="C2511" s="7"/>
      <c r="D2511" s="7"/>
      <c r="E2511" s="7"/>
      <c r="F2511" s="7"/>
      <c r="G2511" s="7"/>
      <c r="H2511" s="8"/>
      <c r="I2511" s="8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hidden="1">
      <c r="A2512" s="7"/>
      <c r="B2512" s="7"/>
      <c r="C2512" s="7"/>
      <c r="D2512" s="7"/>
      <c r="E2512" s="7"/>
      <c r="F2512" s="7"/>
      <c r="G2512" s="7"/>
      <c r="H2512" s="8"/>
      <c r="I2512" s="8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hidden="1">
      <c r="A2513" s="7"/>
      <c r="B2513" s="7"/>
      <c r="C2513" s="7"/>
      <c r="D2513" s="7"/>
      <c r="E2513" s="7"/>
      <c r="F2513" s="7"/>
      <c r="G2513" s="7"/>
      <c r="H2513" s="8"/>
      <c r="I2513" s="8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hidden="1">
      <c r="A2514" s="7"/>
      <c r="B2514" s="7"/>
      <c r="C2514" s="7"/>
      <c r="D2514" s="7"/>
      <c r="E2514" s="7"/>
      <c r="F2514" s="7"/>
      <c r="G2514" s="7"/>
      <c r="H2514" s="8"/>
      <c r="I2514" s="8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hidden="1">
      <c r="A2515" s="7"/>
      <c r="B2515" s="7"/>
      <c r="C2515" s="7"/>
      <c r="D2515" s="7"/>
      <c r="E2515" s="7"/>
      <c r="F2515" s="7"/>
      <c r="G2515" s="7"/>
      <c r="H2515" s="8"/>
      <c r="I2515" s="8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hidden="1">
      <c r="A2516" s="7"/>
      <c r="B2516" s="7"/>
      <c r="C2516" s="7"/>
      <c r="D2516" s="7"/>
      <c r="E2516" s="7"/>
      <c r="F2516" s="7"/>
      <c r="G2516" s="7"/>
      <c r="H2516" s="8"/>
      <c r="I2516" s="8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hidden="1">
      <c r="A2517" s="7"/>
      <c r="B2517" s="7"/>
      <c r="C2517" s="7"/>
      <c r="D2517" s="7"/>
      <c r="E2517" s="7"/>
      <c r="F2517" s="7"/>
      <c r="G2517" s="7"/>
      <c r="H2517" s="8"/>
      <c r="I2517" s="8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hidden="1">
      <c r="A2518" s="7"/>
      <c r="B2518" s="7"/>
      <c r="C2518" s="7"/>
      <c r="D2518" s="7"/>
      <c r="E2518" s="7"/>
      <c r="F2518" s="7"/>
      <c r="G2518" s="7"/>
      <c r="H2518" s="8"/>
      <c r="I2518" s="8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hidden="1">
      <c r="A2519" s="7"/>
      <c r="B2519" s="7"/>
      <c r="C2519" s="7"/>
      <c r="D2519" s="7"/>
      <c r="E2519" s="7"/>
      <c r="F2519" s="7"/>
      <c r="G2519" s="7"/>
      <c r="H2519" s="8"/>
      <c r="I2519" s="8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hidden="1">
      <c r="A2520" s="7"/>
      <c r="B2520" s="7"/>
      <c r="C2520" s="7"/>
      <c r="D2520" s="7"/>
      <c r="E2520" s="7"/>
      <c r="F2520" s="7"/>
      <c r="G2520" s="7"/>
      <c r="H2520" s="8"/>
      <c r="I2520" s="8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hidden="1">
      <c r="A2521" s="7"/>
      <c r="B2521" s="7"/>
      <c r="C2521" s="7"/>
      <c r="D2521" s="7"/>
      <c r="E2521" s="7"/>
      <c r="F2521" s="7"/>
      <c r="G2521" s="7"/>
      <c r="H2521" s="8"/>
      <c r="I2521" s="8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hidden="1">
      <c r="A2522" s="7"/>
      <c r="B2522" s="7"/>
      <c r="C2522" s="7"/>
      <c r="D2522" s="7"/>
      <c r="E2522" s="7"/>
      <c r="F2522" s="7"/>
      <c r="G2522" s="7"/>
      <c r="H2522" s="8"/>
      <c r="I2522" s="8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hidden="1">
      <c r="A2523" s="7"/>
      <c r="B2523" s="7"/>
      <c r="C2523" s="7"/>
      <c r="D2523" s="7"/>
      <c r="E2523" s="7"/>
      <c r="F2523" s="7"/>
      <c r="G2523" s="7"/>
      <c r="H2523" s="8"/>
      <c r="I2523" s="8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hidden="1">
      <c r="A2524" s="7"/>
      <c r="B2524" s="7"/>
      <c r="C2524" s="7"/>
      <c r="D2524" s="7"/>
      <c r="E2524" s="7"/>
      <c r="F2524" s="7"/>
      <c r="G2524" s="7"/>
      <c r="H2524" s="8"/>
      <c r="I2524" s="8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hidden="1">
      <c r="A2525" s="7"/>
      <c r="B2525" s="7"/>
      <c r="C2525" s="7"/>
      <c r="D2525" s="7"/>
      <c r="E2525" s="7"/>
      <c r="F2525" s="7"/>
      <c r="G2525" s="7"/>
      <c r="H2525" s="8"/>
      <c r="I2525" s="8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hidden="1">
      <c r="A2526" s="7"/>
      <c r="B2526" s="7"/>
      <c r="C2526" s="7"/>
      <c r="D2526" s="7"/>
      <c r="E2526" s="7"/>
      <c r="F2526" s="7"/>
      <c r="G2526" s="7"/>
      <c r="H2526" s="8"/>
      <c r="I2526" s="8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hidden="1">
      <c r="A2527" s="7"/>
      <c r="B2527" s="7"/>
      <c r="C2527" s="7"/>
      <c r="D2527" s="7"/>
      <c r="E2527" s="7"/>
      <c r="F2527" s="7"/>
      <c r="G2527" s="7"/>
      <c r="H2527" s="8"/>
      <c r="I2527" s="8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hidden="1">
      <c r="A2528" s="7"/>
      <c r="B2528" s="7"/>
      <c r="C2528" s="7"/>
      <c r="D2528" s="7"/>
      <c r="E2528" s="7"/>
      <c r="F2528" s="7"/>
      <c r="G2528" s="7"/>
      <c r="H2528" s="8"/>
      <c r="I2528" s="8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hidden="1">
      <c r="A2529" s="7"/>
      <c r="B2529" s="7"/>
      <c r="C2529" s="7"/>
      <c r="D2529" s="7"/>
      <c r="E2529" s="7"/>
      <c r="F2529" s="7"/>
      <c r="G2529" s="7"/>
      <c r="H2529" s="8"/>
      <c r="I2529" s="8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hidden="1">
      <c r="A2530" s="7"/>
      <c r="B2530" s="7"/>
      <c r="C2530" s="7"/>
      <c r="D2530" s="7"/>
      <c r="E2530" s="7"/>
      <c r="F2530" s="7"/>
      <c r="G2530" s="7"/>
      <c r="H2530" s="8"/>
      <c r="I2530" s="8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hidden="1">
      <c r="A2531" s="7"/>
      <c r="B2531" s="7"/>
      <c r="C2531" s="7"/>
      <c r="D2531" s="7"/>
      <c r="E2531" s="7"/>
      <c r="F2531" s="7"/>
      <c r="G2531" s="7"/>
      <c r="H2531" s="8"/>
      <c r="I2531" s="8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hidden="1">
      <c r="A2532" s="7"/>
      <c r="B2532" s="7"/>
      <c r="C2532" s="7"/>
      <c r="D2532" s="7"/>
      <c r="E2532" s="7"/>
      <c r="F2532" s="7"/>
      <c r="G2532" s="7"/>
      <c r="H2532" s="8"/>
      <c r="I2532" s="8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hidden="1">
      <c r="A2533" s="7"/>
      <c r="B2533" s="7"/>
      <c r="C2533" s="7"/>
      <c r="D2533" s="7"/>
      <c r="E2533" s="7"/>
      <c r="F2533" s="7"/>
      <c r="G2533" s="7"/>
      <c r="H2533" s="8"/>
      <c r="I2533" s="8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hidden="1">
      <c r="A2534" s="7"/>
      <c r="B2534" s="7"/>
      <c r="C2534" s="7"/>
      <c r="D2534" s="7"/>
      <c r="E2534" s="7"/>
      <c r="F2534" s="7"/>
      <c r="G2534" s="7"/>
      <c r="H2534" s="8"/>
      <c r="I2534" s="8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hidden="1">
      <c r="A2535" s="7"/>
      <c r="B2535" s="7"/>
      <c r="C2535" s="7"/>
      <c r="D2535" s="7"/>
      <c r="E2535" s="7"/>
      <c r="F2535" s="7"/>
      <c r="G2535" s="7"/>
      <c r="H2535" s="8"/>
      <c r="I2535" s="8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hidden="1">
      <c r="A2536" s="7"/>
      <c r="B2536" s="7"/>
      <c r="C2536" s="7"/>
      <c r="D2536" s="7"/>
      <c r="E2536" s="7"/>
      <c r="F2536" s="7"/>
      <c r="G2536" s="7"/>
      <c r="H2536" s="8"/>
      <c r="I2536" s="8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hidden="1">
      <c r="A2537" s="7"/>
      <c r="B2537" s="7"/>
      <c r="C2537" s="7"/>
      <c r="D2537" s="7"/>
      <c r="E2537" s="7"/>
      <c r="F2537" s="7"/>
      <c r="G2537" s="7"/>
      <c r="H2537" s="8"/>
      <c r="I2537" s="8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hidden="1">
      <c r="A2538" s="7"/>
      <c r="B2538" s="7"/>
      <c r="C2538" s="7"/>
      <c r="D2538" s="7"/>
      <c r="E2538" s="7"/>
      <c r="F2538" s="7"/>
      <c r="G2538" s="7"/>
      <c r="H2538" s="8"/>
      <c r="I2538" s="8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hidden="1">
      <c r="A2539" s="7"/>
      <c r="B2539" s="7"/>
      <c r="C2539" s="7"/>
      <c r="D2539" s="7"/>
      <c r="E2539" s="7"/>
      <c r="F2539" s="7"/>
      <c r="G2539" s="7"/>
      <c r="H2539" s="8"/>
      <c r="I2539" s="8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hidden="1">
      <c r="A2540" s="7"/>
      <c r="B2540" s="7"/>
      <c r="C2540" s="7"/>
      <c r="D2540" s="7"/>
      <c r="E2540" s="7"/>
      <c r="F2540" s="7"/>
      <c r="G2540" s="7"/>
      <c r="H2540" s="8"/>
      <c r="I2540" s="8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hidden="1">
      <c r="A2541" s="7"/>
      <c r="B2541" s="7"/>
      <c r="C2541" s="7"/>
      <c r="D2541" s="7"/>
      <c r="E2541" s="7"/>
      <c r="F2541" s="7"/>
      <c r="G2541" s="7"/>
      <c r="H2541" s="8"/>
      <c r="I2541" s="8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hidden="1">
      <c r="A2542" s="7"/>
      <c r="B2542" s="7"/>
      <c r="C2542" s="7"/>
      <c r="D2542" s="7"/>
      <c r="E2542" s="7"/>
      <c r="F2542" s="7"/>
      <c r="G2542" s="7"/>
      <c r="H2542" s="8"/>
      <c r="I2542" s="8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hidden="1">
      <c r="A2543" s="7"/>
      <c r="B2543" s="7"/>
      <c r="C2543" s="7"/>
      <c r="D2543" s="7"/>
      <c r="E2543" s="7"/>
      <c r="F2543" s="7"/>
      <c r="G2543" s="7"/>
      <c r="H2543" s="8"/>
      <c r="I2543" s="8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hidden="1">
      <c r="A2544" s="7"/>
      <c r="B2544" s="7"/>
      <c r="C2544" s="7"/>
      <c r="D2544" s="7"/>
      <c r="E2544" s="7"/>
      <c r="F2544" s="7"/>
      <c r="G2544" s="7"/>
      <c r="H2544" s="8"/>
      <c r="I2544" s="8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hidden="1">
      <c r="A2545" s="7"/>
      <c r="B2545" s="7"/>
      <c r="C2545" s="7"/>
      <c r="D2545" s="7"/>
      <c r="E2545" s="7"/>
      <c r="F2545" s="7"/>
      <c r="G2545" s="7"/>
      <c r="H2545" s="8"/>
      <c r="I2545" s="8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hidden="1">
      <c r="A2546" s="7"/>
      <c r="B2546" s="7"/>
      <c r="C2546" s="7"/>
      <c r="D2546" s="7"/>
      <c r="E2546" s="7"/>
      <c r="F2546" s="7"/>
      <c r="G2546" s="7"/>
      <c r="H2546" s="8"/>
      <c r="I2546" s="8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hidden="1">
      <c r="A2547" s="7"/>
      <c r="B2547" s="7"/>
      <c r="C2547" s="7"/>
      <c r="D2547" s="7"/>
      <c r="E2547" s="7"/>
      <c r="F2547" s="7"/>
      <c r="G2547" s="7"/>
      <c r="H2547" s="8"/>
      <c r="I2547" s="8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hidden="1">
      <c r="A2548" s="7"/>
      <c r="B2548" s="7"/>
      <c r="C2548" s="7"/>
      <c r="D2548" s="7"/>
      <c r="E2548" s="7"/>
      <c r="F2548" s="7"/>
      <c r="G2548" s="7"/>
      <c r="H2548" s="8"/>
      <c r="I2548" s="8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hidden="1">
      <c r="A2549" s="7"/>
      <c r="B2549" s="7"/>
      <c r="C2549" s="7"/>
      <c r="D2549" s="7"/>
      <c r="E2549" s="7"/>
      <c r="F2549" s="7"/>
      <c r="G2549" s="7"/>
      <c r="H2549" s="8"/>
      <c r="I2549" s="8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hidden="1">
      <c r="A2550" s="7"/>
      <c r="B2550" s="7"/>
      <c r="C2550" s="7"/>
      <c r="D2550" s="7"/>
      <c r="E2550" s="7"/>
      <c r="F2550" s="7"/>
      <c r="G2550" s="7"/>
      <c r="H2550" s="8"/>
      <c r="I2550" s="8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hidden="1">
      <c r="A2551" s="7"/>
      <c r="B2551" s="7"/>
      <c r="C2551" s="7"/>
      <c r="D2551" s="7"/>
      <c r="E2551" s="7"/>
      <c r="F2551" s="7"/>
      <c r="G2551" s="7"/>
      <c r="H2551" s="8"/>
      <c r="I2551" s="8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hidden="1">
      <c r="A2552" s="7"/>
      <c r="B2552" s="7"/>
      <c r="C2552" s="7"/>
      <c r="D2552" s="7"/>
      <c r="E2552" s="7"/>
      <c r="F2552" s="7"/>
      <c r="G2552" s="7"/>
      <c r="H2552" s="8"/>
      <c r="I2552" s="8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hidden="1">
      <c r="A2553" s="7"/>
      <c r="B2553" s="7"/>
      <c r="C2553" s="7"/>
      <c r="D2553" s="7"/>
      <c r="E2553" s="7"/>
      <c r="F2553" s="7"/>
      <c r="G2553" s="7"/>
      <c r="H2553" s="8"/>
      <c r="I2553" s="8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hidden="1">
      <c r="A2554" s="7"/>
      <c r="B2554" s="7"/>
      <c r="C2554" s="7"/>
      <c r="D2554" s="7"/>
      <c r="E2554" s="7"/>
      <c r="F2554" s="7"/>
      <c r="G2554" s="7"/>
      <c r="H2554" s="8"/>
      <c r="I2554" s="8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hidden="1">
      <c r="A2555" s="7"/>
      <c r="B2555" s="7"/>
      <c r="C2555" s="7"/>
      <c r="D2555" s="7"/>
      <c r="E2555" s="7"/>
      <c r="F2555" s="7"/>
      <c r="G2555" s="7"/>
      <c r="H2555" s="8"/>
      <c r="I2555" s="8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hidden="1">
      <c r="A2556" s="7"/>
      <c r="B2556" s="7"/>
      <c r="C2556" s="7"/>
      <c r="D2556" s="7"/>
      <c r="E2556" s="7"/>
      <c r="F2556" s="7"/>
      <c r="G2556" s="7"/>
      <c r="H2556" s="8"/>
      <c r="I2556" s="8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hidden="1">
      <c r="A2557" s="7"/>
      <c r="B2557" s="7"/>
      <c r="C2557" s="7"/>
      <c r="D2557" s="7"/>
      <c r="E2557" s="7"/>
      <c r="F2557" s="7"/>
      <c r="G2557" s="7"/>
      <c r="H2557" s="8"/>
      <c r="I2557" s="8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hidden="1">
      <c r="A2558" s="7"/>
      <c r="B2558" s="7"/>
      <c r="C2558" s="7"/>
      <c r="D2558" s="7"/>
      <c r="E2558" s="7"/>
      <c r="F2558" s="7"/>
      <c r="G2558" s="7"/>
      <c r="H2558" s="8"/>
      <c r="I2558" s="8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hidden="1">
      <c r="A2559" s="7"/>
      <c r="B2559" s="7"/>
      <c r="C2559" s="7"/>
      <c r="D2559" s="7"/>
      <c r="E2559" s="7"/>
      <c r="F2559" s="7"/>
      <c r="G2559" s="7"/>
      <c r="H2559" s="8"/>
      <c r="I2559" s="8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hidden="1">
      <c r="A2560" s="7"/>
      <c r="B2560" s="7"/>
      <c r="C2560" s="7"/>
      <c r="D2560" s="7"/>
      <c r="E2560" s="7"/>
      <c r="F2560" s="7"/>
      <c r="G2560" s="7"/>
      <c r="H2560" s="8"/>
      <c r="I2560" s="8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hidden="1">
      <c r="A2561" s="7"/>
      <c r="B2561" s="7"/>
      <c r="C2561" s="7"/>
      <c r="D2561" s="7"/>
      <c r="E2561" s="7"/>
      <c r="F2561" s="7"/>
      <c r="G2561" s="7"/>
      <c r="H2561" s="8"/>
      <c r="I2561" s="8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hidden="1">
      <c r="A2562" s="7"/>
      <c r="B2562" s="7"/>
      <c r="C2562" s="7"/>
      <c r="D2562" s="7"/>
      <c r="E2562" s="7"/>
      <c r="F2562" s="7"/>
      <c r="G2562" s="7"/>
      <c r="H2562" s="8"/>
      <c r="I2562" s="8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hidden="1">
      <c r="A2563" s="7"/>
      <c r="B2563" s="7"/>
      <c r="C2563" s="7"/>
      <c r="D2563" s="7"/>
      <c r="E2563" s="7"/>
      <c r="F2563" s="7"/>
      <c r="G2563" s="7"/>
      <c r="H2563" s="8"/>
      <c r="I2563" s="8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hidden="1">
      <c r="A2564" s="7"/>
      <c r="B2564" s="7"/>
      <c r="C2564" s="7"/>
      <c r="D2564" s="7"/>
      <c r="E2564" s="7"/>
      <c r="F2564" s="7"/>
      <c r="G2564" s="7"/>
      <c r="H2564" s="8"/>
      <c r="I2564" s="8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hidden="1">
      <c r="A2565" s="7"/>
      <c r="B2565" s="7"/>
      <c r="C2565" s="7"/>
      <c r="D2565" s="7"/>
      <c r="E2565" s="7"/>
      <c r="F2565" s="7"/>
      <c r="G2565" s="7"/>
      <c r="H2565" s="8"/>
      <c r="I2565" s="8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hidden="1">
      <c r="A2566" s="7"/>
      <c r="B2566" s="7"/>
      <c r="C2566" s="7"/>
      <c r="D2566" s="7"/>
      <c r="E2566" s="7"/>
      <c r="F2566" s="7"/>
      <c r="G2566" s="7"/>
      <c r="H2566" s="8"/>
      <c r="I2566" s="8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hidden="1">
      <c r="A2567" s="7"/>
      <c r="B2567" s="7"/>
      <c r="C2567" s="7"/>
      <c r="D2567" s="7"/>
      <c r="E2567" s="7"/>
      <c r="F2567" s="7"/>
      <c r="G2567" s="7"/>
      <c r="H2567" s="8"/>
      <c r="I2567" s="8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hidden="1">
      <c r="A2568" s="7"/>
      <c r="B2568" s="7"/>
      <c r="C2568" s="7"/>
      <c r="D2568" s="7"/>
      <c r="E2568" s="7"/>
      <c r="F2568" s="7"/>
      <c r="G2568" s="7"/>
      <c r="H2568" s="8"/>
      <c r="I2568" s="8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hidden="1">
      <c r="A2569" s="7"/>
      <c r="B2569" s="7"/>
      <c r="C2569" s="7"/>
      <c r="D2569" s="7"/>
      <c r="E2569" s="7"/>
      <c r="F2569" s="7"/>
      <c r="G2569" s="7"/>
      <c r="H2569" s="8"/>
      <c r="I2569" s="8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hidden="1">
      <c r="A2570" s="7"/>
      <c r="B2570" s="7"/>
      <c r="C2570" s="7"/>
      <c r="D2570" s="7"/>
      <c r="E2570" s="7"/>
      <c r="F2570" s="7"/>
      <c r="G2570" s="7"/>
      <c r="H2570" s="8"/>
      <c r="I2570" s="8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hidden="1">
      <c r="A2571" s="7"/>
      <c r="B2571" s="7"/>
      <c r="C2571" s="7"/>
      <c r="D2571" s="7"/>
      <c r="E2571" s="7"/>
      <c r="F2571" s="7"/>
      <c r="G2571" s="7"/>
      <c r="H2571" s="8"/>
      <c r="I2571" s="8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hidden="1">
      <c r="A2572" s="7"/>
      <c r="B2572" s="7"/>
      <c r="C2572" s="7"/>
      <c r="D2572" s="7"/>
      <c r="E2572" s="7"/>
      <c r="F2572" s="7"/>
      <c r="G2572" s="7"/>
      <c r="H2572" s="8"/>
      <c r="I2572" s="8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hidden="1">
      <c r="A2573" s="7"/>
      <c r="B2573" s="7"/>
      <c r="C2573" s="7"/>
      <c r="D2573" s="7"/>
      <c r="E2573" s="7"/>
      <c r="F2573" s="7"/>
      <c r="G2573" s="7"/>
      <c r="H2573" s="8"/>
      <c r="I2573" s="8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hidden="1">
      <c r="A2574" s="7"/>
      <c r="B2574" s="7"/>
      <c r="C2574" s="7"/>
      <c r="D2574" s="7"/>
      <c r="E2574" s="7"/>
      <c r="F2574" s="7"/>
      <c r="G2574" s="7"/>
      <c r="H2574" s="8"/>
      <c r="I2574" s="8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hidden="1">
      <c r="A2575" s="7"/>
      <c r="B2575" s="7"/>
      <c r="C2575" s="7"/>
      <c r="D2575" s="7"/>
      <c r="E2575" s="7"/>
      <c r="F2575" s="7"/>
      <c r="G2575" s="7"/>
      <c r="H2575" s="8"/>
      <c r="I2575" s="8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hidden="1">
      <c r="A2576" s="7"/>
      <c r="B2576" s="7"/>
      <c r="C2576" s="7"/>
      <c r="D2576" s="7"/>
      <c r="E2576" s="7"/>
      <c r="F2576" s="7"/>
      <c r="G2576" s="7"/>
      <c r="H2576" s="8"/>
      <c r="I2576" s="8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hidden="1">
      <c r="A2577" s="7"/>
      <c r="B2577" s="7"/>
      <c r="C2577" s="7"/>
      <c r="D2577" s="7"/>
      <c r="E2577" s="7"/>
      <c r="F2577" s="7"/>
      <c r="G2577" s="7"/>
      <c r="H2577" s="8"/>
      <c r="I2577" s="8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hidden="1">
      <c r="A2578" s="7"/>
      <c r="B2578" s="7"/>
      <c r="C2578" s="7"/>
      <c r="D2578" s="7"/>
      <c r="E2578" s="7"/>
      <c r="F2578" s="7"/>
      <c r="G2578" s="7"/>
      <c r="H2578" s="8"/>
      <c r="I2578" s="8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hidden="1">
      <c r="A2579" s="7"/>
      <c r="B2579" s="7"/>
      <c r="C2579" s="7"/>
      <c r="D2579" s="7"/>
      <c r="E2579" s="7"/>
      <c r="F2579" s="7"/>
      <c r="G2579" s="7"/>
      <c r="H2579" s="8"/>
      <c r="I2579" s="8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hidden="1">
      <c r="A2580" s="7"/>
      <c r="B2580" s="7"/>
      <c r="C2580" s="7"/>
      <c r="D2580" s="7"/>
      <c r="E2580" s="7"/>
      <c r="F2580" s="7"/>
      <c r="G2580" s="7"/>
      <c r="H2580" s="8"/>
      <c r="I2580" s="8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hidden="1">
      <c r="A2581" s="7"/>
      <c r="B2581" s="7"/>
      <c r="C2581" s="7"/>
      <c r="D2581" s="7"/>
      <c r="E2581" s="7"/>
      <c r="F2581" s="7"/>
      <c r="G2581" s="7"/>
      <c r="H2581" s="8"/>
      <c r="I2581" s="8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hidden="1">
      <c r="A2582" s="7"/>
      <c r="B2582" s="7"/>
      <c r="C2582" s="7"/>
      <c r="D2582" s="7"/>
      <c r="E2582" s="7"/>
      <c r="F2582" s="7"/>
      <c r="G2582" s="7"/>
      <c r="H2582" s="8"/>
      <c r="I2582" s="8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hidden="1">
      <c r="A2583" s="7"/>
      <c r="B2583" s="7"/>
      <c r="C2583" s="7"/>
      <c r="D2583" s="7"/>
      <c r="E2583" s="7"/>
      <c r="F2583" s="7"/>
      <c r="G2583" s="7"/>
      <c r="H2583" s="8"/>
      <c r="I2583" s="8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hidden="1">
      <c r="A2584" s="7"/>
      <c r="B2584" s="7"/>
      <c r="C2584" s="7"/>
      <c r="D2584" s="7"/>
      <c r="E2584" s="7"/>
      <c r="F2584" s="7"/>
      <c r="G2584" s="7"/>
      <c r="H2584" s="8"/>
      <c r="I2584" s="8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hidden="1">
      <c r="A2585" s="7"/>
      <c r="B2585" s="7"/>
      <c r="C2585" s="7"/>
      <c r="D2585" s="7"/>
      <c r="E2585" s="7"/>
      <c r="F2585" s="7"/>
      <c r="G2585" s="7"/>
      <c r="H2585" s="8"/>
      <c r="I2585" s="8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hidden="1">
      <c r="A2586" s="7"/>
      <c r="B2586" s="7"/>
      <c r="C2586" s="7"/>
      <c r="D2586" s="7"/>
      <c r="E2586" s="7"/>
      <c r="F2586" s="7"/>
      <c r="G2586" s="7"/>
      <c r="H2586" s="8"/>
      <c r="I2586" s="8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hidden="1">
      <c r="A2587" s="7"/>
      <c r="B2587" s="7"/>
      <c r="C2587" s="7"/>
      <c r="D2587" s="7"/>
      <c r="E2587" s="7"/>
      <c r="F2587" s="7"/>
      <c r="G2587" s="7"/>
      <c r="H2587" s="8"/>
      <c r="I2587" s="8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hidden="1">
      <c r="A2588" s="7"/>
      <c r="B2588" s="7"/>
      <c r="C2588" s="7"/>
      <c r="D2588" s="7"/>
      <c r="E2588" s="7"/>
      <c r="F2588" s="7"/>
      <c r="G2588" s="7"/>
      <c r="H2588" s="8"/>
      <c r="I2588" s="8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hidden="1">
      <c r="A2589" s="7"/>
      <c r="B2589" s="7"/>
      <c r="C2589" s="7"/>
      <c r="D2589" s="7"/>
      <c r="E2589" s="7"/>
      <c r="F2589" s="7"/>
      <c r="G2589" s="7"/>
      <c r="H2589" s="8"/>
      <c r="I2589" s="8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hidden="1">
      <c r="A2590" s="7"/>
      <c r="B2590" s="7"/>
      <c r="C2590" s="7"/>
      <c r="D2590" s="7"/>
      <c r="E2590" s="7"/>
      <c r="F2590" s="7"/>
      <c r="G2590" s="7"/>
      <c r="H2590" s="8"/>
      <c r="I2590" s="8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hidden="1">
      <c r="A2591" s="7"/>
      <c r="B2591" s="7"/>
      <c r="C2591" s="7"/>
      <c r="D2591" s="7"/>
      <c r="E2591" s="7"/>
      <c r="F2591" s="7"/>
      <c r="G2591" s="7"/>
      <c r="H2591" s="8"/>
      <c r="I2591" s="8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hidden="1">
      <c r="A2592" s="7"/>
      <c r="B2592" s="7"/>
      <c r="C2592" s="7"/>
      <c r="D2592" s="7"/>
      <c r="E2592" s="7"/>
      <c r="F2592" s="7"/>
      <c r="G2592" s="7"/>
      <c r="H2592" s="8"/>
      <c r="I2592" s="8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hidden="1">
      <c r="A2593" s="7"/>
      <c r="B2593" s="7"/>
      <c r="C2593" s="7"/>
      <c r="D2593" s="7"/>
      <c r="E2593" s="7"/>
      <c r="F2593" s="7"/>
      <c r="G2593" s="7"/>
      <c r="H2593" s="8"/>
      <c r="I2593" s="8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hidden="1">
      <c r="A2594" s="7"/>
      <c r="B2594" s="7"/>
      <c r="C2594" s="7"/>
      <c r="D2594" s="7"/>
      <c r="E2594" s="7"/>
      <c r="F2594" s="7"/>
      <c r="G2594" s="7"/>
      <c r="H2594" s="8"/>
      <c r="I2594" s="8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hidden="1">
      <c r="A2595" s="7"/>
      <c r="B2595" s="7"/>
      <c r="C2595" s="7"/>
      <c r="D2595" s="7"/>
      <c r="E2595" s="7"/>
      <c r="F2595" s="7"/>
      <c r="G2595" s="7"/>
      <c r="H2595" s="8"/>
      <c r="I2595" s="8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hidden="1">
      <c r="A2596" s="7"/>
      <c r="B2596" s="7"/>
      <c r="C2596" s="7"/>
      <c r="D2596" s="7"/>
      <c r="E2596" s="7"/>
      <c r="F2596" s="7"/>
      <c r="G2596" s="7"/>
      <c r="H2596" s="8"/>
      <c r="I2596" s="8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hidden="1">
      <c r="A2597" s="7"/>
      <c r="B2597" s="7"/>
      <c r="C2597" s="7"/>
      <c r="D2597" s="7"/>
      <c r="E2597" s="7"/>
      <c r="F2597" s="7"/>
      <c r="G2597" s="7"/>
      <c r="H2597" s="8"/>
      <c r="I2597" s="8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hidden="1">
      <c r="A2598" s="7"/>
      <c r="B2598" s="7"/>
      <c r="C2598" s="7"/>
      <c r="D2598" s="7"/>
      <c r="E2598" s="7"/>
      <c r="F2598" s="7"/>
      <c r="G2598" s="7"/>
      <c r="H2598" s="8"/>
      <c r="I2598" s="8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hidden="1">
      <c r="A2599" s="7"/>
      <c r="B2599" s="7"/>
      <c r="C2599" s="7"/>
      <c r="D2599" s="7"/>
      <c r="E2599" s="7"/>
      <c r="F2599" s="7"/>
      <c r="G2599" s="7"/>
      <c r="H2599" s="8"/>
      <c r="I2599" s="8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hidden="1">
      <c r="A2600" s="7"/>
      <c r="B2600" s="7"/>
      <c r="C2600" s="7"/>
      <c r="D2600" s="7"/>
      <c r="E2600" s="7"/>
      <c r="F2600" s="7"/>
      <c r="G2600" s="7"/>
      <c r="H2600" s="8"/>
      <c r="I2600" s="8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hidden="1">
      <c r="A2601" s="7"/>
      <c r="B2601" s="7"/>
      <c r="C2601" s="7"/>
      <c r="D2601" s="7"/>
      <c r="E2601" s="7"/>
      <c r="F2601" s="7"/>
      <c r="G2601" s="7"/>
      <c r="H2601" s="8"/>
      <c r="I2601" s="8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hidden="1">
      <c r="A2602" s="7"/>
      <c r="B2602" s="7"/>
      <c r="C2602" s="7"/>
      <c r="D2602" s="7"/>
      <c r="E2602" s="7"/>
      <c r="F2602" s="7"/>
      <c r="G2602" s="7"/>
      <c r="H2602" s="8"/>
      <c r="I2602" s="8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hidden="1">
      <c r="A2603" s="7"/>
      <c r="B2603" s="7"/>
      <c r="C2603" s="7"/>
      <c r="D2603" s="7"/>
      <c r="E2603" s="7"/>
      <c r="F2603" s="7"/>
      <c r="G2603" s="7"/>
      <c r="H2603" s="8"/>
      <c r="I2603" s="8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hidden="1">
      <c r="A2604" s="7"/>
      <c r="B2604" s="7"/>
      <c r="C2604" s="7"/>
      <c r="D2604" s="7"/>
      <c r="E2604" s="7"/>
      <c r="F2604" s="7"/>
      <c r="G2604" s="7"/>
      <c r="H2604" s="8"/>
      <c r="I2604" s="8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hidden="1">
      <c r="A2605" s="7"/>
      <c r="B2605" s="7"/>
      <c r="C2605" s="7"/>
      <c r="D2605" s="7"/>
      <c r="E2605" s="7"/>
      <c r="F2605" s="7"/>
      <c r="G2605" s="7"/>
      <c r="H2605" s="8"/>
      <c r="I2605" s="8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hidden="1">
      <c r="A2606" s="7"/>
      <c r="B2606" s="7"/>
      <c r="C2606" s="7"/>
      <c r="D2606" s="7"/>
      <c r="E2606" s="7"/>
      <c r="F2606" s="7"/>
      <c r="G2606" s="7"/>
      <c r="H2606" s="8"/>
      <c r="I2606" s="8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hidden="1">
      <c r="A2607" s="7"/>
      <c r="B2607" s="7"/>
      <c r="C2607" s="7"/>
      <c r="D2607" s="7"/>
      <c r="E2607" s="7"/>
      <c r="F2607" s="7"/>
      <c r="G2607" s="7"/>
      <c r="H2607" s="8"/>
      <c r="I2607" s="8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hidden="1">
      <c r="A2608" s="7"/>
      <c r="B2608" s="7"/>
      <c r="C2608" s="7"/>
      <c r="D2608" s="7"/>
      <c r="E2608" s="7"/>
      <c r="F2608" s="7"/>
      <c r="G2608" s="7"/>
      <c r="H2608" s="8"/>
      <c r="I2608" s="8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hidden="1">
      <c r="A2609" s="7"/>
      <c r="B2609" s="7"/>
      <c r="C2609" s="7"/>
      <c r="D2609" s="7"/>
      <c r="E2609" s="7"/>
      <c r="F2609" s="7"/>
      <c r="G2609" s="7"/>
      <c r="H2609" s="8"/>
      <c r="I2609" s="8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hidden="1">
      <c r="A2610" s="7"/>
      <c r="B2610" s="7"/>
      <c r="C2610" s="7"/>
      <c r="D2610" s="7"/>
      <c r="E2610" s="7"/>
      <c r="F2610" s="7"/>
      <c r="G2610" s="7"/>
      <c r="H2610" s="8"/>
      <c r="I2610" s="8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hidden="1">
      <c r="A2611" s="7"/>
      <c r="B2611" s="7"/>
      <c r="C2611" s="7"/>
      <c r="D2611" s="7"/>
      <c r="E2611" s="7"/>
      <c r="F2611" s="7"/>
      <c r="G2611" s="7"/>
      <c r="H2611" s="8"/>
      <c r="I2611" s="8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hidden="1">
      <c r="A2612" s="7"/>
      <c r="B2612" s="7"/>
      <c r="C2612" s="7"/>
      <c r="D2612" s="7"/>
      <c r="E2612" s="7"/>
      <c r="F2612" s="7"/>
      <c r="G2612" s="7"/>
      <c r="H2612" s="8"/>
      <c r="I2612" s="8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hidden="1">
      <c r="A2613" s="7"/>
      <c r="B2613" s="7"/>
      <c r="C2613" s="7"/>
      <c r="D2613" s="7"/>
      <c r="E2613" s="7"/>
      <c r="F2613" s="7"/>
      <c r="G2613" s="7"/>
      <c r="H2613" s="8"/>
      <c r="I2613" s="8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hidden="1">
      <c r="A2614" s="7"/>
      <c r="B2614" s="7"/>
      <c r="C2614" s="7"/>
      <c r="D2614" s="7"/>
      <c r="E2614" s="7"/>
      <c r="F2614" s="7"/>
      <c r="G2614" s="7"/>
      <c r="H2614" s="8"/>
      <c r="I2614" s="8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hidden="1">
      <c r="A2615" s="7"/>
      <c r="B2615" s="7"/>
      <c r="C2615" s="7"/>
      <c r="D2615" s="7"/>
      <c r="E2615" s="7"/>
      <c r="F2615" s="7"/>
      <c r="G2615" s="7"/>
      <c r="H2615" s="8"/>
      <c r="I2615" s="8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hidden="1">
      <c r="A2616" s="7"/>
      <c r="B2616" s="7"/>
      <c r="C2616" s="7"/>
      <c r="D2616" s="7"/>
      <c r="E2616" s="7"/>
      <c r="F2616" s="7"/>
      <c r="G2616" s="7"/>
      <c r="H2616" s="8"/>
      <c r="I2616" s="8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hidden="1">
      <c r="A2617" s="7"/>
      <c r="B2617" s="7"/>
      <c r="C2617" s="7"/>
      <c r="D2617" s="7"/>
      <c r="E2617" s="7"/>
      <c r="F2617" s="7"/>
      <c r="G2617" s="7"/>
      <c r="H2617" s="8"/>
      <c r="I2617" s="8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hidden="1">
      <c r="A2618" s="7"/>
      <c r="B2618" s="7"/>
      <c r="C2618" s="7"/>
      <c r="D2618" s="7"/>
      <c r="E2618" s="7"/>
      <c r="F2618" s="7"/>
      <c r="G2618" s="7"/>
      <c r="H2618" s="8"/>
      <c r="I2618" s="8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hidden="1">
      <c r="A2619" s="7"/>
      <c r="B2619" s="7"/>
      <c r="C2619" s="7"/>
      <c r="D2619" s="7"/>
      <c r="E2619" s="7"/>
      <c r="F2619" s="7"/>
      <c r="G2619" s="7"/>
      <c r="H2619" s="8"/>
      <c r="I2619" s="8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hidden="1">
      <c r="A2620" s="7"/>
      <c r="B2620" s="7"/>
      <c r="C2620" s="7"/>
      <c r="D2620" s="7"/>
      <c r="E2620" s="7"/>
      <c r="F2620" s="7"/>
      <c r="G2620" s="7"/>
      <c r="H2620" s="8"/>
      <c r="I2620" s="8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hidden="1">
      <c r="A2621" s="7"/>
      <c r="B2621" s="7"/>
      <c r="C2621" s="7"/>
      <c r="D2621" s="7"/>
      <c r="E2621" s="7"/>
      <c r="F2621" s="7"/>
      <c r="G2621" s="7"/>
      <c r="H2621" s="8"/>
      <c r="I2621" s="8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hidden="1">
      <c r="A2622" s="7"/>
      <c r="B2622" s="7"/>
      <c r="C2622" s="7"/>
      <c r="D2622" s="7"/>
      <c r="E2622" s="7"/>
      <c r="F2622" s="7"/>
      <c r="G2622" s="7"/>
      <c r="H2622" s="8"/>
      <c r="I2622" s="8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hidden="1">
      <c r="A2623" s="7"/>
      <c r="B2623" s="7"/>
      <c r="C2623" s="7"/>
      <c r="D2623" s="7"/>
      <c r="E2623" s="7"/>
      <c r="F2623" s="7"/>
      <c r="G2623" s="7"/>
      <c r="H2623" s="8"/>
      <c r="I2623" s="8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hidden="1">
      <c r="A2624" s="7"/>
      <c r="B2624" s="7"/>
      <c r="C2624" s="7"/>
      <c r="D2624" s="7"/>
      <c r="E2624" s="7"/>
      <c r="F2624" s="7"/>
      <c r="G2624" s="7"/>
      <c r="H2624" s="8"/>
      <c r="I2624" s="8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hidden="1">
      <c r="A2625" s="7"/>
      <c r="B2625" s="7"/>
      <c r="C2625" s="7"/>
      <c r="D2625" s="7"/>
      <c r="E2625" s="7"/>
      <c r="F2625" s="7"/>
      <c r="G2625" s="7"/>
      <c r="H2625" s="8"/>
      <c r="I2625" s="8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hidden="1">
      <c r="A2626" s="7"/>
      <c r="B2626" s="7"/>
      <c r="C2626" s="7"/>
      <c r="D2626" s="7"/>
      <c r="E2626" s="7"/>
      <c r="F2626" s="7"/>
      <c r="G2626" s="7"/>
      <c r="H2626" s="8"/>
      <c r="I2626" s="8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hidden="1">
      <c r="A2627" s="7"/>
      <c r="B2627" s="7"/>
      <c r="C2627" s="7"/>
      <c r="D2627" s="7"/>
      <c r="E2627" s="7"/>
      <c r="F2627" s="7"/>
      <c r="G2627" s="7"/>
      <c r="H2627" s="8"/>
      <c r="I2627" s="8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hidden="1">
      <c r="A2628" s="7"/>
      <c r="B2628" s="7"/>
      <c r="C2628" s="7"/>
      <c r="D2628" s="7"/>
      <c r="E2628" s="7"/>
      <c r="F2628" s="7"/>
      <c r="G2628" s="7"/>
      <c r="H2628" s="8"/>
      <c r="I2628" s="8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hidden="1">
      <c r="A2629" s="7"/>
      <c r="B2629" s="7"/>
      <c r="C2629" s="7"/>
      <c r="D2629" s="7"/>
      <c r="E2629" s="7"/>
      <c r="F2629" s="7"/>
      <c r="G2629" s="7"/>
      <c r="H2629" s="8"/>
      <c r="I2629" s="8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hidden="1">
      <c r="A2630" s="7"/>
      <c r="B2630" s="7"/>
      <c r="C2630" s="7"/>
      <c r="D2630" s="7"/>
      <c r="E2630" s="7"/>
      <c r="F2630" s="7"/>
      <c r="G2630" s="7"/>
      <c r="H2630" s="8"/>
      <c r="I2630" s="8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hidden="1">
      <c r="A2631" s="7"/>
      <c r="B2631" s="7"/>
      <c r="C2631" s="7"/>
      <c r="D2631" s="7"/>
      <c r="E2631" s="7"/>
      <c r="F2631" s="7"/>
      <c r="G2631" s="7"/>
      <c r="H2631" s="8"/>
      <c r="I2631" s="8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hidden="1">
      <c r="A2632" s="7"/>
      <c r="B2632" s="7"/>
      <c r="C2632" s="7"/>
      <c r="D2632" s="7"/>
      <c r="E2632" s="7"/>
      <c r="F2632" s="7"/>
      <c r="G2632" s="7"/>
      <c r="H2632" s="8"/>
      <c r="I2632" s="8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hidden="1">
      <c r="A2633" s="7"/>
      <c r="B2633" s="7"/>
      <c r="C2633" s="7"/>
      <c r="D2633" s="7"/>
      <c r="E2633" s="7"/>
      <c r="F2633" s="7"/>
      <c r="G2633" s="7"/>
      <c r="H2633" s="8"/>
      <c r="I2633" s="8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hidden="1">
      <c r="A2634" s="7"/>
      <c r="B2634" s="7"/>
      <c r="C2634" s="7"/>
      <c r="D2634" s="7"/>
      <c r="E2634" s="7"/>
      <c r="F2634" s="7"/>
      <c r="G2634" s="7"/>
      <c r="H2634" s="8"/>
      <c r="I2634" s="8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hidden="1">
      <c r="A2635" s="7"/>
      <c r="B2635" s="7"/>
      <c r="C2635" s="7"/>
      <c r="D2635" s="7"/>
      <c r="E2635" s="7"/>
      <c r="F2635" s="7"/>
      <c r="G2635" s="7"/>
      <c r="H2635" s="8"/>
      <c r="I2635" s="8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hidden="1">
      <c r="A2636" s="7"/>
      <c r="B2636" s="7"/>
      <c r="C2636" s="7"/>
      <c r="D2636" s="7"/>
      <c r="E2636" s="7"/>
      <c r="F2636" s="7"/>
      <c r="G2636" s="7"/>
      <c r="H2636" s="8"/>
      <c r="I2636" s="8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hidden="1">
      <c r="A2637" s="7"/>
      <c r="B2637" s="7"/>
      <c r="C2637" s="7"/>
      <c r="D2637" s="7"/>
      <c r="E2637" s="7"/>
      <c r="F2637" s="7"/>
      <c r="G2637" s="7"/>
      <c r="H2637" s="8"/>
      <c r="I2637" s="8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hidden="1">
      <c r="A2638" s="7"/>
      <c r="B2638" s="7"/>
      <c r="C2638" s="7"/>
      <c r="D2638" s="7"/>
      <c r="E2638" s="7"/>
      <c r="F2638" s="7"/>
      <c r="G2638" s="7"/>
      <c r="H2638" s="8"/>
      <c r="I2638" s="8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hidden="1">
      <c r="A2639" s="7"/>
      <c r="B2639" s="7"/>
      <c r="C2639" s="7"/>
      <c r="D2639" s="7"/>
      <c r="E2639" s="7"/>
      <c r="F2639" s="7"/>
      <c r="G2639" s="7"/>
      <c r="H2639" s="8"/>
      <c r="I2639" s="8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hidden="1">
      <c r="A2640" s="7"/>
      <c r="B2640" s="7"/>
      <c r="C2640" s="7"/>
      <c r="D2640" s="7"/>
      <c r="E2640" s="7"/>
      <c r="F2640" s="7"/>
      <c r="G2640" s="7"/>
      <c r="H2640" s="8"/>
      <c r="I2640" s="8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hidden="1">
      <c r="A2641" s="7"/>
      <c r="B2641" s="7"/>
      <c r="C2641" s="7"/>
      <c r="D2641" s="7"/>
      <c r="E2641" s="7"/>
      <c r="F2641" s="7"/>
      <c r="G2641" s="7"/>
      <c r="H2641" s="8"/>
      <c r="I2641" s="8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hidden="1">
      <c r="A2642" s="7"/>
      <c r="B2642" s="7"/>
      <c r="C2642" s="7"/>
      <c r="D2642" s="7"/>
      <c r="E2642" s="7"/>
      <c r="F2642" s="7"/>
      <c r="G2642" s="7"/>
      <c r="H2642" s="8"/>
      <c r="I2642" s="8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hidden="1">
      <c r="A2643" s="7"/>
      <c r="B2643" s="7"/>
      <c r="C2643" s="7"/>
      <c r="D2643" s="7"/>
      <c r="E2643" s="7"/>
      <c r="F2643" s="7"/>
      <c r="G2643" s="7"/>
      <c r="H2643" s="8"/>
      <c r="I2643" s="8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hidden="1">
      <c r="A2644" s="7"/>
      <c r="B2644" s="7"/>
      <c r="C2644" s="7"/>
      <c r="D2644" s="7"/>
      <c r="E2644" s="7"/>
      <c r="F2644" s="7"/>
      <c r="G2644" s="7"/>
      <c r="H2644" s="8"/>
      <c r="I2644" s="8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hidden="1">
      <c r="A2645" s="7"/>
      <c r="B2645" s="7"/>
      <c r="C2645" s="7"/>
      <c r="D2645" s="7"/>
      <c r="E2645" s="7"/>
      <c r="F2645" s="7"/>
      <c r="G2645" s="7"/>
      <c r="H2645" s="8"/>
      <c r="I2645" s="8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hidden="1">
      <c r="A2646" s="7"/>
      <c r="B2646" s="7"/>
      <c r="C2646" s="7"/>
      <c r="D2646" s="7"/>
      <c r="E2646" s="7"/>
      <c r="F2646" s="7"/>
      <c r="G2646" s="7"/>
      <c r="H2646" s="8"/>
      <c r="I2646" s="8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hidden="1">
      <c r="A2647" s="7"/>
      <c r="B2647" s="7"/>
      <c r="C2647" s="7"/>
      <c r="D2647" s="7"/>
      <c r="E2647" s="7"/>
      <c r="F2647" s="7"/>
      <c r="G2647" s="7"/>
      <c r="H2647" s="8"/>
      <c r="I2647" s="8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hidden="1">
      <c r="A2648" s="7"/>
      <c r="B2648" s="7"/>
      <c r="C2648" s="7"/>
      <c r="D2648" s="7"/>
      <c r="E2648" s="7"/>
      <c r="F2648" s="7"/>
      <c r="G2648" s="7"/>
      <c r="H2648" s="8"/>
      <c r="I2648" s="8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hidden="1">
      <c r="A2649" s="7"/>
      <c r="B2649" s="7"/>
      <c r="C2649" s="7"/>
      <c r="D2649" s="7"/>
      <c r="E2649" s="7"/>
      <c r="F2649" s="7"/>
      <c r="G2649" s="7"/>
      <c r="H2649" s="8"/>
      <c r="I2649" s="8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hidden="1">
      <c r="A2650" s="7"/>
      <c r="B2650" s="7"/>
      <c r="C2650" s="7"/>
      <c r="D2650" s="7"/>
      <c r="E2650" s="7"/>
      <c r="F2650" s="7"/>
      <c r="G2650" s="7"/>
      <c r="H2650" s="8"/>
      <c r="I2650" s="8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hidden="1">
      <c r="A2651" s="7"/>
      <c r="B2651" s="7"/>
      <c r="C2651" s="7"/>
      <c r="D2651" s="7"/>
      <c r="E2651" s="7"/>
      <c r="F2651" s="7"/>
      <c r="G2651" s="7"/>
      <c r="H2651" s="8"/>
      <c r="I2651" s="8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hidden="1">
      <c r="A2652" s="7"/>
      <c r="B2652" s="7"/>
      <c r="C2652" s="7"/>
      <c r="D2652" s="7"/>
      <c r="E2652" s="7"/>
      <c r="F2652" s="7"/>
      <c r="G2652" s="7"/>
      <c r="H2652" s="8"/>
      <c r="I2652" s="8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hidden="1">
      <c r="A2653" s="7"/>
      <c r="B2653" s="7"/>
      <c r="C2653" s="7"/>
      <c r="D2653" s="7"/>
      <c r="E2653" s="7"/>
      <c r="F2653" s="7"/>
      <c r="G2653" s="7"/>
      <c r="H2653" s="8"/>
      <c r="I2653" s="8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hidden="1">
      <c r="A2654" s="7"/>
      <c r="B2654" s="7"/>
      <c r="C2654" s="7"/>
      <c r="D2654" s="7"/>
      <c r="E2654" s="7"/>
      <c r="F2654" s="7"/>
      <c r="G2654" s="7"/>
      <c r="H2654" s="8"/>
      <c r="I2654" s="8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hidden="1">
      <c r="A2655" s="7"/>
      <c r="B2655" s="7"/>
      <c r="C2655" s="7"/>
      <c r="D2655" s="7"/>
      <c r="E2655" s="7"/>
      <c r="F2655" s="7"/>
      <c r="G2655" s="7"/>
      <c r="H2655" s="8"/>
      <c r="I2655" s="8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hidden="1">
      <c r="A2656" s="7"/>
      <c r="B2656" s="7"/>
      <c r="C2656" s="7"/>
      <c r="D2656" s="7"/>
      <c r="E2656" s="7"/>
      <c r="F2656" s="7"/>
      <c r="G2656" s="7"/>
      <c r="H2656" s="8"/>
      <c r="I2656" s="8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hidden="1">
      <c r="A2657" s="7"/>
      <c r="B2657" s="7"/>
      <c r="C2657" s="7"/>
      <c r="D2657" s="7"/>
      <c r="E2657" s="7"/>
      <c r="F2657" s="7"/>
      <c r="G2657" s="7"/>
      <c r="H2657" s="8"/>
      <c r="I2657" s="8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hidden="1">
      <c r="A2658" s="7"/>
      <c r="B2658" s="7"/>
      <c r="C2658" s="7"/>
      <c r="D2658" s="7"/>
      <c r="E2658" s="7"/>
      <c r="F2658" s="7"/>
      <c r="G2658" s="7"/>
      <c r="H2658" s="8"/>
      <c r="I2658" s="8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hidden="1">
      <c r="A2659" s="7"/>
      <c r="B2659" s="7"/>
      <c r="C2659" s="7"/>
      <c r="D2659" s="7"/>
      <c r="E2659" s="7"/>
      <c r="F2659" s="7"/>
      <c r="G2659" s="7"/>
      <c r="H2659" s="8"/>
      <c r="I2659" s="8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hidden="1">
      <c r="A2660" s="7"/>
      <c r="B2660" s="7"/>
      <c r="C2660" s="7"/>
      <c r="D2660" s="7"/>
      <c r="E2660" s="7"/>
      <c r="F2660" s="7"/>
      <c r="G2660" s="7"/>
      <c r="H2660" s="8"/>
      <c r="I2660" s="8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hidden="1">
      <c r="A2661" s="7"/>
      <c r="B2661" s="7"/>
      <c r="C2661" s="7"/>
      <c r="D2661" s="7"/>
      <c r="E2661" s="7"/>
      <c r="F2661" s="7"/>
      <c r="G2661" s="7"/>
      <c r="H2661" s="8"/>
      <c r="I2661" s="8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hidden="1">
      <c r="A2662" s="7"/>
      <c r="B2662" s="7"/>
      <c r="C2662" s="7"/>
      <c r="D2662" s="7"/>
      <c r="E2662" s="7"/>
      <c r="F2662" s="7"/>
      <c r="G2662" s="7"/>
      <c r="H2662" s="8"/>
      <c r="I2662" s="8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hidden="1">
      <c r="A2663" s="7"/>
      <c r="B2663" s="7"/>
      <c r="C2663" s="7"/>
      <c r="D2663" s="7"/>
      <c r="E2663" s="7"/>
      <c r="F2663" s="7"/>
      <c r="G2663" s="7"/>
      <c r="H2663" s="8"/>
      <c r="I2663" s="8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hidden="1">
      <c r="A2664" s="7"/>
      <c r="B2664" s="7"/>
      <c r="C2664" s="7"/>
      <c r="D2664" s="7"/>
      <c r="E2664" s="7"/>
      <c r="F2664" s="7"/>
      <c r="G2664" s="7"/>
      <c r="H2664" s="8"/>
      <c r="I2664" s="8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hidden="1">
      <c r="A2665" s="7"/>
      <c r="B2665" s="7"/>
      <c r="C2665" s="7"/>
      <c r="D2665" s="7"/>
      <c r="E2665" s="7"/>
      <c r="F2665" s="7"/>
      <c r="G2665" s="7"/>
      <c r="H2665" s="8"/>
      <c r="I2665" s="8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hidden="1">
      <c r="A2666" s="7"/>
      <c r="B2666" s="7"/>
      <c r="C2666" s="7"/>
      <c r="D2666" s="7"/>
      <c r="E2666" s="7"/>
      <c r="F2666" s="7"/>
      <c r="G2666" s="7"/>
      <c r="H2666" s="8"/>
      <c r="I2666" s="8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hidden="1">
      <c r="A2667" s="7"/>
      <c r="B2667" s="7"/>
      <c r="C2667" s="7"/>
      <c r="D2667" s="7"/>
      <c r="E2667" s="7"/>
      <c r="F2667" s="7"/>
      <c r="G2667" s="7"/>
      <c r="H2667" s="8"/>
      <c r="I2667" s="8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hidden="1">
      <c r="A2668" s="7"/>
      <c r="B2668" s="7"/>
      <c r="C2668" s="7"/>
      <c r="D2668" s="7"/>
      <c r="E2668" s="7"/>
      <c r="F2668" s="7"/>
      <c r="G2668" s="7"/>
      <c r="H2668" s="8"/>
      <c r="I2668" s="8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hidden="1">
      <c r="A2669" s="7"/>
      <c r="B2669" s="7"/>
      <c r="C2669" s="7"/>
      <c r="D2669" s="7"/>
      <c r="E2669" s="7"/>
      <c r="F2669" s="7"/>
      <c r="G2669" s="7"/>
      <c r="H2669" s="8"/>
      <c r="I2669" s="8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hidden="1">
      <c r="A2670" s="7"/>
      <c r="B2670" s="7"/>
      <c r="C2670" s="7"/>
      <c r="D2670" s="7"/>
      <c r="E2670" s="7"/>
      <c r="F2670" s="7"/>
      <c r="G2670" s="7"/>
      <c r="H2670" s="8"/>
      <c r="I2670" s="8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hidden="1">
      <c r="A2671" s="7"/>
      <c r="B2671" s="7"/>
      <c r="C2671" s="7"/>
      <c r="D2671" s="7"/>
      <c r="E2671" s="7"/>
      <c r="F2671" s="7"/>
      <c r="G2671" s="7"/>
      <c r="H2671" s="8"/>
      <c r="I2671" s="8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hidden="1">
      <c r="A2672" s="7"/>
      <c r="B2672" s="7"/>
      <c r="C2672" s="7"/>
      <c r="D2672" s="7"/>
      <c r="E2672" s="7"/>
      <c r="F2672" s="7"/>
      <c r="G2672" s="7"/>
      <c r="H2672" s="8"/>
      <c r="I2672" s="8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hidden="1">
      <c r="A2673" s="7"/>
      <c r="B2673" s="7"/>
      <c r="C2673" s="7"/>
      <c r="D2673" s="7"/>
      <c r="E2673" s="7"/>
      <c r="F2673" s="7"/>
      <c r="G2673" s="7"/>
      <c r="H2673" s="8"/>
      <c r="I2673" s="8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hidden="1">
      <c r="A2674" s="7"/>
      <c r="B2674" s="7"/>
      <c r="C2674" s="7"/>
      <c r="D2674" s="7"/>
      <c r="E2674" s="7"/>
      <c r="F2674" s="7"/>
      <c r="G2674" s="7"/>
      <c r="H2674" s="8"/>
      <c r="I2674" s="8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hidden="1">
      <c r="A2675" s="7"/>
      <c r="B2675" s="7"/>
      <c r="C2675" s="7"/>
      <c r="D2675" s="7"/>
      <c r="E2675" s="7"/>
      <c r="F2675" s="7"/>
      <c r="G2675" s="7"/>
      <c r="H2675" s="8"/>
      <c r="I2675" s="8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hidden="1">
      <c r="A2676" s="7"/>
      <c r="B2676" s="7"/>
      <c r="C2676" s="7"/>
      <c r="D2676" s="7"/>
      <c r="E2676" s="7"/>
      <c r="F2676" s="7"/>
      <c r="G2676" s="7"/>
      <c r="H2676" s="8"/>
      <c r="I2676" s="8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hidden="1">
      <c r="A2677" s="7"/>
      <c r="B2677" s="7"/>
      <c r="C2677" s="7"/>
      <c r="D2677" s="7"/>
      <c r="E2677" s="7"/>
      <c r="F2677" s="7"/>
      <c r="G2677" s="7"/>
      <c r="H2677" s="8"/>
      <c r="I2677" s="8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hidden="1">
      <c r="A2678" s="7"/>
      <c r="B2678" s="7"/>
      <c r="C2678" s="7"/>
      <c r="D2678" s="7"/>
      <c r="E2678" s="7"/>
      <c r="F2678" s="7"/>
      <c r="G2678" s="7"/>
      <c r="H2678" s="8"/>
      <c r="I2678" s="8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hidden="1">
      <c r="A2679" s="7"/>
      <c r="B2679" s="7"/>
      <c r="C2679" s="7"/>
      <c r="D2679" s="7"/>
      <c r="E2679" s="7"/>
      <c r="F2679" s="7"/>
      <c r="G2679" s="7"/>
      <c r="H2679" s="8"/>
      <c r="I2679" s="8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hidden="1">
      <c r="A2680" s="7"/>
      <c r="B2680" s="7"/>
      <c r="C2680" s="7"/>
      <c r="D2680" s="7"/>
      <c r="E2680" s="7"/>
      <c r="F2680" s="7"/>
      <c r="G2680" s="7"/>
      <c r="H2680" s="8"/>
      <c r="I2680" s="8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hidden="1">
      <c r="A2681" s="7"/>
      <c r="B2681" s="7"/>
      <c r="C2681" s="7"/>
      <c r="D2681" s="7"/>
      <c r="E2681" s="7"/>
      <c r="F2681" s="7"/>
      <c r="G2681" s="7"/>
      <c r="H2681" s="8"/>
      <c r="I2681" s="8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hidden="1">
      <c r="A2682" s="7"/>
      <c r="B2682" s="7"/>
      <c r="C2682" s="7"/>
      <c r="D2682" s="7"/>
      <c r="E2682" s="7"/>
      <c r="F2682" s="7"/>
      <c r="G2682" s="7"/>
      <c r="H2682" s="8"/>
      <c r="I2682" s="8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hidden="1">
      <c r="A2683" s="7"/>
      <c r="B2683" s="7"/>
      <c r="C2683" s="7"/>
      <c r="D2683" s="7"/>
      <c r="E2683" s="7"/>
      <c r="F2683" s="7"/>
      <c r="G2683" s="7"/>
      <c r="H2683" s="8"/>
      <c r="I2683" s="8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hidden="1">
      <c r="A2684" s="7"/>
      <c r="B2684" s="7"/>
      <c r="C2684" s="7"/>
      <c r="D2684" s="7"/>
      <c r="E2684" s="7"/>
      <c r="F2684" s="7"/>
      <c r="G2684" s="7"/>
      <c r="H2684" s="8"/>
      <c r="I2684" s="8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hidden="1">
      <c r="A2685" s="7"/>
      <c r="B2685" s="7"/>
      <c r="C2685" s="7"/>
      <c r="D2685" s="7"/>
      <c r="E2685" s="7"/>
      <c r="F2685" s="7"/>
      <c r="G2685" s="7"/>
      <c r="H2685" s="8"/>
      <c r="I2685" s="8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hidden="1">
      <c r="A2686" s="7"/>
      <c r="B2686" s="7"/>
      <c r="C2686" s="7"/>
      <c r="D2686" s="7"/>
      <c r="E2686" s="7"/>
      <c r="F2686" s="7"/>
      <c r="G2686" s="7"/>
      <c r="H2686" s="8"/>
      <c r="I2686" s="8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hidden="1">
      <c r="A2687" s="7"/>
      <c r="B2687" s="7"/>
      <c r="C2687" s="7"/>
      <c r="D2687" s="7"/>
      <c r="E2687" s="7"/>
      <c r="F2687" s="7"/>
      <c r="G2687" s="7"/>
      <c r="H2687" s="8"/>
      <c r="I2687" s="8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hidden="1">
      <c r="A2688" s="7"/>
      <c r="B2688" s="7"/>
      <c r="C2688" s="7"/>
      <c r="D2688" s="7"/>
      <c r="E2688" s="7"/>
      <c r="F2688" s="7"/>
      <c r="G2688" s="7"/>
      <c r="H2688" s="8"/>
      <c r="I2688" s="8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hidden="1">
      <c r="A2689" s="7"/>
      <c r="B2689" s="7"/>
      <c r="C2689" s="7"/>
      <c r="D2689" s="7"/>
      <c r="E2689" s="7"/>
      <c r="F2689" s="7"/>
      <c r="G2689" s="7"/>
      <c r="H2689" s="8"/>
      <c r="I2689" s="8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hidden="1">
      <c r="A2690" s="7"/>
      <c r="B2690" s="7"/>
      <c r="C2690" s="7"/>
      <c r="D2690" s="7"/>
      <c r="E2690" s="7"/>
      <c r="F2690" s="7"/>
      <c r="G2690" s="7"/>
      <c r="H2690" s="8"/>
      <c r="I2690" s="8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hidden="1">
      <c r="A2691" s="7"/>
      <c r="B2691" s="7"/>
      <c r="C2691" s="7"/>
      <c r="D2691" s="7"/>
      <c r="E2691" s="7"/>
      <c r="F2691" s="7"/>
      <c r="G2691" s="7"/>
      <c r="H2691" s="8"/>
      <c r="I2691" s="8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hidden="1">
      <c r="A2692" s="7"/>
      <c r="B2692" s="7"/>
      <c r="C2692" s="7"/>
      <c r="D2692" s="7"/>
      <c r="E2692" s="7"/>
      <c r="F2692" s="7"/>
      <c r="G2692" s="7"/>
      <c r="H2692" s="8"/>
      <c r="I2692" s="8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hidden="1">
      <c r="A2693" s="7"/>
      <c r="B2693" s="7"/>
      <c r="C2693" s="7"/>
      <c r="D2693" s="7"/>
      <c r="E2693" s="7"/>
      <c r="F2693" s="7"/>
      <c r="G2693" s="7"/>
      <c r="H2693" s="8"/>
      <c r="I2693" s="8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hidden="1">
      <c r="A2694" s="7"/>
      <c r="B2694" s="7"/>
      <c r="C2694" s="7"/>
      <c r="D2694" s="7"/>
      <c r="E2694" s="7"/>
      <c r="F2694" s="7"/>
      <c r="G2694" s="7"/>
      <c r="H2694" s="8"/>
      <c r="I2694" s="8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hidden="1">
      <c r="A2695" s="7"/>
      <c r="B2695" s="7"/>
      <c r="C2695" s="7"/>
      <c r="D2695" s="7"/>
      <c r="E2695" s="7"/>
      <c r="F2695" s="7"/>
      <c r="G2695" s="7"/>
      <c r="H2695" s="8"/>
      <c r="I2695" s="8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hidden="1">
      <c r="A2696" s="7"/>
      <c r="B2696" s="7"/>
      <c r="C2696" s="7"/>
      <c r="D2696" s="7"/>
      <c r="E2696" s="7"/>
      <c r="F2696" s="7"/>
      <c r="G2696" s="7"/>
      <c r="H2696" s="8"/>
      <c r="I2696" s="8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hidden="1">
      <c r="A2697" s="7"/>
      <c r="B2697" s="7"/>
      <c r="C2697" s="7"/>
      <c r="D2697" s="7"/>
      <c r="E2697" s="7"/>
      <c r="F2697" s="7"/>
      <c r="G2697" s="7"/>
      <c r="H2697" s="8"/>
      <c r="I2697" s="8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hidden="1">
      <c r="A2698" s="7"/>
      <c r="B2698" s="7"/>
      <c r="C2698" s="7"/>
      <c r="D2698" s="7"/>
      <c r="E2698" s="7"/>
      <c r="F2698" s="7"/>
      <c r="G2698" s="7"/>
      <c r="H2698" s="8"/>
      <c r="I2698" s="8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hidden="1">
      <c r="A2699" s="7"/>
      <c r="B2699" s="7"/>
      <c r="C2699" s="7"/>
      <c r="D2699" s="7"/>
      <c r="E2699" s="7"/>
      <c r="F2699" s="7"/>
      <c r="G2699" s="7"/>
      <c r="H2699" s="8"/>
      <c r="I2699" s="8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hidden="1">
      <c r="A2700" s="7"/>
      <c r="B2700" s="7"/>
      <c r="C2700" s="7"/>
      <c r="D2700" s="7"/>
      <c r="E2700" s="7"/>
      <c r="F2700" s="7"/>
      <c r="G2700" s="7"/>
      <c r="H2700" s="8"/>
      <c r="I2700" s="8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hidden="1">
      <c r="A2701" s="7"/>
      <c r="B2701" s="7"/>
      <c r="C2701" s="7"/>
      <c r="D2701" s="7"/>
      <c r="E2701" s="7"/>
      <c r="F2701" s="7"/>
      <c r="G2701" s="7"/>
      <c r="H2701" s="8"/>
      <c r="I2701" s="8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hidden="1">
      <c r="A2702" s="7"/>
      <c r="B2702" s="7"/>
      <c r="C2702" s="7"/>
      <c r="D2702" s="7"/>
      <c r="E2702" s="7"/>
      <c r="F2702" s="7"/>
      <c r="G2702" s="7"/>
      <c r="H2702" s="8"/>
      <c r="I2702" s="8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hidden="1">
      <c r="A2703" s="7"/>
      <c r="B2703" s="7"/>
      <c r="C2703" s="7"/>
      <c r="D2703" s="7"/>
      <c r="E2703" s="7"/>
      <c r="F2703" s="7"/>
      <c r="G2703" s="7"/>
      <c r="H2703" s="8"/>
      <c r="I2703" s="8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hidden="1">
      <c r="A2704" s="7"/>
      <c r="B2704" s="7"/>
      <c r="C2704" s="7"/>
      <c r="D2704" s="7"/>
      <c r="E2704" s="7"/>
      <c r="F2704" s="7"/>
      <c r="G2704" s="7"/>
      <c r="H2704" s="8"/>
      <c r="I2704" s="8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hidden="1">
      <c r="A2705" s="7"/>
      <c r="B2705" s="7"/>
      <c r="C2705" s="7"/>
      <c r="D2705" s="7"/>
      <c r="E2705" s="7"/>
      <c r="F2705" s="7"/>
      <c r="G2705" s="7"/>
      <c r="H2705" s="8"/>
      <c r="I2705" s="8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hidden="1">
      <c r="A2706" s="7"/>
      <c r="B2706" s="7"/>
      <c r="C2706" s="7"/>
      <c r="D2706" s="7"/>
      <c r="E2706" s="7"/>
      <c r="F2706" s="7"/>
      <c r="G2706" s="7"/>
      <c r="H2706" s="8"/>
      <c r="I2706" s="8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hidden="1">
      <c r="A2707" s="7"/>
      <c r="B2707" s="7"/>
      <c r="C2707" s="7"/>
      <c r="D2707" s="7"/>
      <c r="E2707" s="7"/>
      <c r="F2707" s="7"/>
      <c r="G2707" s="7"/>
      <c r="H2707" s="8"/>
      <c r="I2707" s="8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hidden="1">
      <c r="A2708" s="7"/>
      <c r="B2708" s="7"/>
      <c r="C2708" s="7"/>
      <c r="D2708" s="7"/>
      <c r="E2708" s="7"/>
      <c r="F2708" s="7"/>
      <c r="G2708" s="7"/>
      <c r="H2708" s="8"/>
      <c r="I2708" s="8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hidden="1">
      <c r="A2709" s="7"/>
      <c r="B2709" s="7"/>
      <c r="C2709" s="7"/>
      <c r="D2709" s="7"/>
      <c r="E2709" s="7"/>
      <c r="F2709" s="7"/>
      <c r="G2709" s="7"/>
      <c r="H2709" s="8"/>
      <c r="I2709" s="8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hidden="1">
      <c r="A2710" s="7"/>
      <c r="B2710" s="7"/>
      <c r="C2710" s="7"/>
      <c r="D2710" s="7"/>
      <c r="E2710" s="7"/>
      <c r="F2710" s="7"/>
      <c r="G2710" s="7"/>
      <c r="H2710" s="8"/>
      <c r="I2710" s="8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hidden="1">
      <c r="A2711" s="7"/>
      <c r="B2711" s="7"/>
      <c r="C2711" s="7"/>
      <c r="D2711" s="7"/>
      <c r="E2711" s="7"/>
      <c r="F2711" s="7"/>
      <c r="G2711" s="7"/>
      <c r="H2711" s="8"/>
      <c r="I2711" s="8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hidden="1">
      <c r="A2712" s="7"/>
      <c r="B2712" s="7"/>
      <c r="C2712" s="7"/>
      <c r="D2712" s="7"/>
      <c r="E2712" s="7"/>
      <c r="F2712" s="7"/>
      <c r="G2712" s="7"/>
      <c r="H2712" s="8"/>
      <c r="I2712" s="8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hidden="1">
      <c r="A2713" s="7"/>
      <c r="B2713" s="7"/>
      <c r="C2713" s="7"/>
      <c r="D2713" s="7"/>
      <c r="E2713" s="7"/>
      <c r="F2713" s="7"/>
      <c r="G2713" s="7"/>
      <c r="H2713" s="8"/>
      <c r="I2713" s="8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hidden="1">
      <c r="A2714" s="7"/>
      <c r="B2714" s="7"/>
      <c r="C2714" s="7"/>
      <c r="D2714" s="7"/>
      <c r="E2714" s="7"/>
      <c r="F2714" s="7"/>
      <c r="G2714" s="7"/>
      <c r="H2714" s="8"/>
      <c r="I2714" s="8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hidden="1">
      <c r="A2715" s="7"/>
      <c r="B2715" s="7"/>
      <c r="C2715" s="7"/>
      <c r="D2715" s="7"/>
      <c r="E2715" s="7"/>
      <c r="F2715" s="7"/>
      <c r="G2715" s="7"/>
      <c r="H2715" s="8"/>
      <c r="I2715" s="8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hidden="1">
      <c r="A2716" s="7"/>
      <c r="B2716" s="7"/>
      <c r="C2716" s="7"/>
      <c r="D2716" s="7"/>
      <c r="E2716" s="7"/>
      <c r="F2716" s="7"/>
      <c r="G2716" s="7"/>
      <c r="H2716" s="8"/>
      <c r="I2716" s="8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hidden="1">
      <c r="A2717" s="7"/>
      <c r="B2717" s="7"/>
      <c r="C2717" s="7"/>
      <c r="D2717" s="7"/>
      <c r="E2717" s="7"/>
      <c r="F2717" s="7"/>
      <c r="G2717" s="7"/>
      <c r="H2717" s="8"/>
      <c r="I2717" s="8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hidden="1">
      <c r="A2718" s="7"/>
      <c r="B2718" s="7"/>
      <c r="C2718" s="7"/>
      <c r="D2718" s="7"/>
      <c r="E2718" s="7"/>
      <c r="F2718" s="7"/>
      <c r="G2718" s="7"/>
      <c r="H2718" s="8"/>
      <c r="I2718" s="8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hidden="1">
      <c r="A2719" s="7"/>
      <c r="B2719" s="7"/>
      <c r="C2719" s="7"/>
      <c r="D2719" s="7"/>
      <c r="E2719" s="7"/>
      <c r="F2719" s="7"/>
      <c r="G2719" s="7"/>
      <c r="H2719" s="8"/>
      <c r="I2719" s="8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hidden="1">
      <c r="A2720" s="7"/>
      <c r="B2720" s="7"/>
      <c r="C2720" s="7"/>
      <c r="D2720" s="7"/>
      <c r="E2720" s="7"/>
      <c r="F2720" s="7"/>
      <c r="G2720" s="7"/>
      <c r="H2720" s="8"/>
      <c r="I2720" s="8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hidden="1">
      <c r="A2721" s="7"/>
      <c r="B2721" s="7"/>
      <c r="C2721" s="7"/>
      <c r="D2721" s="7"/>
      <c r="E2721" s="7"/>
      <c r="F2721" s="7"/>
      <c r="G2721" s="7"/>
      <c r="H2721" s="8"/>
      <c r="I2721" s="8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hidden="1">
      <c r="A2722" s="7"/>
      <c r="B2722" s="7"/>
      <c r="C2722" s="7"/>
      <c r="D2722" s="7"/>
      <c r="E2722" s="7"/>
      <c r="F2722" s="7"/>
      <c r="G2722" s="7"/>
      <c r="H2722" s="8"/>
      <c r="I2722" s="8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hidden="1">
      <c r="A2723" s="7"/>
      <c r="B2723" s="7"/>
      <c r="C2723" s="7"/>
      <c r="D2723" s="7"/>
      <c r="E2723" s="7"/>
      <c r="F2723" s="7"/>
      <c r="G2723" s="7"/>
      <c r="H2723" s="8"/>
      <c r="I2723" s="8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hidden="1">
      <c r="A2724" s="7"/>
      <c r="B2724" s="7"/>
      <c r="C2724" s="7"/>
      <c r="D2724" s="7"/>
      <c r="E2724" s="7"/>
      <c r="F2724" s="7"/>
      <c r="G2724" s="7"/>
      <c r="H2724" s="8"/>
      <c r="I2724" s="8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hidden="1">
      <c r="A2725" s="7"/>
      <c r="B2725" s="7"/>
      <c r="C2725" s="7"/>
      <c r="D2725" s="7"/>
      <c r="E2725" s="7"/>
      <c r="F2725" s="7"/>
      <c r="G2725" s="7"/>
      <c r="H2725" s="8"/>
      <c r="I2725" s="8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hidden="1">
      <c r="A2726" s="7"/>
      <c r="B2726" s="7"/>
      <c r="C2726" s="7"/>
      <c r="D2726" s="7"/>
      <c r="E2726" s="7"/>
      <c r="F2726" s="7"/>
      <c r="G2726" s="7"/>
      <c r="H2726" s="8"/>
      <c r="I2726" s="8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hidden="1">
      <c r="A2727" s="7"/>
      <c r="B2727" s="7"/>
      <c r="C2727" s="7"/>
      <c r="D2727" s="7"/>
      <c r="E2727" s="7"/>
      <c r="F2727" s="7"/>
      <c r="G2727" s="7"/>
      <c r="H2727" s="8"/>
      <c r="I2727" s="8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hidden="1">
      <c r="A2728" s="7"/>
      <c r="B2728" s="7"/>
      <c r="C2728" s="7"/>
      <c r="D2728" s="7"/>
      <c r="E2728" s="7"/>
      <c r="F2728" s="7"/>
      <c r="G2728" s="7"/>
      <c r="H2728" s="8"/>
      <c r="I2728" s="8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hidden="1">
      <c r="A2729" s="7"/>
      <c r="B2729" s="7"/>
      <c r="C2729" s="7"/>
      <c r="D2729" s="7"/>
      <c r="E2729" s="7"/>
      <c r="F2729" s="7"/>
      <c r="G2729" s="7"/>
      <c r="H2729" s="8"/>
      <c r="I2729" s="8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hidden="1">
      <c r="A2730" s="7"/>
      <c r="B2730" s="7"/>
      <c r="C2730" s="7"/>
      <c r="D2730" s="7"/>
      <c r="E2730" s="7"/>
      <c r="F2730" s="7"/>
      <c r="G2730" s="7"/>
      <c r="H2730" s="8"/>
      <c r="I2730" s="8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hidden="1">
      <c r="A2731" s="7"/>
      <c r="B2731" s="7"/>
      <c r="C2731" s="7"/>
      <c r="D2731" s="7"/>
      <c r="E2731" s="7"/>
      <c r="F2731" s="7"/>
      <c r="G2731" s="7"/>
      <c r="H2731" s="8"/>
      <c r="I2731" s="8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hidden="1">
      <c r="A2732" s="7"/>
      <c r="B2732" s="7"/>
      <c r="C2732" s="7"/>
      <c r="D2732" s="7"/>
      <c r="E2732" s="7"/>
      <c r="F2732" s="7"/>
      <c r="G2732" s="7"/>
      <c r="H2732" s="8"/>
      <c r="I2732" s="8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hidden="1">
      <c r="A2733" s="7"/>
      <c r="B2733" s="7"/>
      <c r="C2733" s="7"/>
      <c r="D2733" s="7"/>
      <c r="E2733" s="7"/>
      <c r="F2733" s="7"/>
      <c r="G2733" s="7"/>
      <c r="H2733" s="8"/>
      <c r="I2733" s="8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hidden="1">
      <c r="A2734" s="7"/>
      <c r="B2734" s="7"/>
      <c r="C2734" s="7"/>
      <c r="D2734" s="7"/>
      <c r="E2734" s="7"/>
      <c r="F2734" s="7"/>
      <c r="G2734" s="7"/>
      <c r="H2734" s="8"/>
      <c r="I2734" s="8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hidden="1">
      <c r="A2735" s="7"/>
      <c r="B2735" s="7"/>
      <c r="C2735" s="7"/>
      <c r="D2735" s="7"/>
      <c r="E2735" s="7"/>
      <c r="F2735" s="7"/>
      <c r="G2735" s="7"/>
      <c r="H2735" s="8"/>
      <c r="I2735" s="8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hidden="1">
      <c r="A2736" s="7"/>
      <c r="B2736" s="7"/>
      <c r="C2736" s="7"/>
      <c r="D2736" s="7"/>
      <c r="E2736" s="7"/>
      <c r="F2736" s="7"/>
      <c r="G2736" s="7"/>
      <c r="H2736" s="8"/>
      <c r="I2736" s="8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hidden="1">
      <c r="A2737" s="7"/>
      <c r="B2737" s="7"/>
      <c r="C2737" s="7"/>
      <c r="D2737" s="7"/>
      <c r="E2737" s="7"/>
      <c r="F2737" s="7"/>
      <c r="G2737" s="7"/>
      <c r="H2737" s="8"/>
      <c r="I2737" s="8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hidden="1">
      <c r="A2738" s="7"/>
      <c r="B2738" s="7"/>
      <c r="C2738" s="7"/>
      <c r="D2738" s="7"/>
      <c r="E2738" s="7"/>
      <c r="F2738" s="7"/>
      <c r="G2738" s="7"/>
      <c r="H2738" s="8"/>
      <c r="I2738" s="8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hidden="1">
      <c r="A2739" s="7"/>
      <c r="B2739" s="7"/>
      <c r="C2739" s="7"/>
      <c r="D2739" s="7"/>
      <c r="E2739" s="7"/>
      <c r="F2739" s="7"/>
      <c r="G2739" s="7"/>
      <c r="H2739" s="8"/>
      <c r="I2739" s="8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hidden="1">
      <c r="A2740" s="7"/>
      <c r="B2740" s="7"/>
      <c r="C2740" s="7"/>
      <c r="D2740" s="7"/>
      <c r="E2740" s="7"/>
      <c r="F2740" s="7"/>
      <c r="G2740" s="7"/>
      <c r="H2740" s="8"/>
      <c r="I2740" s="8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hidden="1">
      <c r="A2741" s="7"/>
      <c r="B2741" s="7"/>
      <c r="C2741" s="7"/>
      <c r="D2741" s="7"/>
      <c r="E2741" s="7"/>
      <c r="F2741" s="7"/>
      <c r="G2741" s="7"/>
      <c r="H2741" s="8"/>
      <c r="I2741" s="8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hidden="1">
      <c r="A2742" s="7"/>
      <c r="B2742" s="7"/>
      <c r="C2742" s="7"/>
      <c r="D2742" s="7"/>
      <c r="E2742" s="7"/>
      <c r="F2742" s="7"/>
      <c r="G2742" s="7"/>
      <c r="H2742" s="8"/>
      <c r="I2742" s="8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hidden="1">
      <c r="A2743" s="7"/>
      <c r="B2743" s="7"/>
      <c r="C2743" s="7"/>
      <c r="D2743" s="7"/>
      <c r="E2743" s="7"/>
      <c r="F2743" s="7"/>
      <c r="G2743" s="7"/>
      <c r="H2743" s="8"/>
      <c r="I2743" s="8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hidden="1">
      <c r="A2744" s="7"/>
      <c r="B2744" s="7"/>
      <c r="C2744" s="7"/>
      <c r="D2744" s="7"/>
      <c r="E2744" s="7"/>
      <c r="F2744" s="7"/>
      <c r="G2744" s="7"/>
      <c r="H2744" s="8"/>
      <c r="I2744" s="8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hidden="1">
      <c r="A2745" s="7"/>
      <c r="B2745" s="7"/>
      <c r="C2745" s="7"/>
      <c r="D2745" s="7"/>
      <c r="E2745" s="7"/>
      <c r="F2745" s="7"/>
      <c r="G2745" s="7"/>
      <c r="H2745" s="8"/>
      <c r="I2745" s="8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hidden="1">
      <c r="A2746" s="7"/>
      <c r="B2746" s="7"/>
      <c r="C2746" s="7"/>
      <c r="D2746" s="7"/>
      <c r="E2746" s="7"/>
      <c r="F2746" s="7"/>
      <c r="G2746" s="7"/>
      <c r="H2746" s="8"/>
      <c r="I2746" s="8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hidden="1">
      <c r="A2747" s="7"/>
      <c r="B2747" s="7"/>
      <c r="C2747" s="7"/>
      <c r="D2747" s="7"/>
      <c r="E2747" s="7"/>
      <c r="F2747" s="7"/>
      <c r="G2747" s="7"/>
      <c r="H2747" s="8"/>
      <c r="I2747" s="8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hidden="1">
      <c r="A2748" s="7"/>
      <c r="B2748" s="7"/>
      <c r="C2748" s="7"/>
      <c r="D2748" s="7"/>
      <c r="E2748" s="7"/>
      <c r="F2748" s="7"/>
      <c r="G2748" s="7"/>
      <c r="H2748" s="8"/>
      <c r="I2748" s="8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hidden="1">
      <c r="A2749" s="7"/>
      <c r="B2749" s="7"/>
      <c r="C2749" s="7"/>
      <c r="D2749" s="7"/>
      <c r="E2749" s="7"/>
      <c r="F2749" s="7"/>
      <c r="G2749" s="7"/>
      <c r="H2749" s="8"/>
      <c r="I2749" s="8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hidden="1">
      <c r="A2750" s="7"/>
      <c r="B2750" s="7"/>
      <c r="C2750" s="7"/>
      <c r="D2750" s="7"/>
      <c r="E2750" s="7"/>
      <c r="F2750" s="7"/>
      <c r="G2750" s="7"/>
      <c r="H2750" s="8"/>
      <c r="I2750" s="8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hidden="1">
      <c r="A2751" s="7"/>
      <c r="B2751" s="7"/>
      <c r="C2751" s="7"/>
      <c r="D2751" s="7"/>
      <c r="E2751" s="7"/>
      <c r="F2751" s="7"/>
      <c r="G2751" s="7"/>
      <c r="H2751" s="8"/>
      <c r="I2751" s="8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hidden="1">
      <c r="A2752" s="7"/>
      <c r="B2752" s="7"/>
      <c r="C2752" s="7"/>
      <c r="D2752" s="7"/>
      <c r="E2752" s="7"/>
      <c r="F2752" s="7"/>
      <c r="G2752" s="7"/>
      <c r="H2752" s="8"/>
      <c r="I2752" s="8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hidden="1">
      <c r="A2753" s="7"/>
      <c r="B2753" s="7"/>
      <c r="C2753" s="7"/>
      <c r="D2753" s="7"/>
      <c r="E2753" s="7"/>
      <c r="F2753" s="7"/>
      <c r="G2753" s="7"/>
      <c r="H2753" s="8"/>
      <c r="I2753" s="8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hidden="1">
      <c r="A2754" s="7"/>
      <c r="B2754" s="7"/>
      <c r="C2754" s="7"/>
      <c r="D2754" s="7"/>
      <c r="E2754" s="7"/>
      <c r="F2754" s="7"/>
      <c r="G2754" s="7"/>
      <c r="H2754" s="8"/>
      <c r="I2754" s="8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hidden="1">
      <c r="A2755" s="7"/>
      <c r="B2755" s="7"/>
      <c r="C2755" s="7"/>
      <c r="D2755" s="7"/>
      <c r="E2755" s="7"/>
      <c r="F2755" s="7"/>
      <c r="G2755" s="7"/>
      <c r="H2755" s="8"/>
      <c r="I2755" s="8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hidden="1">
      <c r="A2756" s="7"/>
      <c r="B2756" s="7"/>
      <c r="C2756" s="7"/>
      <c r="D2756" s="7"/>
      <c r="E2756" s="7"/>
      <c r="F2756" s="7"/>
      <c r="G2756" s="7"/>
      <c r="H2756" s="8"/>
      <c r="I2756" s="8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hidden="1">
      <c r="A2757" s="7"/>
      <c r="B2757" s="7"/>
      <c r="C2757" s="7"/>
      <c r="D2757" s="7"/>
      <c r="E2757" s="7"/>
      <c r="F2757" s="7"/>
      <c r="G2757" s="7"/>
      <c r="H2757" s="8"/>
      <c r="I2757" s="8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hidden="1">
      <c r="A2758" s="7"/>
      <c r="B2758" s="7"/>
      <c r="C2758" s="7"/>
      <c r="D2758" s="7"/>
      <c r="E2758" s="7"/>
      <c r="F2758" s="7"/>
      <c r="G2758" s="7"/>
      <c r="H2758" s="8"/>
      <c r="I2758" s="8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hidden="1">
      <c r="A2759" s="7"/>
      <c r="B2759" s="7"/>
      <c r="C2759" s="7"/>
      <c r="D2759" s="7"/>
      <c r="E2759" s="7"/>
      <c r="F2759" s="7"/>
      <c r="G2759" s="7"/>
      <c r="H2759" s="8"/>
      <c r="I2759" s="8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hidden="1">
      <c r="A2760" s="7"/>
      <c r="B2760" s="7"/>
      <c r="C2760" s="7"/>
      <c r="D2760" s="7"/>
      <c r="E2760" s="7"/>
      <c r="F2760" s="7"/>
      <c r="G2760" s="7"/>
      <c r="H2760" s="8"/>
      <c r="I2760" s="8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hidden="1">
      <c r="A2761" s="7"/>
      <c r="B2761" s="7"/>
      <c r="C2761" s="7"/>
      <c r="D2761" s="7"/>
      <c r="E2761" s="7"/>
      <c r="F2761" s="7"/>
      <c r="G2761" s="7"/>
      <c r="H2761" s="8"/>
      <c r="I2761" s="8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hidden="1">
      <c r="A2762" s="7"/>
      <c r="B2762" s="7"/>
      <c r="C2762" s="7"/>
      <c r="D2762" s="7"/>
      <c r="E2762" s="7"/>
      <c r="F2762" s="7"/>
      <c r="G2762" s="7"/>
      <c r="H2762" s="8"/>
      <c r="I2762" s="8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hidden="1">
      <c r="A2763" s="7"/>
      <c r="B2763" s="7"/>
      <c r="C2763" s="7"/>
      <c r="D2763" s="7"/>
      <c r="E2763" s="7"/>
      <c r="F2763" s="7"/>
      <c r="G2763" s="7"/>
      <c r="H2763" s="8"/>
      <c r="I2763" s="8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hidden="1">
      <c r="A2764" s="7"/>
      <c r="B2764" s="7"/>
      <c r="C2764" s="7"/>
      <c r="D2764" s="7"/>
      <c r="E2764" s="7"/>
      <c r="F2764" s="7"/>
      <c r="G2764" s="7"/>
      <c r="H2764" s="8"/>
      <c r="I2764" s="8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hidden="1">
      <c r="A2765" s="7"/>
      <c r="B2765" s="7"/>
      <c r="C2765" s="7"/>
      <c r="D2765" s="7"/>
      <c r="E2765" s="7"/>
      <c r="F2765" s="7"/>
      <c r="G2765" s="7"/>
      <c r="H2765" s="8"/>
      <c r="I2765" s="8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hidden="1">
      <c r="A2766" s="7"/>
      <c r="B2766" s="7"/>
      <c r="C2766" s="7"/>
      <c r="D2766" s="7"/>
      <c r="E2766" s="7"/>
      <c r="F2766" s="7"/>
      <c r="G2766" s="7"/>
      <c r="H2766" s="8"/>
      <c r="I2766" s="8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hidden="1">
      <c r="A2767" s="7"/>
      <c r="B2767" s="7"/>
      <c r="C2767" s="7"/>
      <c r="D2767" s="7"/>
      <c r="E2767" s="7"/>
      <c r="F2767" s="7"/>
      <c r="G2767" s="7"/>
      <c r="H2767" s="8"/>
      <c r="I2767" s="8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hidden="1">
      <c r="A2768" s="7"/>
      <c r="B2768" s="7"/>
      <c r="C2768" s="7"/>
      <c r="D2768" s="7"/>
      <c r="E2768" s="7"/>
      <c r="F2768" s="7"/>
      <c r="G2768" s="7"/>
      <c r="H2768" s="8"/>
      <c r="I2768" s="8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hidden="1">
      <c r="A2769" s="7"/>
      <c r="B2769" s="7"/>
      <c r="C2769" s="7"/>
      <c r="D2769" s="7"/>
      <c r="E2769" s="7"/>
      <c r="F2769" s="7"/>
      <c r="G2769" s="7"/>
      <c r="H2769" s="8"/>
      <c r="I2769" s="8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hidden="1">
      <c r="A2770" s="7"/>
      <c r="B2770" s="7"/>
      <c r="C2770" s="7"/>
      <c r="D2770" s="7"/>
      <c r="E2770" s="7"/>
      <c r="F2770" s="7"/>
      <c r="G2770" s="7"/>
      <c r="H2770" s="8"/>
      <c r="I2770" s="8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hidden="1">
      <c r="A2771" s="7"/>
      <c r="B2771" s="7"/>
      <c r="C2771" s="7"/>
      <c r="D2771" s="7"/>
      <c r="E2771" s="7"/>
      <c r="F2771" s="7"/>
      <c r="G2771" s="7"/>
      <c r="H2771" s="8"/>
      <c r="I2771" s="8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hidden="1">
      <c r="A2772" s="7"/>
      <c r="B2772" s="7"/>
      <c r="C2772" s="7"/>
      <c r="D2772" s="7"/>
      <c r="E2772" s="7"/>
      <c r="F2772" s="7"/>
      <c r="G2772" s="7"/>
      <c r="H2772" s="8"/>
      <c r="I2772" s="8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hidden="1">
      <c r="A2773" s="7"/>
      <c r="B2773" s="7"/>
      <c r="C2773" s="7"/>
      <c r="D2773" s="7"/>
      <c r="E2773" s="7"/>
      <c r="F2773" s="7"/>
      <c r="G2773" s="7"/>
      <c r="H2773" s="8"/>
      <c r="I2773" s="8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hidden="1">
      <c r="A2774" s="7"/>
      <c r="B2774" s="7"/>
      <c r="C2774" s="7"/>
      <c r="D2774" s="7"/>
      <c r="E2774" s="7"/>
      <c r="F2774" s="7"/>
      <c r="G2774" s="7"/>
      <c r="H2774" s="8"/>
      <c r="I2774" s="8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hidden="1">
      <c r="A2775" s="7"/>
      <c r="B2775" s="7"/>
      <c r="C2775" s="7"/>
      <c r="D2775" s="7"/>
      <c r="E2775" s="7"/>
      <c r="F2775" s="7"/>
      <c r="G2775" s="7"/>
      <c r="H2775" s="8"/>
      <c r="I2775" s="8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hidden="1">
      <c r="A2776" s="7"/>
      <c r="B2776" s="7"/>
      <c r="C2776" s="7"/>
      <c r="D2776" s="7"/>
      <c r="E2776" s="7"/>
      <c r="F2776" s="7"/>
      <c r="G2776" s="7"/>
      <c r="H2776" s="8"/>
      <c r="I2776" s="8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hidden="1">
      <c r="A2777" s="7"/>
      <c r="B2777" s="7"/>
      <c r="C2777" s="7"/>
      <c r="D2777" s="7"/>
      <c r="E2777" s="7"/>
      <c r="F2777" s="7"/>
      <c r="G2777" s="7"/>
      <c r="H2777" s="8"/>
      <c r="I2777" s="8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hidden="1">
      <c r="A2778" s="7"/>
      <c r="B2778" s="7"/>
      <c r="C2778" s="7"/>
      <c r="D2778" s="7"/>
      <c r="E2778" s="7"/>
      <c r="F2778" s="7"/>
      <c r="G2778" s="7"/>
      <c r="H2778" s="8"/>
      <c r="I2778" s="8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hidden="1">
      <c r="A2779" s="7"/>
      <c r="B2779" s="7"/>
      <c r="C2779" s="7"/>
      <c r="D2779" s="7"/>
      <c r="E2779" s="7"/>
      <c r="F2779" s="7"/>
      <c r="G2779" s="7"/>
      <c r="H2779" s="8"/>
      <c r="I2779" s="8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hidden="1">
      <c r="A2780" s="7"/>
      <c r="B2780" s="7"/>
      <c r="C2780" s="7"/>
      <c r="D2780" s="7"/>
      <c r="E2780" s="7"/>
      <c r="F2780" s="7"/>
      <c r="G2780" s="7"/>
      <c r="H2780" s="8"/>
      <c r="I2780" s="8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hidden="1">
      <c r="A2781" s="7"/>
      <c r="B2781" s="7"/>
      <c r="C2781" s="7"/>
      <c r="D2781" s="7"/>
      <c r="E2781" s="7"/>
      <c r="F2781" s="7"/>
      <c r="G2781" s="7"/>
      <c r="H2781" s="8"/>
      <c r="I2781" s="8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hidden="1">
      <c r="A2782" s="7"/>
      <c r="B2782" s="7"/>
      <c r="C2782" s="7"/>
      <c r="D2782" s="7"/>
      <c r="E2782" s="7"/>
      <c r="F2782" s="7"/>
      <c r="G2782" s="7"/>
      <c r="H2782" s="8"/>
      <c r="I2782" s="8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hidden="1">
      <c r="A2783" s="7"/>
      <c r="B2783" s="7"/>
      <c r="C2783" s="7"/>
      <c r="D2783" s="7"/>
      <c r="E2783" s="7"/>
      <c r="F2783" s="7"/>
      <c r="G2783" s="7"/>
      <c r="H2783" s="8"/>
      <c r="I2783" s="8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hidden="1">
      <c r="A2784" s="7"/>
      <c r="B2784" s="7"/>
      <c r="C2784" s="7"/>
      <c r="D2784" s="7"/>
      <c r="E2784" s="7"/>
      <c r="F2784" s="7"/>
      <c r="G2784" s="7"/>
      <c r="H2784" s="8"/>
      <c r="I2784" s="8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hidden="1">
      <c r="A2785" s="7"/>
      <c r="B2785" s="7"/>
      <c r="C2785" s="7"/>
      <c r="D2785" s="7"/>
      <c r="E2785" s="7"/>
      <c r="F2785" s="7"/>
      <c r="G2785" s="7"/>
      <c r="H2785" s="8"/>
      <c r="I2785" s="8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hidden="1">
      <c r="A2786" s="7"/>
      <c r="B2786" s="7"/>
      <c r="C2786" s="7"/>
      <c r="D2786" s="7"/>
      <c r="E2786" s="7"/>
      <c r="F2786" s="7"/>
      <c r="G2786" s="7"/>
      <c r="H2786" s="8"/>
      <c r="I2786" s="8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hidden="1">
      <c r="A2787" s="7"/>
      <c r="B2787" s="7"/>
      <c r="C2787" s="7"/>
      <c r="D2787" s="7"/>
      <c r="E2787" s="7"/>
      <c r="F2787" s="7"/>
      <c r="G2787" s="7"/>
      <c r="H2787" s="8"/>
      <c r="I2787" s="8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hidden="1">
      <c r="A2788" s="7"/>
      <c r="B2788" s="7"/>
      <c r="C2788" s="7"/>
      <c r="D2788" s="7"/>
      <c r="E2788" s="7"/>
      <c r="F2788" s="7"/>
      <c r="G2788" s="7"/>
      <c r="H2788" s="8"/>
      <c r="I2788" s="8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hidden="1">
      <c r="A2789" s="7"/>
      <c r="B2789" s="7"/>
      <c r="C2789" s="7"/>
      <c r="D2789" s="7"/>
      <c r="E2789" s="7"/>
      <c r="F2789" s="7"/>
      <c r="G2789" s="7"/>
      <c r="H2789" s="8"/>
      <c r="I2789" s="8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hidden="1">
      <c r="A2790" s="7"/>
      <c r="B2790" s="7"/>
      <c r="C2790" s="7"/>
      <c r="D2790" s="7"/>
      <c r="E2790" s="7"/>
      <c r="F2790" s="7"/>
      <c r="G2790" s="7"/>
      <c r="H2790" s="8"/>
      <c r="I2790" s="8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hidden="1">
      <c r="A2791" s="7"/>
      <c r="B2791" s="7"/>
      <c r="C2791" s="7"/>
      <c r="D2791" s="7"/>
      <c r="E2791" s="7"/>
      <c r="F2791" s="7"/>
      <c r="G2791" s="7"/>
      <c r="H2791" s="8"/>
      <c r="I2791" s="8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hidden="1">
      <c r="A2792" s="7"/>
      <c r="B2792" s="7"/>
      <c r="C2792" s="7"/>
      <c r="D2792" s="7"/>
      <c r="E2792" s="7"/>
      <c r="F2792" s="7"/>
      <c r="G2792" s="7"/>
      <c r="H2792" s="8"/>
      <c r="I2792" s="8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hidden="1">
      <c r="A2793" s="7"/>
      <c r="B2793" s="7"/>
      <c r="C2793" s="7"/>
      <c r="D2793" s="7"/>
      <c r="E2793" s="7"/>
      <c r="F2793" s="7"/>
      <c r="G2793" s="7"/>
      <c r="H2793" s="8"/>
      <c r="I2793" s="8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hidden="1">
      <c r="A2794" s="7"/>
      <c r="B2794" s="7"/>
      <c r="C2794" s="7"/>
      <c r="D2794" s="7"/>
      <c r="E2794" s="7"/>
      <c r="F2794" s="7"/>
      <c r="G2794" s="7"/>
      <c r="H2794" s="8"/>
      <c r="I2794" s="8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hidden="1">
      <c r="A2795" s="7"/>
      <c r="B2795" s="7"/>
      <c r="C2795" s="7"/>
      <c r="D2795" s="7"/>
      <c r="E2795" s="7"/>
      <c r="F2795" s="7"/>
      <c r="G2795" s="7"/>
      <c r="H2795" s="8"/>
      <c r="I2795" s="8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hidden="1">
      <c r="A2796" s="7"/>
      <c r="B2796" s="7"/>
      <c r="C2796" s="7"/>
      <c r="D2796" s="7"/>
      <c r="E2796" s="7"/>
      <c r="F2796" s="7"/>
      <c r="G2796" s="7"/>
      <c r="H2796" s="8"/>
      <c r="I2796" s="8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hidden="1">
      <c r="A2797" s="7"/>
      <c r="B2797" s="7"/>
      <c r="C2797" s="7"/>
      <c r="D2797" s="7"/>
      <c r="E2797" s="7"/>
      <c r="F2797" s="7"/>
      <c r="G2797" s="7"/>
      <c r="H2797" s="8"/>
      <c r="I2797" s="8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hidden="1">
      <c r="A2798" s="7"/>
      <c r="B2798" s="7"/>
      <c r="C2798" s="7"/>
      <c r="D2798" s="7"/>
      <c r="E2798" s="7"/>
      <c r="F2798" s="7"/>
      <c r="G2798" s="7"/>
      <c r="H2798" s="8"/>
      <c r="I2798" s="8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hidden="1">
      <c r="A2799" s="7"/>
      <c r="B2799" s="7"/>
      <c r="C2799" s="7"/>
      <c r="D2799" s="7"/>
      <c r="E2799" s="7"/>
      <c r="F2799" s="7"/>
      <c r="G2799" s="7"/>
      <c r="H2799" s="8"/>
      <c r="I2799" s="8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hidden="1">
      <c r="A2800" s="7"/>
      <c r="B2800" s="7"/>
      <c r="C2800" s="7"/>
      <c r="D2800" s="7"/>
      <c r="E2800" s="7"/>
      <c r="F2800" s="7"/>
      <c r="G2800" s="7"/>
      <c r="H2800" s="8"/>
      <c r="I2800" s="8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hidden="1">
      <c r="A2801" s="7"/>
      <c r="B2801" s="7"/>
      <c r="C2801" s="7"/>
      <c r="D2801" s="7"/>
      <c r="E2801" s="7"/>
      <c r="F2801" s="7"/>
      <c r="G2801" s="7"/>
      <c r="H2801" s="8"/>
      <c r="I2801" s="8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hidden="1">
      <c r="A2802" s="7"/>
      <c r="B2802" s="7"/>
      <c r="C2802" s="7"/>
      <c r="D2802" s="7"/>
      <c r="E2802" s="7"/>
      <c r="F2802" s="7"/>
      <c r="G2802" s="7"/>
      <c r="H2802" s="8"/>
      <c r="I2802" s="8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hidden="1">
      <c r="A2803" s="7"/>
      <c r="B2803" s="7"/>
      <c r="C2803" s="7"/>
      <c r="D2803" s="7"/>
      <c r="E2803" s="7"/>
      <c r="F2803" s="7"/>
      <c r="G2803" s="7"/>
      <c r="H2803" s="8"/>
      <c r="I2803" s="8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hidden="1">
      <c r="A2804" s="7"/>
      <c r="B2804" s="7"/>
      <c r="C2804" s="7"/>
      <c r="D2804" s="7"/>
      <c r="E2804" s="7"/>
      <c r="F2804" s="7"/>
      <c r="G2804" s="7"/>
      <c r="H2804" s="8"/>
      <c r="I2804" s="8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hidden="1">
      <c r="A2805" s="7"/>
      <c r="B2805" s="7"/>
      <c r="C2805" s="7"/>
      <c r="D2805" s="7"/>
      <c r="E2805" s="7"/>
      <c r="F2805" s="7"/>
      <c r="G2805" s="7"/>
      <c r="H2805" s="8"/>
      <c r="I2805" s="8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hidden="1">
      <c r="A2806" s="7"/>
      <c r="B2806" s="7"/>
      <c r="C2806" s="7"/>
      <c r="D2806" s="7"/>
      <c r="E2806" s="7"/>
      <c r="F2806" s="7"/>
      <c r="G2806" s="7"/>
      <c r="H2806" s="8"/>
      <c r="I2806" s="8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hidden="1">
      <c r="A2807" s="7"/>
      <c r="B2807" s="7"/>
      <c r="C2807" s="7"/>
      <c r="D2807" s="7"/>
      <c r="E2807" s="7"/>
      <c r="F2807" s="7"/>
      <c r="G2807" s="7"/>
      <c r="H2807" s="8"/>
      <c r="I2807" s="8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hidden="1">
      <c r="A2808" s="7"/>
      <c r="B2808" s="7"/>
      <c r="C2808" s="7"/>
      <c r="D2808" s="7"/>
      <c r="E2808" s="7"/>
      <c r="F2808" s="7"/>
      <c r="G2808" s="7"/>
      <c r="H2808" s="8"/>
      <c r="I2808" s="8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hidden="1">
      <c r="A2809" s="7"/>
      <c r="B2809" s="7"/>
      <c r="C2809" s="7"/>
      <c r="D2809" s="7"/>
      <c r="E2809" s="7"/>
      <c r="F2809" s="7"/>
      <c r="G2809" s="7"/>
      <c r="H2809" s="8"/>
      <c r="I2809" s="8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hidden="1">
      <c r="A2810" s="7"/>
      <c r="B2810" s="7"/>
      <c r="C2810" s="7"/>
      <c r="D2810" s="7"/>
      <c r="E2810" s="7"/>
      <c r="F2810" s="7"/>
      <c r="G2810" s="7"/>
      <c r="H2810" s="8"/>
      <c r="I2810" s="8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hidden="1">
      <c r="A2811" s="7"/>
      <c r="B2811" s="7"/>
      <c r="C2811" s="7"/>
      <c r="D2811" s="7"/>
      <c r="E2811" s="7"/>
      <c r="F2811" s="7"/>
      <c r="G2811" s="7"/>
      <c r="H2811" s="8"/>
      <c r="I2811" s="8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hidden="1">
      <c r="A2812" s="7"/>
      <c r="B2812" s="7"/>
      <c r="C2812" s="7"/>
      <c r="D2812" s="7"/>
      <c r="E2812" s="7"/>
      <c r="F2812" s="7"/>
      <c r="G2812" s="7"/>
      <c r="H2812" s="8"/>
      <c r="I2812" s="8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hidden="1">
      <c r="A2813" s="7"/>
      <c r="B2813" s="7"/>
      <c r="C2813" s="7"/>
      <c r="D2813" s="7"/>
      <c r="E2813" s="7"/>
      <c r="F2813" s="7"/>
      <c r="G2813" s="7"/>
      <c r="H2813" s="8"/>
      <c r="I2813" s="8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hidden="1">
      <c r="A2814" s="7"/>
      <c r="B2814" s="7"/>
      <c r="C2814" s="7"/>
      <c r="D2814" s="7"/>
      <c r="E2814" s="7"/>
      <c r="F2814" s="7"/>
      <c r="G2814" s="7"/>
      <c r="H2814" s="8"/>
      <c r="I2814" s="8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hidden="1">
      <c r="A2815" s="7"/>
      <c r="B2815" s="7"/>
      <c r="C2815" s="7"/>
      <c r="D2815" s="7"/>
      <c r="E2815" s="7"/>
      <c r="F2815" s="7"/>
      <c r="G2815" s="7"/>
      <c r="H2815" s="8"/>
      <c r="I2815" s="8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hidden="1">
      <c r="A2816" s="7"/>
      <c r="B2816" s="7"/>
      <c r="C2816" s="7"/>
      <c r="D2816" s="7"/>
      <c r="E2816" s="7"/>
      <c r="F2816" s="7"/>
      <c r="G2816" s="7"/>
      <c r="H2816" s="8"/>
      <c r="I2816" s="8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hidden="1">
      <c r="A2817" s="7"/>
      <c r="B2817" s="7"/>
      <c r="C2817" s="7"/>
      <c r="D2817" s="7"/>
      <c r="E2817" s="7"/>
      <c r="F2817" s="7"/>
      <c r="G2817" s="7"/>
      <c r="H2817" s="8"/>
      <c r="I2817" s="8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hidden="1">
      <c r="A2818" s="7"/>
      <c r="B2818" s="7"/>
      <c r="C2818" s="7"/>
      <c r="D2818" s="7"/>
      <c r="E2818" s="7"/>
      <c r="F2818" s="7"/>
      <c r="G2818" s="7"/>
      <c r="H2818" s="8"/>
      <c r="I2818" s="8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hidden="1">
      <c r="A2819" s="7"/>
      <c r="B2819" s="7"/>
      <c r="C2819" s="7"/>
      <c r="D2819" s="7"/>
      <c r="E2819" s="7"/>
      <c r="F2819" s="7"/>
      <c r="G2819" s="7"/>
      <c r="H2819" s="8"/>
      <c r="I2819" s="8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hidden="1">
      <c r="A2820" s="7"/>
      <c r="B2820" s="7"/>
      <c r="C2820" s="7"/>
      <c r="D2820" s="7"/>
      <c r="E2820" s="7"/>
      <c r="F2820" s="7"/>
      <c r="G2820" s="7"/>
      <c r="H2820" s="8"/>
      <c r="I2820" s="8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hidden="1">
      <c r="A2821" s="7"/>
      <c r="B2821" s="7"/>
      <c r="C2821" s="7"/>
      <c r="D2821" s="7"/>
      <c r="E2821" s="7"/>
      <c r="F2821" s="7"/>
      <c r="G2821" s="7"/>
      <c r="H2821" s="8"/>
      <c r="I2821" s="8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hidden="1">
      <c r="A2822" s="7"/>
      <c r="B2822" s="7"/>
      <c r="C2822" s="7"/>
      <c r="D2822" s="7"/>
      <c r="E2822" s="7"/>
      <c r="F2822" s="7"/>
      <c r="G2822" s="7"/>
      <c r="H2822" s="8"/>
      <c r="I2822" s="8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hidden="1">
      <c r="A2823" s="7"/>
      <c r="B2823" s="7"/>
      <c r="C2823" s="7"/>
      <c r="D2823" s="7"/>
      <c r="E2823" s="7"/>
      <c r="F2823" s="7"/>
      <c r="G2823" s="7"/>
      <c r="H2823" s="8"/>
      <c r="I2823" s="8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hidden="1">
      <c r="A2824" s="7"/>
      <c r="B2824" s="7"/>
      <c r="C2824" s="7"/>
      <c r="D2824" s="7"/>
      <c r="E2824" s="7"/>
      <c r="F2824" s="7"/>
      <c r="G2824" s="7"/>
      <c r="H2824" s="8"/>
      <c r="I2824" s="8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hidden="1">
      <c r="A2825" s="7"/>
      <c r="B2825" s="7"/>
      <c r="C2825" s="7"/>
      <c r="D2825" s="7"/>
      <c r="E2825" s="7"/>
      <c r="F2825" s="7"/>
      <c r="G2825" s="7"/>
      <c r="H2825" s="8"/>
      <c r="I2825" s="8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hidden="1">
      <c r="A2826" s="7"/>
      <c r="B2826" s="7"/>
      <c r="C2826" s="7"/>
      <c r="D2826" s="7"/>
      <c r="E2826" s="7"/>
      <c r="F2826" s="7"/>
      <c r="G2826" s="7"/>
      <c r="H2826" s="8"/>
      <c r="I2826" s="8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hidden="1">
      <c r="A2827" s="7"/>
      <c r="B2827" s="7"/>
      <c r="C2827" s="7"/>
      <c r="D2827" s="7"/>
      <c r="E2827" s="7"/>
      <c r="F2827" s="7"/>
      <c r="G2827" s="7"/>
      <c r="H2827" s="8"/>
      <c r="I2827" s="8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hidden="1">
      <c r="A2828" s="7"/>
      <c r="B2828" s="7"/>
      <c r="C2828" s="7"/>
      <c r="D2828" s="7"/>
      <c r="E2828" s="7"/>
      <c r="F2828" s="7"/>
      <c r="G2828" s="7"/>
      <c r="H2828" s="8"/>
      <c r="I2828" s="8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hidden="1">
      <c r="A2829" s="7"/>
      <c r="B2829" s="7"/>
      <c r="C2829" s="7"/>
      <c r="D2829" s="7"/>
      <c r="E2829" s="7"/>
      <c r="F2829" s="7"/>
      <c r="G2829" s="7"/>
      <c r="H2829" s="8"/>
      <c r="I2829" s="8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hidden="1">
      <c r="A2830" s="7"/>
      <c r="B2830" s="7"/>
      <c r="C2830" s="7"/>
      <c r="D2830" s="7"/>
      <c r="E2830" s="7"/>
      <c r="F2830" s="7"/>
      <c r="G2830" s="7"/>
      <c r="H2830" s="8"/>
      <c r="I2830" s="8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hidden="1">
      <c r="A2831" s="7"/>
      <c r="B2831" s="7"/>
      <c r="C2831" s="7"/>
      <c r="D2831" s="7"/>
      <c r="E2831" s="7"/>
      <c r="F2831" s="7"/>
      <c r="G2831" s="7"/>
      <c r="H2831" s="8"/>
      <c r="I2831" s="8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hidden="1">
      <c r="A2832" s="7"/>
      <c r="B2832" s="7"/>
      <c r="C2832" s="7"/>
      <c r="D2832" s="7"/>
      <c r="E2832" s="7"/>
      <c r="F2832" s="7"/>
      <c r="G2832" s="7"/>
      <c r="H2832" s="8"/>
      <c r="I2832" s="8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hidden="1">
      <c r="A2833" s="7"/>
      <c r="B2833" s="7"/>
      <c r="C2833" s="7"/>
      <c r="D2833" s="7"/>
      <c r="E2833" s="7"/>
      <c r="F2833" s="7"/>
      <c r="G2833" s="7"/>
      <c r="H2833" s="8"/>
      <c r="I2833" s="8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hidden="1">
      <c r="A2834" s="7"/>
      <c r="B2834" s="7"/>
      <c r="C2834" s="7"/>
      <c r="D2834" s="7"/>
      <c r="E2834" s="7"/>
      <c r="F2834" s="7"/>
      <c r="G2834" s="7"/>
      <c r="H2834" s="8"/>
      <c r="I2834" s="8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hidden="1">
      <c r="A2835" s="7"/>
      <c r="B2835" s="7"/>
      <c r="C2835" s="7"/>
      <c r="D2835" s="7"/>
      <c r="E2835" s="7"/>
      <c r="F2835" s="7"/>
      <c r="G2835" s="7"/>
      <c r="H2835" s="8"/>
      <c r="I2835" s="8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hidden="1">
      <c r="A2836" s="7"/>
      <c r="B2836" s="7"/>
      <c r="C2836" s="7"/>
      <c r="D2836" s="7"/>
      <c r="E2836" s="7"/>
      <c r="F2836" s="7"/>
      <c r="G2836" s="7"/>
      <c r="H2836" s="8"/>
      <c r="I2836" s="8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hidden="1">
      <c r="A2837" s="7"/>
      <c r="B2837" s="7"/>
      <c r="C2837" s="7"/>
      <c r="D2837" s="7"/>
      <c r="E2837" s="7"/>
      <c r="F2837" s="7"/>
      <c r="G2837" s="7"/>
      <c r="H2837" s="8"/>
      <c r="I2837" s="8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hidden="1">
      <c r="A2838" s="7"/>
      <c r="B2838" s="7"/>
      <c r="C2838" s="7"/>
      <c r="D2838" s="7"/>
      <c r="E2838" s="7"/>
      <c r="F2838" s="7"/>
      <c r="G2838" s="7"/>
      <c r="H2838" s="8"/>
      <c r="I2838" s="8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hidden="1">
      <c r="A2839" s="7"/>
      <c r="B2839" s="7"/>
      <c r="C2839" s="7"/>
      <c r="D2839" s="7"/>
      <c r="E2839" s="7"/>
      <c r="F2839" s="7"/>
      <c r="G2839" s="7"/>
      <c r="H2839" s="8"/>
      <c r="I2839" s="8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hidden="1">
      <c r="A2840" s="7"/>
      <c r="B2840" s="7"/>
      <c r="C2840" s="7"/>
      <c r="D2840" s="7"/>
      <c r="E2840" s="7"/>
      <c r="F2840" s="7"/>
      <c r="G2840" s="7"/>
      <c r="H2840" s="8"/>
      <c r="I2840" s="8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hidden="1">
      <c r="A2841" s="7"/>
      <c r="B2841" s="7"/>
      <c r="C2841" s="7"/>
      <c r="D2841" s="7"/>
      <c r="E2841" s="7"/>
      <c r="F2841" s="7"/>
      <c r="G2841" s="7"/>
      <c r="H2841" s="8"/>
      <c r="I2841" s="8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hidden="1">
      <c r="A2842" s="7"/>
      <c r="B2842" s="7"/>
      <c r="C2842" s="7"/>
      <c r="D2842" s="7"/>
      <c r="E2842" s="7"/>
      <c r="F2842" s="7"/>
      <c r="G2842" s="7"/>
      <c r="H2842" s="8"/>
      <c r="I2842" s="8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hidden="1">
      <c r="A2843" s="7"/>
      <c r="B2843" s="7"/>
      <c r="C2843" s="7"/>
      <c r="D2843" s="7"/>
      <c r="E2843" s="7"/>
      <c r="F2843" s="7"/>
      <c r="G2843" s="7"/>
      <c r="H2843" s="8"/>
      <c r="I2843" s="8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hidden="1">
      <c r="A2844" s="7"/>
      <c r="B2844" s="7"/>
      <c r="C2844" s="7"/>
      <c r="D2844" s="7"/>
      <c r="E2844" s="7"/>
      <c r="F2844" s="7"/>
      <c r="G2844" s="7"/>
      <c r="H2844" s="8"/>
      <c r="I2844" s="8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hidden="1">
      <c r="A2845" s="7"/>
      <c r="B2845" s="7"/>
      <c r="C2845" s="7"/>
      <c r="D2845" s="7"/>
      <c r="E2845" s="7"/>
      <c r="F2845" s="7"/>
      <c r="G2845" s="7"/>
      <c r="H2845" s="8"/>
      <c r="I2845" s="8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hidden="1">
      <c r="A2846" s="7"/>
      <c r="B2846" s="7"/>
      <c r="C2846" s="7"/>
      <c r="D2846" s="7"/>
      <c r="E2846" s="7"/>
      <c r="F2846" s="7"/>
      <c r="G2846" s="7"/>
      <c r="H2846" s="8"/>
      <c r="I2846" s="8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hidden="1">
      <c r="A2847" s="7"/>
      <c r="B2847" s="7"/>
      <c r="C2847" s="7"/>
      <c r="D2847" s="7"/>
      <c r="E2847" s="7"/>
      <c r="F2847" s="7"/>
      <c r="G2847" s="7"/>
      <c r="H2847" s="8"/>
      <c r="I2847" s="8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hidden="1">
      <c r="A2848" s="7"/>
      <c r="B2848" s="7"/>
      <c r="C2848" s="7"/>
      <c r="D2848" s="7"/>
      <c r="E2848" s="7"/>
      <c r="F2848" s="7"/>
      <c r="G2848" s="7"/>
      <c r="H2848" s="8"/>
      <c r="I2848" s="8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hidden="1">
      <c r="A2849" s="7"/>
      <c r="B2849" s="7"/>
      <c r="C2849" s="7"/>
      <c r="D2849" s="7"/>
      <c r="E2849" s="7"/>
      <c r="F2849" s="7"/>
      <c r="G2849" s="7"/>
      <c r="H2849" s="8"/>
      <c r="I2849" s="8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hidden="1">
      <c r="A2850" s="7"/>
      <c r="B2850" s="7"/>
      <c r="C2850" s="7"/>
      <c r="D2850" s="7"/>
      <c r="E2850" s="7"/>
      <c r="F2850" s="7"/>
      <c r="G2850" s="7"/>
      <c r="H2850" s="8"/>
      <c r="I2850" s="8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hidden="1">
      <c r="A2851" s="7"/>
      <c r="B2851" s="7"/>
      <c r="C2851" s="7"/>
      <c r="D2851" s="7"/>
      <c r="E2851" s="7"/>
      <c r="F2851" s="7"/>
      <c r="G2851" s="7"/>
      <c r="H2851" s="8"/>
      <c r="I2851" s="8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hidden="1">
      <c r="A2852" s="7"/>
      <c r="B2852" s="7"/>
      <c r="C2852" s="7"/>
      <c r="D2852" s="7"/>
      <c r="E2852" s="7"/>
      <c r="F2852" s="7"/>
      <c r="G2852" s="7"/>
      <c r="H2852" s="8"/>
      <c r="I2852" s="8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hidden="1">
      <c r="A2853" s="7"/>
      <c r="B2853" s="7"/>
      <c r="C2853" s="7"/>
      <c r="D2853" s="7"/>
      <c r="E2853" s="7"/>
      <c r="F2853" s="7"/>
      <c r="G2853" s="7"/>
      <c r="H2853" s="8"/>
      <c r="I2853" s="8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hidden="1">
      <c r="A2854" s="7"/>
      <c r="B2854" s="7"/>
      <c r="C2854" s="7"/>
      <c r="D2854" s="7"/>
      <c r="E2854" s="7"/>
      <c r="F2854" s="7"/>
      <c r="G2854" s="7"/>
      <c r="H2854" s="8"/>
      <c r="I2854" s="8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hidden="1">
      <c r="A2855" s="7"/>
      <c r="B2855" s="7"/>
      <c r="C2855" s="7"/>
      <c r="D2855" s="7"/>
      <c r="E2855" s="7"/>
      <c r="F2855" s="7"/>
      <c r="G2855" s="7"/>
      <c r="H2855" s="8"/>
      <c r="I2855" s="8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hidden="1">
      <c r="A2856" s="7"/>
      <c r="B2856" s="7"/>
      <c r="C2856" s="7"/>
      <c r="D2856" s="7"/>
      <c r="E2856" s="7"/>
      <c r="F2856" s="7"/>
      <c r="G2856" s="7"/>
      <c r="H2856" s="8"/>
      <c r="I2856" s="8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hidden="1">
      <c r="A2857" s="7"/>
      <c r="B2857" s="7"/>
      <c r="C2857" s="7"/>
      <c r="D2857" s="7"/>
      <c r="E2857" s="7"/>
      <c r="F2857" s="7"/>
      <c r="G2857" s="7"/>
      <c r="H2857" s="8"/>
      <c r="I2857" s="8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hidden="1">
      <c r="A2858" s="7"/>
      <c r="B2858" s="7"/>
      <c r="C2858" s="7"/>
      <c r="D2858" s="7"/>
      <c r="E2858" s="7"/>
      <c r="F2858" s="7"/>
      <c r="G2858" s="7"/>
      <c r="H2858" s="8"/>
      <c r="I2858" s="8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hidden="1">
      <c r="A2859" s="7"/>
      <c r="B2859" s="7"/>
      <c r="C2859" s="7"/>
      <c r="D2859" s="7"/>
      <c r="E2859" s="7"/>
      <c r="F2859" s="7"/>
      <c r="G2859" s="7"/>
      <c r="H2859" s="8"/>
      <c r="I2859" s="8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hidden="1">
      <c r="A2860" s="7"/>
      <c r="B2860" s="7"/>
      <c r="C2860" s="7"/>
      <c r="D2860" s="7"/>
      <c r="E2860" s="7"/>
      <c r="F2860" s="7"/>
      <c r="G2860" s="7"/>
      <c r="H2860" s="8"/>
      <c r="I2860" s="8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hidden="1">
      <c r="A2861" s="7"/>
      <c r="B2861" s="7"/>
      <c r="C2861" s="7"/>
      <c r="D2861" s="7"/>
      <c r="E2861" s="7"/>
      <c r="F2861" s="7"/>
      <c r="G2861" s="7"/>
      <c r="H2861" s="8"/>
      <c r="I2861" s="8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hidden="1">
      <c r="A2862" s="7"/>
      <c r="B2862" s="7"/>
      <c r="C2862" s="7"/>
      <c r="D2862" s="7"/>
      <c r="E2862" s="7"/>
      <c r="F2862" s="7"/>
      <c r="G2862" s="7"/>
      <c r="H2862" s="8"/>
      <c r="I2862" s="8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hidden="1">
      <c r="A2863" s="7"/>
      <c r="B2863" s="7"/>
      <c r="C2863" s="7"/>
      <c r="D2863" s="7"/>
      <c r="E2863" s="7"/>
      <c r="F2863" s="7"/>
      <c r="G2863" s="7"/>
      <c r="H2863" s="8"/>
      <c r="I2863" s="8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hidden="1">
      <c r="A2864" s="7"/>
      <c r="B2864" s="7"/>
      <c r="C2864" s="7"/>
      <c r="D2864" s="7"/>
      <c r="E2864" s="7"/>
      <c r="F2864" s="7"/>
      <c r="G2864" s="7"/>
      <c r="H2864" s="8"/>
      <c r="I2864" s="8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hidden="1">
      <c r="A2865" s="7"/>
      <c r="B2865" s="7"/>
      <c r="C2865" s="7"/>
      <c r="D2865" s="7"/>
      <c r="E2865" s="7"/>
      <c r="F2865" s="7"/>
      <c r="G2865" s="7"/>
      <c r="H2865" s="8"/>
      <c r="I2865" s="8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hidden="1">
      <c r="A2866" s="7"/>
      <c r="B2866" s="7"/>
      <c r="C2866" s="7"/>
      <c r="D2866" s="7"/>
      <c r="E2866" s="7"/>
      <c r="F2866" s="7"/>
      <c r="G2866" s="7"/>
      <c r="H2866" s="8"/>
      <c r="I2866" s="8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hidden="1">
      <c r="A2867" s="7"/>
      <c r="B2867" s="7"/>
      <c r="C2867" s="7"/>
      <c r="D2867" s="7"/>
      <c r="E2867" s="7"/>
      <c r="F2867" s="7"/>
      <c r="G2867" s="7"/>
      <c r="H2867" s="8"/>
      <c r="I2867" s="8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hidden="1">
      <c r="A2868" s="7"/>
      <c r="B2868" s="7"/>
      <c r="C2868" s="7"/>
      <c r="D2868" s="7"/>
      <c r="E2868" s="7"/>
      <c r="F2868" s="7"/>
      <c r="G2868" s="7"/>
      <c r="H2868" s="8"/>
      <c r="I2868" s="8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hidden="1">
      <c r="A2869" s="7"/>
      <c r="B2869" s="7"/>
      <c r="C2869" s="7"/>
      <c r="D2869" s="7"/>
      <c r="E2869" s="7"/>
      <c r="F2869" s="7"/>
      <c r="G2869" s="7"/>
      <c r="H2869" s="8"/>
      <c r="I2869" s="8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hidden="1">
      <c r="A2870" s="7"/>
      <c r="B2870" s="7"/>
      <c r="C2870" s="7"/>
      <c r="D2870" s="7"/>
      <c r="E2870" s="7"/>
      <c r="F2870" s="7"/>
      <c r="G2870" s="7"/>
      <c r="H2870" s="8"/>
      <c r="I2870" s="8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hidden="1">
      <c r="A2871" s="7"/>
      <c r="B2871" s="7"/>
      <c r="C2871" s="7"/>
      <c r="D2871" s="7"/>
      <c r="E2871" s="7"/>
      <c r="F2871" s="7"/>
      <c r="G2871" s="7"/>
      <c r="H2871" s="8"/>
      <c r="I2871" s="8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hidden="1">
      <c r="A2872" s="7"/>
      <c r="B2872" s="7"/>
      <c r="C2872" s="7"/>
      <c r="D2872" s="7"/>
      <c r="E2872" s="7"/>
      <c r="F2872" s="7"/>
      <c r="G2872" s="7"/>
      <c r="H2872" s="8"/>
      <c r="I2872" s="8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hidden="1">
      <c r="A2873" s="7"/>
      <c r="B2873" s="7"/>
      <c r="C2873" s="7"/>
      <c r="D2873" s="7"/>
      <c r="E2873" s="7"/>
      <c r="F2873" s="7"/>
      <c r="G2873" s="7"/>
      <c r="H2873" s="8"/>
      <c r="I2873" s="8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hidden="1">
      <c r="A2874" s="7"/>
      <c r="B2874" s="7"/>
      <c r="C2874" s="7"/>
      <c r="D2874" s="7"/>
      <c r="E2874" s="7"/>
      <c r="F2874" s="7"/>
      <c r="G2874" s="7"/>
      <c r="H2874" s="8"/>
      <c r="I2874" s="8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hidden="1">
      <c r="A2875" s="7"/>
      <c r="B2875" s="7"/>
      <c r="C2875" s="7"/>
      <c r="D2875" s="7"/>
      <c r="E2875" s="7"/>
      <c r="F2875" s="7"/>
      <c r="G2875" s="7"/>
      <c r="H2875" s="8"/>
      <c r="I2875" s="8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hidden="1">
      <c r="A2876" s="7"/>
      <c r="B2876" s="7"/>
      <c r="C2876" s="7"/>
      <c r="D2876" s="7"/>
      <c r="E2876" s="7"/>
      <c r="F2876" s="7"/>
      <c r="G2876" s="7"/>
      <c r="H2876" s="8"/>
      <c r="I2876" s="8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hidden="1">
      <c r="A2877" s="7"/>
      <c r="B2877" s="7"/>
      <c r="C2877" s="7"/>
      <c r="D2877" s="7"/>
      <c r="E2877" s="7"/>
      <c r="F2877" s="7"/>
      <c r="G2877" s="7"/>
      <c r="H2877" s="8"/>
      <c r="I2877" s="8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hidden="1">
      <c r="A2878" s="7"/>
      <c r="B2878" s="7"/>
      <c r="C2878" s="7"/>
      <c r="D2878" s="7"/>
      <c r="E2878" s="7"/>
      <c r="F2878" s="7"/>
      <c r="G2878" s="7"/>
      <c r="H2878" s="8"/>
      <c r="I2878" s="8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hidden="1">
      <c r="A2879" s="7"/>
      <c r="B2879" s="7"/>
      <c r="C2879" s="7"/>
      <c r="D2879" s="7"/>
      <c r="E2879" s="7"/>
      <c r="F2879" s="7"/>
      <c r="G2879" s="7"/>
      <c r="H2879" s="8"/>
      <c r="I2879" s="8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hidden="1">
      <c r="A2880" s="7"/>
      <c r="B2880" s="7"/>
      <c r="C2880" s="7"/>
      <c r="D2880" s="7"/>
      <c r="E2880" s="7"/>
      <c r="F2880" s="7"/>
      <c r="G2880" s="7"/>
      <c r="H2880" s="8"/>
      <c r="I2880" s="8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hidden="1">
      <c r="A2881" s="7"/>
      <c r="B2881" s="7"/>
      <c r="C2881" s="7"/>
      <c r="D2881" s="7"/>
      <c r="E2881" s="7"/>
      <c r="F2881" s="7"/>
      <c r="G2881" s="7"/>
      <c r="H2881" s="8"/>
      <c r="I2881" s="8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hidden="1">
      <c r="A2882" s="7"/>
      <c r="B2882" s="7"/>
      <c r="C2882" s="7"/>
      <c r="D2882" s="7"/>
      <c r="E2882" s="7"/>
      <c r="F2882" s="7"/>
      <c r="G2882" s="7"/>
      <c r="H2882" s="8"/>
      <c r="I2882" s="8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hidden="1">
      <c r="A2883" s="7"/>
      <c r="B2883" s="7"/>
      <c r="C2883" s="7"/>
      <c r="D2883" s="7"/>
      <c r="E2883" s="7"/>
      <c r="F2883" s="7"/>
      <c r="G2883" s="7"/>
      <c r="H2883" s="8"/>
      <c r="I2883" s="8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hidden="1">
      <c r="A2884" s="7"/>
      <c r="B2884" s="7"/>
      <c r="C2884" s="7"/>
      <c r="D2884" s="7"/>
      <c r="E2884" s="7"/>
      <c r="F2884" s="7"/>
      <c r="G2884" s="7"/>
      <c r="H2884" s="8"/>
      <c r="I2884" s="8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hidden="1">
      <c r="A2885" s="7"/>
      <c r="B2885" s="7"/>
      <c r="C2885" s="7"/>
      <c r="D2885" s="7"/>
      <c r="E2885" s="7"/>
      <c r="F2885" s="7"/>
      <c r="G2885" s="7"/>
      <c r="H2885" s="8"/>
      <c r="I2885" s="8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hidden="1">
      <c r="A2886" s="7"/>
      <c r="B2886" s="7"/>
      <c r="C2886" s="7"/>
      <c r="D2886" s="7"/>
      <c r="E2886" s="7"/>
      <c r="F2886" s="7"/>
      <c r="G2886" s="7"/>
      <c r="H2886" s="8"/>
      <c r="I2886" s="8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hidden="1">
      <c r="A2887" s="7"/>
      <c r="B2887" s="7"/>
      <c r="C2887" s="7"/>
      <c r="D2887" s="7"/>
      <c r="E2887" s="7"/>
      <c r="F2887" s="7"/>
      <c r="G2887" s="7"/>
      <c r="H2887" s="8"/>
      <c r="I2887" s="8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hidden="1">
      <c r="A2888" s="7"/>
      <c r="B2888" s="7"/>
      <c r="C2888" s="7"/>
      <c r="D2888" s="7"/>
      <c r="E2888" s="7"/>
      <c r="F2888" s="7"/>
      <c r="G2888" s="7"/>
      <c r="H2888" s="8"/>
      <c r="I2888" s="8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hidden="1">
      <c r="A2889" s="7"/>
      <c r="B2889" s="7"/>
      <c r="C2889" s="7"/>
      <c r="D2889" s="7"/>
      <c r="E2889" s="7"/>
      <c r="F2889" s="7"/>
      <c r="G2889" s="7"/>
      <c r="H2889" s="8"/>
      <c r="I2889" s="8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hidden="1">
      <c r="A2890" s="7"/>
      <c r="B2890" s="7"/>
      <c r="C2890" s="7"/>
      <c r="D2890" s="7"/>
      <c r="E2890" s="7"/>
      <c r="F2890" s="7"/>
      <c r="G2890" s="7"/>
      <c r="H2890" s="8"/>
      <c r="I2890" s="8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hidden="1">
      <c r="A2891" s="7"/>
      <c r="B2891" s="7"/>
      <c r="C2891" s="7"/>
      <c r="D2891" s="7"/>
      <c r="E2891" s="7"/>
      <c r="F2891" s="7"/>
      <c r="G2891" s="7"/>
      <c r="H2891" s="8"/>
      <c r="I2891" s="8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hidden="1">
      <c r="A2892" s="7"/>
      <c r="B2892" s="7"/>
      <c r="C2892" s="7"/>
      <c r="D2892" s="7"/>
      <c r="E2892" s="7"/>
      <c r="F2892" s="7"/>
      <c r="G2892" s="7"/>
      <c r="H2892" s="8"/>
      <c r="I2892" s="8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hidden="1">
      <c r="A2893" s="7"/>
      <c r="B2893" s="7"/>
      <c r="C2893" s="7"/>
      <c r="D2893" s="7"/>
      <c r="E2893" s="7"/>
      <c r="F2893" s="7"/>
      <c r="G2893" s="7"/>
      <c r="H2893" s="8"/>
      <c r="I2893" s="8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hidden="1">
      <c r="A2894" s="7"/>
      <c r="B2894" s="7"/>
      <c r="C2894" s="7"/>
      <c r="D2894" s="7"/>
      <c r="E2894" s="7"/>
      <c r="F2894" s="7"/>
      <c r="G2894" s="7"/>
      <c r="H2894" s="8"/>
      <c r="I2894" s="8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hidden="1">
      <c r="A2895" s="7"/>
      <c r="B2895" s="7"/>
      <c r="C2895" s="7"/>
      <c r="D2895" s="7"/>
      <c r="E2895" s="7"/>
      <c r="F2895" s="7"/>
      <c r="G2895" s="7"/>
      <c r="H2895" s="8"/>
      <c r="I2895" s="8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hidden="1">
      <c r="A2896" s="7"/>
      <c r="B2896" s="7"/>
      <c r="C2896" s="7"/>
      <c r="D2896" s="7"/>
      <c r="E2896" s="7"/>
      <c r="F2896" s="7"/>
      <c r="G2896" s="7"/>
      <c r="H2896" s="8"/>
      <c r="I2896" s="8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hidden="1">
      <c r="A2897" s="7"/>
      <c r="B2897" s="7"/>
      <c r="C2897" s="7"/>
      <c r="D2897" s="7"/>
      <c r="E2897" s="7"/>
      <c r="F2897" s="7"/>
      <c r="G2897" s="7"/>
      <c r="H2897" s="8"/>
      <c r="I2897" s="8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hidden="1">
      <c r="A2898" s="7"/>
      <c r="B2898" s="7"/>
      <c r="C2898" s="7"/>
      <c r="D2898" s="7"/>
      <c r="E2898" s="7"/>
      <c r="F2898" s="7"/>
      <c r="G2898" s="7"/>
      <c r="H2898" s="8"/>
      <c r="I2898" s="8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hidden="1">
      <c r="A2899" s="7"/>
      <c r="B2899" s="7"/>
      <c r="C2899" s="7"/>
      <c r="D2899" s="7"/>
      <c r="E2899" s="7"/>
      <c r="F2899" s="7"/>
      <c r="G2899" s="7"/>
      <c r="H2899" s="8"/>
      <c r="I2899" s="8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hidden="1">
      <c r="A2900" s="7"/>
      <c r="B2900" s="7"/>
      <c r="C2900" s="7"/>
      <c r="D2900" s="7"/>
      <c r="E2900" s="7"/>
      <c r="F2900" s="7"/>
      <c r="G2900" s="7"/>
      <c r="H2900" s="8"/>
      <c r="I2900" s="8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hidden="1">
      <c r="A2901" s="7"/>
      <c r="B2901" s="7"/>
      <c r="C2901" s="7"/>
      <c r="D2901" s="7"/>
      <c r="E2901" s="7"/>
      <c r="F2901" s="7"/>
      <c r="G2901" s="7"/>
      <c r="H2901" s="8"/>
      <c r="I2901" s="8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hidden="1">
      <c r="A2902" s="7"/>
      <c r="B2902" s="7"/>
      <c r="C2902" s="7"/>
      <c r="D2902" s="7"/>
      <c r="E2902" s="7"/>
      <c r="F2902" s="7"/>
      <c r="G2902" s="7"/>
      <c r="H2902" s="8"/>
      <c r="I2902" s="8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hidden="1">
      <c r="A2903" s="7"/>
      <c r="B2903" s="7"/>
      <c r="C2903" s="7"/>
      <c r="D2903" s="7"/>
      <c r="E2903" s="7"/>
      <c r="F2903" s="7"/>
      <c r="G2903" s="7"/>
      <c r="H2903" s="8"/>
      <c r="I2903" s="8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hidden="1">
      <c r="A2904" s="7"/>
      <c r="B2904" s="7"/>
      <c r="C2904" s="7"/>
      <c r="D2904" s="7"/>
      <c r="E2904" s="7"/>
      <c r="F2904" s="7"/>
      <c r="G2904" s="7"/>
      <c r="H2904" s="8"/>
      <c r="I2904" s="8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hidden="1">
      <c r="A2905" s="7"/>
      <c r="B2905" s="7"/>
      <c r="C2905" s="7"/>
      <c r="D2905" s="7"/>
      <c r="E2905" s="7"/>
      <c r="F2905" s="7"/>
      <c r="G2905" s="7"/>
      <c r="H2905" s="8"/>
      <c r="I2905" s="8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hidden="1">
      <c r="A2906" s="7"/>
      <c r="B2906" s="7"/>
      <c r="C2906" s="7"/>
      <c r="D2906" s="7"/>
      <c r="E2906" s="7"/>
      <c r="F2906" s="7"/>
      <c r="G2906" s="7"/>
      <c r="H2906" s="8"/>
      <c r="I2906" s="8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hidden="1">
      <c r="A2907" s="7"/>
      <c r="B2907" s="7"/>
      <c r="C2907" s="7"/>
      <c r="D2907" s="7"/>
      <c r="E2907" s="7"/>
      <c r="F2907" s="7"/>
      <c r="G2907" s="7"/>
      <c r="H2907" s="8"/>
      <c r="I2907" s="8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hidden="1">
      <c r="A2908" s="7"/>
      <c r="B2908" s="7"/>
      <c r="C2908" s="7"/>
      <c r="D2908" s="7"/>
      <c r="E2908" s="7"/>
      <c r="F2908" s="7"/>
      <c r="G2908" s="7"/>
      <c r="H2908" s="8"/>
      <c r="I2908" s="8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hidden="1">
      <c r="A2909" s="7"/>
      <c r="B2909" s="7"/>
      <c r="C2909" s="7"/>
      <c r="D2909" s="7"/>
      <c r="E2909" s="7"/>
      <c r="F2909" s="7"/>
      <c r="G2909" s="7"/>
      <c r="H2909" s="8"/>
      <c r="I2909" s="8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hidden="1">
      <c r="A2910" s="7"/>
      <c r="B2910" s="7"/>
      <c r="C2910" s="7"/>
      <c r="D2910" s="7"/>
      <c r="E2910" s="7"/>
      <c r="F2910" s="7"/>
      <c r="G2910" s="7"/>
      <c r="H2910" s="8"/>
      <c r="I2910" s="8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hidden="1">
      <c r="A2911" s="7"/>
      <c r="B2911" s="7"/>
      <c r="C2911" s="7"/>
      <c r="D2911" s="7"/>
      <c r="E2911" s="7"/>
      <c r="F2911" s="7"/>
      <c r="G2911" s="7"/>
      <c r="H2911" s="8"/>
      <c r="I2911" s="8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hidden="1">
      <c r="A2912" s="7"/>
      <c r="B2912" s="7"/>
      <c r="C2912" s="7"/>
      <c r="D2912" s="7"/>
      <c r="E2912" s="7"/>
      <c r="F2912" s="7"/>
      <c r="G2912" s="7"/>
      <c r="H2912" s="8"/>
      <c r="I2912" s="8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hidden="1">
      <c r="A2913" s="7"/>
      <c r="B2913" s="7"/>
      <c r="C2913" s="7"/>
      <c r="D2913" s="7"/>
      <c r="E2913" s="7"/>
      <c r="F2913" s="7"/>
      <c r="G2913" s="7"/>
      <c r="H2913" s="8"/>
      <c r="I2913" s="8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hidden="1">
      <c r="A2914" s="7"/>
      <c r="B2914" s="7"/>
      <c r="C2914" s="7"/>
      <c r="D2914" s="7"/>
      <c r="E2914" s="7"/>
      <c r="F2914" s="7"/>
      <c r="G2914" s="7"/>
      <c r="H2914" s="8"/>
      <c r="I2914" s="8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hidden="1">
      <c r="A2915" s="7"/>
      <c r="B2915" s="7"/>
      <c r="C2915" s="7"/>
      <c r="D2915" s="7"/>
      <c r="E2915" s="7"/>
      <c r="F2915" s="7"/>
      <c r="G2915" s="7"/>
      <c r="H2915" s="8"/>
      <c r="I2915" s="8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hidden="1">
      <c r="A2916" s="7"/>
      <c r="B2916" s="7"/>
      <c r="C2916" s="7"/>
      <c r="D2916" s="7"/>
      <c r="E2916" s="7"/>
      <c r="F2916" s="7"/>
      <c r="G2916" s="7"/>
      <c r="H2916" s="8"/>
      <c r="I2916" s="8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hidden="1">
      <c r="A2917" s="7"/>
      <c r="B2917" s="7"/>
      <c r="C2917" s="7"/>
      <c r="D2917" s="7"/>
      <c r="E2917" s="7"/>
      <c r="F2917" s="7"/>
      <c r="G2917" s="7"/>
      <c r="H2917" s="8"/>
      <c r="I2917" s="8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hidden="1">
      <c r="A2918" s="7"/>
      <c r="B2918" s="7"/>
      <c r="C2918" s="7"/>
      <c r="D2918" s="7"/>
      <c r="E2918" s="7"/>
      <c r="F2918" s="7"/>
      <c r="G2918" s="7"/>
      <c r="H2918" s="8"/>
      <c r="I2918" s="8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hidden="1">
      <c r="A2919" s="7"/>
      <c r="B2919" s="7"/>
      <c r="C2919" s="7"/>
      <c r="D2919" s="7"/>
      <c r="E2919" s="7"/>
      <c r="F2919" s="7"/>
      <c r="G2919" s="7"/>
      <c r="H2919" s="8"/>
      <c r="I2919" s="8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hidden="1">
      <c r="A2920" s="7"/>
      <c r="B2920" s="7"/>
      <c r="C2920" s="7"/>
      <c r="D2920" s="7"/>
      <c r="E2920" s="7"/>
      <c r="F2920" s="7"/>
      <c r="G2920" s="7"/>
      <c r="H2920" s="8"/>
      <c r="I2920" s="8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hidden="1">
      <c r="A2921" s="7"/>
      <c r="B2921" s="7"/>
      <c r="C2921" s="7"/>
      <c r="D2921" s="7"/>
      <c r="E2921" s="7"/>
      <c r="F2921" s="7"/>
      <c r="G2921" s="7"/>
      <c r="H2921" s="8"/>
      <c r="I2921" s="8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hidden="1">
      <c r="A2922" s="7"/>
      <c r="B2922" s="7"/>
      <c r="C2922" s="7"/>
      <c r="D2922" s="7"/>
      <c r="E2922" s="7"/>
      <c r="F2922" s="7"/>
      <c r="G2922" s="7"/>
      <c r="H2922" s="8"/>
      <c r="I2922" s="8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hidden="1">
      <c r="A2923" s="7"/>
      <c r="B2923" s="7"/>
      <c r="C2923" s="7"/>
      <c r="D2923" s="7"/>
      <c r="E2923" s="7"/>
      <c r="F2923" s="7"/>
      <c r="G2923" s="7"/>
      <c r="H2923" s="8"/>
      <c r="I2923" s="8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hidden="1">
      <c r="A2924" s="7"/>
      <c r="B2924" s="7"/>
      <c r="C2924" s="7"/>
      <c r="D2924" s="7"/>
      <c r="E2924" s="7"/>
      <c r="F2924" s="7"/>
      <c r="G2924" s="7"/>
      <c r="H2924" s="8"/>
      <c r="I2924" s="8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hidden="1">
      <c r="A2925" s="7"/>
      <c r="B2925" s="7"/>
      <c r="C2925" s="7"/>
      <c r="D2925" s="7"/>
      <c r="E2925" s="7"/>
      <c r="F2925" s="7"/>
      <c r="G2925" s="7"/>
      <c r="H2925" s="8"/>
      <c r="I2925" s="8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hidden="1">
      <c r="A2926" s="7"/>
      <c r="B2926" s="7"/>
      <c r="C2926" s="7"/>
      <c r="D2926" s="7"/>
      <c r="E2926" s="7"/>
      <c r="F2926" s="7"/>
      <c r="G2926" s="7"/>
      <c r="H2926" s="8"/>
      <c r="I2926" s="8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hidden="1">
      <c r="A2927" s="7"/>
      <c r="B2927" s="7"/>
      <c r="C2927" s="7"/>
      <c r="D2927" s="7"/>
      <c r="E2927" s="7"/>
      <c r="F2927" s="7"/>
      <c r="G2927" s="7"/>
      <c r="H2927" s="8"/>
      <c r="I2927" s="8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hidden="1">
      <c r="A2928" s="7"/>
      <c r="B2928" s="7"/>
      <c r="C2928" s="7"/>
      <c r="D2928" s="7"/>
      <c r="E2928" s="7"/>
      <c r="F2928" s="7"/>
      <c r="G2928" s="7"/>
      <c r="H2928" s="8"/>
      <c r="I2928" s="8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hidden="1">
      <c r="A2929" s="7"/>
      <c r="B2929" s="7"/>
      <c r="C2929" s="7"/>
      <c r="D2929" s="7"/>
      <c r="E2929" s="7"/>
      <c r="F2929" s="7"/>
      <c r="G2929" s="7"/>
      <c r="H2929" s="8"/>
      <c r="I2929" s="8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hidden="1">
      <c r="A2930" s="7"/>
      <c r="B2930" s="7"/>
      <c r="C2930" s="7"/>
      <c r="D2930" s="7"/>
      <c r="E2930" s="7"/>
      <c r="F2930" s="7"/>
      <c r="G2930" s="7"/>
      <c r="H2930" s="8"/>
      <c r="I2930" s="8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hidden="1">
      <c r="A2931" s="7"/>
      <c r="B2931" s="7"/>
      <c r="C2931" s="7"/>
      <c r="D2931" s="7"/>
      <c r="E2931" s="7"/>
      <c r="F2931" s="7"/>
      <c r="G2931" s="7"/>
      <c r="H2931" s="8"/>
      <c r="I2931" s="8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hidden="1">
      <c r="A2932" s="7"/>
      <c r="B2932" s="7"/>
      <c r="C2932" s="7"/>
      <c r="D2932" s="7"/>
      <c r="E2932" s="7"/>
      <c r="F2932" s="7"/>
      <c r="G2932" s="7"/>
      <c r="H2932" s="8"/>
      <c r="I2932" s="8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hidden="1">
      <c r="A2933" s="7"/>
      <c r="B2933" s="7"/>
      <c r="C2933" s="7"/>
      <c r="D2933" s="7"/>
      <c r="E2933" s="7"/>
      <c r="F2933" s="7"/>
      <c r="G2933" s="7"/>
      <c r="H2933" s="8"/>
      <c r="I2933" s="8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hidden="1">
      <c r="A2934" s="7"/>
      <c r="B2934" s="7"/>
      <c r="C2934" s="7"/>
      <c r="D2934" s="7"/>
      <c r="E2934" s="7"/>
      <c r="F2934" s="7"/>
      <c r="G2934" s="7"/>
      <c r="H2934" s="8"/>
      <c r="I2934" s="8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hidden="1">
      <c r="A2935" s="7"/>
      <c r="B2935" s="7"/>
      <c r="C2935" s="7"/>
      <c r="D2935" s="7"/>
      <c r="E2935" s="7"/>
      <c r="F2935" s="7"/>
      <c r="G2935" s="7"/>
      <c r="H2935" s="8"/>
      <c r="I2935" s="8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hidden="1">
      <c r="A2936" s="7"/>
      <c r="B2936" s="7"/>
      <c r="C2936" s="7"/>
      <c r="D2936" s="7"/>
      <c r="E2936" s="7"/>
      <c r="F2936" s="7"/>
      <c r="G2936" s="7"/>
      <c r="H2936" s="8"/>
      <c r="I2936" s="8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hidden="1">
      <c r="A2937" s="7"/>
      <c r="B2937" s="7"/>
      <c r="C2937" s="7"/>
      <c r="D2937" s="7"/>
      <c r="E2937" s="7"/>
      <c r="F2937" s="7"/>
      <c r="G2937" s="7"/>
      <c r="H2937" s="8"/>
      <c r="I2937" s="8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hidden="1">
      <c r="A2938" s="7"/>
      <c r="B2938" s="7"/>
      <c r="C2938" s="7"/>
      <c r="D2938" s="7"/>
      <c r="E2938" s="7"/>
      <c r="F2938" s="7"/>
      <c r="G2938" s="7"/>
      <c r="H2938" s="8"/>
      <c r="I2938" s="8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hidden="1">
      <c r="A2939" s="7"/>
      <c r="B2939" s="7"/>
      <c r="C2939" s="7"/>
      <c r="D2939" s="7"/>
      <c r="E2939" s="7"/>
      <c r="F2939" s="7"/>
      <c r="G2939" s="7"/>
      <c r="H2939" s="8"/>
      <c r="I2939" s="8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hidden="1">
      <c r="A2940" s="7"/>
      <c r="B2940" s="7"/>
      <c r="C2940" s="7"/>
      <c r="D2940" s="7"/>
      <c r="E2940" s="7"/>
      <c r="F2940" s="7"/>
      <c r="G2940" s="7"/>
      <c r="H2940" s="8"/>
      <c r="I2940" s="8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hidden="1">
      <c r="A2941" s="7"/>
      <c r="B2941" s="7"/>
      <c r="C2941" s="7"/>
      <c r="D2941" s="7"/>
      <c r="E2941" s="7"/>
      <c r="F2941" s="7"/>
      <c r="G2941" s="7"/>
      <c r="H2941" s="8"/>
      <c r="I2941" s="8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hidden="1">
      <c r="A2942" s="7"/>
      <c r="B2942" s="7"/>
      <c r="C2942" s="7"/>
      <c r="D2942" s="7"/>
      <c r="E2942" s="7"/>
      <c r="F2942" s="7"/>
      <c r="G2942" s="7"/>
      <c r="H2942" s="8"/>
      <c r="I2942" s="8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hidden="1">
      <c r="A2943" s="7"/>
      <c r="B2943" s="7"/>
      <c r="C2943" s="7"/>
      <c r="D2943" s="7"/>
      <c r="E2943" s="7"/>
      <c r="F2943" s="7"/>
      <c r="G2943" s="7"/>
      <c r="H2943" s="8"/>
      <c r="I2943" s="8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hidden="1">
      <c r="A2944" s="7"/>
      <c r="B2944" s="7"/>
      <c r="C2944" s="7"/>
      <c r="D2944" s="7"/>
      <c r="E2944" s="7"/>
      <c r="F2944" s="7"/>
      <c r="G2944" s="7"/>
      <c r="H2944" s="8"/>
      <c r="I2944" s="8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hidden="1">
      <c r="A2945" s="7"/>
      <c r="B2945" s="7"/>
      <c r="C2945" s="7"/>
      <c r="D2945" s="7"/>
      <c r="E2945" s="7"/>
      <c r="F2945" s="7"/>
      <c r="G2945" s="7"/>
      <c r="H2945" s="8"/>
      <c r="I2945" s="8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hidden="1">
      <c r="A2946" s="7"/>
      <c r="B2946" s="7"/>
      <c r="C2946" s="7"/>
      <c r="D2946" s="7"/>
      <c r="E2946" s="7"/>
      <c r="F2946" s="7"/>
      <c r="G2946" s="7"/>
      <c r="H2946" s="8"/>
      <c r="I2946" s="8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hidden="1">
      <c r="A2947" s="7"/>
      <c r="B2947" s="7"/>
      <c r="C2947" s="7"/>
      <c r="D2947" s="7"/>
      <c r="E2947" s="7"/>
      <c r="F2947" s="7"/>
      <c r="G2947" s="7"/>
      <c r="H2947" s="8"/>
      <c r="I2947" s="8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hidden="1">
      <c r="A2948" s="7"/>
      <c r="B2948" s="7"/>
      <c r="C2948" s="7"/>
      <c r="D2948" s="7"/>
      <c r="E2948" s="7"/>
      <c r="F2948" s="7"/>
      <c r="G2948" s="7"/>
      <c r="H2948" s="8"/>
      <c r="I2948" s="8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hidden="1">
      <c r="A2949" s="7"/>
      <c r="B2949" s="7"/>
      <c r="C2949" s="7"/>
      <c r="D2949" s="7"/>
      <c r="E2949" s="7"/>
      <c r="F2949" s="7"/>
      <c r="G2949" s="7"/>
      <c r="H2949" s="8"/>
      <c r="I2949" s="8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hidden="1">
      <c r="A2950" s="7"/>
      <c r="B2950" s="7"/>
      <c r="C2950" s="7"/>
      <c r="D2950" s="7"/>
      <c r="E2950" s="7"/>
      <c r="F2950" s="7"/>
      <c r="G2950" s="7"/>
      <c r="H2950" s="8"/>
      <c r="I2950" s="8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hidden="1">
      <c r="A2951" s="7"/>
      <c r="B2951" s="7"/>
      <c r="C2951" s="7"/>
      <c r="D2951" s="7"/>
      <c r="E2951" s="7"/>
      <c r="F2951" s="7"/>
      <c r="G2951" s="7"/>
      <c r="H2951" s="8"/>
      <c r="I2951" s="8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hidden="1">
      <c r="A2952" s="7"/>
      <c r="B2952" s="7"/>
      <c r="C2952" s="7"/>
      <c r="D2952" s="7"/>
      <c r="E2952" s="7"/>
      <c r="F2952" s="7"/>
      <c r="G2952" s="7"/>
      <c r="H2952" s="8"/>
      <c r="I2952" s="8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hidden="1">
      <c r="A2953" s="7"/>
      <c r="B2953" s="7"/>
      <c r="C2953" s="7"/>
      <c r="D2953" s="7"/>
      <c r="E2953" s="7"/>
      <c r="F2953" s="7"/>
      <c r="G2953" s="7"/>
      <c r="H2953" s="8"/>
      <c r="I2953" s="8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hidden="1">
      <c r="A2954" s="7"/>
      <c r="B2954" s="7"/>
      <c r="C2954" s="7"/>
      <c r="D2954" s="7"/>
      <c r="E2954" s="7"/>
      <c r="F2954" s="7"/>
      <c r="G2954" s="7"/>
      <c r="H2954" s="8"/>
      <c r="I2954" s="8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hidden="1">
      <c r="A2955" s="7"/>
      <c r="B2955" s="7"/>
      <c r="C2955" s="7"/>
      <c r="D2955" s="7"/>
      <c r="E2955" s="7"/>
      <c r="F2955" s="7"/>
      <c r="G2955" s="7"/>
      <c r="H2955" s="8"/>
      <c r="I2955" s="8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hidden="1">
      <c r="A2956" s="7"/>
      <c r="B2956" s="7"/>
      <c r="C2956" s="7"/>
      <c r="D2956" s="7"/>
      <c r="E2956" s="7"/>
      <c r="F2956" s="7"/>
      <c r="G2956" s="7"/>
      <c r="H2956" s="8"/>
      <c r="I2956" s="8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hidden="1">
      <c r="A2957" s="7"/>
      <c r="B2957" s="7"/>
      <c r="C2957" s="7"/>
      <c r="D2957" s="7"/>
      <c r="E2957" s="7"/>
      <c r="F2957" s="7"/>
      <c r="G2957" s="7"/>
      <c r="H2957" s="8"/>
      <c r="I2957" s="8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hidden="1">
      <c r="A2958" s="7"/>
      <c r="B2958" s="7"/>
      <c r="C2958" s="7"/>
      <c r="D2958" s="7"/>
      <c r="E2958" s="7"/>
      <c r="F2958" s="7"/>
      <c r="G2958" s="7"/>
      <c r="H2958" s="8"/>
      <c r="I2958" s="8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hidden="1">
      <c r="A2959" s="7"/>
      <c r="B2959" s="7"/>
      <c r="C2959" s="7"/>
      <c r="D2959" s="7"/>
      <c r="E2959" s="7"/>
      <c r="F2959" s="7"/>
      <c r="G2959" s="7"/>
      <c r="H2959" s="8"/>
      <c r="I2959" s="8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hidden="1">
      <c r="A2960" s="7"/>
      <c r="B2960" s="7"/>
      <c r="C2960" s="7"/>
      <c r="D2960" s="7"/>
      <c r="E2960" s="7"/>
      <c r="F2960" s="7"/>
      <c r="G2960" s="7"/>
      <c r="H2960" s="8"/>
      <c r="I2960" s="8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hidden="1">
      <c r="A2961" s="7"/>
      <c r="B2961" s="7"/>
      <c r="C2961" s="7"/>
      <c r="D2961" s="7"/>
      <c r="E2961" s="7"/>
      <c r="F2961" s="7"/>
      <c r="G2961" s="7"/>
      <c r="H2961" s="8"/>
      <c r="I2961" s="8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hidden="1">
      <c r="A2962" s="7"/>
      <c r="B2962" s="7"/>
      <c r="C2962" s="7"/>
      <c r="D2962" s="7"/>
      <c r="E2962" s="7"/>
      <c r="F2962" s="7"/>
      <c r="G2962" s="7"/>
      <c r="H2962" s="8"/>
      <c r="I2962" s="8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hidden="1">
      <c r="A2963" s="7"/>
      <c r="B2963" s="7"/>
      <c r="C2963" s="7"/>
      <c r="D2963" s="7"/>
      <c r="E2963" s="7"/>
      <c r="F2963" s="7"/>
      <c r="G2963" s="7"/>
      <c r="H2963" s="8"/>
      <c r="I2963" s="8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hidden="1">
      <c r="A2964" s="7"/>
      <c r="B2964" s="7"/>
      <c r="C2964" s="7"/>
      <c r="D2964" s="7"/>
      <c r="E2964" s="7"/>
      <c r="F2964" s="7"/>
      <c r="G2964" s="7"/>
      <c r="H2964" s="8"/>
      <c r="I2964" s="8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hidden="1">
      <c r="A2965" s="7"/>
      <c r="B2965" s="7"/>
      <c r="C2965" s="7"/>
      <c r="D2965" s="7"/>
      <c r="E2965" s="7"/>
      <c r="F2965" s="7"/>
      <c r="G2965" s="7"/>
      <c r="H2965" s="8"/>
      <c r="I2965" s="8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hidden="1">
      <c r="A2966" s="7"/>
      <c r="B2966" s="7"/>
      <c r="C2966" s="7"/>
      <c r="D2966" s="7"/>
      <c r="E2966" s="7"/>
      <c r="F2966" s="7"/>
      <c r="G2966" s="7"/>
      <c r="H2966" s="8"/>
      <c r="I2966" s="8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hidden="1">
      <c r="A2967" s="7"/>
      <c r="B2967" s="7"/>
      <c r="C2967" s="7"/>
      <c r="D2967" s="7"/>
      <c r="E2967" s="7"/>
      <c r="F2967" s="7"/>
      <c r="G2967" s="7"/>
      <c r="H2967" s="8"/>
      <c r="I2967" s="8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hidden="1">
      <c r="A2968" s="7"/>
      <c r="B2968" s="7"/>
      <c r="C2968" s="7"/>
      <c r="D2968" s="7"/>
      <c r="E2968" s="7"/>
      <c r="F2968" s="7"/>
      <c r="G2968" s="7"/>
      <c r="H2968" s="8"/>
      <c r="I2968" s="8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hidden="1">
      <c r="A2969" s="7"/>
      <c r="B2969" s="7"/>
      <c r="C2969" s="7"/>
      <c r="D2969" s="7"/>
      <c r="E2969" s="7"/>
      <c r="F2969" s="7"/>
      <c r="G2969" s="7"/>
      <c r="H2969" s="8"/>
      <c r="I2969" s="8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hidden="1">
      <c r="A2970" s="7"/>
      <c r="B2970" s="7"/>
      <c r="C2970" s="7"/>
      <c r="D2970" s="7"/>
      <c r="E2970" s="7"/>
      <c r="F2970" s="7"/>
      <c r="G2970" s="7"/>
      <c r="H2970" s="8"/>
      <c r="I2970" s="8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hidden="1">
      <c r="A2971" s="7"/>
      <c r="B2971" s="7"/>
      <c r="C2971" s="7"/>
      <c r="D2971" s="7"/>
      <c r="E2971" s="7"/>
      <c r="F2971" s="7"/>
      <c r="G2971" s="7"/>
      <c r="H2971" s="8"/>
      <c r="I2971" s="8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hidden="1">
      <c r="A2972" s="7"/>
      <c r="B2972" s="7"/>
      <c r="C2972" s="7"/>
      <c r="D2972" s="7"/>
      <c r="E2972" s="7"/>
      <c r="F2972" s="7"/>
      <c r="G2972" s="7"/>
      <c r="H2972" s="8"/>
      <c r="I2972" s="8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hidden="1">
      <c r="A2973" s="7"/>
      <c r="B2973" s="7"/>
      <c r="C2973" s="7"/>
      <c r="D2973" s="7"/>
      <c r="E2973" s="7"/>
      <c r="F2973" s="7"/>
      <c r="G2973" s="7"/>
      <c r="H2973" s="8"/>
      <c r="I2973" s="8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hidden="1">
      <c r="A2974" s="7"/>
      <c r="B2974" s="7"/>
      <c r="C2974" s="7"/>
      <c r="D2974" s="7"/>
      <c r="E2974" s="7"/>
      <c r="F2974" s="7"/>
      <c r="G2974" s="7"/>
      <c r="H2974" s="8"/>
      <c r="I2974" s="8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hidden="1">
      <c r="A2975" s="7"/>
      <c r="B2975" s="7"/>
      <c r="C2975" s="7"/>
      <c r="D2975" s="7"/>
      <c r="E2975" s="7"/>
      <c r="F2975" s="7"/>
      <c r="G2975" s="7"/>
      <c r="H2975" s="8"/>
      <c r="I2975" s="8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hidden="1">
      <c r="A2976" s="7"/>
      <c r="B2976" s="7"/>
      <c r="C2976" s="7"/>
      <c r="D2976" s="7"/>
      <c r="E2976" s="7"/>
      <c r="F2976" s="7"/>
      <c r="G2976" s="7"/>
      <c r="H2976" s="8"/>
      <c r="I2976" s="8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hidden="1">
      <c r="A2977" s="7"/>
      <c r="B2977" s="7"/>
      <c r="C2977" s="7"/>
      <c r="D2977" s="7"/>
      <c r="E2977" s="7"/>
      <c r="F2977" s="7"/>
      <c r="G2977" s="7"/>
      <c r="H2977" s="8"/>
      <c r="I2977" s="8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hidden="1">
      <c r="A2978" s="7"/>
      <c r="B2978" s="7"/>
      <c r="C2978" s="7"/>
      <c r="D2978" s="7"/>
      <c r="E2978" s="7"/>
      <c r="F2978" s="7"/>
      <c r="G2978" s="7"/>
      <c r="H2978" s="8"/>
      <c r="I2978" s="8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hidden="1">
      <c r="A2979" s="7"/>
      <c r="B2979" s="7"/>
      <c r="C2979" s="7"/>
      <c r="D2979" s="7"/>
      <c r="E2979" s="7"/>
      <c r="F2979" s="7"/>
      <c r="G2979" s="7"/>
      <c r="H2979" s="8"/>
      <c r="I2979" s="8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hidden="1">
      <c r="A2980" s="7"/>
      <c r="B2980" s="7"/>
      <c r="C2980" s="7"/>
      <c r="D2980" s="7"/>
      <c r="E2980" s="7"/>
      <c r="F2980" s="7"/>
      <c r="G2980" s="7"/>
      <c r="H2980" s="8"/>
      <c r="I2980" s="8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hidden="1">
      <c r="A2981" s="7"/>
      <c r="B2981" s="7"/>
      <c r="C2981" s="7"/>
      <c r="D2981" s="7"/>
      <c r="E2981" s="7"/>
      <c r="F2981" s="7"/>
      <c r="G2981" s="7"/>
      <c r="H2981" s="8"/>
      <c r="I2981" s="8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hidden="1">
      <c r="A2982" s="7"/>
      <c r="B2982" s="7"/>
      <c r="C2982" s="7"/>
      <c r="D2982" s="7"/>
      <c r="E2982" s="7"/>
      <c r="F2982" s="7"/>
      <c r="G2982" s="7"/>
      <c r="H2982" s="8"/>
      <c r="I2982" s="8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hidden="1">
      <c r="A2983" s="7"/>
      <c r="B2983" s="7"/>
      <c r="C2983" s="7"/>
      <c r="D2983" s="7"/>
      <c r="E2983" s="7"/>
      <c r="F2983" s="7"/>
      <c r="G2983" s="7"/>
      <c r="H2983" s="8"/>
      <c r="I2983" s="8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hidden="1">
      <c r="A2984" s="7"/>
      <c r="B2984" s="7"/>
      <c r="C2984" s="7"/>
      <c r="D2984" s="7"/>
      <c r="E2984" s="7"/>
      <c r="F2984" s="7"/>
      <c r="G2984" s="7"/>
      <c r="H2984" s="8"/>
      <c r="I2984" s="8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hidden="1">
      <c r="A2985" s="7"/>
      <c r="B2985" s="7"/>
      <c r="C2985" s="7"/>
      <c r="D2985" s="7"/>
      <c r="E2985" s="7"/>
      <c r="F2985" s="7"/>
      <c r="G2985" s="7"/>
      <c r="H2985" s="8"/>
      <c r="I2985" s="8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hidden="1">
      <c r="A2986" s="7"/>
      <c r="B2986" s="7"/>
      <c r="C2986" s="7"/>
      <c r="D2986" s="7"/>
      <c r="E2986" s="7"/>
      <c r="F2986" s="7"/>
      <c r="G2986" s="7"/>
      <c r="H2986" s="8"/>
      <c r="I2986" s="8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hidden="1">
      <c r="A2987" s="7"/>
      <c r="B2987" s="7"/>
      <c r="C2987" s="7"/>
      <c r="D2987" s="7"/>
      <c r="E2987" s="7"/>
      <c r="F2987" s="7"/>
      <c r="G2987" s="7"/>
      <c r="H2987" s="8"/>
      <c r="I2987" s="8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hidden="1">
      <c r="A2988" s="7"/>
      <c r="B2988" s="7"/>
      <c r="C2988" s="7"/>
      <c r="D2988" s="7"/>
      <c r="E2988" s="7"/>
      <c r="F2988" s="7"/>
      <c r="G2988" s="7"/>
      <c r="H2988" s="8"/>
      <c r="I2988" s="8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hidden="1">
      <c r="A2989" s="7"/>
      <c r="B2989" s="7"/>
      <c r="C2989" s="7"/>
      <c r="D2989" s="7"/>
      <c r="E2989" s="7"/>
      <c r="F2989" s="7"/>
      <c r="G2989" s="7"/>
      <c r="H2989" s="8"/>
      <c r="I2989" s="8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hidden="1">
      <c r="A2990" s="7"/>
      <c r="B2990" s="7"/>
      <c r="C2990" s="7"/>
      <c r="D2990" s="7"/>
      <c r="E2990" s="7"/>
      <c r="F2990" s="7"/>
      <c r="G2990" s="7"/>
      <c r="H2990" s="8"/>
      <c r="I2990" s="8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hidden="1">
      <c r="A2991" s="7"/>
      <c r="B2991" s="7"/>
      <c r="C2991" s="7"/>
      <c r="D2991" s="7"/>
      <c r="E2991" s="7"/>
      <c r="F2991" s="7"/>
      <c r="G2991" s="7"/>
      <c r="H2991" s="8"/>
      <c r="I2991" s="8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hidden="1">
      <c r="A2992" s="7"/>
      <c r="B2992" s="7"/>
      <c r="C2992" s="7"/>
      <c r="D2992" s="7"/>
      <c r="E2992" s="7"/>
      <c r="F2992" s="7"/>
      <c r="G2992" s="7"/>
      <c r="H2992" s="8"/>
      <c r="I2992" s="8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hidden="1">
      <c r="A2993" s="7"/>
      <c r="B2993" s="7"/>
      <c r="C2993" s="7"/>
      <c r="D2993" s="7"/>
      <c r="E2993" s="7"/>
      <c r="F2993" s="7"/>
      <c r="G2993" s="7"/>
      <c r="H2993" s="8"/>
      <c r="I2993" s="8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hidden="1">
      <c r="A2994" s="7"/>
      <c r="B2994" s="7"/>
      <c r="C2994" s="7"/>
      <c r="D2994" s="7"/>
      <c r="E2994" s="7"/>
      <c r="F2994" s="7"/>
      <c r="G2994" s="7"/>
      <c r="H2994" s="8"/>
      <c r="I2994" s="8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hidden="1">
      <c r="A2995" s="7"/>
      <c r="B2995" s="7"/>
      <c r="C2995" s="7"/>
      <c r="D2995" s="7"/>
      <c r="E2995" s="7"/>
      <c r="F2995" s="7"/>
      <c r="G2995" s="7"/>
      <c r="H2995" s="8"/>
      <c r="I2995" s="8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hidden="1">
      <c r="A2996" s="7"/>
      <c r="B2996" s="7"/>
      <c r="C2996" s="7"/>
      <c r="D2996" s="7"/>
      <c r="E2996" s="7"/>
      <c r="F2996" s="7"/>
      <c r="G2996" s="7"/>
      <c r="H2996" s="8"/>
      <c r="I2996" s="8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hidden="1">
      <c r="A2997" s="7"/>
      <c r="B2997" s="7"/>
      <c r="C2997" s="7"/>
      <c r="D2997" s="7"/>
      <c r="E2997" s="7"/>
      <c r="F2997" s="7"/>
      <c r="G2997" s="7"/>
      <c r="H2997" s="8"/>
      <c r="I2997" s="8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hidden="1">
      <c r="A2998" s="7"/>
      <c r="B2998" s="7"/>
      <c r="C2998" s="7"/>
      <c r="D2998" s="7"/>
      <c r="E2998" s="7"/>
      <c r="F2998" s="7"/>
      <c r="G2998" s="7"/>
      <c r="H2998" s="8"/>
      <c r="I2998" s="8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hidden="1">
      <c r="A2999" s="7"/>
      <c r="B2999" s="7"/>
      <c r="C2999" s="7"/>
      <c r="D2999" s="7"/>
      <c r="E2999" s="7"/>
      <c r="F2999" s="7"/>
      <c r="G2999" s="7"/>
      <c r="H2999" s="8"/>
      <c r="I2999" s="8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hidden="1">
      <c r="A3000" s="7"/>
      <c r="B3000" s="7"/>
      <c r="C3000" s="7"/>
      <c r="D3000" s="7"/>
      <c r="E3000" s="7"/>
      <c r="F3000" s="7"/>
      <c r="G3000" s="7"/>
      <c r="H3000" s="8"/>
      <c r="I3000" s="8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hidden="1">
      <c r="A3001" s="7"/>
      <c r="B3001" s="7"/>
      <c r="C3001" s="7"/>
      <c r="D3001" s="7"/>
      <c r="E3001" s="7"/>
      <c r="F3001" s="7"/>
      <c r="G3001" s="7"/>
      <c r="H3001" s="8"/>
      <c r="I3001" s="8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hidden="1">
      <c r="A3002" s="7"/>
      <c r="B3002" s="7"/>
      <c r="C3002" s="7"/>
      <c r="D3002" s="7"/>
      <c r="E3002" s="7"/>
      <c r="F3002" s="7"/>
      <c r="G3002" s="7"/>
      <c r="H3002" s="8"/>
      <c r="I3002" s="8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hidden="1">
      <c r="A3003" s="7"/>
      <c r="B3003" s="7"/>
      <c r="C3003" s="7"/>
      <c r="D3003" s="7"/>
      <c r="E3003" s="7"/>
      <c r="F3003" s="7"/>
      <c r="G3003" s="7"/>
      <c r="H3003" s="8"/>
      <c r="I3003" s="8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hidden="1">
      <c r="A3004" s="7"/>
      <c r="B3004" s="7"/>
      <c r="C3004" s="7"/>
      <c r="D3004" s="7"/>
      <c r="E3004" s="7"/>
      <c r="F3004" s="7"/>
      <c r="G3004" s="7"/>
      <c r="H3004" s="8"/>
      <c r="I3004" s="8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hidden="1">
      <c r="A3005" s="7"/>
      <c r="B3005" s="7"/>
      <c r="C3005" s="7"/>
      <c r="D3005" s="7"/>
      <c r="E3005" s="7"/>
      <c r="F3005" s="7"/>
      <c r="G3005" s="7"/>
      <c r="H3005" s="8"/>
      <c r="I3005" s="8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hidden="1">
      <c r="A3006" s="7"/>
      <c r="B3006" s="7"/>
      <c r="C3006" s="7"/>
      <c r="D3006" s="7"/>
      <c r="E3006" s="7"/>
      <c r="F3006" s="7"/>
      <c r="G3006" s="7"/>
      <c r="H3006" s="8"/>
      <c r="I3006" s="8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hidden="1">
      <c r="A3007" s="7"/>
      <c r="B3007" s="7"/>
      <c r="C3007" s="7"/>
      <c r="D3007" s="7"/>
      <c r="E3007" s="7"/>
      <c r="F3007" s="7"/>
      <c r="G3007" s="7"/>
      <c r="H3007" s="8"/>
      <c r="I3007" s="8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hidden="1">
      <c r="A3008" s="7"/>
      <c r="B3008" s="7"/>
      <c r="C3008" s="7"/>
      <c r="D3008" s="7"/>
      <c r="E3008" s="7"/>
      <c r="F3008" s="7"/>
      <c r="G3008" s="7"/>
      <c r="H3008" s="8"/>
      <c r="I3008" s="8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hidden="1">
      <c r="A3009" s="7"/>
      <c r="B3009" s="7"/>
      <c r="C3009" s="7"/>
      <c r="D3009" s="7"/>
      <c r="E3009" s="7"/>
      <c r="F3009" s="7"/>
      <c r="G3009" s="7"/>
      <c r="H3009" s="8"/>
      <c r="I3009" s="8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hidden="1">
      <c r="A3010" s="7"/>
      <c r="B3010" s="7"/>
      <c r="C3010" s="7"/>
      <c r="D3010" s="7"/>
      <c r="E3010" s="7"/>
      <c r="F3010" s="7"/>
      <c r="G3010" s="7"/>
      <c r="H3010" s="8"/>
      <c r="I3010" s="8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hidden="1">
      <c r="A3011" s="7"/>
      <c r="B3011" s="7"/>
      <c r="C3011" s="7"/>
      <c r="D3011" s="7"/>
      <c r="E3011" s="7"/>
      <c r="F3011" s="7"/>
      <c r="G3011" s="7"/>
      <c r="H3011" s="8"/>
      <c r="I3011" s="8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hidden="1">
      <c r="A3012" s="7"/>
      <c r="B3012" s="7"/>
      <c r="C3012" s="7"/>
      <c r="D3012" s="7"/>
      <c r="E3012" s="7"/>
      <c r="F3012" s="7"/>
      <c r="G3012" s="7"/>
      <c r="H3012" s="8"/>
      <c r="I3012" s="8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hidden="1">
      <c r="A3013" s="7"/>
      <c r="B3013" s="7"/>
      <c r="C3013" s="7"/>
      <c r="D3013" s="7"/>
      <c r="E3013" s="7"/>
      <c r="F3013" s="7"/>
      <c r="G3013" s="7"/>
      <c r="H3013" s="8"/>
      <c r="I3013" s="8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hidden="1">
      <c r="A3014" s="7"/>
      <c r="B3014" s="7"/>
      <c r="C3014" s="7"/>
      <c r="D3014" s="7"/>
      <c r="E3014" s="7"/>
      <c r="F3014" s="7"/>
      <c r="G3014" s="7"/>
      <c r="H3014" s="8"/>
      <c r="I3014" s="8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hidden="1">
      <c r="A3015" s="7"/>
      <c r="B3015" s="7"/>
      <c r="C3015" s="7"/>
      <c r="D3015" s="7"/>
      <c r="E3015" s="7"/>
      <c r="F3015" s="7"/>
      <c r="G3015" s="7"/>
      <c r="H3015" s="8"/>
      <c r="I3015" s="8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hidden="1">
      <c r="A3016" s="7"/>
      <c r="B3016" s="7"/>
      <c r="C3016" s="7"/>
      <c r="D3016" s="7"/>
      <c r="E3016" s="7"/>
      <c r="F3016" s="7"/>
      <c r="G3016" s="7"/>
      <c r="H3016" s="8"/>
      <c r="I3016" s="8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hidden="1">
      <c r="A3017" s="7"/>
      <c r="B3017" s="7"/>
      <c r="C3017" s="7"/>
      <c r="D3017" s="7"/>
      <c r="E3017" s="7"/>
      <c r="F3017" s="7"/>
      <c r="G3017" s="7"/>
      <c r="H3017" s="8"/>
      <c r="I3017" s="8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hidden="1">
      <c r="A3018" s="7"/>
      <c r="B3018" s="7"/>
      <c r="C3018" s="7"/>
      <c r="D3018" s="7"/>
      <c r="E3018" s="7"/>
      <c r="F3018" s="7"/>
      <c r="G3018" s="7"/>
      <c r="H3018" s="8"/>
      <c r="I3018" s="8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hidden="1">
      <c r="A3019" s="7"/>
      <c r="B3019" s="7"/>
      <c r="C3019" s="7"/>
      <c r="D3019" s="7"/>
      <c r="E3019" s="7"/>
      <c r="F3019" s="7"/>
      <c r="G3019" s="7"/>
      <c r="H3019" s="8"/>
      <c r="I3019" s="8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hidden="1">
      <c r="A3020" s="7"/>
      <c r="B3020" s="7"/>
      <c r="C3020" s="7"/>
      <c r="D3020" s="7"/>
      <c r="E3020" s="7"/>
      <c r="F3020" s="7"/>
      <c r="G3020" s="7"/>
      <c r="H3020" s="8"/>
      <c r="I3020" s="8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hidden="1">
      <c r="A3021" s="7"/>
      <c r="B3021" s="7"/>
      <c r="C3021" s="7"/>
      <c r="D3021" s="7"/>
      <c r="E3021" s="7"/>
      <c r="F3021" s="7"/>
      <c r="G3021" s="7"/>
      <c r="H3021" s="8"/>
      <c r="I3021" s="8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hidden="1">
      <c r="A3022" s="7"/>
      <c r="B3022" s="7"/>
      <c r="C3022" s="7"/>
      <c r="D3022" s="7"/>
      <c r="E3022" s="7"/>
      <c r="F3022" s="7"/>
      <c r="G3022" s="7"/>
      <c r="H3022" s="8"/>
      <c r="I3022" s="8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hidden="1">
      <c r="A3023" s="7"/>
      <c r="B3023" s="7"/>
      <c r="C3023" s="7"/>
      <c r="D3023" s="7"/>
      <c r="E3023" s="7"/>
      <c r="F3023" s="7"/>
      <c r="G3023" s="7"/>
      <c r="H3023" s="8"/>
      <c r="I3023" s="8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hidden="1">
      <c r="A3024" s="7"/>
      <c r="B3024" s="7"/>
      <c r="C3024" s="7"/>
      <c r="D3024" s="7"/>
      <c r="E3024" s="7"/>
      <c r="F3024" s="7"/>
      <c r="G3024" s="7"/>
      <c r="H3024" s="8"/>
      <c r="I3024" s="8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hidden="1">
      <c r="A3025" s="7"/>
      <c r="B3025" s="7"/>
      <c r="C3025" s="7"/>
      <c r="D3025" s="7"/>
      <c r="E3025" s="7"/>
      <c r="F3025" s="7"/>
      <c r="G3025" s="7"/>
      <c r="H3025" s="8"/>
      <c r="I3025" s="8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hidden="1">
      <c r="A3026" s="7"/>
      <c r="B3026" s="7"/>
      <c r="C3026" s="7"/>
      <c r="D3026" s="7"/>
      <c r="E3026" s="7"/>
      <c r="F3026" s="7"/>
      <c r="G3026" s="7"/>
      <c r="H3026" s="8"/>
      <c r="I3026" s="8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hidden="1">
      <c r="A3027" s="7"/>
      <c r="B3027" s="7"/>
      <c r="C3027" s="7"/>
      <c r="D3027" s="7"/>
      <c r="E3027" s="7"/>
      <c r="F3027" s="7"/>
      <c r="G3027" s="7"/>
      <c r="H3027" s="8"/>
      <c r="I3027" s="8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hidden="1">
      <c r="A3028" s="7"/>
      <c r="B3028" s="7"/>
      <c r="C3028" s="7"/>
      <c r="D3028" s="7"/>
      <c r="E3028" s="7"/>
      <c r="F3028" s="7"/>
      <c r="G3028" s="7"/>
      <c r="H3028" s="8"/>
      <c r="I3028" s="8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hidden="1">
      <c r="A3029" s="7"/>
      <c r="B3029" s="7"/>
      <c r="C3029" s="7"/>
      <c r="D3029" s="7"/>
      <c r="E3029" s="7"/>
      <c r="F3029" s="7"/>
      <c r="G3029" s="7"/>
      <c r="H3029" s="8"/>
      <c r="I3029" s="8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hidden="1">
      <c r="A3030" s="7"/>
      <c r="B3030" s="7"/>
      <c r="C3030" s="7"/>
      <c r="D3030" s="7"/>
      <c r="E3030" s="7"/>
      <c r="F3030" s="7"/>
      <c r="G3030" s="7"/>
      <c r="H3030" s="8"/>
      <c r="I3030" s="8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hidden="1">
      <c r="A3031" s="7"/>
      <c r="B3031" s="7"/>
      <c r="C3031" s="7"/>
      <c r="D3031" s="7"/>
      <c r="E3031" s="7"/>
      <c r="F3031" s="7"/>
      <c r="G3031" s="7"/>
      <c r="H3031" s="8"/>
      <c r="I3031" s="8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 hidden="1">
      <c r="A3032" s="7"/>
      <c r="B3032" s="7"/>
      <c r="C3032" s="7"/>
      <c r="D3032" s="7"/>
      <c r="E3032" s="7"/>
      <c r="F3032" s="7"/>
      <c r="G3032" s="7"/>
      <c r="H3032" s="8"/>
      <c r="I3032" s="8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 hidden="1">
      <c r="A3033" s="7"/>
      <c r="B3033" s="7"/>
      <c r="C3033" s="7"/>
      <c r="D3033" s="7"/>
      <c r="E3033" s="7"/>
      <c r="F3033" s="7"/>
      <c r="G3033" s="7"/>
      <c r="H3033" s="8"/>
      <c r="I3033" s="8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hidden="1">
      <c r="A3034" s="7"/>
      <c r="B3034" s="7"/>
      <c r="C3034" s="7"/>
      <c r="D3034" s="7"/>
      <c r="E3034" s="7"/>
      <c r="F3034" s="7"/>
      <c r="G3034" s="7"/>
      <c r="H3034" s="8"/>
      <c r="I3034" s="8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hidden="1">
      <c r="A3035" s="7"/>
      <c r="B3035" s="7"/>
      <c r="C3035" s="7"/>
      <c r="D3035" s="7"/>
      <c r="E3035" s="7"/>
      <c r="F3035" s="7"/>
      <c r="G3035" s="7"/>
      <c r="H3035" s="8"/>
      <c r="I3035" s="8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hidden="1">
      <c r="A3036" s="7"/>
      <c r="B3036" s="7"/>
      <c r="C3036" s="7"/>
      <c r="D3036" s="7"/>
      <c r="E3036" s="7"/>
      <c r="F3036" s="7"/>
      <c r="G3036" s="7"/>
      <c r="H3036" s="8"/>
      <c r="I3036" s="8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hidden="1">
      <c r="A3037" s="7"/>
      <c r="B3037" s="7"/>
      <c r="C3037" s="7"/>
      <c r="D3037" s="7"/>
      <c r="E3037" s="7"/>
      <c r="F3037" s="7"/>
      <c r="G3037" s="7"/>
      <c r="H3037" s="8"/>
      <c r="I3037" s="8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hidden="1">
      <c r="A3038" s="7"/>
      <c r="B3038" s="7"/>
      <c r="C3038" s="7"/>
      <c r="D3038" s="7"/>
      <c r="E3038" s="7"/>
      <c r="F3038" s="7"/>
      <c r="G3038" s="7"/>
      <c r="H3038" s="8"/>
      <c r="I3038" s="8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hidden="1">
      <c r="A3039" s="7"/>
      <c r="B3039" s="7"/>
      <c r="C3039" s="7"/>
      <c r="D3039" s="7"/>
      <c r="E3039" s="7"/>
      <c r="F3039" s="7"/>
      <c r="G3039" s="7"/>
      <c r="H3039" s="8"/>
      <c r="I3039" s="8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hidden="1">
      <c r="A3040" s="7"/>
      <c r="B3040" s="7"/>
      <c r="C3040" s="7"/>
      <c r="D3040" s="7"/>
      <c r="E3040" s="7"/>
      <c r="F3040" s="7"/>
      <c r="G3040" s="7"/>
      <c r="H3040" s="8"/>
      <c r="I3040" s="8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hidden="1">
      <c r="A3041" s="7"/>
      <c r="B3041" s="7"/>
      <c r="C3041" s="7"/>
      <c r="D3041" s="7"/>
      <c r="E3041" s="7"/>
      <c r="F3041" s="7"/>
      <c r="G3041" s="7"/>
      <c r="H3041" s="8"/>
      <c r="I3041" s="8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hidden="1">
      <c r="A3042" s="7"/>
      <c r="B3042" s="7"/>
      <c r="C3042" s="7"/>
      <c r="D3042" s="7"/>
      <c r="E3042" s="7"/>
      <c r="F3042" s="7"/>
      <c r="G3042" s="7"/>
      <c r="H3042" s="8"/>
      <c r="I3042" s="8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hidden="1">
      <c r="A3043" s="7"/>
      <c r="B3043" s="7"/>
      <c r="C3043" s="7"/>
      <c r="D3043" s="7"/>
      <c r="E3043" s="7"/>
      <c r="F3043" s="7"/>
      <c r="G3043" s="7"/>
      <c r="H3043" s="8"/>
      <c r="I3043" s="8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hidden="1">
      <c r="A3044" s="7"/>
      <c r="B3044" s="7"/>
      <c r="C3044" s="7"/>
      <c r="D3044" s="7"/>
      <c r="E3044" s="7"/>
      <c r="F3044" s="7"/>
      <c r="G3044" s="7"/>
      <c r="H3044" s="8"/>
      <c r="I3044" s="8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hidden="1">
      <c r="A3045" s="7"/>
      <c r="B3045" s="7"/>
      <c r="C3045" s="7"/>
      <c r="D3045" s="7"/>
      <c r="E3045" s="7"/>
      <c r="F3045" s="7"/>
      <c r="G3045" s="7"/>
      <c r="H3045" s="8"/>
      <c r="I3045" s="8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hidden="1">
      <c r="A3046" s="7"/>
      <c r="B3046" s="7"/>
      <c r="C3046" s="7"/>
      <c r="D3046" s="7"/>
      <c r="E3046" s="7"/>
      <c r="F3046" s="7"/>
      <c r="G3046" s="7"/>
      <c r="H3046" s="8"/>
      <c r="I3046" s="8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hidden="1">
      <c r="A3047" s="7"/>
      <c r="B3047" s="7"/>
      <c r="C3047" s="7"/>
      <c r="D3047" s="7"/>
      <c r="E3047" s="7"/>
      <c r="F3047" s="7"/>
      <c r="G3047" s="7"/>
      <c r="H3047" s="8"/>
      <c r="I3047" s="8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hidden="1">
      <c r="A3048" s="7"/>
      <c r="B3048" s="7"/>
      <c r="C3048" s="7"/>
      <c r="D3048" s="7"/>
      <c r="E3048" s="7"/>
      <c r="F3048" s="7"/>
      <c r="G3048" s="7"/>
      <c r="H3048" s="8"/>
      <c r="I3048" s="8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hidden="1">
      <c r="A3049" s="7"/>
      <c r="B3049" s="7"/>
      <c r="C3049" s="7"/>
      <c r="D3049" s="7"/>
      <c r="E3049" s="7"/>
      <c r="F3049" s="7"/>
      <c r="G3049" s="7"/>
      <c r="H3049" s="8"/>
      <c r="I3049" s="8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hidden="1">
      <c r="A3050" s="7"/>
      <c r="B3050" s="7"/>
      <c r="C3050" s="7"/>
      <c r="D3050" s="7"/>
      <c r="E3050" s="7"/>
      <c r="F3050" s="7"/>
      <c r="G3050" s="7"/>
      <c r="H3050" s="8"/>
      <c r="I3050" s="8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hidden="1">
      <c r="A3051" s="7"/>
      <c r="B3051" s="7"/>
      <c r="C3051" s="7"/>
      <c r="D3051" s="7"/>
      <c r="E3051" s="7"/>
      <c r="F3051" s="7"/>
      <c r="G3051" s="7"/>
      <c r="H3051" s="8"/>
      <c r="I3051" s="8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hidden="1">
      <c r="A3052" s="7"/>
      <c r="B3052" s="7"/>
      <c r="C3052" s="7"/>
      <c r="D3052" s="7"/>
      <c r="E3052" s="7"/>
      <c r="F3052" s="7"/>
      <c r="G3052" s="7"/>
      <c r="H3052" s="8"/>
      <c r="I3052" s="8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hidden="1">
      <c r="A3053" s="7"/>
      <c r="B3053" s="7"/>
      <c r="C3053" s="7"/>
      <c r="D3053" s="7"/>
      <c r="E3053" s="7"/>
      <c r="F3053" s="7"/>
      <c r="G3053" s="7"/>
      <c r="H3053" s="8"/>
      <c r="I3053" s="8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hidden="1">
      <c r="A3054" s="7"/>
      <c r="B3054" s="7"/>
      <c r="C3054" s="7"/>
      <c r="D3054" s="7"/>
      <c r="E3054" s="7"/>
      <c r="F3054" s="7"/>
      <c r="G3054" s="7"/>
      <c r="H3054" s="8"/>
      <c r="I3054" s="8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hidden="1">
      <c r="A3055" s="7"/>
      <c r="B3055" s="7"/>
      <c r="C3055" s="7"/>
      <c r="D3055" s="7"/>
      <c r="E3055" s="7"/>
      <c r="F3055" s="7"/>
      <c r="G3055" s="7"/>
      <c r="H3055" s="8"/>
      <c r="I3055" s="8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hidden="1">
      <c r="A3056" s="7"/>
      <c r="B3056" s="7"/>
      <c r="C3056" s="7"/>
      <c r="D3056" s="7"/>
      <c r="E3056" s="7"/>
      <c r="F3056" s="7"/>
      <c r="G3056" s="7"/>
      <c r="H3056" s="8"/>
      <c r="I3056" s="8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hidden="1">
      <c r="A3057" s="7"/>
      <c r="B3057" s="7"/>
      <c r="C3057" s="7"/>
      <c r="D3057" s="7"/>
      <c r="E3057" s="7"/>
      <c r="F3057" s="7"/>
      <c r="G3057" s="7"/>
      <c r="H3057" s="8"/>
      <c r="I3057" s="8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hidden="1">
      <c r="A3058" s="7"/>
      <c r="B3058" s="7"/>
      <c r="C3058" s="7"/>
      <c r="D3058" s="7"/>
      <c r="E3058" s="7"/>
      <c r="F3058" s="7"/>
      <c r="G3058" s="7"/>
      <c r="H3058" s="8"/>
      <c r="I3058" s="8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 hidden="1">
      <c r="A3059" s="7"/>
      <c r="B3059" s="7"/>
      <c r="C3059" s="7"/>
      <c r="D3059" s="7"/>
      <c r="E3059" s="7"/>
      <c r="F3059" s="7"/>
      <c r="G3059" s="7"/>
      <c r="H3059" s="8"/>
      <c r="I3059" s="8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hidden="1">
      <c r="A3060" s="7"/>
      <c r="B3060" s="7"/>
      <c r="C3060" s="7"/>
      <c r="D3060" s="7"/>
      <c r="E3060" s="7"/>
      <c r="F3060" s="7"/>
      <c r="G3060" s="7"/>
      <c r="H3060" s="8"/>
      <c r="I3060" s="8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hidden="1">
      <c r="A3061" s="7"/>
      <c r="B3061" s="7"/>
      <c r="C3061" s="7"/>
      <c r="D3061" s="7"/>
      <c r="E3061" s="7"/>
      <c r="F3061" s="7"/>
      <c r="G3061" s="7"/>
      <c r="H3061" s="8"/>
      <c r="I3061" s="8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hidden="1">
      <c r="A3062" s="7"/>
      <c r="B3062" s="7"/>
      <c r="C3062" s="7"/>
      <c r="D3062" s="7"/>
      <c r="E3062" s="7"/>
      <c r="F3062" s="7"/>
      <c r="G3062" s="7"/>
      <c r="H3062" s="8"/>
      <c r="I3062" s="8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hidden="1">
      <c r="A3063" s="7"/>
      <c r="B3063" s="7"/>
      <c r="C3063" s="7"/>
      <c r="D3063" s="7"/>
      <c r="E3063" s="7"/>
      <c r="F3063" s="7"/>
      <c r="G3063" s="7"/>
      <c r="H3063" s="8"/>
      <c r="I3063" s="8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hidden="1">
      <c r="A3064" s="7"/>
      <c r="B3064" s="7"/>
      <c r="C3064" s="7"/>
      <c r="D3064" s="7"/>
      <c r="E3064" s="7"/>
      <c r="F3064" s="7"/>
      <c r="G3064" s="7"/>
      <c r="H3064" s="8"/>
      <c r="I3064" s="8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hidden="1">
      <c r="A3065" s="7"/>
      <c r="B3065" s="7"/>
      <c r="C3065" s="7"/>
      <c r="D3065" s="7"/>
      <c r="E3065" s="7"/>
      <c r="F3065" s="7"/>
      <c r="G3065" s="7"/>
      <c r="H3065" s="8"/>
      <c r="I3065" s="8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hidden="1">
      <c r="A3066" s="7"/>
      <c r="B3066" s="7"/>
      <c r="C3066" s="7"/>
      <c r="D3066" s="7"/>
      <c r="E3066" s="7"/>
      <c r="F3066" s="7"/>
      <c r="G3066" s="7"/>
      <c r="H3066" s="8"/>
      <c r="I3066" s="8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hidden="1">
      <c r="A3067" s="7"/>
      <c r="B3067" s="7"/>
      <c r="C3067" s="7"/>
      <c r="D3067" s="7"/>
      <c r="E3067" s="7"/>
      <c r="F3067" s="7"/>
      <c r="G3067" s="7"/>
      <c r="H3067" s="8"/>
      <c r="I3067" s="8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hidden="1">
      <c r="A3068" s="7"/>
      <c r="B3068" s="7"/>
      <c r="C3068" s="7"/>
      <c r="D3068" s="7"/>
      <c r="E3068" s="7"/>
      <c r="F3068" s="7"/>
      <c r="G3068" s="7"/>
      <c r="H3068" s="8"/>
      <c r="I3068" s="8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 hidden="1">
      <c r="A3069" s="7"/>
      <c r="B3069" s="7"/>
      <c r="C3069" s="7"/>
      <c r="D3069" s="7"/>
      <c r="E3069" s="7"/>
      <c r="F3069" s="7"/>
      <c r="G3069" s="7"/>
      <c r="H3069" s="8"/>
      <c r="I3069" s="8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hidden="1">
      <c r="A3070" s="7"/>
      <c r="B3070" s="7"/>
      <c r="C3070" s="7"/>
      <c r="D3070" s="7"/>
      <c r="E3070" s="7"/>
      <c r="F3070" s="7"/>
      <c r="G3070" s="7"/>
      <c r="H3070" s="8"/>
      <c r="I3070" s="8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 hidden="1">
      <c r="A3071" s="7"/>
      <c r="B3071" s="7"/>
      <c r="C3071" s="7"/>
      <c r="D3071" s="7"/>
      <c r="E3071" s="7"/>
      <c r="F3071" s="7"/>
      <c r="G3071" s="7"/>
      <c r="H3071" s="8"/>
      <c r="I3071" s="8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 hidden="1">
      <c r="A3072" s="7"/>
      <c r="B3072" s="7"/>
      <c r="C3072" s="7"/>
      <c r="D3072" s="7"/>
      <c r="E3072" s="7"/>
      <c r="F3072" s="7"/>
      <c r="G3072" s="7"/>
      <c r="H3072" s="8"/>
      <c r="I3072" s="8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hidden="1">
      <c r="A3073" s="7"/>
      <c r="B3073" s="7"/>
      <c r="C3073" s="7"/>
      <c r="D3073" s="7"/>
      <c r="E3073" s="7"/>
      <c r="F3073" s="7"/>
      <c r="G3073" s="7"/>
      <c r="H3073" s="8"/>
      <c r="I3073" s="8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hidden="1">
      <c r="A3074" s="7"/>
      <c r="B3074" s="7"/>
      <c r="C3074" s="7"/>
      <c r="D3074" s="7"/>
      <c r="E3074" s="7"/>
      <c r="F3074" s="7"/>
      <c r="G3074" s="7"/>
      <c r="H3074" s="8"/>
      <c r="I3074" s="8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hidden="1">
      <c r="A3075" s="7"/>
      <c r="B3075" s="7"/>
      <c r="C3075" s="7"/>
      <c r="D3075" s="7"/>
      <c r="E3075" s="7"/>
      <c r="F3075" s="7"/>
      <c r="G3075" s="7"/>
      <c r="H3075" s="8"/>
      <c r="I3075" s="8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 hidden="1">
      <c r="A3076" s="7"/>
      <c r="B3076" s="7"/>
      <c r="C3076" s="7"/>
      <c r="D3076" s="7"/>
      <c r="E3076" s="7"/>
      <c r="F3076" s="7"/>
      <c r="G3076" s="7"/>
      <c r="H3076" s="8"/>
      <c r="I3076" s="8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 hidden="1">
      <c r="A3077" s="7"/>
      <c r="B3077" s="7"/>
      <c r="C3077" s="7"/>
      <c r="D3077" s="7"/>
      <c r="E3077" s="7"/>
      <c r="F3077" s="7"/>
      <c r="G3077" s="7"/>
      <c r="H3077" s="8"/>
      <c r="I3077" s="8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 hidden="1">
      <c r="A3078" s="7"/>
      <c r="B3078" s="7"/>
      <c r="C3078" s="7"/>
      <c r="D3078" s="7"/>
      <c r="E3078" s="7"/>
      <c r="F3078" s="7"/>
      <c r="G3078" s="7"/>
      <c r="H3078" s="8"/>
      <c r="I3078" s="8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hidden="1">
      <c r="A3079" s="7"/>
      <c r="B3079" s="7"/>
      <c r="C3079" s="7"/>
      <c r="D3079" s="7"/>
      <c r="E3079" s="7"/>
      <c r="F3079" s="7"/>
      <c r="G3079" s="7"/>
      <c r="H3079" s="8"/>
      <c r="I3079" s="8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hidden="1">
      <c r="A3080" s="7"/>
      <c r="B3080" s="7"/>
      <c r="C3080" s="7"/>
      <c r="D3080" s="7"/>
      <c r="E3080" s="7"/>
      <c r="F3080" s="7"/>
      <c r="G3080" s="7"/>
      <c r="H3080" s="8"/>
      <c r="I3080" s="8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hidden="1">
      <c r="A3081" s="7"/>
      <c r="B3081" s="7"/>
      <c r="C3081" s="7"/>
      <c r="D3081" s="7"/>
      <c r="E3081" s="7"/>
      <c r="F3081" s="7"/>
      <c r="G3081" s="7"/>
      <c r="H3081" s="8"/>
      <c r="I3081" s="8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hidden="1">
      <c r="A3082" s="7"/>
      <c r="B3082" s="7"/>
      <c r="C3082" s="7"/>
      <c r="D3082" s="7"/>
      <c r="E3082" s="7"/>
      <c r="F3082" s="7"/>
      <c r="G3082" s="7"/>
      <c r="H3082" s="8"/>
      <c r="I3082" s="8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hidden="1">
      <c r="A3083" s="7"/>
      <c r="B3083" s="7"/>
      <c r="C3083" s="7"/>
      <c r="D3083" s="7"/>
      <c r="E3083" s="7"/>
      <c r="F3083" s="7"/>
      <c r="G3083" s="7"/>
      <c r="H3083" s="8"/>
      <c r="I3083" s="8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hidden="1">
      <c r="A3084" s="7"/>
      <c r="B3084" s="7"/>
      <c r="C3084" s="7"/>
      <c r="D3084" s="7"/>
      <c r="E3084" s="7"/>
      <c r="F3084" s="7"/>
      <c r="G3084" s="7"/>
      <c r="H3084" s="8"/>
      <c r="I3084" s="8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hidden="1">
      <c r="A3085" s="7"/>
      <c r="B3085" s="7"/>
      <c r="C3085" s="7"/>
      <c r="D3085" s="7"/>
      <c r="E3085" s="7"/>
      <c r="F3085" s="7"/>
      <c r="G3085" s="7"/>
      <c r="H3085" s="8"/>
      <c r="I3085" s="8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hidden="1">
      <c r="A3086" s="7"/>
      <c r="B3086" s="7"/>
      <c r="C3086" s="7"/>
      <c r="D3086" s="7"/>
      <c r="E3086" s="7"/>
      <c r="F3086" s="7"/>
      <c r="G3086" s="7"/>
      <c r="H3086" s="8"/>
      <c r="I3086" s="8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hidden="1">
      <c r="A3087" s="7"/>
      <c r="B3087" s="7"/>
      <c r="C3087" s="7"/>
      <c r="D3087" s="7"/>
      <c r="E3087" s="7"/>
      <c r="F3087" s="7"/>
      <c r="G3087" s="7"/>
      <c r="H3087" s="8"/>
      <c r="I3087" s="8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hidden="1">
      <c r="A3088" s="7"/>
      <c r="B3088" s="7"/>
      <c r="C3088" s="7"/>
      <c r="D3088" s="7"/>
      <c r="E3088" s="7"/>
      <c r="F3088" s="7"/>
      <c r="G3088" s="7"/>
      <c r="H3088" s="8"/>
      <c r="I3088" s="8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 hidden="1">
      <c r="A3089" s="7"/>
      <c r="B3089" s="7"/>
      <c r="C3089" s="7"/>
      <c r="D3089" s="7"/>
      <c r="E3089" s="7"/>
      <c r="F3089" s="7"/>
      <c r="G3089" s="7"/>
      <c r="H3089" s="8"/>
      <c r="I3089" s="8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hidden="1">
      <c r="A3090" s="7"/>
      <c r="B3090" s="7"/>
      <c r="C3090" s="7"/>
      <c r="D3090" s="7"/>
      <c r="E3090" s="7"/>
      <c r="F3090" s="7"/>
      <c r="G3090" s="7"/>
      <c r="H3090" s="8"/>
      <c r="I3090" s="8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hidden="1">
      <c r="A3091" s="7"/>
      <c r="B3091" s="7"/>
      <c r="C3091" s="7"/>
      <c r="D3091" s="7"/>
      <c r="E3091" s="7"/>
      <c r="F3091" s="7"/>
      <c r="G3091" s="7"/>
      <c r="H3091" s="8"/>
      <c r="I3091" s="8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 hidden="1">
      <c r="A3092" s="7"/>
      <c r="B3092" s="7"/>
      <c r="C3092" s="7"/>
      <c r="D3092" s="7"/>
      <c r="E3092" s="7"/>
      <c r="F3092" s="7"/>
      <c r="G3092" s="7"/>
      <c r="H3092" s="8"/>
      <c r="I3092" s="8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hidden="1">
      <c r="A3093" s="7"/>
      <c r="B3093" s="7"/>
      <c r="C3093" s="7"/>
      <c r="D3093" s="7"/>
      <c r="E3093" s="7"/>
      <c r="F3093" s="7"/>
      <c r="G3093" s="7"/>
      <c r="H3093" s="8"/>
      <c r="I3093" s="8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hidden="1">
      <c r="A3094" s="7"/>
      <c r="B3094" s="7"/>
      <c r="C3094" s="7"/>
      <c r="D3094" s="7"/>
      <c r="E3094" s="7"/>
      <c r="F3094" s="7"/>
      <c r="G3094" s="7"/>
      <c r="H3094" s="8"/>
      <c r="I3094" s="8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hidden="1">
      <c r="A3095" s="7"/>
      <c r="B3095" s="7"/>
      <c r="C3095" s="7"/>
      <c r="D3095" s="7"/>
      <c r="E3095" s="7"/>
      <c r="F3095" s="7"/>
      <c r="G3095" s="7"/>
      <c r="H3095" s="8"/>
      <c r="I3095" s="8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hidden="1">
      <c r="A3096" s="7"/>
      <c r="B3096" s="7"/>
      <c r="C3096" s="7"/>
      <c r="D3096" s="7"/>
      <c r="E3096" s="7"/>
      <c r="F3096" s="7"/>
      <c r="G3096" s="7"/>
      <c r="H3096" s="8"/>
      <c r="I3096" s="8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hidden="1">
      <c r="A3097" s="7"/>
      <c r="B3097" s="7"/>
      <c r="C3097" s="7"/>
      <c r="D3097" s="7"/>
      <c r="E3097" s="7"/>
      <c r="F3097" s="7"/>
      <c r="G3097" s="7"/>
      <c r="H3097" s="8"/>
      <c r="I3097" s="8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hidden="1">
      <c r="A3098" s="7"/>
      <c r="B3098" s="7"/>
      <c r="C3098" s="7"/>
      <c r="D3098" s="7"/>
      <c r="E3098" s="7"/>
      <c r="F3098" s="7"/>
      <c r="G3098" s="7"/>
      <c r="H3098" s="8"/>
      <c r="I3098" s="8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hidden="1">
      <c r="A3099" s="7"/>
      <c r="B3099" s="7"/>
      <c r="C3099" s="7"/>
      <c r="D3099" s="7"/>
      <c r="E3099" s="7"/>
      <c r="F3099" s="7"/>
      <c r="G3099" s="7"/>
      <c r="H3099" s="8"/>
      <c r="I3099" s="8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 hidden="1">
      <c r="A3100" s="7"/>
      <c r="B3100" s="7"/>
      <c r="C3100" s="7"/>
      <c r="D3100" s="7"/>
      <c r="E3100" s="7"/>
      <c r="F3100" s="7"/>
      <c r="G3100" s="7"/>
      <c r="H3100" s="8"/>
      <c r="I3100" s="8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hidden="1">
      <c r="A3101" s="7"/>
      <c r="B3101" s="7"/>
      <c r="C3101" s="7"/>
      <c r="D3101" s="7"/>
      <c r="E3101" s="7"/>
      <c r="F3101" s="7"/>
      <c r="G3101" s="7"/>
      <c r="H3101" s="8"/>
      <c r="I3101" s="8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hidden="1">
      <c r="A3102" s="7"/>
      <c r="B3102" s="7"/>
      <c r="C3102" s="7"/>
      <c r="D3102" s="7"/>
      <c r="E3102" s="7"/>
      <c r="F3102" s="7"/>
      <c r="G3102" s="7"/>
      <c r="H3102" s="8"/>
      <c r="I3102" s="8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hidden="1">
      <c r="A3103" s="7"/>
      <c r="B3103" s="7"/>
      <c r="C3103" s="7"/>
      <c r="D3103" s="7"/>
      <c r="E3103" s="7"/>
      <c r="F3103" s="7"/>
      <c r="G3103" s="7"/>
      <c r="H3103" s="8"/>
      <c r="I3103" s="8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hidden="1">
      <c r="A3104" s="7"/>
      <c r="B3104" s="7"/>
      <c r="C3104" s="7"/>
      <c r="D3104" s="7"/>
      <c r="E3104" s="7"/>
      <c r="F3104" s="7"/>
      <c r="G3104" s="7"/>
      <c r="H3104" s="8"/>
      <c r="I3104" s="8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 hidden="1">
      <c r="A3105" s="7"/>
      <c r="B3105" s="7"/>
      <c r="C3105" s="7"/>
      <c r="D3105" s="7"/>
      <c r="E3105" s="7"/>
      <c r="F3105" s="7"/>
      <c r="G3105" s="7"/>
      <c r="H3105" s="8"/>
      <c r="I3105" s="8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hidden="1">
      <c r="A3106" s="7"/>
      <c r="B3106" s="7"/>
      <c r="C3106" s="7"/>
      <c r="D3106" s="7"/>
      <c r="E3106" s="7"/>
      <c r="F3106" s="7"/>
      <c r="G3106" s="7"/>
      <c r="H3106" s="8"/>
      <c r="I3106" s="8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hidden="1">
      <c r="A3107" s="7"/>
      <c r="B3107" s="7"/>
      <c r="C3107" s="7"/>
      <c r="D3107" s="7"/>
      <c r="E3107" s="7"/>
      <c r="F3107" s="7"/>
      <c r="G3107" s="7"/>
      <c r="H3107" s="8"/>
      <c r="I3107" s="8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hidden="1">
      <c r="A3108" s="7"/>
      <c r="B3108" s="7"/>
      <c r="C3108" s="7"/>
      <c r="D3108" s="7"/>
      <c r="E3108" s="7"/>
      <c r="F3108" s="7"/>
      <c r="G3108" s="7"/>
      <c r="H3108" s="8"/>
      <c r="I3108" s="8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hidden="1">
      <c r="A3109" s="7"/>
      <c r="B3109" s="7"/>
      <c r="C3109" s="7"/>
      <c r="D3109" s="7"/>
      <c r="E3109" s="7"/>
      <c r="F3109" s="7"/>
      <c r="G3109" s="7"/>
      <c r="H3109" s="8"/>
      <c r="I3109" s="8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hidden="1">
      <c r="A3110" s="7"/>
      <c r="B3110" s="7"/>
      <c r="C3110" s="7"/>
      <c r="D3110" s="7"/>
      <c r="E3110" s="7"/>
      <c r="F3110" s="7"/>
      <c r="G3110" s="7"/>
      <c r="H3110" s="8"/>
      <c r="I3110" s="8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hidden="1">
      <c r="A3111" s="7"/>
      <c r="B3111" s="7"/>
      <c r="C3111" s="7"/>
      <c r="D3111" s="7"/>
      <c r="E3111" s="7"/>
      <c r="F3111" s="7"/>
      <c r="G3111" s="7"/>
      <c r="H3111" s="8"/>
      <c r="I3111" s="8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hidden="1">
      <c r="A3112" s="7"/>
      <c r="B3112" s="7"/>
      <c r="C3112" s="7"/>
      <c r="D3112" s="7"/>
      <c r="E3112" s="7"/>
      <c r="F3112" s="7"/>
      <c r="G3112" s="7"/>
      <c r="H3112" s="8"/>
      <c r="I3112" s="8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hidden="1">
      <c r="A3113" s="7"/>
      <c r="B3113" s="7"/>
      <c r="C3113" s="7"/>
      <c r="D3113" s="7"/>
      <c r="E3113" s="7"/>
      <c r="F3113" s="7"/>
      <c r="G3113" s="7"/>
      <c r="H3113" s="8"/>
      <c r="I3113" s="8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hidden="1">
      <c r="A3114" s="7"/>
      <c r="B3114" s="7"/>
      <c r="C3114" s="7"/>
      <c r="D3114" s="7"/>
      <c r="E3114" s="7"/>
      <c r="F3114" s="7"/>
      <c r="G3114" s="7"/>
      <c r="H3114" s="8"/>
      <c r="I3114" s="8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hidden="1">
      <c r="A3115" s="7"/>
      <c r="B3115" s="7"/>
      <c r="C3115" s="7"/>
      <c r="D3115" s="7"/>
      <c r="E3115" s="7"/>
      <c r="F3115" s="7"/>
      <c r="G3115" s="7"/>
      <c r="H3115" s="8"/>
      <c r="I3115" s="8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 hidden="1">
      <c r="A3116" s="7"/>
      <c r="B3116" s="7"/>
      <c r="C3116" s="7"/>
      <c r="D3116" s="7"/>
      <c r="E3116" s="7"/>
      <c r="F3116" s="7"/>
      <c r="G3116" s="7"/>
      <c r="H3116" s="8"/>
      <c r="I3116" s="8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hidden="1">
      <c r="A3117" s="7"/>
      <c r="B3117" s="7"/>
      <c r="C3117" s="7"/>
      <c r="D3117" s="7"/>
      <c r="E3117" s="7"/>
      <c r="F3117" s="7"/>
      <c r="G3117" s="7"/>
      <c r="H3117" s="8"/>
      <c r="I3117" s="8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hidden="1">
      <c r="A3118" s="7"/>
      <c r="B3118" s="7"/>
      <c r="C3118" s="7"/>
      <c r="D3118" s="7"/>
      <c r="E3118" s="7"/>
      <c r="F3118" s="7"/>
      <c r="G3118" s="7"/>
      <c r="H3118" s="8"/>
      <c r="I3118" s="8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hidden="1">
      <c r="A3119" s="7"/>
      <c r="B3119" s="7"/>
      <c r="C3119" s="7"/>
      <c r="D3119" s="7"/>
      <c r="E3119" s="7"/>
      <c r="F3119" s="7"/>
      <c r="G3119" s="7"/>
      <c r="H3119" s="8"/>
      <c r="I3119" s="8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hidden="1">
      <c r="A3120" s="7"/>
      <c r="B3120" s="7"/>
      <c r="C3120" s="7"/>
      <c r="D3120" s="7"/>
      <c r="E3120" s="7"/>
      <c r="F3120" s="7"/>
      <c r="G3120" s="7"/>
      <c r="H3120" s="8"/>
      <c r="I3120" s="8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 hidden="1">
      <c r="A3121" s="7"/>
      <c r="B3121" s="7"/>
      <c r="C3121" s="7"/>
      <c r="D3121" s="7"/>
      <c r="E3121" s="7"/>
      <c r="F3121" s="7"/>
      <c r="G3121" s="7"/>
      <c r="H3121" s="8"/>
      <c r="I3121" s="8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hidden="1">
      <c r="A3122" s="7"/>
      <c r="B3122" s="7"/>
      <c r="C3122" s="7"/>
      <c r="D3122" s="7"/>
      <c r="E3122" s="7"/>
      <c r="F3122" s="7"/>
      <c r="G3122" s="7"/>
      <c r="H3122" s="8"/>
      <c r="I3122" s="8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hidden="1">
      <c r="A3123" s="7"/>
      <c r="B3123" s="7"/>
      <c r="C3123" s="7"/>
      <c r="D3123" s="7"/>
      <c r="E3123" s="7"/>
      <c r="F3123" s="7"/>
      <c r="G3123" s="7"/>
      <c r="H3123" s="8"/>
      <c r="I3123" s="8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hidden="1">
      <c r="A3124" s="7"/>
      <c r="B3124" s="7"/>
      <c r="C3124" s="7"/>
      <c r="D3124" s="7"/>
      <c r="E3124" s="7"/>
      <c r="F3124" s="7"/>
      <c r="G3124" s="7"/>
      <c r="H3124" s="8"/>
      <c r="I3124" s="8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 hidden="1">
      <c r="A3125" s="7"/>
      <c r="B3125" s="7"/>
      <c r="C3125" s="7"/>
      <c r="D3125" s="7"/>
      <c r="E3125" s="7"/>
      <c r="F3125" s="7"/>
      <c r="G3125" s="7"/>
      <c r="H3125" s="8"/>
      <c r="I3125" s="8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hidden="1">
      <c r="A3126" s="7"/>
      <c r="B3126" s="7"/>
      <c r="C3126" s="7"/>
      <c r="D3126" s="7"/>
      <c r="E3126" s="7"/>
      <c r="F3126" s="7"/>
      <c r="G3126" s="7"/>
      <c r="H3126" s="8"/>
      <c r="I3126" s="8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hidden="1">
      <c r="A3127" s="7"/>
      <c r="B3127" s="7"/>
      <c r="C3127" s="7"/>
      <c r="D3127" s="7"/>
      <c r="E3127" s="7"/>
      <c r="F3127" s="7"/>
      <c r="G3127" s="7"/>
      <c r="H3127" s="8"/>
      <c r="I3127" s="8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hidden="1">
      <c r="A3128" s="7"/>
      <c r="B3128" s="7"/>
      <c r="C3128" s="7"/>
      <c r="D3128" s="7"/>
      <c r="E3128" s="7"/>
      <c r="F3128" s="7"/>
      <c r="G3128" s="7"/>
      <c r="H3128" s="8"/>
      <c r="I3128" s="8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hidden="1">
      <c r="A3129" s="7"/>
      <c r="B3129" s="7"/>
      <c r="C3129" s="7"/>
      <c r="D3129" s="7"/>
      <c r="E3129" s="7"/>
      <c r="F3129" s="7"/>
      <c r="G3129" s="7"/>
      <c r="H3129" s="8"/>
      <c r="I3129" s="8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hidden="1">
      <c r="A3130" s="7"/>
      <c r="B3130" s="7"/>
      <c r="C3130" s="7"/>
      <c r="D3130" s="7"/>
      <c r="E3130" s="7"/>
      <c r="F3130" s="7"/>
      <c r="G3130" s="7"/>
      <c r="H3130" s="8"/>
      <c r="I3130" s="8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hidden="1">
      <c r="A3131" s="7"/>
      <c r="B3131" s="7"/>
      <c r="C3131" s="7"/>
      <c r="D3131" s="7"/>
      <c r="E3131" s="7"/>
      <c r="F3131" s="7"/>
      <c r="G3131" s="7"/>
      <c r="H3131" s="8"/>
      <c r="I3131" s="8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hidden="1">
      <c r="A3132" s="7"/>
      <c r="B3132" s="7"/>
      <c r="C3132" s="7"/>
      <c r="D3132" s="7"/>
      <c r="E3132" s="7"/>
      <c r="F3132" s="7"/>
      <c r="G3132" s="7"/>
      <c r="H3132" s="8"/>
      <c r="I3132" s="8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hidden="1">
      <c r="A3133" s="7"/>
      <c r="B3133" s="7"/>
      <c r="C3133" s="7"/>
      <c r="D3133" s="7"/>
      <c r="E3133" s="7"/>
      <c r="F3133" s="7"/>
      <c r="G3133" s="7"/>
      <c r="H3133" s="8"/>
      <c r="I3133" s="8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hidden="1">
      <c r="A3134" s="7"/>
      <c r="B3134" s="7"/>
      <c r="C3134" s="7"/>
      <c r="D3134" s="7"/>
      <c r="E3134" s="7"/>
      <c r="F3134" s="7"/>
      <c r="G3134" s="7"/>
      <c r="H3134" s="8"/>
      <c r="I3134" s="8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hidden="1">
      <c r="A3135" s="7"/>
      <c r="B3135" s="7"/>
      <c r="C3135" s="7"/>
      <c r="D3135" s="7"/>
      <c r="E3135" s="7"/>
      <c r="F3135" s="7"/>
      <c r="G3135" s="7"/>
      <c r="H3135" s="8"/>
      <c r="I3135" s="8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hidden="1">
      <c r="A3136" s="7"/>
      <c r="B3136" s="7"/>
      <c r="C3136" s="7"/>
      <c r="D3136" s="7"/>
      <c r="E3136" s="7"/>
      <c r="F3136" s="7"/>
      <c r="G3136" s="7"/>
      <c r="H3136" s="8"/>
      <c r="I3136" s="8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 hidden="1">
      <c r="A3137" s="7"/>
      <c r="B3137" s="7"/>
      <c r="C3137" s="7"/>
      <c r="D3137" s="7"/>
      <c r="E3137" s="7"/>
      <c r="F3137" s="7"/>
      <c r="G3137" s="7"/>
      <c r="H3137" s="8"/>
      <c r="I3137" s="8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hidden="1">
      <c r="A3138" s="7"/>
      <c r="B3138" s="7"/>
      <c r="C3138" s="7"/>
      <c r="D3138" s="7"/>
      <c r="E3138" s="7"/>
      <c r="F3138" s="7"/>
      <c r="G3138" s="7"/>
      <c r="H3138" s="8"/>
      <c r="I3138" s="8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hidden="1">
      <c r="A3139" s="7"/>
      <c r="B3139" s="7"/>
      <c r="C3139" s="7"/>
      <c r="D3139" s="7"/>
      <c r="E3139" s="7"/>
      <c r="F3139" s="7"/>
      <c r="G3139" s="7"/>
      <c r="H3139" s="8"/>
      <c r="I3139" s="8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hidden="1">
      <c r="A3140" s="7"/>
      <c r="B3140" s="7"/>
      <c r="C3140" s="7"/>
      <c r="D3140" s="7"/>
      <c r="E3140" s="7"/>
      <c r="F3140" s="7"/>
      <c r="G3140" s="7"/>
      <c r="H3140" s="8"/>
      <c r="I3140" s="8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 hidden="1">
      <c r="A3141" s="7"/>
      <c r="B3141" s="7"/>
      <c r="C3141" s="7"/>
      <c r="D3141" s="7"/>
      <c r="E3141" s="7"/>
      <c r="F3141" s="7"/>
      <c r="G3141" s="7"/>
      <c r="H3141" s="8"/>
      <c r="I3141" s="8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hidden="1">
      <c r="A3142" s="7"/>
      <c r="B3142" s="7"/>
      <c r="C3142" s="7"/>
      <c r="D3142" s="7"/>
      <c r="E3142" s="7"/>
      <c r="F3142" s="7"/>
      <c r="G3142" s="7"/>
      <c r="H3142" s="8"/>
      <c r="I3142" s="8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hidden="1">
      <c r="A3143" s="7"/>
      <c r="B3143" s="7"/>
      <c r="C3143" s="7"/>
      <c r="D3143" s="7"/>
      <c r="E3143" s="7"/>
      <c r="F3143" s="7"/>
      <c r="G3143" s="7"/>
      <c r="H3143" s="8"/>
      <c r="I3143" s="8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hidden="1">
      <c r="A3144" s="7"/>
      <c r="B3144" s="7"/>
      <c r="C3144" s="7"/>
      <c r="D3144" s="7"/>
      <c r="E3144" s="7"/>
      <c r="F3144" s="7"/>
      <c r="G3144" s="7"/>
      <c r="H3144" s="8"/>
      <c r="I3144" s="8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hidden="1">
      <c r="A3145" s="7"/>
      <c r="B3145" s="7"/>
      <c r="C3145" s="7"/>
      <c r="D3145" s="7"/>
      <c r="E3145" s="7"/>
      <c r="F3145" s="7"/>
      <c r="G3145" s="7"/>
      <c r="H3145" s="8"/>
      <c r="I3145" s="8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hidden="1">
      <c r="A3146" s="7"/>
      <c r="B3146" s="7"/>
      <c r="C3146" s="7"/>
      <c r="D3146" s="7"/>
      <c r="E3146" s="7"/>
      <c r="F3146" s="7"/>
      <c r="G3146" s="7"/>
      <c r="H3146" s="8"/>
      <c r="I3146" s="8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hidden="1">
      <c r="A3147" s="7"/>
      <c r="B3147" s="7"/>
      <c r="C3147" s="7"/>
      <c r="D3147" s="7"/>
      <c r="E3147" s="7"/>
      <c r="F3147" s="7"/>
      <c r="G3147" s="7"/>
      <c r="H3147" s="8"/>
      <c r="I3147" s="8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hidden="1">
      <c r="A3148" s="7"/>
      <c r="B3148" s="7"/>
      <c r="C3148" s="7"/>
      <c r="D3148" s="7"/>
      <c r="E3148" s="7"/>
      <c r="F3148" s="7"/>
      <c r="G3148" s="7"/>
      <c r="H3148" s="8"/>
      <c r="I3148" s="8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hidden="1">
      <c r="A3149" s="7"/>
      <c r="B3149" s="7"/>
      <c r="C3149" s="7"/>
      <c r="D3149" s="7"/>
      <c r="E3149" s="7"/>
      <c r="F3149" s="7"/>
      <c r="G3149" s="7"/>
      <c r="H3149" s="8"/>
      <c r="I3149" s="8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hidden="1">
      <c r="A3150" s="7"/>
      <c r="B3150" s="7"/>
      <c r="C3150" s="7"/>
      <c r="D3150" s="7"/>
      <c r="E3150" s="7"/>
      <c r="F3150" s="7"/>
      <c r="G3150" s="7"/>
      <c r="H3150" s="8"/>
      <c r="I3150" s="8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hidden="1">
      <c r="A3151" s="7"/>
      <c r="B3151" s="7"/>
      <c r="C3151" s="7"/>
      <c r="D3151" s="7"/>
      <c r="E3151" s="7"/>
      <c r="F3151" s="7"/>
      <c r="G3151" s="7"/>
      <c r="H3151" s="8"/>
      <c r="I3151" s="8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 hidden="1">
      <c r="A3152" s="7"/>
      <c r="B3152" s="7"/>
      <c r="C3152" s="7"/>
      <c r="D3152" s="7"/>
      <c r="E3152" s="7"/>
      <c r="F3152" s="7"/>
      <c r="G3152" s="7"/>
      <c r="H3152" s="8"/>
      <c r="I3152" s="8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hidden="1">
      <c r="A3153" s="7"/>
      <c r="B3153" s="7"/>
      <c r="C3153" s="7"/>
      <c r="D3153" s="7"/>
      <c r="E3153" s="7"/>
      <c r="F3153" s="7"/>
      <c r="G3153" s="7"/>
      <c r="H3153" s="8"/>
      <c r="I3153" s="8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 hidden="1">
      <c r="A3154" s="7"/>
      <c r="B3154" s="7"/>
      <c r="C3154" s="7"/>
      <c r="D3154" s="7"/>
      <c r="E3154" s="7"/>
      <c r="F3154" s="7"/>
      <c r="G3154" s="7"/>
      <c r="H3154" s="8"/>
      <c r="I3154" s="8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hidden="1">
      <c r="A3155" s="7"/>
      <c r="B3155" s="7"/>
      <c r="C3155" s="7"/>
      <c r="D3155" s="7"/>
      <c r="E3155" s="7"/>
      <c r="F3155" s="7"/>
      <c r="G3155" s="7"/>
      <c r="H3155" s="8"/>
      <c r="I3155" s="8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hidden="1">
      <c r="A3156" s="7"/>
      <c r="B3156" s="7"/>
      <c r="C3156" s="7"/>
      <c r="D3156" s="7"/>
      <c r="E3156" s="7"/>
      <c r="F3156" s="7"/>
      <c r="G3156" s="7"/>
      <c r="H3156" s="8"/>
      <c r="I3156" s="8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hidden="1">
      <c r="A3157" s="7"/>
      <c r="B3157" s="7"/>
      <c r="C3157" s="7"/>
      <c r="D3157" s="7"/>
      <c r="E3157" s="7"/>
      <c r="F3157" s="7"/>
      <c r="G3157" s="7"/>
      <c r="H3157" s="8"/>
      <c r="I3157" s="8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hidden="1">
      <c r="A3158" s="7"/>
      <c r="B3158" s="7"/>
      <c r="C3158" s="7"/>
      <c r="D3158" s="7"/>
      <c r="E3158" s="7"/>
      <c r="F3158" s="7"/>
      <c r="G3158" s="7"/>
      <c r="H3158" s="8"/>
      <c r="I3158" s="8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hidden="1">
      <c r="A3159" s="7"/>
      <c r="B3159" s="7"/>
      <c r="C3159" s="7"/>
      <c r="D3159" s="7"/>
      <c r="E3159" s="7"/>
      <c r="F3159" s="7"/>
      <c r="G3159" s="7"/>
      <c r="H3159" s="8"/>
      <c r="I3159" s="8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hidden="1">
      <c r="A3160" s="7"/>
      <c r="B3160" s="7"/>
      <c r="C3160" s="7"/>
      <c r="D3160" s="7"/>
      <c r="E3160" s="7"/>
      <c r="F3160" s="7"/>
      <c r="G3160" s="7"/>
      <c r="H3160" s="8"/>
      <c r="I3160" s="8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hidden="1">
      <c r="A3161" s="7"/>
      <c r="B3161" s="7"/>
      <c r="C3161" s="7"/>
      <c r="D3161" s="7"/>
      <c r="E3161" s="7"/>
      <c r="F3161" s="7"/>
      <c r="G3161" s="7"/>
      <c r="H3161" s="8"/>
      <c r="I3161" s="8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hidden="1">
      <c r="A3162" s="7"/>
      <c r="B3162" s="7"/>
      <c r="C3162" s="7"/>
      <c r="D3162" s="7"/>
      <c r="E3162" s="7"/>
      <c r="F3162" s="7"/>
      <c r="G3162" s="7"/>
      <c r="H3162" s="8"/>
      <c r="I3162" s="8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hidden="1">
      <c r="A3163" s="7"/>
      <c r="B3163" s="7"/>
      <c r="C3163" s="7"/>
      <c r="D3163" s="7"/>
      <c r="E3163" s="7"/>
      <c r="F3163" s="7"/>
      <c r="G3163" s="7"/>
      <c r="H3163" s="8"/>
      <c r="I3163" s="8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hidden="1">
      <c r="A3164" s="7"/>
      <c r="B3164" s="7"/>
      <c r="C3164" s="7"/>
      <c r="D3164" s="7"/>
      <c r="E3164" s="7"/>
      <c r="F3164" s="7"/>
      <c r="G3164" s="7"/>
      <c r="H3164" s="8"/>
      <c r="I3164" s="8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hidden="1">
      <c r="A3165" s="7"/>
      <c r="B3165" s="7"/>
      <c r="C3165" s="7"/>
      <c r="D3165" s="7"/>
      <c r="E3165" s="7"/>
      <c r="F3165" s="7"/>
      <c r="G3165" s="7"/>
      <c r="H3165" s="8"/>
      <c r="I3165" s="8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 hidden="1">
      <c r="A3166" s="7"/>
      <c r="B3166" s="7"/>
      <c r="C3166" s="7"/>
      <c r="D3166" s="7"/>
      <c r="E3166" s="7"/>
      <c r="F3166" s="7"/>
      <c r="G3166" s="7"/>
      <c r="H3166" s="8"/>
      <c r="I3166" s="8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hidden="1">
      <c r="A3167" s="7"/>
      <c r="B3167" s="7"/>
      <c r="C3167" s="7"/>
      <c r="D3167" s="7"/>
      <c r="E3167" s="7"/>
      <c r="F3167" s="7"/>
      <c r="G3167" s="7"/>
      <c r="H3167" s="8"/>
      <c r="I3167" s="8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hidden="1">
      <c r="A3168" s="7"/>
      <c r="B3168" s="7"/>
      <c r="C3168" s="7"/>
      <c r="D3168" s="7"/>
      <c r="E3168" s="7"/>
      <c r="F3168" s="7"/>
      <c r="G3168" s="7"/>
      <c r="H3168" s="8"/>
      <c r="I3168" s="8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hidden="1">
      <c r="A3169" s="7"/>
      <c r="B3169" s="7"/>
      <c r="C3169" s="7"/>
      <c r="D3169" s="7"/>
      <c r="E3169" s="7"/>
      <c r="F3169" s="7"/>
      <c r="G3169" s="7"/>
      <c r="H3169" s="8"/>
      <c r="I3169" s="8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hidden="1">
      <c r="A3170" s="7"/>
      <c r="B3170" s="7"/>
      <c r="C3170" s="7"/>
      <c r="D3170" s="7"/>
      <c r="E3170" s="7"/>
      <c r="F3170" s="7"/>
      <c r="G3170" s="7"/>
      <c r="H3170" s="8"/>
      <c r="I3170" s="8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 hidden="1">
      <c r="A3171" s="7"/>
      <c r="B3171" s="7"/>
      <c r="C3171" s="7"/>
      <c r="D3171" s="7"/>
      <c r="E3171" s="7"/>
      <c r="F3171" s="7"/>
      <c r="G3171" s="7"/>
      <c r="H3171" s="8"/>
      <c r="I3171" s="8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hidden="1">
      <c r="A3172" s="7"/>
      <c r="B3172" s="7"/>
      <c r="C3172" s="7"/>
      <c r="D3172" s="7"/>
      <c r="E3172" s="7"/>
      <c r="F3172" s="7"/>
      <c r="G3172" s="7"/>
      <c r="H3172" s="8"/>
      <c r="I3172" s="8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hidden="1">
      <c r="A3173" s="7"/>
      <c r="B3173" s="7"/>
      <c r="C3173" s="7"/>
      <c r="D3173" s="7"/>
      <c r="E3173" s="7"/>
      <c r="F3173" s="7"/>
      <c r="G3173" s="7"/>
      <c r="H3173" s="8"/>
      <c r="I3173" s="8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 hidden="1">
      <c r="A3174" s="7"/>
      <c r="B3174" s="7"/>
      <c r="C3174" s="7"/>
      <c r="D3174" s="7"/>
      <c r="E3174" s="7"/>
      <c r="F3174" s="7"/>
      <c r="G3174" s="7"/>
      <c r="H3174" s="8"/>
      <c r="I3174" s="8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hidden="1">
      <c r="A3175" s="7"/>
      <c r="B3175" s="7"/>
      <c r="C3175" s="7"/>
      <c r="D3175" s="7"/>
      <c r="E3175" s="7"/>
      <c r="F3175" s="7"/>
      <c r="G3175" s="7"/>
      <c r="H3175" s="8"/>
      <c r="I3175" s="8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hidden="1">
      <c r="A3176" s="7"/>
      <c r="B3176" s="7"/>
      <c r="C3176" s="7"/>
      <c r="D3176" s="7"/>
      <c r="E3176" s="7"/>
      <c r="F3176" s="7"/>
      <c r="G3176" s="7"/>
      <c r="H3176" s="8"/>
      <c r="I3176" s="8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hidden="1">
      <c r="A3177" s="7"/>
      <c r="B3177" s="7"/>
      <c r="C3177" s="7"/>
      <c r="D3177" s="7"/>
      <c r="E3177" s="7"/>
      <c r="F3177" s="7"/>
      <c r="G3177" s="7"/>
      <c r="H3177" s="8"/>
      <c r="I3177" s="8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hidden="1">
      <c r="A3178" s="7"/>
      <c r="B3178" s="7"/>
      <c r="C3178" s="7"/>
      <c r="D3178" s="7"/>
      <c r="E3178" s="7"/>
      <c r="F3178" s="7"/>
      <c r="G3178" s="7"/>
      <c r="H3178" s="8"/>
      <c r="I3178" s="8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 hidden="1">
      <c r="A3179" s="7"/>
      <c r="B3179" s="7"/>
      <c r="C3179" s="7"/>
      <c r="D3179" s="7"/>
      <c r="E3179" s="7"/>
      <c r="F3179" s="7"/>
      <c r="G3179" s="7"/>
      <c r="H3179" s="8"/>
      <c r="I3179" s="8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hidden="1">
      <c r="A3180" s="7"/>
      <c r="B3180" s="7"/>
      <c r="C3180" s="7"/>
      <c r="D3180" s="7"/>
      <c r="E3180" s="7"/>
      <c r="F3180" s="7"/>
      <c r="G3180" s="7"/>
      <c r="H3180" s="8"/>
      <c r="I3180" s="8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hidden="1">
      <c r="A3181" s="7"/>
      <c r="B3181" s="7"/>
      <c r="C3181" s="7"/>
      <c r="D3181" s="7"/>
      <c r="E3181" s="7"/>
      <c r="F3181" s="7"/>
      <c r="G3181" s="7"/>
      <c r="H3181" s="8"/>
      <c r="I3181" s="8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hidden="1">
      <c r="A3182" s="7"/>
      <c r="B3182" s="7"/>
      <c r="C3182" s="7"/>
      <c r="D3182" s="7"/>
      <c r="E3182" s="7"/>
      <c r="F3182" s="7"/>
      <c r="G3182" s="7"/>
      <c r="H3182" s="8"/>
      <c r="I3182" s="8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hidden="1">
      <c r="A3183" s="7"/>
      <c r="B3183" s="7"/>
      <c r="C3183" s="7"/>
      <c r="D3183" s="7"/>
      <c r="E3183" s="7"/>
      <c r="F3183" s="7"/>
      <c r="G3183" s="7"/>
      <c r="H3183" s="8"/>
      <c r="I3183" s="8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hidden="1">
      <c r="A3184" s="7"/>
      <c r="B3184" s="7"/>
      <c r="C3184" s="7"/>
      <c r="D3184" s="7"/>
      <c r="E3184" s="7"/>
      <c r="F3184" s="7"/>
      <c r="G3184" s="7"/>
      <c r="H3184" s="8"/>
      <c r="I3184" s="8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hidden="1">
      <c r="A3185" s="7"/>
      <c r="B3185" s="7"/>
      <c r="C3185" s="7"/>
      <c r="D3185" s="7"/>
      <c r="E3185" s="7"/>
      <c r="F3185" s="7"/>
      <c r="G3185" s="7"/>
      <c r="H3185" s="8"/>
      <c r="I3185" s="8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hidden="1">
      <c r="A3186" s="7"/>
      <c r="B3186" s="7"/>
      <c r="C3186" s="7"/>
      <c r="D3186" s="7"/>
      <c r="E3186" s="7"/>
      <c r="F3186" s="7"/>
      <c r="G3186" s="7"/>
      <c r="H3186" s="8"/>
      <c r="I3186" s="8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hidden="1">
      <c r="A3187" s="7"/>
      <c r="B3187" s="7"/>
      <c r="C3187" s="7"/>
      <c r="D3187" s="7"/>
      <c r="E3187" s="7"/>
      <c r="F3187" s="7"/>
      <c r="G3187" s="7"/>
      <c r="H3187" s="8"/>
      <c r="I3187" s="8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hidden="1">
      <c r="A3188" s="7"/>
      <c r="B3188" s="7"/>
      <c r="C3188" s="7"/>
      <c r="D3188" s="7"/>
      <c r="E3188" s="7"/>
      <c r="F3188" s="7"/>
      <c r="G3188" s="7"/>
      <c r="H3188" s="8"/>
      <c r="I3188" s="8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hidden="1">
      <c r="A3189" s="7"/>
      <c r="B3189" s="7"/>
      <c r="C3189" s="7"/>
      <c r="D3189" s="7"/>
      <c r="E3189" s="7"/>
      <c r="F3189" s="7"/>
      <c r="G3189" s="7"/>
      <c r="H3189" s="8"/>
      <c r="I3189" s="8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hidden="1">
      <c r="A3190" s="7"/>
      <c r="B3190" s="7"/>
      <c r="C3190" s="7"/>
      <c r="D3190" s="7"/>
      <c r="E3190" s="7"/>
      <c r="F3190" s="7"/>
      <c r="G3190" s="7"/>
      <c r="H3190" s="8"/>
      <c r="I3190" s="8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hidden="1">
      <c r="A3191" s="7"/>
      <c r="B3191" s="7"/>
      <c r="C3191" s="7"/>
      <c r="D3191" s="7"/>
      <c r="E3191" s="7"/>
      <c r="F3191" s="7"/>
      <c r="G3191" s="7"/>
      <c r="H3191" s="8"/>
      <c r="I3191" s="8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 hidden="1">
      <c r="A3192" s="7"/>
      <c r="B3192" s="7"/>
      <c r="C3192" s="7"/>
      <c r="D3192" s="7"/>
      <c r="E3192" s="7"/>
      <c r="F3192" s="7"/>
      <c r="G3192" s="7"/>
      <c r="H3192" s="8"/>
      <c r="I3192" s="8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hidden="1">
      <c r="A3193" s="7"/>
      <c r="B3193" s="7"/>
      <c r="C3193" s="7"/>
      <c r="D3193" s="7"/>
      <c r="E3193" s="7"/>
      <c r="F3193" s="7"/>
      <c r="G3193" s="7"/>
      <c r="H3193" s="8"/>
      <c r="I3193" s="8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 hidden="1">
      <c r="A3194" s="7"/>
      <c r="B3194" s="7"/>
      <c r="C3194" s="7"/>
      <c r="D3194" s="7"/>
      <c r="E3194" s="7"/>
      <c r="F3194" s="7"/>
      <c r="G3194" s="7"/>
      <c r="H3194" s="8"/>
      <c r="I3194" s="8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hidden="1">
      <c r="A3195" s="7"/>
      <c r="B3195" s="7"/>
      <c r="C3195" s="7"/>
      <c r="D3195" s="7"/>
      <c r="E3195" s="7"/>
      <c r="F3195" s="7"/>
      <c r="G3195" s="7"/>
      <c r="H3195" s="8"/>
      <c r="I3195" s="8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hidden="1">
      <c r="A3196" s="7"/>
      <c r="B3196" s="7"/>
      <c r="C3196" s="7"/>
      <c r="D3196" s="7"/>
      <c r="E3196" s="7"/>
      <c r="F3196" s="7"/>
      <c r="G3196" s="7"/>
      <c r="H3196" s="8"/>
      <c r="I3196" s="8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 hidden="1">
      <c r="A3197" s="7"/>
      <c r="B3197" s="7"/>
      <c r="C3197" s="7"/>
      <c r="D3197" s="7"/>
      <c r="E3197" s="7"/>
      <c r="F3197" s="7"/>
      <c r="G3197" s="7"/>
      <c r="H3197" s="8"/>
      <c r="I3197" s="8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hidden="1">
      <c r="A3198" s="7"/>
      <c r="B3198" s="7"/>
      <c r="C3198" s="7"/>
      <c r="D3198" s="7"/>
      <c r="E3198" s="7"/>
      <c r="F3198" s="7"/>
      <c r="G3198" s="7"/>
      <c r="H3198" s="8"/>
      <c r="I3198" s="8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hidden="1">
      <c r="A3199" s="7"/>
      <c r="B3199" s="7"/>
      <c r="C3199" s="7"/>
      <c r="D3199" s="7"/>
      <c r="E3199" s="7"/>
      <c r="F3199" s="7"/>
      <c r="G3199" s="7"/>
      <c r="H3199" s="8"/>
      <c r="I3199" s="8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hidden="1">
      <c r="A3200" s="7"/>
      <c r="B3200" s="7"/>
      <c r="C3200" s="7"/>
      <c r="D3200" s="7"/>
      <c r="E3200" s="7"/>
      <c r="F3200" s="7"/>
      <c r="G3200" s="7"/>
      <c r="H3200" s="8"/>
      <c r="I3200" s="8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 hidden="1">
      <c r="A3201" s="7"/>
      <c r="B3201" s="7"/>
      <c r="C3201" s="7"/>
      <c r="D3201" s="7"/>
      <c r="E3201" s="7"/>
      <c r="F3201" s="7"/>
      <c r="G3201" s="7"/>
      <c r="H3201" s="8"/>
      <c r="I3201" s="8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hidden="1">
      <c r="A3202" s="7"/>
      <c r="B3202" s="7"/>
      <c r="C3202" s="7"/>
      <c r="D3202" s="7"/>
      <c r="E3202" s="7"/>
      <c r="F3202" s="7"/>
      <c r="G3202" s="7"/>
      <c r="H3202" s="8"/>
      <c r="I3202" s="8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hidden="1">
      <c r="A3203" s="7"/>
      <c r="B3203" s="7"/>
      <c r="C3203" s="7"/>
      <c r="D3203" s="7"/>
      <c r="E3203" s="7"/>
      <c r="F3203" s="7"/>
      <c r="G3203" s="7"/>
      <c r="H3203" s="8"/>
      <c r="I3203" s="8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hidden="1">
      <c r="A3204" s="7"/>
      <c r="B3204" s="7"/>
      <c r="C3204" s="7"/>
      <c r="D3204" s="7"/>
      <c r="E3204" s="7"/>
      <c r="F3204" s="7"/>
      <c r="G3204" s="7"/>
      <c r="H3204" s="8"/>
      <c r="I3204" s="8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hidden="1">
      <c r="A3205" s="7"/>
      <c r="B3205" s="7"/>
      <c r="C3205" s="7"/>
      <c r="D3205" s="7"/>
      <c r="E3205" s="7"/>
      <c r="F3205" s="7"/>
      <c r="G3205" s="7"/>
      <c r="H3205" s="8"/>
      <c r="I3205" s="8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hidden="1">
      <c r="A3206" s="7"/>
      <c r="B3206" s="7"/>
      <c r="C3206" s="7"/>
      <c r="D3206" s="7"/>
      <c r="E3206" s="7"/>
      <c r="F3206" s="7"/>
      <c r="G3206" s="7"/>
      <c r="H3206" s="8"/>
      <c r="I3206" s="8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 hidden="1">
      <c r="A3207" s="7"/>
      <c r="B3207" s="7"/>
      <c r="C3207" s="7"/>
      <c r="D3207" s="7"/>
      <c r="E3207" s="7"/>
      <c r="F3207" s="7"/>
      <c r="G3207" s="7"/>
      <c r="H3207" s="8"/>
      <c r="I3207" s="8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hidden="1">
      <c r="A3208" s="7"/>
      <c r="B3208" s="7"/>
      <c r="C3208" s="7"/>
      <c r="D3208" s="7"/>
      <c r="E3208" s="7"/>
      <c r="F3208" s="7"/>
      <c r="G3208" s="7"/>
      <c r="H3208" s="8"/>
      <c r="I3208" s="8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hidden="1">
      <c r="A3209" s="7"/>
      <c r="B3209" s="7"/>
      <c r="C3209" s="7"/>
      <c r="D3209" s="7"/>
      <c r="E3209" s="7"/>
      <c r="F3209" s="7"/>
      <c r="G3209" s="7"/>
      <c r="H3209" s="8"/>
      <c r="I3209" s="8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 hidden="1">
      <c r="A3210" s="7"/>
      <c r="B3210" s="7"/>
      <c r="C3210" s="7"/>
      <c r="D3210" s="7"/>
      <c r="E3210" s="7"/>
      <c r="F3210" s="7"/>
      <c r="G3210" s="7"/>
      <c r="H3210" s="8"/>
      <c r="I3210" s="8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 hidden="1">
      <c r="A3211" s="7"/>
      <c r="B3211" s="7"/>
      <c r="C3211" s="7"/>
      <c r="D3211" s="7"/>
      <c r="E3211" s="7"/>
      <c r="F3211" s="7"/>
      <c r="G3211" s="7"/>
      <c r="H3211" s="8"/>
      <c r="I3211" s="8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 hidden="1">
      <c r="A3212" s="7"/>
      <c r="B3212" s="7"/>
      <c r="C3212" s="7"/>
      <c r="D3212" s="7"/>
      <c r="E3212" s="7"/>
      <c r="F3212" s="7"/>
      <c r="G3212" s="7"/>
      <c r="H3212" s="8"/>
      <c r="I3212" s="8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hidden="1">
      <c r="A3213" s="7"/>
      <c r="B3213" s="7"/>
      <c r="C3213" s="7"/>
      <c r="D3213" s="7"/>
      <c r="E3213" s="7"/>
      <c r="F3213" s="7"/>
      <c r="G3213" s="7"/>
      <c r="H3213" s="8"/>
      <c r="I3213" s="8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hidden="1">
      <c r="A3214" s="7"/>
      <c r="B3214" s="7"/>
      <c r="C3214" s="7"/>
      <c r="D3214" s="7"/>
      <c r="E3214" s="7"/>
      <c r="F3214" s="7"/>
      <c r="G3214" s="7"/>
      <c r="H3214" s="8"/>
      <c r="I3214" s="8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hidden="1">
      <c r="A3215" s="7"/>
      <c r="B3215" s="7"/>
      <c r="C3215" s="7"/>
      <c r="D3215" s="7"/>
      <c r="E3215" s="7"/>
      <c r="F3215" s="7"/>
      <c r="G3215" s="7"/>
      <c r="H3215" s="8"/>
      <c r="I3215" s="8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 hidden="1">
      <c r="A3216" s="7"/>
      <c r="B3216" s="7"/>
      <c r="C3216" s="7"/>
      <c r="D3216" s="7"/>
      <c r="E3216" s="7"/>
      <c r="F3216" s="7"/>
      <c r="G3216" s="7"/>
      <c r="H3216" s="8"/>
      <c r="I3216" s="8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hidden="1">
      <c r="A3217" s="7"/>
      <c r="B3217" s="7"/>
      <c r="C3217" s="7"/>
      <c r="D3217" s="7"/>
      <c r="E3217" s="7"/>
      <c r="F3217" s="7"/>
      <c r="G3217" s="7"/>
      <c r="H3217" s="8"/>
      <c r="I3217" s="8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 hidden="1">
      <c r="A3218" s="7"/>
      <c r="B3218" s="7"/>
      <c r="C3218" s="7"/>
      <c r="D3218" s="7"/>
      <c r="E3218" s="7"/>
      <c r="F3218" s="7"/>
      <c r="G3218" s="7"/>
      <c r="H3218" s="8"/>
      <c r="I3218" s="8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 hidden="1">
      <c r="A3219" s="7"/>
      <c r="B3219" s="7"/>
      <c r="C3219" s="7"/>
      <c r="D3219" s="7"/>
      <c r="E3219" s="7"/>
      <c r="F3219" s="7"/>
      <c r="G3219" s="7"/>
      <c r="H3219" s="8"/>
      <c r="I3219" s="8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 hidden="1">
      <c r="A3220" s="7"/>
      <c r="B3220" s="7"/>
      <c r="C3220" s="7"/>
      <c r="D3220" s="7"/>
      <c r="E3220" s="7"/>
      <c r="F3220" s="7"/>
      <c r="G3220" s="7"/>
      <c r="H3220" s="8"/>
      <c r="I3220" s="8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hidden="1">
      <c r="A3221" s="7"/>
      <c r="B3221" s="7"/>
      <c r="C3221" s="7"/>
      <c r="D3221" s="7"/>
      <c r="E3221" s="7"/>
      <c r="F3221" s="7"/>
      <c r="G3221" s="7"/>
      <c r="H3221" s="8"/>
      <c r="I3221" s="8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hidden="1">
      <c r="A3222" s="7"/>
      <c r="B3222" s="7"/>
      <c r="C3222" s="7"/>
      <c r="D3222" s="7"/>
      <c r="E3222" s="7"/>
      <c r="F3222" s="7"/>
      <c r="G3222" s="7"/>
      <c r="H3222" s="8"/>
      <c r="I3222" s="8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hidden="1">
      <c r="A3223" s="7"/>
      <c r="B3223" s="7"/>
      <c r="C3223" s="7"/>
      <c r="D3223" s="7"/>
      <c r="E3223" s="7"/>
      <c r="F3223" s="7"/>
      <c r="G3223" s="7"/>
      <c r="H3223" s="8"/>
      <c r="I3223" s="8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hidden="1">
      <c r="A3224" s="7"/>
      <c r="B3224" s="7"/>
      <c r="C3224" s="7"/>
      <c r="D3224" s="7"/>
      <c r="E3224" s="7"/>
      <c r="F3224" s="7"/>
      <c r="G3224" s="7"/>
      <c r="H3224" s="8"/>
      <c r="I3224" s="8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hidden="1">
      <c r="A3225" s="7"/>
      <c r="B3225" s="7"/>
      <c r="C3225" s="7"/>
      <c r="D3225" s="7"/>
      <c r="E3225" s="7"/>
      <c r="F3225" s="7"/>
      <c r="G3225" s="7"/>
      <c r="H3225" s="8"/>
      <c r="I3225" s="8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 hidden="1">
      <c r="A3226" s="7"/>
      <c r="B3226" s="7"/>
      <c r="C3226" s="7"/>
      <c r="D3226" s="7"/>
      <c r="E3226" s="7"/>
      <c r="F3226" s="7"/>
      <c r="G3226" s="7"/>
      <c r="H3226" s="8"/>
      <c r="I3226" s="8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hidden="1">
      <c r="A3227" s="7"/>
      <c r="B3227" s="7"/>
      <c r="C3227" s="7"/>
      <c r="D3227" s="7"/>
      <c r="E3227" s="7"/>
      <c r="F3227" s="7"/>
      <c r="G3227" s="7"/>
      <c r="H3227" s="8"/>
      <c r="I3227" s="8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hidden="1">
      <c r="A3228" s="7"/>
      <c r="B3228" s="7"/>
      <c r="C3228" s="7"/>
      <c r="D3228" s="7"/>
      <c r="E3228" s="7"/>
      <c r="F3228" s="7"/>
      <c r="G3228" s="7"/>
      <c r="H3228" s="8"/>
      <c r="I3228" s="8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hidden="1">
      <c r="A3229" s="7"/>
      <c r="B3229" s="7"/>
      <c r="C3229" s="7"/>
      <c r="D3229" s="7"/>
      <c r="E3229" s="7"/>
      <c r="F3229" s="7"/>
      <c r="G3229" s="7"/>
      <c r="H3229" s="8"/>
      <c r="I3229" s="8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hidden="1">
      <c r="A3230" s="7"/>
      <c r="B3230" s="7"/>
      <c r="C3230" s="7"/>
      <c r="D3230" s="7"/>
      <c r="E3230" s="7"/>
      <c r="F3230" s="7"/>
      <c r="G3230" s="7"/>
      <c r="H3230" s="8"/>
      <c r="I3230" s="8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hidden="1">
      <c r="A3231" s="7"/>
      <c r="B3231" s="7"/>
      <c r="C3231" s="7"/>
      <c r="D3231" s="7"/>
      <c r="E3231" s="7"/>
      <c r="F3231" s="7"/>
      <c r="G3231" s="7"/>
      <c r="H3231" s="8"/>
      <c r="I3231" s="8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hidden="1">
      <c r="A3232" s="7"/>
      <c r="B3232" s="7"/>
      <c r="C3232" s="7"/>
      <c r="D3232" s="7"/>
      <c r="E3232" s="7"/>
      <c r="F3232" s="7"/>
      <c r="G3232" s="7"/>
      <c r="H3232" s="8"/>
      <c r="I3232" s="8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 hidden="1">
      <c r="A3233" s="7"/>
      <c r="B3233" s="7"/>
      <c r="C3233" s="7"/>
      <c r="D3233" s="7"/>
      <c r="E3233" s="7"/>
      <c r="F3233" s="7"/>
      <c r="G3233" s="7"/>
      <c r="H3233" s="8"/>
      <c r="I3233" s="8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 hidden="1">
      <c r="A3234" s="7"/>
      <c r="B3234" s="7"/>
      <c r="C3234" s="7"/>
      <c r="D3234" s="7"/>
      <c r="E3234" s="7"/>
      <c r="F3234" s="7"/>
      <c r="G3234" s="7"/>
      <c r="H3234" s="8"/>
      <c r="I3234" s="8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 hidden="1">
      <c r="A3235" s="7"/>
      <c r="B3235" s="7"/>
      <c r="C3235" s="7"/>
      <c r="D3235" s="7"/>
      <c r="E3235" s="7"/>
      <c r="F3235" s="7"/>
      <c r="G3235" s="7"/>
      <c r="H3235" s="8"/>
      <c r="I3235" s="8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hidden="1">
      <c r="A3236" s="7"/>
      <c r="B3236" s="7"/>
      <c r="C3236" s="7"/>
      <c r="D3236" s="7"/>
      <c r="E3236" s="7"/>
      <c r="F3236" s="7"/>
      <c r="G3236" s="7"/>
      <c r="H3236" s="8"/>
      <c r="I3236" s="8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hidden="1">
      <c r="A3237" s="7"/>
      <c r="B3237" s="7"/>
      <c r="C3237" s="7"/>
      <c r="D3237" s="7"/>
      <c r="E3237" s="7"/>
      <c r="F3237" s="7"/>
      <c r="G3237" s="7"/>
      <c r="H3237" s="8"/>
      <c r="I3237" s="8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 hidden="1">
      <c r="A3238" s="7"/>
      <c r="B3238" s="7"/>
      <c r="C3238" s="7"/>
      <c r="D3238" s="7"/>
      <c r="E3238" s="7"/>
      <c r="F3238" s="7"/>
      <c r="G3238" s="7"/>
      <c r="H3238" s="8"/>
      <c r="I3238" s="8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 hidden="1">
      <c r="A3239" s="7"/>
      <c r="B3239" s="7"/>
      <c r="C3239" s="7"/>
      <c r="D3239" s="7"/>
      <c r="E3239" s="7"/>
      <c r="F3239" s="7"/>
      <c r="G3239" s="7"/>
      <c r="H3239" s="8"/>
      <c r="I3239" s="8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hidden="1">
      <c r="A3240" s="7"/>
      <c r="B3240" s="7"/>
      <c r="C3240" s="7"/>
      <c r="D3240" s="7"/>
      <c r="E3240" s="7"/>
      <c r="F3240" s="7"/>
      <c r="G3240" s="7"/>
      <c r="H3240" s="8"/>
      <c r="I3240" s="8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hidden="1">
      <c r="A3241" s="7"/>
      <c r="B3241" s="7"/>
      <c r="C3241" s="7"/>
      <c r="D3241" s="7"/>
      <c r="E3241" s="7"/>
      <c r="F3241" s="7"/>
      <c r="G3241" s="7"/>
      <c r="H3241" s="8"/>
      <c r="I3241" s="8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hidden="1">
      <c r="A3242" s="7"/>
      <c r="B3242" s="7"/>
      <c r="C3242" s="7"/>
      <c r="D3242" s="7"/>
      <c r="E3242" s="7"/>
      <c r="F3242" s="7"/>
      <c r="G3242" s="7"/>
      <c r="H3242" s="8"/>
      <c r="I3242" s="8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hidden="1">
      <c r="A3243" s="7"/>
      <c r="B3243" s="7"/>
      <c r="C3243" s="7"/>
      <c r="D3243" s="7"/>
      <c r="E3243" s="7"/>
      <c r="F3243" s="7"/>
      <c r="G3243" s="7"/>
      <c r="H3243" s="8"/>
      <c r="I3243" s="8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 hidden="1">
      <c r="A3244" s="7"/>
      <c r="B3244" s="7"/>
      <c r="C3244" s="7"/>
      <c r="D3244" s="7"/>
      <c r="E3244" s="7"/>
      <c r="F3244" s="7"/>
      <c r="G3244" s="7"/>
      <c r="H3244" s="8"/>
      <c r="I3244" s="8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hidden="1">
      <c r="A3245" s="7"/>
      <c r="B3245" s="7"/>
      <c r="C3245" s="7"/>
      <c r="D3245" s="7"/>
      <c r="E3245" s="7"/>
      <c r="F3245" s="7"/>
      <c r="G3245" s="7"/>
      <c r="H3245" s="8"/>
      <c r="I3245" s="8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hidden="1">
      <c r="A3246" s="7"/>
      <c r="B3246" s="7"/>
      <c r="C3246" s="7"/>
      <c r="D3246" s="7"/>
      <c r="E3246" s="7"/>
      <c r="F3246" s="7"/>
      <c r="G3246" s="7"/>
      <c r="H3246" s="8"/>
      <c r="I3246" s="8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hidden="1">
      <c r="A3247" s="7"/>
      <c r="B3247" s="7"/>
      <c r="C3247" s="7"/>
      <c r="D3247" s="7"/>
      <c r="E3247" s="7"/>
      <c r="F3247" s="7"/>
      <c r="G3247" s="7"/>
      <c r="H3247" s="8"/>
      <c r="I3247" s="8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hidden="1">
      <c r="A3248" s="7"/>
      <c r="B3248" s="7"/>
      <c r="C3248" s="7"/>
      <c r="D3248" s="7"/>
      <c r="E3248" s="7"/>
      <c r="F3248" s="7"/>
      <c r="G3248" s="7"/>
      <c r="H3248" s="8"/>
      <c r="I3248" s="8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hidden="1">
      <c r="A3249" s="7"/>
      <c r="B3249" s="7"/>
      <c r="C3249" s="7"/>
      <c r="D3249" s="7"/>
      <c r="E3249" s="7"/>
      <c r="F3249" s="7"/>
      <c r="G3249" s="7"/>
      <c r="H3249" s="8"/>
      <c r="I3249" s="8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hidden="1">
      <c r="A3250" s="7"/>
      <c r="B3250" s="7"/>
      <c r="C3250" s="7"/>
      <c r="D3250" s="7"/>
      <c r="E3250" s="7"/>
      <c r="F3250" s="7"/>
      <c r="G3250" s="7"/>
      <c r="H3250" s="8"/>
      <c r="I3250" s="8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hidden="1">
      <c r="A3251" s="7"/>
      <c r="B3251" s="7"/>
      <c r="C3251" s="7"/>
      <c r="D3251" s="7"/>
      <c r="E3251" s="7"/>
      <c r="F3251" s="7"/>
      <c r="G3251" s="7"/>
      <c r="H3251" s="8"/>
      <c r="I3251" s="8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hidden="1">
      <c r="A3252" s="7"/>
      <c r="B3252" s="7"/>
      <c r="C3252" s="7"/>
      <c r="D3252" s="7"/>
      <c r="E3252" s="7"/>
      <c r="F3252" s="7"/>
      <c r="G3252" s="7"/>
      <c r="H3252" s="8"/>
      <c r="I3252" s="8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hidden="1">
      <c r="A3253" s="7"/>
      <c r="B3253" s="7"/>
      <c r="C3253" s="7"/>
      <c r="D3253" s="7"/>
      <c r="E3253" s="7"/>
      <c r="F3253" s="7"/>
      <c r="G3253" s="7"/>
      <c r="H3253" s="8"/>
      <c r="I3253" s="8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hidden="1">
      <c r="A3254" s="7"/>
      <c r="B3254" s="7"/>
      <c r="C3254" s="7"/>
      <c r="D3254" s="7"/>
      <c r="E3254" s="7"/>
      <c r="F3254" s="7"/>
      <c r="G3254" s="7"/>
      <c r="H3254" s="8"/>
      <c r="I3254" s="8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hidden="1">
      <c r="A3255" s="7"/>
      <c r="B3255" s="7"/>
      <c r="C3255" s="7"/>
      <c r="D3255" s="7"/>
      <c r="E3255" s="7"/>
      <c r="F3255" s="7"/>
      <c r="G3255" s="7"/>
      <c r="H3255" s="8"/>
      <c r="I3255" s="8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hidden="1">
      <c r="A3256" s="7"/>
      <c r="B3256" s="7"/>
      <c r="C3256" s="7"/>
      <c r="D3256" s="7"/>
      <c r="E3256" s="7"/>
      <c r="F3256" s="7"/>
      <c r="G3256" s="7"/>
      <c r="H3256" s="8"/>
      <c r="I3256" s="8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 hidden="1">
      <c r="A3257" s="7"/>
      <c r="B3257" s="7"/>
      <c r="C3257" s="7"/>
      <c r="D3257" s="7"/>
      <c r="E3257" s="7"/>
      <c r="F3257" s="7"/>
      <c r="G3257" s="7"/>
      <c r="H3257" s="8"/>
      <c r="I3257" s="8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hidden="1">
      <c r="A3258" s="7"/>
      <c r="B3258" s="7"/>
      <c r="C3258" s="7"/>
      <c r="D3258" s="7"/>
      <c r="E3258" s="7"/>
      <c r="F3258" s="7"/>
      <c r="G3258" s="7"/>
      <c r="H3258" s="8"/>
      <c r="I3258" s="8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 hidden="1">
      <c r="A3259" s="7"/>
      <c r="B3259" s="7"/>
      <c r="C3259" s="7"/>
      <c r="D3259" s="7"/>
      <c r="E3259" s="7"/>
      <c r="F3259" s="7"/>
      <c r="G3259" s="7"/>
      <c r="H3259" s="8"/>
      <c r="I3259" s="8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hidden="1">
      <c r="A3260" s="7"/>
      <c r="B3260" s="7"/>
      <c r="C3260" s="7"/>
      <c r="D3260" s="7"/>
      <c r="E3260" s="7"/>
      <c r="F3260" s="7"/>
      <c r="G3260" s="7"/>
      <c r="H3260" s="8"/>
      <c r="I3260" s="8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 hidden="1">
      <c r="A3261" s="7"/>
      <c r="B3261" s="7"/>
      <c r="C3261" s="7"/>
      <c r="D3261" s="7"/>
      <c r="E3261" s="7"/>
      <c r="F3261" s="7"/>
      <c r="G3261" s="7"/>
      <c r="H3261" s="8"/>
      <c r="I3261" s="8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 hidden="1">
      <c r="A3262" s="7"/>
      <c r="B3262" s="7"/>
      <c r="C3262" s="7"/>
      <c r="D3262" s="7"/>
      <c r="E3262" s="7"/>
      <c r="F3262" s="7"/>
      <c r="G3262" s="7"/>
      <c r="H3262" s="8"/>
      <c r="I3262" s="8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hidden="1">
      <c r="A3263" s="7"/>
      <c r="B3263" s="7"/>
      <c r="C3263" s="7"/>
      <c r="D3263" s="7"/>
      <c r="E3263" s="7"/>
      <c r="F3263" s="7"/>
      <c r="G3263" s="7"/>
      <c r="H3263" s="8"/>
      <c r="I3263" s="8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hidden="1">
      <c r="A3264" s="7"/>
      <c r="B3264" s="7"/>
      <c r="C3264" s="7"/>
      <c r="D3264" s="7"/>
      <c r="E3264" s="7"/>
      <c r="F3264" s="7"/>
      <c r="G3264" s="7"/>
      <c r="H3264" s="8"/>
      <c r="I3264" s="8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hidden="1">
      <c r="A3265" s="7"/>
      <c r="B3265" s="7"/>
      <c r="C3265" s="7"/>
      <c r="D3265" s="7"/>
      <c r="E3265" s="7"/>
      <c r="F3265" s="7"/>
      <c r="G3265" s="7"/>
      <c r="H3265" s="8"/>
      <c r="I3265" s="8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hidden="1">
      <c r="A3266" s="7"/>
      <c r="B3266" s="7"/>
      <c r="C3266" s="7"/>
      <c r="D3266" s="7"/>
      <c r="E3266" s="7"/>
      <c r="F3266" s="7"/>
      <c r="G3266" s="7"/>
      <c r="H3266" s="8"/>
      <c r="I3266" s="8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 hidden="1">
      <c r="A3267" s="7"/>
      <c r="B3267" s="7"/>
      <c r="C3267" s="7"/>
      <c r="D3267" s="7"/>
      <c r="E3267" s="7"/>
      <c r="F3267" s="7"/>
      <c r="G3267" s="7"/>
      <c r="H3267" s="8"/>
      <c r="I3267" s="8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hidden="1">
      <c r="A3268" s="7"/>
      <c r="B3268" s="7"/>
      <c r="C3268" s="7"/>
      <c r="D3268" s="7"/>
      <c r="E3268" s="7"/>
      <c r="F3268" s="7"/>
      <c r="G3268" s="7"/>
      <c r="H3268" s="8"/>
      <c r="I3268" s="8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 hidden="1">
      <c r="A3269" s="7"/>
      <c r="B3269" s="7"/>
      <c r="C3269" s="7"/>
      <c r="D3269" s="7"/>
      <c r="E3269" s="7"/>
      <c r="F3269" s="7"/>
      <c r="G3269" s="7"/>
      <c r="H3269" s="8"/>
      <c r="I3269" s="8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 hidden="1">
      <c r="A3270" s="7"/>
      <c r="B3270" s="7"/>
      <c r="C3270" s="7"/>
      <c r="D3270" s="7"/>
      <c r="E3270" s="7"/>
      <c r="F3270" s="7"/>
      <c r="G3270" s="7"/>
      <c r="H3270" s="8"/>
      <c r="I3270" s="8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hidden="1">
      <c r="A3271" s="7"/>
      <c r="B3271" s="7"/>
      <c r="C3271" s="7"/>
      <c r="D3271" s="7"/>
      <c r="E3271" s="7"/>
      <c r="F3271" s="7"/>
      <c r="G3271" s="7"/>
      <c r="H3271" s="8"/>
      <c r="I3271" s="8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hidden="1">
      <c r="A3272" s="7"/>
      <c r="B3272" s="7"/>
      <c r="C3272" s="7"/>
      <c r="D3272" s="7"/>
      <c r="E3272" s="7"/>
      <c r="F3272" s="7"/>
      <c r="G3272" s="7"/>
      <c r="H3272" s="8"/>
      <c r="I3272" s="8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 hidden="1">
      <c r="A3273" s="7"/>
      <c r="B3273" s="7"/>
      <c r="C3273" s="7"/>
      <c r="D3273" s="7"/>
      <c r="E3273" s="7"/>
      <c r="F3273" s="7"/>
      <c r="G3273" s="7"/>
      <c r="H3273" s="8"/>
      <c r="I3273" s="8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hidden="1">
      <c r="A3274" s="7"/>
      <c r="B3274" s="7"/>
      <c r="C3274" s="7"/>
      <c r="D3274" s="7"/>
      <c r="E3274" s="7"/>
      <c r="F3274" s="7"/>
      <c r="G3274" s="7"/>
      <c r="H3274" s="8"/>
      <c r="I3274" s="8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hidden="1">
      <c r="A3275" s="7"/>
      <c r="B3275" s="7"/>
      <c r="C3275" s="7"/>
      <c r="D3275" s="7"/>
      <c r="E3275" s="7"/>
      <c r="F3275" s="7"/>
      <c r="G3275" s="7"/>
      <c r="H3275" s="8"/>
      <c r="I3275" s="8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hidden="1">
      <c r="A3276" s="7"/>
      <c r="B3276" s="7"/>
      <c r="C3276" s="7"/>
      <c r="D3276" s="7"/>
      <c r="E3276" s="7"/>
      <c r="F3276" s="7"/>
      <c r="G3276" s="7"/>
      <c r="H3276" s="8"/>
      <c r="I3276" s="8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 hidden="1">
      <c r="A3277" s="7"/>
      <c r="B3277" s="7"/>
      <c r="C3277" s="7"/>
      <c r="D3277" s="7"/>
      <c r="E3277" s="7"/>
      <c r="F3277" s="7"/>
      <c r="G3277" s="7"/>
      <c r="H3277" s="8"/>
      <c r="I3277" s="8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hidden="1">
      <c r="A3278" s="7"/>
      <c r="B3278" s="7"/>
      <c r="C3278" s="7"/>
      <c r="D3278" s="7"/>
      <c r="E3278" s="7"/>
      <c r="F3278" s="7"/>
      <c r="G3278" s="7"/>
      <c r="H3278" s="8"/>
      <c r="I3278" s="8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hidden="1">
      <c r="A3279" s="7"/>
      <c r="B3279" s="7"/>
      <c r="C3279" s="7"/>
      <c r="D3279" s="7"/>
      <c r="E3279" s="7"/>
      <c r="F3279" s="7"/>
      <c r="G3279" s="7"/>
      <c r="H3279" s="8"/>
      <c r="I3279" s="8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 hidden="1">
      <c r="A3280" s="7"/>
      <c r="B3280" s="7"/>
      <c r="C3280" s="7"/>
      <c r="D3280" s="7"/>
      <c r="E3280" s="7"/>
      <c r="F3280" s="7"/>
      <c r="G3280" s="7"/>
      <c r="H3280" s="8"/>
      <c r="I3280" s="8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hidden="1">
      <c r="A3281" s="7"/>
      <c r="B3281" s="7"/>
      <c r="C3281" s="7"/>
      <c r="D3281" s="7"/>
      <c r="E3281" s="7"/>
      <c r="F3281" s="7"/>
      <c r="G3281" s="7"/>
      <c r="H3281" s="8"/>
      <c r="I3281" s="8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hidden="1">
      <c r="A3282" s="7"/>
      <c r="B3282" s="7"/>
      <c r="C3282" s="7"/>
      <c r="D3282" s="7"/>
      <c r="E3282" s="7"/>
      <c r="F3282" s="7"/>
      <c r="G3282" s="7"/>
      <c r="H3282" s="8"/>
      <c r="I3282" s="8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hidden="1">
      <c r="A3283" s="7"/>
      <c r="B3283" s="7"/>
      <c r="C3283" s="7"/>
      <c r="D3283" s="7"/>
      <c r="E3283" s="7"/>
      <c r="F3283" s="7"/>
      <c r="G3283" s="7"/>
      <c r="H3283" s="8"/>
      <c r="I3283" s="8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 hidden="1">
      <c r="A3284" s="7"/>
      <c r="B3284" s="7"/>
      <c r="C3284" s="7"/>
      <c r="D3284" s="7"/>
      <c r="E3284" s="7"/>
      <c r="F3284" s="7"/>
      <c r="G3284" s="7"/>
      <c r="H3284" s="8"/>
      <c r="I3284" s="8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 hidden="1">
      <c r="A3285" s="7"/>
      <c r="B3285" s="7"/>
      <c r="C3285" s="7"/>
      <c r="D3285" s="7"/>
      <c r="E3285" s="7"/>
      <c r="F3285" s="7"/>
      <c r="G3285" s="7"/>
      <c r="H3285" s="8"/>
      <c r="I3285" s="8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hidden="1">
      <c r="A3286" s="7"/>
      <c r="B3286" s="7"/>
      <c r="C3286" s="7"/>
      <c r="D3286" s="7"/>
      <c r="E3286" s="7"/>
      <c r="F3286" s="7"/>
      <c r="G3286" s="7"/>
      <c r="H3286" s="8"/>
      <c r="I3286" s="8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hidden="1">
      <c r="A3287" s="7"/>
      <c r="B3287" s="7"/>
      <c r="C3287" s="7"/>
      <c r="D3287" s="7"/>
      <c r="E3287" s="7"/>
      <c r="F3287" s="7"/>
      <c r="G3287" s="7"/>
      <c r="H3287" s="8"/>
      <c r="I3287" s="8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hidden="1">
      <c r="A3288" s="7"/>
      <c r="B3288" s="7"/>
      <c r="C3288" s="7"/>
      <c r="D3288" s="7"/>
      <c r="E3288" s="7"/>
      <c r="F3288" s="7"/>
      <c r="G3288" s="7"/>
      <c r="H3288" s="8"/>
      <c r="I3288" s="8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hidden="1">
      <c r="A3289" s="7"/>
      <c r="B3289" s="7"/>
      <c r="C3289" s="7"/>
      <c r="D3289" s="7"/>
      <c r="E3289" s="7"/>
      <c r="F3289" s="7"/>
      <c r="G3289" s="7"/>
      <c r="H3289" s="8"/>
      <c r="I3289" s="8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hidden="1">
      <c r="A3290" s="7"/>
      <c r="B3290" s="7"/>
      <c r="C3290" s="7"/>
      <c r="D3290" s="7"/>
      <c r="E3290" s="7"/>
      <c r="F3290" s="7"/>
      <c r="G3290" s="7"/>
      <c r="H3290" s="8"/>
      <c r="I3290" s="8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hidden="1">
      <c r="A3291" s="7"/>
      <c r="B3291" s="7"/>
      <c r="C3291" s="7"/>
      <c r="D3291" s="7"/>
      <c r="E3291" s="7"/>
      <c r="F3291" s="7"/>
      <c r="G3291" s="7"/>
      <c r="H3291" s="8"/>
      <c r="I3291" s="8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hidden="1">
      <c r="A3292" s="7"/>
      <c r="B3292" s="7"/>
      <c r="C3292" s="7"/>
      <c r="D3292" s="7"/>
      <c r="E3292" s="7"/>
      <c r="F3292" s="7"/>
      <c r="G3292" s="7"/>
      <c r="H3292" s="8"/>
      <c r="I3292" s="8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hidden="1">
      <c r="A3293" s="7"/>
      <c r="B3293" s="7"/>
      <c r="C3293" s="7"/>
      <c r="D3293" s="7"/>
      <c r="E3293" s="7"/>
      <c r="F3293" s="7"/>
      <c r="G3293" s="7"/>
      <c r="H3293" s="8"/>
      <c r="I3293" s="8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 hidden="1">
      <c r="A3294" s="7"/>
      <c r="B3294" s="7"/>
      <c r="C3294" s="7"/>
      <c r="D3294" s="7"/>
      <c r="E3294" s="7"/>
      <c r="F3294" s="7"/>
      <c r="G3294" s="7"/>
      <c r="H3294" s="8"/>
      <c r="I3294" s="8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hidden="1">
      <c r="A3295" s="7"/>
      <c r="B3295" s="7"/>
      <c r="C3295" s="7"/>
      <c r="D3295" s="7"/>
      <c r="E3295" s="7"/>
      <c r="F3295" s="7"/>
      <c r="G3295" s="7"/>
      <c r="H3295" s="8"/>
      <c r="I3295" s="8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 hidden="1">
      <c r="A3296" s="7"/>
      <c r="B3296" s="7"/>
      <c r="C3296" s="7"/>
      <c r="D3296" s="7"/>
      <c r="E3296" s="7"/>
      <c r="F3296" s="7"/>
      <c r="G3296" s="7"/>
      <c r="H3296" s="8"/>
      <c r="I3296" s="8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hidden="1">
      <c r="A3297" s="7"/>
      <c r="B3297" s="7"/>
      <c r="C3297" s="7"/>
      <c r="D3297" s="7"/>
      <c r="E3297" s="7"/>
      <c r="F3297" s="7"/>
      <c r="G3297" s="7"/>
      <c r="H3297" s="8"/>
      <c r="I3297" s="8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 hidden="1">
      <c r="A3298" s="7"/>
      <c r="B3298" s="7"/>
      <c r="C3298" s="7"/>
      <c r="D3298" s="7"/>
      <c r="E3298" s="7"/>
      <c r="F3298" s="7"/>
      <c r="G3298" s="7"/>
      <c r="H3298" s="8"/>
      <c r="I3298" s="8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hidden="1">
      <c r="A3299" s="7"/>
      <c r="B3299" s="7"/>
      <c r="C3299" s="7"/>
      <c r="D3299" s="7"/>
      <c r="E3299" s="7"/>
      <c r="F3299" s="7"/>
      <c r="G3299" s="7"/>
      <c r="H3299" s="8"/>
      <c r="I3299" s="8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hidden="1">
      <c r="A3300" s="7"/>
      <c r="B3300" s="7"/>
      <c r="C3300" s="7"/>
      <c r="D3300" s="7"/>
      <c r="E3300" s="7"/>
      <c r="F3300" s="7"/>
      <c r="G3300" s="7"/>
      <c r="H3300" s="8"/>
      <c r="I3300" s="8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hidden="1">
      <c r="A3301" s="7"/>
      <c r="B3301" s="7"/>
      <c r="C3301" s="7"/>
      <c r="D3301" s="7"/>
      <c r="E3301" s="7"/>
      <c r="F3301" s="7"/>
      <c r="G3301" s="7"/>
      <c r="H3301" s="8"/>
      <c r="I3301" s="8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hidden="1">
      <c r="A3302" s="7"/>
      <c r="B3302" s="7"/>
      <c r="C3302" s="7"/>
      <c r="D3302" s="7"/>
      <c r="E3302" s="7"/>
      <c r="F3302" s="7"/>
      <c r="G3302" s="7"/>
      <c r="H3302" s="8"/>
      <c r="I3302" s="8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hidden="1">
      <c r="A3303" s="7"/>
      <c r="B3303" s="7"/>
      <c r="C3303" s="7"/>
      <c r="D3303" s="7"/>
      <c r="E3303" s="7"/>
      <c r="F3303" s="7"/>
      <c r="G3303" s="7"/>
      <c r="H3303" s="8"/>
      <c r="I3303" s="8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hidden="1">
      <c r="A3304" s="7"/>
      <c r="B3304" s="7"/>
      <c r="C3304" s="7"/>
      <c r="D3304" s="7"/>
      <c r="E3304" s="7"/>
      <c r="F3304" s="7"/>
      <c r="G3304" s="7"/>
      <c r="H3304" s="8"/>
      <c r="I3304" s="8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hidden="1">
      <c r="A3305" s="7"/>
      <c r="B3305" s="7"/>
      <c r="C3305" s="7"/>
      <c r="D3305" s="7"/>
      <c r="E3305" s="7"/>
      <c r="F3305" s="7"/>
      <c r="G3305" s="7"/>
      <c r="H3305" s="8"/>
      <c r="I3305" s="8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 hidden="1">
      <c r="A3306" s="7"/>
      <c r="B3306" s="7"/>
      <c r="C3306" s="7"/>
      <c r="D3306" s="7"/>
      <c r="E3306" s="7"/>
      <c r="F3306" s="7"/>
      <c r="G3306" s="7"/>
      <c r="H3306" s="8"/>
      <c r="I3306" s="8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hidden="1">
      <c r="A3307" s="7"/>
      <c r="B3307" s="7"/>
      <c r="C3307" s="7"/>
      <c r="D3307" s="7"/>
      <c r="E3307" s="7"/>
      <c r="F3307" s="7"/>
      <c r="G3307" s="7"/>
      <c r="H3307" s="8"/>
      <c r="I3307" s="8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hidden="1">
      <c r="A3308" s="7"/>
      <c r="B3308" s="7"/>
      <c r="C3308" s="7"/>
      <c r="D3308" s="7"/>
      <c r="E3308" s="7"/>
      <c r="F3308" s="7"/>
      <c r="G3308" s="7"/>
      <c r="H3308" s="8"/>
      <c r="I3308" s="8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 hidden="1">
      <c r="A3309" s="7"/>
      <c r="B3309" s="7"/>
      <c r="C3309" s="7"/>
      <c r="D3309" s="7"/>
      <c r="E3309" s="7"/>
      <c r="F3309" s="7"/>
      <c r="G3309" s="7"/>
      <c r="H3309" s="8"/>
      <c r="I3309" s="8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hidden="1">
      <c r="A3310" s="7"/>
      <c r="B3310" s="7"/>
      <c r="C3310" s="7"/>
      <c r="D3310" s="7"/>
      <c r="E3310" s="7"/>
      <c r="F3310" s="7"/>
      <c r="G3310" s="7"/>
      <c r="H3310" s="8"/>
      <c r="I3310" s="8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 hidden="1">
      <c r="A3311" s="7"/>
      <c r="B3311" s="7"/>
      <c r="C3311" s="7"/>
      <c r="D3311" s="7"/>
      <c r="E3311" s="7"/>
      <c r="F3311" s="7"/>
      <c r="G3311" s="7"/>
      <c r="H3311" s="8"/>
      <c r="I3311" s="8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 hidden="1">
      <c r="A3312" s="7"/>
      <c r="B3312" s="7"/>
      <c r="C3312" s="7"/>
      <c r="D3312" s="7"/>
      <c r="E3312" s="7"/>
      <c r="F3312" s="7"/>
      <c r="G3312" s="7"/>
      <c r="H3312" s="8"/>
      <c r="I3312" s="8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hidden="1">
      <c r="A3313" s="7"/>
      <c r="B3313" s="7"/>
      <c r="C3313" s="7"/>
      <c r="D3313" s="7"/>
      <c r="E3313" s="7"/>
      <c r="F3313" s="7"/>
      <c r="G3313" s="7"/>
      <c r="H3313" s="8"/>
      <c r="I3313" s="8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 hidden="1">
      <c r="A3314" s="7"/>
      <c r="B3314" s="7"/>
      <c r="C3314" s="7"/>
      <c r="D3314" s="7"/>
      <c r="E3314" s="7"/>
      <c r="F3314" s="7"/>
      <c r="G3314" s="7"/>
      <c r="H3314" s="8"/>
      <c r="I3314" s="8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 hidden="1">
      <c r="A3315" s="7"/>
      <c r="B3315" s="7"/>
      <c r="C3315" s="7"/>
      <c r="D3315" s="7"/>
      <c r="E3315" s="7"/>
      <c r="F3315" s="7"/>
      <c r="G3315" s="7"/>
      <c r="H3315" s="8"/>
      <c r="I3315" s="8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hidden="1">
      <c r="A3316" s="7"/>
      <c r="B3316" s="7"/>
      <c r="C3316" s="7"/>
      <c r="D3316" s="7"/>
      <c r="E3316" s="7"/>
      <c r="F3316" s="7"/>
      <c r="G3316" s="7"/>
      <c r="H3316" s="8"/>
      <c r="I3316" s="8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hidden="1">
      <c r="A3317" s="7"/>
      <c r="B3317" s="7"/>
      <c r="C3317" s="7"/>
      <c r="D3317" s="7"/>
      <c r="E3317" s="7"/>
      <c r="F3317" s="7"/>
      <c r="G3317" s="7"/>
      <c r="H3317" s="8"/>
      <c r="I3317" s="8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hidden="1">
      <c r="A3318" s="7"/>
      <c r="B3318" s="7"/>
      <c r="C3318" s="7"/>
      <c r="D3318" s="7"/>
      <c r="E3318" s="7"/>
      <c r="F3318" s="7"/>
      <c r="G3318" s="7"/>
      <c r="H3318" s="8"/>
      <c r="I3318" s="8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 hidden="1">
      <c r="A3319" s="7"/>
      <c r="B3319" s="7"/>
      <c r="C3319" s="7"/>
      <c r="D3319" s="7"/>
      <c r="E3319" s="7"/>
      <c r="F3319" s="7"/>
      <c r="G3319" s="7"/>
      <c r="H3319" s="8"/>
      <c r="I3319" s="8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hidden="1">
      <c r="A3320" s="7"/>
      <c r="B3320" s="7"/>
      <c r="C3320" s="7"/>
      <c r="D3320" s="7"/>
      <c r="E3320" s="7"/>
      <c r="F3320" s="7"/>
      <c r="G3320" s="7"/>
      <c r="H3320" s="8"/>
      <c r="I3320" s="8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hidden="1">
      <c r="A3321" s="7"/>
      <c r="B3321" s="7"/>
      <c r="C3321" s="7"/>
      <c r="D3321" s="7"/>
      <c r="E3321" s="7"/>
      <c r="F3321" s="7"/>
      <c r="G3321" s="7"/>
      <c r="H3321" s="8"/>
      <c r="I3321" s="8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hidden="1">
      <c r="A3322" s="7"/>
      <c r="B3322" s="7"/>
      <c r="C3322" s="7"/>
      <c r="D3322" s="7"/>
      <c r="E3322" s="7"/>
      <c r="F3322" s="7"/>
      <c r="G3322" s="7"/>
      <c r="H3322" s="8"/>
      <c r="I3322" s="8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hidden="1">
      <c r="A3323" s="7"/>
      <c r="B3323" s="7"/>
      <c r="C3323" s="7"/>
      <c r="D3323" s="7"/>
      <c r="E3323" s="7"/>
      <c r="F3323" s="7"/>
      <c r="G3323" s="7"/>
      <c r="H3323" s="8"/>
      <c r="I3323" s="8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hidden="1">
      <c r="A3324" s="7"/>
      <c r="B3324" s="7"/>
      <c r="C3324" s="7"/>
      <c r="D3324" s="7"/>
      <c r="E3324" s="7"/>
      <c r="F3324" s="7"/>
      <c r="G3324" s="7"/>
      <c r="H3324" s="8"/>
      <c r="I3324" s="8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hidden="1">
      <c r="A3325" s="7"/>
      <c r="B3325" s="7"/>
      <c r="C3325" s="7"/>
      <c r="D3325" s="7"/>
      <c r="E3325" s="7"/>
      <c r="F3325" s="7"/>
      <c r="G3325" s="7"/>
      <c r="H3325" s="8"/>
      <c r="I3325" s="8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hidden="1">
      <c r="A3326" s="7"/>
      <c r="B3326" s="7"/>
      <c r="C3326" s="7"/>
      <c r="D3326" s="7"/>
      <c r="E3326" s="7"/>
      <c r="F3326" s="7"/>
      <c r="G3326" s="7"/>
      <c r="H3326" s="8"/>
      <c r="I3326" s="8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hidden="1">
      <c r="A3327" s="7"/>
      <c r="B3327" s="7"/>
      <c r="C3327" s="7"/>
      <c r="D3327" s="7"/>
      <c r="E3327" s="7"/>
      <c r="F3327" s="7"/>
      <c r="G3327" s="7"/>
      <c r="H3327" s="8"/>
      <c r="I3327" s="8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hidden="1">
      <c r="A3328" s="7"/>
      <c r="B3328" s="7"/>
      <c r="C3328" s="7"/>
      <c r="D3328" s="7"/>
      <c r="E3328" s="7"/>
      <c r="F3328" s="7"/>
      <c r="G3328" s="7"/>
      <c r="H3328" s="8"/>
      <c r="I3328" s="8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hidden="1">
      <c r="A3329" s="7"/>
      <c r="B3329" s="7"/>
      <c r="C3329" s="7"/>
      <c r="D3329" s="7"/>
      <c r="E3329" s="7"/>
      <c r="F3329" s="7"/>
      <c r="G3329" s="7"/>
      <c r="H3329" s="8"/>
      <c r="I3329" s="8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hidden="1">
      <c r="A3330" s="7"/>
      <c r="B3330" s="7"/>
      <c r="C3330" s="7"/>
      <c r="D3330" s="7"/>
      <c r="E3330" s="7"/>
      <c r="F3330" s="7"/>
      <c r="G3330" s="7"/>
      <c r="H3330" s="8"/>
      <c r="I3330" s="8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hidden="1">
      <c r="A3331" s="7"/>
      <c r="B3331" s="7"/>
      <c r="C3331" s="7"/>
      <c r="D3331" s="7"/>
      <c r="E3331" s="7"/>
      <c r="F3331" s="7"/>
      <c r="G3331" s="7"/>
      <c r="H3331" s="8"/>
      <c r="I3331" s="8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hidden="1">
      <c r="A3332" s="7"/>
      <c r="B3332" s="7"/>
      <c r="C3332" s="7"/>
      <c r="D3332" s="7"/>
      <c r="E3332" s="7"/>
      <c r="F3332" s="7"/>
      <c r="G3332" s="7"/>
      <c r="H3332" s="8"/>
      <c r="I3332" s="8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 hidden="1">
      <c r="A3333" s="7"/>
      <c r="B3333" s="7"/>
      <c r="C3333" s="7"/>
      <c r="D3333" s="7"/>
      <c r="E3333" s="7"/>
      <c r="F3333" s="7"/>
      <c r="G3333" s="7"/>
      <c r="H3333" s="8"/>
      <c r="I3333" s="8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hidden="1">
      <c r="A3334" s="7"/>
      <c r="B3334" s="7"/>
      <c r="C3334" s="7"/>
      <c r="D3334" s="7"/>
      <c r="E3334" s="7"/>
      <c r="F3334" s="7"/>
      <c r="G3334" s="7"/>
      <c r="H3334" s="8"/>
      <c r="I3334" s="8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hidden="1">
      <c r="A3335" s="7"/>
      <c r="B3335" s="7"/>
      <c r="C3335" s="7"/>
      <c r="D3335" s="7"/>
      <c r="E3335" s="7"/>
      <c r="F3335" s="7"/>
      <c r="G3335" s="7"/>
      <c r="H3335" s="8"/>
      <c r="I3335" s="8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 hidden="1">
      <c r="A3336" s="7"/>
      <c r="B3336" s="7"/>
      <c r="C3336" s="7"/>
      <c r="D3336" s="7"/>
      <c r="E3336" s="7"/>
      <c r="F3336" s="7"/>
      <c r="G3336" s="7"/>
      <c r="H3336" s="8"/>
      <c r="I3336" s="8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 hidden="1">
      <c r="A3337" s="7"/>
      <c r="B3337" s="7"/>
      <c r="C3337" s="7"/>
      <c r="D3337" s="7"/>
      <c r="E3337" s="7"/>
      <c r="F3337" s="7"/>
      <c r="G3337" s="7"/>
      <c r="H3337" s="8"/>
      <c r="I3337" s="8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 hidden="1">
      <c r="A3338" s="7"/>
      <c r="B3338" s="7"/>
      <c r="C3338" s="7"/>
      <c r="D3338" s="7"/>
      <c r="E3338" s="7"/>
      <c r="F3338" s="7"/>
      <c r="G3338" s="7"/>
      <c r="H3338" s="8"/>
      <c r="I3338" s="8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 hidden="1">
      <c r="A3339" s="7"/>
      <c r="B3339" s="7"/>
      <c r="C3339" s="7"/>
      <c r="D3339" s="7"/>
      <c r="E3339" s="7"/>
      <c r="F3339" s="7"/>
      <c r="G3339" s="7"/>
      <c r="H3339" s="8"/>
      <c r="I3339" s="8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 hidden="1">
      <c r="A3340" s="7"/>
      <c r="B3340" s="7"/>
      <c r="C3340" s="7"/>
      <c r="D3340" s="7"/>
      <c r="E3340" s="7"/>
      <c r="F3340" s="7"/>
      <c r="G3340" s="7"/>
      <c r="H3340" s="8"/>
      <c r="I3340" s="8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 hidden="1">
      <c r="A3341" s="7"/>
      <c r="B3341" s="7"/>
      <c r="C3341" s="7"/>
      <c r="D3341" s="7"/>
      <c r="E3341" s="7"/>
      <c r="F3341" s="7"/>
      <c r="G3341" s="7"/>
      <c r="H3341" s="8"/>
      <c r="I3341" s="8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 hidden="1">
      <c r="A3342" s="7"/>
      <c r="B3342" s="7"/>
      <c r="C3342" s="7"/>
      <c r="D3342" s="7"/>
      <c r="E3342" s="7"/>
      <c r="F3342" s="7"/>
      <c r="G3342" s="7"/>
      <c r="H3342" s="8"/>
      <c r="I3342" s="8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 hidden="1">
      <c r="A3343" s="7"/>
      <c r="B3343" s="7"/>
      <c r="C3343" s="7"/>
      <c r="D3343" s="7"/>
      <c r="E3343" s="7"/>
      <c r="F3343" s="7"/>
      <c r="G3343" s="7"/>
      <c r="H3343" s="8"/>
      <c r="I3343" s="8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 hidden="1">
      <c r="A3344" s="7"/>
      <c r="B3344" s="7"/>
      <c r="C3344" s="7"/>
      <c r="D3344" s="7"/>
      <c r="E3344" s="7"/>
      <c r="F3344" s="7"/>
      <c r="G3344" s="7"/>
      <c r="H3344" s="8"/>
      <c r="I3344" s="8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 hidden="1">
      <c r="A3345" s="7"/>
      <c r="B3345" s="7"/>
      <c r="C3345" s="7"/>
      <c r="D3345" s="7"/>
      <c r="E3345" s="7"/>
      <c r="F3345" s="7"/>
      <c r="G3345" s="7"/>
      <c r="H3345" s="8"/>
      <c r="I3345" s="8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 hidden="1">
      <c r="A3346" s="7"/>
      <c r="B3346" s="7"/>
      <c r="C3346" s="7"/>
      <c r="D3346" s="7"/>
      <c r="E3346" s="7"/>
      <c r="F3346" s="7"/>
      <c r="G3346" s="7"/>
      <c r="H3346" s="8"/>
      <c r="I3346" s="8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 hidden="1">
      <c r="A3347" s="7"/>
      <c r="B3347" s="7"/>
      <c r="C3347" s="7"/>
      <c r="D3347" s="7"/>
      <c r="E3347" s="7"/>
      <c r="F3347" s="7"/>
      <c r="G3347" s="7"/>
      <c r="H3347" s="8"/>
      <c r="I3347" s="8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 hidden="1">
      <c r="A3348" s="7"/>
      <c r="B3348" s="7"/>
      <c r="C3348" s="7"/>
      <c r="D3348" s="7"/>
      <c r="E3348" s="7"/>
      <c r="F3348" s="7"/>
      <c r="G3348" s="7"/>
      <c r="H3348" s="8"/>
      <c r="I3348" s="8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 hidden="1">
      <c r="A3349" s="7"/>
      <c r="B3349" s="7"/>
      <c r="C3349" s="7"/>
      <c r="D3349" s="7"/>
      <c r="E3349" s="7"/>
      <c r="F3349" s="7"/>
      <c r="G3349" s="7"/>
      <c r="H3349" s="8"/>
      <c r="I3349" s="8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 hidden="1">
      <c r="A3350" s="7"/>
      <c r="B3350" s="7"/>
      <c r="C3350" s="7"/>
      <c r="D3350" s="7"/>
      <c r="E3350" s="7"/>
      <c r="F3350" s="7"/>
      <c r="G3350" s="7"/>
      <c r="H3350" s="8"/>
      <c r="I3350" s="8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 hidden="1">
      <c r="A3351" s="7"/>
      <c r="B3351" s="7"/>
      <c r="C3351" s="7"/>
      <c r="D3351" s="7"/>
      <c r="E3351" s="7"/>
      <c r="F3351" s="7"/>
      <c r="G3351" s="7"/>
      <c r="H3351" s="8"/>
      <c r="I3351" s="8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 hidden="1">
      <c r="A3352" s="7"/>
      <c r="B3352" s="7"/>
      <c r="C3352" s="7"/>
      <c r="D3352" s="7"/>
      <c r="E3352" s="7"/>
      <c r="F3352" s="7"/>
      <c r="G3352" s="7"/>
      <c r="H3352" s="8"/>
      <c r="I3352" s="8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 hidden="1">
      <c r="A3353" s="7"/>
      <c r="B3353" s="7"/>
      <c r="C3353" s="7"/>
      <c r="D3353" s="7"/>
      <c r="E3353" s="7"/>
      <c r="F3353" s="7"/>
      <c r="G3353" s="7"/>
      <c r="H3353" s="8"/>
      <c r="I3353" s="8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 hidden="1">
      <c r="A3354" s="7"/>
      <c r="B3354" s="7"/>
      <c r="C3354" s="7"/>
      <c r="D3354" s="7"/>
      <c r="E3354" s="7"/>
      <c r="F3354" s="7"/>
      <c r="G3354" s="7"/>
      <c r="H3354" s="8"/>
      <c r="I3354" s="8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 hidden="1">
      <c r="A3355" s="7"/>
      <c r="B3355" s="7"/>
      <c r="C3355" s="7"/>
      <c r="D3355" s="7"/>
      <c r="E3355" s="7"/>
      <c r="F3355" s="7"/>
      <c r="G3355" s="7"/>
      <c r="H3355" s="8"/>
      <c r="I3355" s="8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 hidden="1">
      <c r="A3356" s="7"/>
      <c r="B3356" s="7"/>
      <c r="C3356" s="7"/>
      <c r="D3356" s="7"/>
      <c r="E3356" s="7"/>
      <c r="F3356" s="7"/>
      <c r="G3356" s="7"/>
      <c r="H3356" s="8"/>
      <c r="I3356" s="8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 hidden="1">
      <c r="A3357" s="7"/>
      <c r="B3357" s="7"/>
      <c r="C3357" s="7"/>
      <c r="D3357" s="7"/>
      <c r="E3357" s="7"/>
      <c r="F3357" s="7"/>
      <c r="G3357" s="7"/>
      <c r="H3357" s="8"/>
      <c r="I3357" s="8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 hidden="1">
      <c r="A3358" s="7"/>
      <c r="B3358" s="7"/>
      <c r="C3358" s="7"/>
      <c r="D3358" s="7"/>
      <c r="E3358" s="7"/>
      <c r="F3358" s="7"/>
      <c r="G3358" s="7"/>
      <c r="H3358" s="8"/>
      <c r="I3358" s="8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 hidden="1">
      <c r="A3359" s="7"/>
      <c r="B3359" s="7"/>
      <c r="C3359" s="7"/>
      <c r="D3359" s="7"/>
      <c r="E3359" s="7"/>
      <c r="F3359" s="7"/>
      <c r="G3359" s="7"/>
      <c r="H3359" s="8"/>
      <c r="I3359" s="8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 hidden="1">
      <c r="A3360" s="7"/>
      <c r="B3360" s="7"/>
      <c r="C3360" s="7"/>
      <c r="D3360" s="7"/>
      <c r="E3360" s="7"/>
      <c r="F3360" s="7"/>
      <c r="G3360" s="7"/>
      <c r="H3360" s="8"/>
      <c r="I3360" s="8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 hidden="1">
      <c r="A3361" s="7"/>
      <c r="B3361" s="7"/>
      <c r="C3361" s="7"/>
      <c r="D3361" s="7"/>
      <c r="E3361" s="7"/>
      <c r="F3361" s="7"/>
      <c r="G3361" s="7"/>
      <c r="H3361" s="8"/>
      <c r="I3361" s="8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 hidden="1">
      <c r="A3362" s="7"/>
      <c r="B3362" s="7"/>
      <c r="C3362" s="7"/>
      <c r="D3362" s="7"/>
      <c r="E3362" s="7"/>
      <c r="F3362" s="7"/>
      <c r="G3362" s="7"/>
      <c r="H3362" s="8"/>
      <c r="I3362" s="8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 hidden="1">
      <c r="A3363" s="7"/>
      <c r="B3363" s="7"/>
      <c r="C3363" s="7"/>
      <c r="D3363" s="7"/>
      <c r="E3363" s="7"/>
      <c r="F3363" s="7"/>
      <c r="G3363" s="7"/>
      <c r="H3363" s="8"/>
      <c r="I3363" s="8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 hidden="1">
      <c r="A3364" s="7"/>
      <c r="B3364" s="7"/>
      <c r="C3364" s="7"/>
      <c r="D3364" s="7"/>
      <c r="E3364" s="7"/>
      <c r="F3364" s="7"/>
      <c r="G3364" s="7"/>
      <c r="H3364" s="8"/>
      <c r="I3364" s="8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 hidden="1">
      <c r="A3365" s="7"/>
      <c r="B3365" s="7"/>
      <c r="C3365" s="7"/>
      <c r="D3365" s="7"/>
      <c r="E3365" s="7"/>
      <c r="F3365" s="7"/>
      <c r="G3365" s="7"/>
      <c r="H3365" s="8"/>
      <c r="I3365" s="8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 hidden="1">
      <c r="A3366" s="7"/>
      <c r="B3366" s="7"/>
      <c r="C3366" s="7"/>
      <c r="D3366" s="7"/>
      <c r="E3366" s="7"/>
      <c r="F3366" s="7"/>
      <c r="G3366" s="7"/>
      <c r="H3366" s="8"/>
      <c r="I3366" s="8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 hidden="1">
      <c r="A3367" s="7"/>
      <c r="B3367" s="7"/>
      <c r="C3367" s="7"/>
      <c r="D3367" s="7"/>
      <c r="E3367" s="7"/>
      <c r="F3367" s="7"/>
      <c r="G3367" s="7"/>
      <c r="H3367" s="8"/>
      <c r="I3367" s="8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 hidden="1">
      <c r="A3368" s="7"/>
      <c r="B3368" s="7"/>
      <c r="C3368" s="7"/>
      <c r="D3368" s="7"/>
      <c r="E3368" s="7"/>
      <c r="F3368" s="7"/>
      <c r="G3368" s="7"/>
      <c r="H3368" s="8"/>
      <c r="I3368" s="8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 hidden="1">
      <c r="A3369" s="7"/>
      <c r="B3369" s="7"/>
      <c r="C3369" s="7"/>
      <c r="D3369" s="7"/>
      <c r="E3369" s="7"/>
      <c r="F3369" s="7"/>
      <c r="G3369" s="7"/>
      <c r="H3369" s="8"/>
      <c r="I3369" s="8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 hidden="1">
      <c r="A3370" s="7"/>
      <c r="B3370" s="7"/>
      <c r="C3370" s="7"/>
      <c r="D3370" s="7"/>
      <c r="E3370" s="7"/>
      <c r="F3370" s="7"/>
      <c r="G3370" s="7"/>
      <c r="H3370" s="8"/>
      <c r="I3370" s="8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 hidden="1">
      <c r="A3371" s="7"/>
      <c r="B3371" s="7"/>
      <c r="C3371" s="7"/>
      <c r="D3371" s="7"/>
      <c r="E3371" s="7"/>
      <c r="F3371" s="7"/>
      <c r="G3371" s="7"/>
      <c r="H3371" s="8"/>
      <c r="I3371" s="8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 hidden="1">
      <c r="A3372" s="7"/>
      <c r="B3372" s="7"/>
      <c r="C3372" s="7"/>
      <c r="D3372" s="7"/>
      <c r="E3372" s="7"/>
      <c r="F3372" s="7"/>
      <c r="G3372" s="7"/>
      <c r="H3372" s="8"/>
      <c r="I3372" s="8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 hidden="1">
      <c r="A3373" s="7"/>
      <c r="B3373" s="7"/>
      <c r="C3373" s="7"/>
      <c r="D3373" s="7"/>
      <c r="E3373" s="7"/>
      <c r="F3373" s="7"/>
      <c r="G3373" s="7"/>
      <c r="H3373" s="8"/>
      <c r="I3373" s="8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 hidden="1">
      <c r="A3374" s="7"/>
      <c r="B3374" s="7"/>
      <c r="C3374" s="7"/>
      <c r="D3374" s="7"/>
      <c r="E3374" s="7"/>
      <c r="F3374" s="7"/>
      <c r="G3374" s="7"/>
      <c r="H3374" s="8"/>
      <c r="I3374" s="8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 hidden="1">
      <c r="A3375" s="7"/>
      <c r="B3375" s="7"/>
      <c r="C3375" s="7"/>
      <c r="D3375" s="7"/>
      <c r="E3375" s="7"/>
      <c r="F3375" s="7"/>
      <c r="G3375" s="7"/>
      <c r="H3375" s="8"/>
      <c r="I3375" s="8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 hidden="1">
      <c r="A3376" s="7"/>
      <c r="B3376" s="7"/>
      <c r="C3376" s="7"/>
      <c r="D3376" s="7"/>
      <c r="E3376" s="7"/>
      <c r="F3376" s="7"/>
      <c r="G3376" s="7"/>
      <c r="H3376" s="8"/>
      <c r="I3376" s="8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 hidden="1">
      <c r="A3377" s="7"/>
      <c r="B3377" s="7"/>
      <c r="C3377" s="7"/>
      <c r="D3377" s="7"/>
      <c r="E3377" s="7"/>
      <c r="F3377" s="7"/>
      <c r="G3377" s="7"/>
      <c r="H3377" s="8"/>
      <c r="I3377" s="8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 hidden="1">
      <c r="A3378" s="7"/>
      <c r="B3378" s="7"/>
      <c r="C3378" s="7"/>
      <c r="D3378" s="7"/>
      <c r="E3378" s="7"/>
      <c r="F3378" s="7"/>
      <c r="G3378" s="7"/>
      <c r="H3378" s="8"/>
      <c r="I3378" s="8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 hidden="1">
      <c r="A3379" s="7"/>
      <c r="B3379" s="7"/>
      <c r="C3379" s="7"/>
      <c r="D3379" s="7"/>
      <c r="E3379" s="7"/>
      <c r="F3379" s="7"/>
      <c r="G3379" s="7"/>
      <c r="H3379" s="8"/>
      <c r="I3379" s="8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 hidden="1">
      <c r="A3380" s="7"/>
      <c r="B3380" s="7"/>
      <c r="C3380" s="7"/>
      <c r="D3380" s="7"/>
      <c r="E3380" s="7"/>
      <c r="F3380" s="7"/>
      <c r="G3380" s="7"/>
      <c r="H3380" s="8"/>
      <c r="I3380" s="8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 hidden="1">
      <c r="A3381" s="7"/>
      <c r="B3381" s="7"/>
      <c r="C3381" s="7"/>
      <c r="D3381" s="7"/>
      <c r="E3381" s="7"/>
      <c r="F3381" s="7"/>
      <c r="G3381" s="7"/>
      <c r="H3381" s="8"/>
      <c r="I3381" s="8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 hidden="1">
      <c r="A3382" s="7"/>
      <c r="B3382" s="7"/>
      <c r="C3382" s="7"/>
      <c r="D3382" s="7"/>
      <c r="E3382" s="7"/>
      <c r="F3382" s="7"/>
      <c r="G3382" s="7"/>
      <c r="H3382" s="8"/>
      <c r="I3382" s="8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 hidden="1">
      <c r="A3383" s="7"/>
      <c r="B3383" s="7"/>
      <c r="C3383" s="7"/>
      <c r="D3383" s="7"/>
      <c r="E3383" s="7"/>
      <c r="F3383" s="7"/>
      <c r="G3383" s="7"/>
      <c r="H3383" s="8"/>
      <c r="I3383" s="8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 hidden="1">
      <c r="A3384" s="7"/>
      <c r="B3384" s="7"/>
      <c r="C3384" s="7"/>
      <c r="D3384" s="7"/>
      <c r="E3384" s="7"/>
      <c r="F3384" s="7"/>
      <c r="G3384" s="7"/>
      <c r="H3384" s="8"/>
      <c r="I3384" s="8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 hidden="1">
      <c r="A3385" s="7"/>
      <c r="B3385" s="7"/>
      <c r="C3385" s="7"/>
      <c r="D3385" s="7"/>
      <c r="E3385" s="7"/>
      <c r="F3385" s="7"/>
      <c r="G3385" s="7"/>
      <c r="H3385" s="8"/>
      <c r="I3385" s="8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 hidden="1">
      <c r="A3386" s="7"/>
      <c r="B3386" s="7"/>
      <c r="C3386" s="7"/>
      <c r="D3386" s="7"/>
      <c r="E3386" s="7"/>
      <c r="F3386" s="7"/>
      <c r="G3386" s="7"/>
      <c r="H3386" s="8"/>
      <c r="I3386" s="8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 hidden="1">
      <c r="A3387" s="7"/>
      <c r="B3387" s="7"/>
      <c r="C3387" s="7"/>
      <c r="D3387" s="7"/>
      <c r="E3387" s="7"/>
      <c r="F3387" s="7"/>
      <c r="G3387" s="7"/>
      <c r="H3387" s="8"/>
      <c r="I3387" s="8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 hidden="1">
      <c r="A3388" s="7"/>
      <c r="B3388" s="7"/>
      <c r="C3388" s="7"/>
      <c r="D3388" s="7"/>
      <c r="E3388" s="7"/>
      <c r="F3388" s="7"/>
      <c r="G3388" s="7"/>
      <c r="H3388" s="8"/>
      <c r="I3388" s="8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 hidden="1">
      <c r="A3389" s="7"/>
      <c r="B3389" s="7"/>
      <c r="C3389" s="7"/>
      <c r="D3389" s="7"/>
      <c r="E3389" s="7"/>
      <c r="F3389" s="7"/>
      <c r="G3389" s="7"/>
      <c r="H3389" s="8"/>
      <c r="I3389" s="8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 hidden="1">
      <c r="A3390" s="7"/>
      <c r="B3390" s="7"/>
      <c r="C3390" s="7"/>
      <c r="D3390" s="7"/>
      <c r="E3390" s="7"/>
      <c r="F3390" s="7"/>
      <c r="G3390" s="7"/>
      <c r="H3390" s="8"/>
      <c r="I3390" s="8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 hidden="1">
      <c r="A3391" s="7"/>
      <c r="B3391" s="7"/>
      <c r="C3391" s="7"/>
      <c r="D3391" s="7"/>
      <c r="E3391" s="7"/>
      <c r="F3391" s="7"/>
      <c r="G3391" s="7"/>
      <c r="H3391" s="8"/>
      <c r="I3391" s="8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 hidden="1">
      <c r="A3392" s="7"/>
      <c r="B3392" s="7"/>
      <c r="C3392" s="7"/>
      <c r="D3392" s="7"/>
      <c r="E3392" s="7"/>
      <c r="F3392" s="7"/>
      <c r="G3392" s="7"/>
      <c r="H3392" s="8"/>
      <c r="I3392" s="8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 hidden="1">
      <c r="A3393" s="7"/>
      <c r="B3393" s="7"/>
      <c r="C3393" s="7"/>
      <c r="D3393" s="7"/>
      <c r="E3393" s="7"/>
      <c r="F3393" s="7"/>
      <c r="G3393" s="7"/>
      <c r="H3393" s="8"/>
      <c r="I3393" s="8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 hidden="1">
      <c r="A3394" s="7"/>
      <c r="B3394" s="7"/>
      <c r="C3394" s="7"/>
      <c r="D3394" s="7"/>
      <c r="E3394" s="7"/>
      <c r="F3394" s="7"/>
      <c r="G3394" s="7"/>
      <c r="H3394" s="8"/>
      <c r="I3394" s="8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 hidden="1">
      <c r="A3395" s="7"/>
      <c r="B3395" s="7"/>
      <c r="C3395" s="7"/>
      <c r="D3395" s="7"/>
      <c r="E3395" s="7"/>
      <c r="F3395" s="7"/>
      <c r="G3395" s="7"/>
      <c r="H3395" s="8"/>
      <c r="I3395" s="8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 hidden="1">
      <c r="A3396" s="7"/>
      <c r="B3396" s="7"/>
      <c r="C3396" s="7"/>
      <c r="D3396" s="7"/>
      <c r="E3396" s="7"/>
      <c r="F3396" s="7"/>
      <c r="G3396" s="7"/>
      <c r="H3396" s="8"/>
      <c r="I3396" s="8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 hidden="1">
      <c r="A3397" s="7"/>
      <c r="B3397" s="7"/>
      <c r="C3397" s="7"/>
      <c r="D3397" s="7"/>
      <c r="E3397" s="7"/>
      <c r="F3397" s="7"/>
      <c r="G3397" s="7"/>
      <c r="H3397" s="8"/>
      <c r="I3397" s="8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 hidden="1">
      <c r="A3398" s="7"/>
      <c r="B3398" s="7"/>
      <c r="C3398" s="7"/>
      <c r="D3398" s="7"/>
      <c r="E3398" s="7"/>
      <c r="F3398" s="7"/>
      <c r="G3398" s="7"/>
      <c r="H3398" s="8"/>
      <c r="I3398" s="8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 hidden="1">
      <c r="A3399" s="7"/>
      <c r="B3399" s="7"/>
      <c r="C3399" s="7"/>
      <c r="D3399" s="7"/>
      <c r="E3399" s="7"/>
      <c r="F3399" s="7"/>
      <c r="G3399" s="7"/>
      <c r="H3399" s="8"/>
      <c r="I3399" s="8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 hidden="1">
      <c r="A3400" s="7"/>
      <c r="B3400" s="7"/>
      <c r="C3400" s="7"/>
      <c r="D3400" s="7"/>
      <c r="E3400" s="7"/>
      <c r="F3400" s="7"/>
      <c r="G3400" s="7"/>
      <c r="H3400" s="8"/>
      <c r="I3400" s="8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 hidden="1">
      <c r="A3401" s="7"/>
      <c r="B3401" s="7"/>
      <c r="C3401" s="7"/>
      <c r="D3401" s="7"/>
      <c r="E3401" s="7"/>
      <c r="F3401" s="7"/>
      <c r="G3401" s="7"/>
      <c r="H3401" s="8"/>
      <c r="I3401" s="8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 hidden="1">
      <c r="A3402" s="7"/>
      <c r="B3402" s="7"/>
      <c r="C3402" s="7"/>
      <c r="D3402" s="7"/>
      <c r="E3402" s="7"/>
      <c r="F3402" s="7"/>
      <c r="G3402" s="7"/>
      <c r="H3402" s="8"/>
      <c r="I3402" s="8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 hidden="1">
      <c r="A3403" s="7"/>
      <c r="B3403" s="7"/>
      <c r="C3403" s="7"/>
      <c r="D3403" s="7"/>
      <c r="E3403" s="7"/>
      <c r="F3403" s="7"/>
      <c r="G3403" s="7"/>
      <c r="H3403" s="8"/>
      <c r="I3403" s="8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 hidden="1">
      <c r="A3404" s="7"/>
      <c r="B3404" s="7"/>
      <c r="C3404" s="7"/>
      <c r="D3404" s="7"/>
      <c r="E3404" s="7"/>
      <c r="F3404" s="7"/>
      <c r="G3404" s="7"/>
      <c r="H3404" s="8"/>
      <c r="I3404" s="8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 hidden="1">
      <c r="A3405" s="7"/>
      <c r="B3405" s="7"/>
      <c r="C3405" s="7"/>
      <c r="D3405" s="7"/>
      <c r="E3405" s="7"/>
      <c r="F3405" s="7"/>
      <c r="G3405" s="7"/>
      <c r="H3405" s="8"/>
      <c r="I3405" s="8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 hidden="1">
      <c r="A3406" s="7"/>
      <c r="B3406" s="7"/>
      <c r="C3406" s="7"/>
      <c r="D3406" s="7"/>
      <c r="E3406" s="7"/>
      <c r="F3406" s="7"/>
      <c r="G3406" s="7"/>
      <c r="H3406" s="8"/>
      <c r="I3406" s="8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 hidden="1">
      <c r="A3407" s="7"/>
      <c r="B3407" s="7"/>
      <c r="C3407" s="7"/>
      <c r="D3407" s="7"/>
      <c r="E3407" s="7"/>
      <c r="F3407" s="7"/>
      <c r="G3407" s="7"/>
      <c r="H3407" s="8"/>
      <c r="I3407" s="8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 hidden="1">
      <c r="A3408" s="7"/>
      <c r="B3408" s="7"/>
      <c r="C3408" s="7"/>
      <c r="D3408" s="7"/>
      <c r="E3408" s="7"/>
      <c r="F3408" s="7"/>
      <c r="G3408" s="7"/>
      <c r="H3408" s="8"/>
      <c r="I3408" s="8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 hidden="1">
      <c r="A3409" s="7"/>
      <c r="B3409" s="7"/>
      <c r="C3409" s="7"/>
      <c r="D3409" s="7"/>
      <c r="E3409" s="7"/>
      <c r="F3409" s="7"/>
      <c r="G3409" s="7"/>
      <c r="H3409" s="8"/>
      <c r="I3409" s="8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 hidden="1">
      <c r="A3410" s="7"/>
      <c r="B3410" s="7"/>
      <c r="C3410" s="7"/>
      <c r="D3410" s="7"/>
      <c r="E3410" s="7"/>
      <c r="F3410" s="7"/>
      <c r="G3410" s="7"/>
      <c r="H3410" s="8"/>
      <c r="I3410" s="8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 hidden="1">
      <c r="A3411" s="7"/>
      <c r="B3411" s="7"/>
      <c r="C3411" s="7"/>
      <c r="D3411" s="7"/>
      <c r="E3411" s="7"/>
      <c r="F3411" s="7"/>
      <c r="G3411" s="7"/>
      <c r="H3411" s="8"/>
      <c r="I3411" s="8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 hidden="1">
      <c r="A3412" s="7"/>
      <c r="B3412" s="7"/>
      <c r="C3412" s="7"/>
      <c r="D3412" s="7"/>
      <c r="E3412" s="7"/>
      <c r="F3412" s="7"/>
      <c r="G3412" s="7"/>
      <c r="H3412" s="8"/>
      <c r="I3412" s="8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 hidden="1">
      <c r="A3413" s="7"/>
      <c r="B3413" s="7"/>
      <c r="C3413" s="7"/>
      <c r="D3413" s="7"/>
      <c r="E3413" s="7"/>
      <c r="F3413" s="7"/>
      <c r="G3413" s="7"/>
      <c r="H3413" s="8"/>
      <c r="I3413" s="8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 hidden="1">
      <c r="A3414" s="7"/>
      <c r="B3414" s="7"/>
      <c r="C3414" s="7"/>
      <c r="D3414" s="7"/>
      <c r="E3414" s="7"/>
      <c r="F3414" s="7"/>
      <c r="G3414" s="7"/>
      <c r="H3414" s="8"/>
      <c r="I3414" s="8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 hidden="1">
      <c r="A3415" s="7"/>
      <c r="B3415" s="7"/>
      <c r="C3415" s="7"/>
      <c r="D3415" s="7"/>
      <c r="E3415" s="7"/>
      <c r="F3415" s="7"/>
      <c r="G3415" s="7"/>
      <c r="H3415" s="8"/>
      <c r="I3415" s="8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 hidden="1">
      <c r="A3416" s="7"/>
      <c r="B3416" s="7"/>
      <c r="C3416" s="7"/>
      <c r="D3416" s="7"/>
      <c r="E3416" s="7"/>
      <c r="F3416" s="7"/>
      <c r="G3416" s="7"/>
      <c r="H3416" s="8"/>
      <c r="I3416" s="8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 hidden="1">
      <c r="A3417" s="7"/>
      <c r="B3417" s="7"/>
      <c r="C3417" s="7"/>
      <c r="D3417" s="7"/>
      <c r="E3417" s="7"/>
      <c r="F3417" s="7"/>
      <c r="G3417" s="7"/>
      <c r="H3417" s="8"/>
      <c r="I3417" s="8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 hidden="1">
      <c r="A3418" s="7"/>
      <c r="B3418" s="7"/>
      <c r="C3418" s="7"/>
      <c r="D3418" s="7"/>
      <c r="E3418" s="7"/>
      <c r="F3418" s="7"/>
      <c r="G3418" s="7"/>
      <c r="H3418" s="8"/>
      <c r="I3418" s="8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 hidden="1">
      <c r="A3419" s="7"/>
      <c r="B3419" s="7"/>
      <c r="C3419" s="7"/>
      <c r="D3419" s="7"/>
      <c r="E3419" s="7"/>
      <c r="F3419" s="7"/>
      <c r="G3419" s="7"/>
      <c r="H3419" s="8"/>
      <c r="I3419" s="8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 hidden="1">
      <c r="A3420" s="7"/>
      <c r="B3420" s="7"/>
      <c r="C3420" s="7"/>
      <c r="D3420" s="7"/>
      <c r="E3420" s="7"/>
      <c r="F3420" s="7"/>
      <c r="G3420" s="7"/>
      <c r="H3420" s="8"/>
      <c r="I3420" s="8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 hidden="1">
      <c r="A3421" s="7"/>
      <c r="B3421" s="7"/>
      <c r="C3421" s="7"/>
      <c r="D3421" s="7"/>
      <c r="E3421" s="7"/>
      <c r="F3421" s="7"/>
      <c r="G3421" s="7"/>
      <c r="H3421" s="8"/>
      <c r="I3421" s="8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 hidden="1">
      <c r="A3422" s="7"/>
      <c r="B3422" s="7"/>
      <c r="C3422" s="7"/>
      <c r="D3422" s="7"/>
      <c r="E3422" s="7"/>
      <c r="F3422" s="7"/>
      <c r="G3422" s="7"/>
      <c r="H3422" s="8"/>
      <c r="I3422" s="8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 hidden="1">
      <c r="A3423" s="7"/>
      <c r="B3423" s="7"/>
      <c r="C3423" s="7"/>
      <c r="D3423" s="7"/>
      <c r="E3423" s="7"/>
      <c r="F3423" s="7"/>
      <c r="G3423" s="7"/>
      <c r="H3423" s="8"/>
      <c r="I3423" s="8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 hidden="1">
      <c r="A3424" s="7"/>
      <c r="B3424" s="7"/>
      <c r="C3424" s="7"/>
      <c r="D3424" s="7"/>
      <c r="E3424" s="7"/>
      <c r="F3424" s="7"/>
      <c r="G3424" s="7"/>
      <c r="H3424" s="8"/>
      <c r="I3424" s="8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 hidden="1">
      <c r="A3425" s="7"/>
      <c r="B3425" s="7"/>
      <c r="C3425" s="7"/>
      <c r="D3425" s="7"/>
      <c r="E3425" s="7"/>
      <c r="F3425" s="7"/>
      <c r="G3425" s="7"/>
      <c r="H3425" s="8"/>
      <c r="I3425" s="8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 hidden="1">
      <c r="A3426" s="7"/>
      <c r="B3426" s="7"/>
      <c r="C3426" s="7"/>
      <c r="D3426" s="7"/>
      <c r="E3426" s="7"/>
      <c r="F3426" s="7"/>
      <c r="G3426" s="7"/>
      <c r="H3426" s="8"/>
      <c r="I3426" s="8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 hidden="1">
      <c r="A3427" s="7"/>
      <c r="B3427" s="7"/>
      <c r="C3427" s="7"/>
      <c r="D3427" s="7"/>
      <c r="E3427" s="7"/>
      <c r="F3427" s="7"/>
      <c r="G3427" s="7"/>
      <c r="H3427" s="8"/>
      <c r="I3427" s="8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 hidden="1">
      <c r="A3428" s="7"/>
      <c r="B3428" s="7"/>
      <c r="C3428" s="7"/>
      <c r="D3428" s="7"/>
      <c r="E3428" s="7"/>
      <c r="F3428" s="7"/>
      <c r="G3428" s="7"/>
      <c r="H3428" s="8"/>
      <c r="I3428" s="8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 hidden="1">
      <c r="A3429" s="7"/>
      <c r="B3429" s="7"/>
      <c r="C3429" s="7"/>
      <c r="D3429" s="7"/>
      <c r="E3429" s="7"/>
      <c r="F3429" s="7"/>
      <c r="G3429" s="7"/>
      <c r="H3429" s="8"/>
      <c r="I3429" s="8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 hidden="1">
      <c r="A3430" s="7"/>
      <c r="B3430" s="7"/>
      <c r="C3430" s="7"/>
      <c r="D3430" s="7"/>
      <c r="E3430" s="7"/>
      <c r="F3430" s="7"/>
      <c r="G3430" s="7"/>
      <c r="H3430" s="8"/>
      <c r="I3430" s="8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 hidden="1">
      <c r="A3431" s="7"/>
      <c r="B3431" s="7"/>
      <c r="C3431" s="7"/>
      <c r="D3431" s="7"/>
      <c r="E3431" s="7"/>
      <c r="F3431" s="7"/>
      <c r="G3431" s="7"/>
      <c r="H3431" s="8"/>
      <c r="I3431" s="8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 hidden="1">
      <c r="A3432" s="7"/>
      <c r="B3432" s="7"/>
      <c r="C3432" s="7"/>
      <c r="D3432" s="7"/>
      <c r="E3432" s="7"/>
      <c r="F3432" s="7"/>
      <c r="G3432" s="7"/>
      <c r="H3432" s="8"/>
      <c r="I3432" s="8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 hidden="1">
      <c r="A3433" s="7"/>
      <c r="B3433" s="7"/>
      <c r="C3433" s="7"/>
      <c r="D3433" s="7"/>
      <c r="E3433" s="7"/>
      <c r="F3433" s="7"/>
      <c r="G3433" s="7"/>
      <c r="H3433" s="8"/>
      <c r="I3433" s="8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 hidden="1">
      <c r="A3434" s="7"/>
      <c r="B3434" s="7"/>
      <c r="C3434" s="7"/>
      <c r="D3434" s="7"/>
      <c r="E3434" s="7"/>
      <c r="F3434" s="7"/>
      <c r="G3434" s="7"/>
      <c r="H3434" s="8"/>
      <c r="I3434" s="8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 hidden="1">
      <c r="A3435" s="7"/>
      <c r="B3435" s="7"/>
      <c r="C3435" s="7"/>
      <c r="D3435" s="7"/>
      <c r="E3435" s="7"/>
      <c r="F3435" s="7"/>
      <c r="G3435" s="7"/>
      <c r="H3435" s="8"/>
      <c r="I3435" s="8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 hidden="1">
      <c r="A3436" s="7"/>
      <c r="B3436" s="7"/>
      <c r="C3436" s="7"/>
      <c r="D3436" s="7"/>
      <c r="E3436" s="7"/>
      <c r="F3436" s="7"/>
      <c r="G3436" s="7"/>
      <c r="H3436" s="8"/>
      <c r="I3436" s="8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 hidden="1">
      <c r="A3437" s="7"/>
      <c r="B3437" s="7"/>
      <c r="C3437" s="7"/>
      <c r="D3437" s="7"/>
      <c r="E3437" s="7"/>
      <c r="F3437" s="7"/>
      <c r="G3437" s="7"/>
      <c r="H3437" s="8"/>
      <c r="I3437" s="8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 hidden="1">
      <c r="A3438" s="7"/>
      <c r="B3438" s="7"/>
      <c r="C3438" s="7"/>
      <c r="D3438" s="7"/>
      <c r="E3438" s="7"/>
      <c r="F3438" s="7"/>
      <c r="G3438" s="7"/>
      <c r="H3438" s="8"/>
      <c r="I3438" s="8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 hidden="1">
      <c r="A3439" s="7"/>
      <c r="B3439" s="7"/>
      <c r="C3439" s="7"/>
      <c r="D3439" s="7"/>
      <c r="E3439" s="7"/>
      <c r="F3439" s="7"/>
      <c r="G3439" s="7"/>
      <c r="H3439" s="8"/>
      <c r="I3439" s="8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 hidden="1">
      <c r="A3440" s="7"/>
      <c r="B3440" s="7"/>
      <c r="C3440" s="7"/>
      <c r="D3440" s="7"/>
      <c r="E3440" s="7"/>
      <c r="F3440" s="7"/>
      <c r="G3440" s="7"/>
      <c r="H3440" s="8"/>
      <c r="I3440" s="8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 hidden="1">
      <c r="A3441" s="7"/>
      <c r="B3441" s="7"/>
      <c r="C3441" s="7"/>
      <c r="D3441" s="7"/>
      <c r="E3441" s="7"/>
      <c r="F3441" s="7"/>
      <c r="G3441" s="7"/>
      <c r="H3441" s="8"/>
      <c r="I3441" s="8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 hidden="1">
      <c r="A3442" s="7"/>
      <c r="B3442" s="7"/>
      <c r="C3442" s="7"/>
      <c r="D3442" s="7"/>
      <c r="E3442" s="7"/>
      <c r="F3442" s="7"/>
      <c r="G3442" s="7"/>
      <c r="H3442" s="8"/>
      <c r="I3442" s="8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 hidden="1">
      <c r="A3443" s="7"/>
      <c r="B3443" s="7"/>
      <c r="C3443" s="7"/>
      <c r="D3443" s="7"/>
      <c r="E3443" s="7"/>
      <c r="F3443" s="7"/>
      <c r="G3443" s="7"/>
      <c r="H3443" s="8"/>
      <c r="I3443" s="8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 hidden="1">
      <c r="A3444" s="7"/>
      <c r="B3444" s="7"/>
      <c r="C3444" s="7"/>
      <c r="D3444" s="7"/>
      <c r="E3444" s="7"/>
      <c r="F3444" s="7"/>
      <c r="G3444" s="7"/>
      <c r="H3444" s="8"/>
      <c r="I3444" s="8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 hidden="1">
      <c r="A3445" s="7"/>
      <c r="B3445" s="7"/>
      <c r="C3445" s="7"/>
      <c r="D3445" s="7"/>
      <c r="E3445" s="7"/>
      <c r="F3445" s="7"/>
      <c r="G3445" s="7"/>
      <c r="H3445" s="8"/>
      <c r="I3445" s="8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 hidden="1">
      <c r="A3446" s="7"/>
      <c r="B3446" s="7"/>
      <c r="C3446" s="7"/>
      <c r="D3446" s="7"/>
      <c r="E3446" s="7"/>
      <c r="F3446" s="7"/>
      <c r="G3446" s="7"/>
      <c r="H3446" s="8"/>
      <c r="I3446" s="8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 hidden="1">
      <c r="A3447" s="7"/>
      <c r="B3447" s="7"/>
      <c r="C3447" s="7"/>
      <c r="D3447" s="7"/>
      <c r="E3447" s="7"/>
      <c r="F3447" s="7"/>
      <c r="G3447" s="7"/>
      <c r="H3447" s="8"/>
      <c r="I3447" s="8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 hidden="1">
      <c r="A3448" s="7"/>
      <c r="B3448" s="7"/>
      <c r="C3448" s="7"/>
      <c r="D3448" s="7"/>
      <c r="E3448" s="7"/>
      <c r="F3448" s="7"/>
      <c r="G3448" s="7"/>
      <c r="H3448" s="8"/>
      <c r="I3448" s="8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 hidden="1">
      <c r="A3449" s="7"/>
      <c r="B3449" s="7"/>
      <c r="C3449" s="7"/>
      <c r="D3449" s="7"/>
      <c r="E3449" s="7"/>
      <c r="F3449" s="7"/>
      <c r="G3449" s="7"/>
      <c r="H3449" s="8"/>
      <c r="I3449" s="8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 hidden="1">
      <c r="A3450" s="7"/>
      <c r="B3450" s="7"/>
      <c r="C3450" s="7"/>
      <c r="D3450" s="7"/>
      <c r="E3450" s="7"/>
      <c r="F3450" s="7"/>
      <c r="G3450" s="7"/>
      <c r="H3450" s="8"/>
      <c r="I3450" s="8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 hidden="1">
      <c r="A3451" s="7"/>
      <c r="B3451" s="7"/>
      <c r="C3451" s="7"/>
      <c r="D3451" s="7"/>
      <c r="E3451" s="7"/>
      <c r="F3451" s="7"/>
      <c r="G3451" s="7"/>
      <c r="H3451" s="8"/>
      <c r="I3451" s="8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 hidden="1">
      <c r="A3452" s="7"/>
      <c r="B3452" s="7"/>
      <c r="C3452" s="7"/>
      <c r="D3452" s="7"/>
      <c r="E3452" s="7"/>
      <c r="F3452" s="7"/>
      <c r="G3452" s="7"/>
      <c r="H3452" s="8"/>
      <c r="I3452" s="8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 hidden="1">
      <c r="A3453" s="7"/>
      <c r="B3453" s="7"/>
      <c r="C3453" s="7"/>
      <c r="D3453" s="7"/>
      <c r="E3453" s="7"/>
      <c r="F3453" s="7"/>
      <c r="G3453" s="7"/>
      <c r="H3453" s="8"/>
      <c r="I3453" s="8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 hidden="1">
      <c r="A3454" s="7"/>
      <c r="B3454" s="7"/>
      <c r="C3454" s="7"/>
      <c r="D3454" s="7"/>
      <c r="E3454" s="7"/>
      <c r="F3454" s="7"/>
      <c r="G3454" s="7"/>
      <c r="H3454" s="8"/>
      <c r="I3454" s="8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 hidden="1">
      <c r="A3455" s="7"/>
      <c r="B3455" s="7"/>
      <c r="C3455" s="7"/>
      <c r="D3455" s="7"/>
      <c r="E3455" s="7"/>
      <c r="F3455" s="7"/>
      <c r="G3455" s="7"/>
      <c r="H3455" s="8"/>
      <c r="I3455" s="8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 hidden="1">
      <c r="A3456" s="7"/>
      <c r="B3456" s="7"/>
      <c r="C3456" s="7"/>
      <c r="D3456" s="7"/>
      <c r="E3456" s="7"/>
      <c r="F3456" s="7"/>
      <c r="G3456" s="7"/>
      <c r="H3456" s="8"/>
      <c r="I3456" s="8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 hidden="1">
      <c r="A3457" s="7"/>
      <c r="B3457" s="7"/>
      <c r="C3457" s="7"/>
      <c r="D3457" s="7"/>
      <c r="E3457" s="7"/>
      <c r="F3457" s="7"/>
      <c r="G3457" s="7"/>
      <c r="H3457" s="8"/>
      <c r="I3457" s="8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 hidden="1">
      <c r="A3458" s="7"/>
      <c r="B3458" s="7"/>
      <c r="C3458" s="7"/>
      <c r="D3458" s="7"/>
      <c r="E3458" s="7"/>
      <c r="F3458" s="7"/>
      <c r="G3458" s="7"/>
      <c r="H3458" s="8"/>
      <c r="I3458" s="8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 hidden="1">
      <c r="A3459" s="7"/>
      <c r="B3459" s="7"/>
      <c r="C3459" s="7"/>
      <c r="D3459" s="7"/>
      <c r="E3459" s="7"/>
      <c r="F3459" s="7"/>
      <c r="G3459" s="7"/>
      <c r="H3459" s="8"/>
      <c r="I3459" s="8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 hidden="1">
      <c r="A3460" s="7"/>
      <c r="B3460" s="7"/>
      <c r="C3460" s="7"/>
      <c r="D3460" s="7"/>
      <c r="E3460" s="7"/>
      <c r="F3460" s="7"/>
      <c r="G3460" s="7"/>
      <c r="H3460" s="8"/>
      <c r="I3460" s="8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 hidden="1">
      <c r="A3461" s="7"/>
      <c r="B3461" s="7"/>
      <c r="C3461" s="7"/>
      <c r="D3461" s="7"/>
      <c r="E3461" s="7"/>
      <c r="F3461" s="7"/>
      <c r="G3461" s="7"/>
      <c r="H3461" s="8"/>
      <c r="I3461" s="8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 hidden="1">
      <c r="A3462" s="7"/>
      <c r="B3462" s="7"/>
      <c r="C3462" s="7"/>
      <c r="D3462" s="7"/>
      <c r="E3462" s="7"/>
      <c r="F3462" s="7"/>
      <c r="G3462" s="7"/>
      <c r="H3462" s="8"/>
      <c r="I3462" s="8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 hidden="1">
      <c r="A3463" s="7"/>
      <c r="B3463" s="7"/>
      <c r="C3463" s="7"/>
      <c r="D3463" s="7"/>
      <c r="E3463" s="7"/>
      <c r="F3463" s="7"/>
      <c r="G3463" s="7"/>
      <c r="H3463" s="8"/>
      <c r="I3463" s="8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 hidden="1">
      <c r="A3464" s="7"/>
      <c r="B3464" s="7"/>
      <c r="C3464" s="7"/>
      <c r="D3464" s="7"/>
      <c r="E3464" s="7"/>
      <c r="F3464" s="7"/>
      <c r="G3464" s="7"/>
      <c r="H3464" s="8"/>
      <c r="I3464" s="8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 hidden="1">
      <c r="A3465" s="7"/>
      <c r="B3465" s="7"/>
      <c r="C3465" s="7"/>
      <c r="D3465" s="7"/>
      <c r="E3465" s="7"/>
      <c r="F3465" s="7"/>
      <c r="G3465" s="7"/>
      <c r="H3465" s="8"/>
      <c r="I3465" s="8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 hidden="1">
      <c r="A3466" s="7"/>
      <c r="B3466" s="7"/>
      <c r="C3466" s="7"/>
      <c r="D3466" s="7"/>
      <c r="E3466" s="7"/>
      <c r="F3466" s="7"/>
      <c r="G3466" s="7"/>
      <c r="H3466" s="8"/>
      <c r="I3466" s="8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 hidden="1">
      <c r="A3467" s="7"/>
      <c r="B3467" s="7"/>
      <c r="C3467" s="7"/>
      <c r="D3467" s="7"/>
      <c r="E3467" s="7"/>
      <c r="F3467" s="7"/>
      <c r="G3467" s="7"/>
      <c r="H3467" s="8"/>
      <c r="I3467" s="8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 hidden="1">
      <c r="A3468" s="7"/>
      <c r="B3468" s="7"/>
      <c r="C3468" s="7"/>
      <c r="D3468" s="7"/>
      <c r="E3468" s="7"/>
      <c r="F3468" s="7"/>
      <c r="G3468" s="7"/>
      <c r="H3468" s="8"/>
      <c r="I3468" s="8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 hidden="1">
      <c r="A3469" s="7"/>
      <c r="B3469" s="7"/>
      <c r="C3469" s="7"/>
      <c r="D3469" s="7"/>
      <c r="E3469" s="7"/>
      <c r="F3469" s="7"/>
      <c r="G3469" s="7"/>
      <c r="H3469" s="8"/>
      <c r="I3469" s="8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 hidden="1">
      <c r="A3470" s="7"/>
      <c r="B3470" s="7"/>
      <c r="C3470" s="7"/>
      <c r="D3470" s="7"/>
      <c r="E3470" s="7"/>
      <c r="F3470" s="7"/>
      <c r="G3470" s="7"/>
      <c r="H3470" s="8"/>
      <c r="I3470" s="8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 hidden="1">
      <c r="A3471" s="7"/>
      <c r="B3471" s="7"/>
      <c r="C3471" s="7"/>
      <c r="D3471" s="7"/>
      <c r="E3471" s="7"/>
      <c r="F3471" s="7"/>
      <c r="G3471" s="7"/>
      <c r="H3471" s="8"/>
      <c r="I3471" s="8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 hidden="1">
      <c r="A3472" s="7"/>
      <c r="B3472" s="7"/>
      <c r="C3472" s="7"/>
      <c r="D3472" s="7"/>
      <c r="E3472" s="7"/>
      <c r="F3472" s="7"/>
      <c r="G3472" s="7"/>
      <c r="H3472" s="8"/>
      <c r="I3472" s="8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 hidden="1">
      <c r="A3473" s="7"/>
      <c r="B3473" s="7"/>
      <c r="C3473" s="7"/>
      <c r="D3473" s="7"/>
      <c r="E3473" s="7"/>
      <c r="F3473" s="7"/>
      <c r="G3473" s="7"/>
      <c r="H3473" s="8"/>
      <c r="I3473" s="8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 hidden="1">
      <c r="A3474" s="7"/>
      <c r="B3474" s="7"/>
      <c r="C3474" s="7"/>
      <c r="D3474" s="7"/>
      <c r="E3474" s="7"/>
      <c r="F3474" s="7"/>
      <c r="G3474" s="7"/>
      <c r="H3474" s="8"/>
      <c r="I3474" s="8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 hidden="1">
      <c r="A3475" s="7"/>
      <c r="B3475" s="7"/>
      <c r="C3475" s="7"/>
      <c r="D3475" s="7"/>
      <c r="E3475" s="7"/>
      <c r="F3475" s="7"/>
      <c r="G3475" s="7"/>
      <c r="H3475" s="8"/>
      <c r="I3475" s="8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 hidden="1">
      <c r="A3476" s="7"/>
      <c r="B3476" s="7"/>
      <c r="C3476" s="7"/>
      <c r="D3476" s="7"/>
      <c r="E3476" s="7"/>
      <c r="F3476" s="7"/>
      <c r="G3476" s="7"/>
      <c r="H3476" s="8"/>
      <c r="I3476" s="8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 hidden="1">
      <c r="A3477" s="7"/>
      <c r="B3477" s="7"/>
      <c r="C3477" s="7"/>
      <c r="D3477" s="7"/>
      <c r="E3477" s="7"/>
      <c r="F3477" s="7"/>
      <c r="G3477" s="7"/>
      <c r="H3477" s="8"/>
      <c r="I3477" s="8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 hidden="1">
      <c r="A3478" s="7"/>
      <c r="B3478" s="7"/>
      <c r="C3478" s="7"/>
      <c r="D3478" s="7"/>
      <c r="E3478" s="7"/>
      <c r="F3478" s="7"/>
      <c r="G3478" s="7"/>
      <c r="H3478" s="8"/>
      <c r="I3478" s="8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 hidden="1">
      <c r="A3479" s="7"/>
      <c r="B3479" s="7"/>
      <c r="C3479" s="7"/>
      <c r="D3479" s="7"/>
      <c r="E3479" s="7"/>
      <c r="F3479" s="7"/>
      <c r="G3479" s="7"/>
      <c r="H3479" s="8"/>
      <c r="I3479" s="8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 hidden="1">
      <c r="A3480" s="7"/>
      <c r="B3480" s="7"/>
      <c r="C3480" s="7"/>
      <c r="D3480" s="7"/>
      <c r="E3480" s="7"/>
      <c r="F3480" s="7"/>
      <c r="G3480" s="7"/>
      <c r="H3480" s="8"/>
      <c r="I3480" s="8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 hidden="1">
      <c r="A3481" s="7"/>
      <c r="B3481" s="7"/>
      <c r="C3481" s="7"/>
      <c r="D3481" s="7"/>
      <c r="E3481" s="7"/>
      <c r="F3481" s="7"/>
      <c r="G3481" s="7"/>
      <c r="H3481" s="8"/>
      <c r="I3481" s="8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 hidden="1">
      <c r="A3482" s="7"/>
      <c r="B3482" s="7"/>
      <c r="C3482" s="7"/>
      <c r="D3482" s="7"/>
      <c r="E3482" s="7"/>
      <c r="F3482" s="7"/>
      <c r="G3482" s="7"/>
      <c r="H3482" s="8"/>
      <c r="I3482" s="8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 hidden="1">
      <c r="A3483" s="7"/>
      <c r="B3483" s="7"/>
      <c r="C3483" s="7"/>
      <c r="D3483" s="7"/>
      <c r="E3483" s="7"/>
      <c r="F3483" s="7"/>
      <c r="G3483" s="7"/>
      <c r="H3483" s="8"/>
      <c r="I3483" s="8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 hidden="1">
      <c r="A3484" s="7"/>
      <c r="B3484" s="7"/>
      <c r="C3484" s="7"/>
      <c r="D3484" s="7"/>
      <c r="E3484" s="7"/>
      <c r="F3484" s="7"/>
      <c r="G3484" s="7"/>
      <c r="H3484" s="8"/>
      <c r="I3484" s="8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 hidden="1">
      <c r="A3485" s="7"/>
      <c r="B3485" s="7"/>
      <c r="C3485" s="7"/>
      <c r="D3485" s="7"/>
      <c r="E3485" s="7"/>
      <c r="F3485" s="7"/>
      <c r="G3485" s="7"/>
      <c r="H3485" s="8"/>
      <c r="I3485" s="8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 hidden="1">
      <c r="A3486" s="7"/>
      <c r="B3486" s="7"/>
      <c r="C3486" s="7"/>
      <c r="D3486" s="7"/>
      <c r="E3486" s="7"/>
      <c r="F3486" s="7"/>
      <c r="G3486" s="7"/>
      <c r="H3486" s="8"/>
      <c r="I3486" s="8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 hidden="1">
      <c r="A3487" s="7"/>
      <c r="B3487" s="7"/>
      <c r="C3487" s="7"/>
      <c r="D3487" s="7"/>
      <c r="E3487" s="7"/>
      <c r="F3487" s="7"/>
      <c r="G3487" s="7"/>
      <c r="H3487" s="8"/>
      <c r="I3487" s="8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 hidden="1">
      <c r="A3488" s="7"/>
      <c r="B3488" s="7"/>
      <c r="C3488" s="7"/>
      <c r="D3488" s="7"/>
      <c r="E3488" s="7"/>
      <c r="F3488" s="7"/>
      <c r="G3488" s="7"/>
      <c r="H3488" s="8"/>
      <c r="I3488" s="8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 hidden="1">
      <c r="A3489" s="7"/>
      <c r="B3489" s="7"/>
      <c r="C3489" s="7"/>
      <c r="D3489" s="7"/>
      <c r="E3489" s="7"/>
      <c r="F3489" s="7"/>
      <c r="G3489" s="7"/>
      <c r="H3489" s="8"/>
      <c r="I3489" s="8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 hidden="1">
      <c r="A3490" s="7"/>
      <c r="B3490" s="7"/>
      <c r="C3490" s="7"/>
      <c r="D3490" s="7"/>
      <c r="E3490" s="7"/>
      <c r="F3490" s="7"/>
      <c r="G3490" s="7"/>
      <c r="H3490" s="8"/>
      <c r="I3490" s="8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 hidden="1">
      <c r="A3491" s="7"/>
      <c r="B3491" s="7"/>
      <c r="C3491" s="7"/>
      <c r="D3491" s="7"/>
      <c r="E3491" s="7"/>
      <c r="F3491" s="7"/>
      <c r="G3491" s="7"/>
      <c r="H3491" s="8"/>
      <c r="I3491" s="8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 hidden="1">
      <c r="A3492" s="7"/>
      <c r="B3492" s="7"/>
      <c r="C3492" s="7"/>
      <c r="D3492" s="7"/>
      <c r="E3492" s="7"/>
      <c r="F3492" s="7"/>
      <c r="G3492" s="7"/>
      <c r="H3492" s="8"/>
      <c r="I3492" s="8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 hidden="1">
      <c r="A3493" s="7"/>
      <c r="B3493" s="7"/>
      <c r="C3493" s="7"/>
      <c r="D3493" s="7"/>
      <c r="E3493" s="7"/>
      <c r="F3493" s="7"/>
      <c r="G3493" s="7"/>
      <c r="H3493" s="8"/>
      <c r="I3493" s="8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 hidden="1">
      <c r="A3494" s="7"/>
      <c r="B3494" s="7"/>
      <c r="C3494" s="7"/>
      <c r="D3494" s="7"/>
      <c r="E3494" s="7"/>
      <c r="F3494" s="7"/>
      <c r="G3494" s="7"/>
      <c r="H3494" s="8"/>
      <c r="I3494" s="8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 hidden="1">
      <c r="A3495" s="7"/>
      <c r="B3495" s="7"/>
      <c r="C3495" s="7"/>
      <c r="D3495" s="7"/>
      <c r="E3495" s="7"/>
      <c r="F3495" s="7"/>
      <c r="G3495" s="7"/>
      <c r="H3495" s="8"/>
      <c r="I3495" s="8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 hidden="1">
      <c r="A3496" s="7"/>
      <c r="B3496" s="7"/>
      <c r="C3496" s="7"/>
      <c r="D3496" s="7"/>
      <c r="E3496" s="7"/>
      <c r="F3496" s="7"/>
      <c r="G3496" s="7"/>
      <c r="H3496" s="8"/>
      <c r="I3496" s="8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 hidden="1">
      <c r="A3497" s="7"/>
      <c r="B3497" s="7"/>
      <c r="C3497" s="7"/>
      <c r="D3497" s="7"/>
      <c r="E3497" s="7"/>
      <c r="F3497" s="7"/>
      <c r="G3497" s="7"/>
      <c r="H3497" s="8"/>
      <c r="I3497" s="8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 hidden="1">
      <c r="A3498" s="7"/>
      <c r="B3498" s="7"/>
      <c r="C3498" s="7"/>
      <c r="D3498" s="7"/>
      <c r="E3498" s="7"/>
      <c r="F3498" s="7"/>
      <c r="G3498" s="7"/>
      <c r="H3498" s="8"/>
      <c r="I3498" s="8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 hidden="1">
      <c r="A3499" s="7"/>
      <c r="B3499" s="7"/>
      <c r="C3499" s="7"/>
      <c r="D3499" s="7"/>
      <c r="E3499" s="7"/>
      <c r="F3499" s="7"/>
      <c r="G3499" s="7"/>
      <c r="H3499" s="8"/>
      <c r="I3499" s="8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 hidden="1">
      <c r="A3500" s="7"/>
      <c r="B3500" s="7"/>
      <c r="C3500" s="7"/>
      <c r="D3500" s="7"/>
      <c r="E3500" s="7"/>
      <c r="F3500" s="7"/>
      <c r="G3500" s="7"/>
      <c r="H3500" s="8"/>
      <c r="I3500" s="8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 hidden="1">
      <c r="A3501" s="7"/>
      <c r="B3501" s="7"/>
      <c r="C3501" s="7"/>
      <c r="D3501" s="7"/>
      <c r="E3501" s="7"/>
      <c r="F3501" s="7"/>
      <c r="G3501" s="7"/>
      <c r="H3501" s="8"/>
      <c r="I3501" s="8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 hidden="1">
      <c r="A3502" s="7"/>
      <c r="B3502" s="7"/>
      <c r="C3502" s="7"/>
      <c r="D3502" s="7"/>
      <c r="E3502" s="7"/>
      <c r="F3502" s="7"/>
      <c r="G3502" s="7"/>
      <c r="H3502" s="8"/>
      <c r="I3502" s="8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 hidden="1">
      <c r="A3503" s="7"/>
      <c r="B3503" s="7"/>
      <c r="C3503" s="7"/>
      <c r="D3503" s="7"/>
      <c r="E3503" s="7"/>
      <c r="F3503" s="7"/>
      <c r="G3503" s="7"/>
      <c r="H3503" s="8"/>
      <c r="I3503" s="8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 hidden="1">
      <c r="A3504" s="7"/>
      <c r="B3504" s="7"/>
      <c r="C3504" s="7"/>
      <c r="D3504" s="7"/>
      <c r="E3504" s="7"/>
      <c r="F3504" s="7"/>
      <c r="G3504" s="7"/>
      <c r="H3504" s="8"/>
      <c r="I3504" s="8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 hidden="1">
      <c r="A3505" s="7"/>
      <c r="B3505" s="7"/>
      <c r="C3505" s="7"/>
      <c r="D3505" s="7"/>
      <c r="E3505" s="7"/>
      <c r="F3505" s="7"/>
      <c r="G3505" s="7"/>
      <c r="H3505" s="8"/>
      <c r="I3505" s="8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 hidden="1">
      <c r="A3506" s="7"/>
      <c r="B3506" s="7"/>
      <c r="C3506" s="7"/>
      <c r="D3506" s="7"/>
      <c r="E3506" s="7"/>
      <c r="F3506" s="7"/>
      <c r="G3506" s="7"/>
      <c r="H3506" s="8"/>
      <c r="I3506" s="8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 hidden="1">
      <c r="A3507" s="7"/>
      <c r="B3507" s="7"/>
      <c r="C3507" s="7"/>
      <c r="D3507" s="7"/>
      <c r="E3507" s="7"/>
      <c r="F3507" s="7"/>
      <c r="G3507" s="7"/>
      <c r="H3507" s="8"/>
      <c r="I3507" s="8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 hidden="1">
      <c r="A3508" s="7"/>
      <c r="B3508" s="7"/>
      <c r="C3508" s="7"/>
      <c r="D3508" s="7"/>
      <c r="E3508" s="7"/>
      <c r="F3508" s="7"/>
      <c r="G3508" s="7"/>
      <c r="H3508" s="8"/>
      <c r="I3508" s="8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 hidden="1">
      <c r="A3509" s="7"/>
      <c r="B3509" s="7"/>
      <c r="C3509" s="7"/>
      <c r="D3509" s="7"/>
      <c r="E3509" s="7"/>
      <c r="F3509" s="7"/>
      <c r="G3509" s="7"/>
      <c r="H3509" s="8"/>
      <c r="I3509" s="8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 hidden="1">
      <c r="A3510" s="7"/>
      <c r="B3510" s="7"/>
      <c r="C3510" s="7"/>
      <c r="D3510" s="7"/>
      <c r="E3510" s="7"/>
      <c r="F3510" s="7"/>
      <c r="G3510" s="7"/>
      <c r="H3510" s="8"/>
      <c r="I3510" s="8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 hidden="1">
      <c r="A3511" s="7"/>
      <c r="B3511" s="7"/>
      <c r="C3511" s="7"/>
      <c r="D3511" s="7"/>
      <c r="E3511" s="7"/>
      <c r="F3511" s="7"/>
      <c r="G3511" s="7"/>
      <c r="H3511" s="8"/>
      <c r="I3511" s="8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 hidden="1">
      <c r="A3512" s="7"/>
      <c r="B3512" s="7"/>
      <c r="C3512" s="7"/>
      <c r="D3512" s="7"/>
      <c r="E3512" s="7"/>
      <c r="F3512" s="7"/>
      <c r="G3512" s="7"/>
      <c r="H3512" s="8"/>
      <c r="I3512" s="8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 hidden="1">
      <c r="A3513" s="7"/>
      <c r="B3513" s="7"/>
      <c r="C3513" s="7"/>
      <c r="D3513" s="7"/>
      <c r="E3513" s="7"/>
      <c r="F3513" s="7"/>
      <c r="G3513" s="7"/>
      <c r="H3513" s="8"/>
      <c r="I3513" s="8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 hidden="1">
      <c r="A3514" s="7"/>
      <c r="B3514" s="7"/>
      <c r="C3514" s="7"/>
      <c r="D3514" s="7"/>
      <c r="E3514" s="7"/>
      <c r="F3514" s="7"/>
      <c r="G3514" s="7"/>
      <c r="H3514" s="8"/>
      <c r="I3514" s="8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 hidden="1">
      <c r="A3515" s="7"/>
      <c r="B3515" s="7"/>
      <c r="C3515" s="7"/>
      <c r="D3515" s="7"/>
      <c r="E3515" s="7"/>
      <c r="F3515" s="7"/>
      <c r="G3515" s="7"/>
      <c r="H3515" s="8"/>
      <c r="I3515" s="8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 hidden="1">
      <c r="A3516" s="7"/>
      <c r="B3516" s="7"/>
      <c r="C3516" s="7"/>
      <c r="D3516" s="7"/>
      <c r="E3516" s="7"/>
      <c r="F3516" s="7"/>
      <c r="G3516" s="7"/>
      <c r="H3516" s="8"/>
      <c r="I3516" s="8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 hidden="1">
      <c r="A3517" s="7"/>
      <c r="B3517" s="7"/>
      <c r="C3517" s="7"/>
      <c r="D3517" s="7"/>
      <c r="E3517" s="7"/>
      <c r="F3517" s="7"/>
      <c r="G3517" s="7"/>
      <c r="H3517" s="8"/>
      <c r="I3517" s="8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 hidden="1">
      <c r="A3518" s="7"/>
      <c r="B3518" s="7"/>
      <c r="C3518" s="7"/>
      <c r="D3518" s="7"/>
      <c r="E3518" s="7"/>
      <c r="F3518" s="7"/>
      <c r="G3518" s="7"/>
      <c r="H3518" s="8"/>
      <c r="I3518" s="8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 hidden="1">
      <c r="A3519" s="7"/>
      <c r="B3519" s="7"/>
      <c r="C3519" s="7"/>
      <c r="D3519" s="7"/>
      <c r="E3519" s="7"/>
      <c r="F3519" s="7"/>
      <c r="G3519" s="7"/>
      <c r="H3519" s="8"/>
      <c r="I3519" s="8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 hidden="1">
      <c r="A3520" s="7"/>
      <c r="B3520" s="7"/>
      <c r="C3520" s="7"/>
      <c r="D3520" s="7"/>
      <c r="E3520" s="7"/>
      <c r="F3520" s="7"/>
      <c r="G3520" s="7"/>
      <c r="H3520" s="8"/>
      <c r="I3520" s="8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 hidden="1">
      <c r="A3521" s="7"/>
      <c r="B3521" s="7"/>
      <c r="C3521" s="7"/>
      <c r="D3521" s="7"/>
      <c r="E3521" s="7"/>
      <c r="F3521" s="7"/>
      <c r="G3521" s="7"/>
      <c r="H3521" s="8"/>
      <c r="I3521" s="8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 hidden="1">
      <c r="A3522" s="7"/>
      <c r="B3522" s="7"/>
      <c r="C3522" s="7"/>
      <c r="D3522" s="7"/>
      <c r="E3522" s="7"/>
      <c r="F3522" s="7"/>
      <c r="G3522" s="7"/>
      <c r="H3522" s="8"/>
      <c r="I3522" s="8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 hidden="1">
      <c r="A3523" s="7"/>
      <c r="B3523" s="7"/>
      <c r="C3523" s="7"/>
      <c r="D3523" s="7"/>
      <c r="E3523" s="7"/>
      <c r="F3523" s="7"/>
      <c r="G3523" s="7"/>
      <c r="H3523" s="8"/>
      <c r="I3523" s="8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 hidden="1">
      <c r="A3524" s="7"/>
      <c r="B3524" s="7"/>
      <c r="C3524" s="7"/>
      <c r="D3524" s="7"/>
      <c r="E3524" s="7"/>
      <c r="F3524" s="7"/>
      <c r="G3524" s="7"/>
      <c r="H3524" s="8"/>
      <c r="I3524" s="8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 hidden="1">
      <c r="A3525" s="7"/>
      <c r="B3525" s="7"/>
      <c r="C3525" s="7"/>
      <c r="D3525" s="7"/>
      <c r="E3525" s="7"/>
      <c r="F3525" s="7"/>
      <c r="G3525" s="7"/>
      <c r="H3525" s="8"/>
      <c r="I3525" s="8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 hidden="1">
      <c r="A3526" s="7"/>
      <c r="B3526" s="7"/>
      <c r="C3526" s="7"/>
      <c r="D3526" s="7"/>
      <c r="E3526" s="7"/>
      <c r="F3526" s="7"/>
      <c r="G3526" s="7"/>
      <c r="H3526" s="8"/>
      <c r="I3526" s="8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 hidden="1">
      <c r="A3527" s="7"/>
      <c r="B3527" s="7"/>
      <c r="C3527" s="7"/>
      <c r="D3527" s="7"/>
      <c r="E3527" s="7"/>
      <c r="F3527" s="7"/>
      <c r="G3527" s="7"/>
      <c r="H3527" s="8"/>
      <c r="I3527" s="8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 hidden="1">
      <c r="A3528" s="7"/>
      <c r="B3528" s="7"/>
      <c r="C3528" s="7"/>
      <c r="D3528" s="7"/>
      <c r="E3528" s="7"/>
      <c r="F3528" s="7"/>
      <c r="G3528" s="7"/>
      <c r="H3528" s="8"/>
      <c r="I3528" s="8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 hidden="1">
      <c r="A3529" s="7"/>
      <c r="B3529" s="7"/>
      <c r="C3529" s="7"/>
      <c r="D3529" s="7"/>
      <c r="E3529" s="7"/>
      <c r="F3529" s="7"/>
      <c r="G3529" s="7"/>
      <c r="H3529" s="8"/>
      <c r="I3529" s="8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 hidden="1">
      <c r="A3530" s="7"/>
      <c r="B3530" s="7"/>
      <c r="C3530" s="7"/>
      <c r="D3530" s="7"/>
      <c r="E3530" s="7"/>
      <c r="F3530" s="7"/>
      <c r="G3530" s="7"/>
      <c r="H3530" s="8"/>
      <c r="I3530" s="8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 hidden="1">
      <c r="A3531" s="7"/>
      <c r="B3531" s="7"/>
      <c r="C3531" s="7"/>
      <c r="D3531" s="7"/>
      <c r="E3531" s="7"/>
      <c r="F3531" s="7"/>
      <c r="G3531" s="7"/>
      <c r="H3531" s="8"/>
      <c r="I3531" s="8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 hidden="1">
      <c r="A3532" s="7"/>
      <c r="B3532" s="7"/>
      <c r="C3532" s="7"/>
      <c r="D3532" s="7"/>
      <c r="E3532" s="7"/>
      <c r="F3532" s="7"/>
      <c r="G3532" s="7"/>
      <c r="H3532" s="8"/>
      <c r="I3532" s="8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 hidden="1">
      <c r="A3533" s="7"/>
      <c r="B3533" s="7"/>
      <c r="C3533" s="7"/>
      <c r="D3533" s="7"/>
      <c r="E3533" s="7"/>
      <c r="F3533" s="7"/>
      <c r="G3533" s="7"/>
      <c r="H3533" s="8"/>
      <c r="I3533" s="8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 hidden="1">
      <c r="A3534" s="7"/>
      <c r="B3534" s="7"/>
      <c r="C3534" s="7"/>
      <c r="D3534" s="7"/>
      <c r="E3534" s="7"/>
      <c r="F3534" s="7"/>
      <c r="G3534" s="7"/>
      <c r="H3534" s="8"/>
      <c r="I3534" s="8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 hidden="1">
      <c r="A3535" s="7"/>
      <c r="B3535" s="7"/>
      <c r="C3535" s="7"/>
      <c r="D3535" s="7"/>
      <c r="E3535" s="7"/>
      <c r="F3535" s="7"/>
      <c r="G3535" s="7"/>
      <c r="H3535" s="8"/>
      <c r="I3535" s="8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 hidden="1">
      <c r="A3536" s="7"/>
      <c r="B3536" s="7"/>
      <c r="C3536" s="7"/>
      <c r="D3536" s="7"/>
      <c r="E3536" s="7"/>
      <c r="F3536" s="7"/>
      <c r="G3536" s="7"/>
      <c r="H3536" s="8"/>
      <c r="I3536" s="8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 hidden="1">
      <c r="A3537" s="7"/>
      <c r="B3537" s="7"/>
      <c r="C3537" s="7"/>
      <c r="D3537" s="7"/>
      <c r="E3537" s="7"/>
      <c r="F3537" s="7"/>
      <c r="G3537" s="7"/>
      <c r="H3537" s="8"/>
      <c r="I3537" s="8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 hidden="1">
      <c r="A3538" s="7"/>
      <c r="B3538" s="7"/>
      <c r="C3538" s="7"/>
      <c r="D3538" s="7"/>
      <c r="E3538" s="7"/>
      <c r="F3538" s="7"/>
      <c r="G3538" s="7"/>
      <c r="H3538" s="8"/>
      <c r="I3538" s="8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 hidden="1">
      <c r="A3539" s="7"/>
      <c r="B3539" s="7"/>
      <c r="C3539" s="7"/>
      <c r="D3539" s="7"/>
      <c r="E3539" s="7"/>
      <c r="F3539" s="7"/>
      <c r="G3539" s="7"/>
      <c r="H3539" s="8"/>
      <c r="I3539" s="8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 hidden="1">
      <c r="A3540" s="7"/>
      <c r="B3540" s="7"/>
      <c r="C3540" s="7"/>
      <c r="D3540" s="7"/>
      <c r="E3540" s="7"/>
      <c r="F3540" s="7"/>
      <c r="G3540" s="7"/>
      <c r="H3540" s="8"/>
      <c r="I3540" s="8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 hidden="1">
      <c r="A3541" s="7"/>
      <c r="B3541" s="7"/>
      <c r="C3541" s="7"/>
      <c r="D3541" s="7"/>
      <c r="E3541" s="7"/>
      <c r="F3541" s="7"/>
      <c r="G3541" s="7"/>
      <c r="H3541" s="8"/>
      <c r="I3541" s="8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 hidden="1">
      <c r="A3542" s="7"/>
      <c r="B3542" s="7"/>
      <c r="C3542" s="7"/>
      <c r="D3542" s="7"/>
      <c r="E3542" s="7"/>
      <c r="F3542" s="7"/>
      <c r="G3542" s="7"/>
      <c r="H3542" s="8"/>
      <c r="I3542" s="8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 hidden="1">
      <c r="A3543" s="7"/>
      <c r="B3543" s="7"/>
      <c r="C3543" s="7"/>
      <c r="D3543" s="7"/>
      <c r="E3543" s="7"/>
      <c r="F3543" s="7"/>
      <c r="G3543" s="7"/>
      <c r="H3543" s="8"/>
      <c r="I3543" s="8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 hidden="1">
      <c r="A3544" s="7"/>
      <c r="B3544" s="7"/>
      <c r="C3544" s="7"/>
      <c r="D3544" s="7"/>
      <c r="E3544" s="7"/>
      <c r="F3544" s="7"/>
      <c r="G3544" s="7"/>
      <c r="H3544" s="8"/>
      <c r="I3544" s="8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 hidden="1">
      <c r="A3545" s="7"/>
      <c r="B3545" s="7"/>
      <c r="C3545" s="7"/>
      <c r="D3545" s="7"/>
      <c r="E3545" s="7"/>
      <c r="F3545" s="7"/>
      <c r="G3545" s="7"/>
      <c r="H3545" s="8"/>
      <c r="I3545" s="8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 hidden="1">
      <c r="A3546" s="7"/>
      <c r="B3546" s="7"/>
      <c r="C3546" s="7"/>
      <c r="D3546" s="7"/>
      <c r="E3546" s="7"/>
      <c r="F3546" s="7"/>
      <c r="G3546" s="7"/>
      <c r="H3546" s="8"/>
      <c r="I3546" s="8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 hidden="1">
      <c r="A3547" s="7"/>
      <c r="B3547" s="7"/>
      <c r="C3547" s="7"/>
      <c r="D3547" s="7"/>
      <c r="E3547" s="7"/>
      <c r="F3547" s="7"/>
      <c r="G3547" s="7"/>
      <c r="H3547" s="8"/>
      <c r="I3547" s="8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 hidden="1">
      <c r="A3548" s="7"/>
      <c r="B3548" s="7"/>
      <c r="C3548" s="7"/>
      <c r="D3548" s="7"/>
      <c r="E3548" s="7"/>
      <c r="F3548" s="7"/>
      <c r="G3548" s="7"/>
      <c r="H3548" s="8"/>
      <c r="I3548" s="8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 hidden="1">
      <c r="A3549" s="7"/>
      <c r="B3549" s="7"/>
      <c r="C3549" s="7"/>
      <c r="D3549" s="7"/>
      <c r="E3549" s="7"/>
      <c r="F3549" s="7"/>
      <c r="G3549" s="7"/>
      <c r="H3549" s="8"/>
      <c r="I3549" s="8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 hidden="1">
      <c r="A3550" s="7"/>
      <c r="B3550" s="7"/>
      <c r="C3550" s="7"/>
      <c r="D3550" s="7"/>
      <c r="E3550" s="7"/>
      <c r="F3550" s="7"/>
      <c r="G3550" s="7"/>
      <c r="H3550" s="8"/>
      <c r="I3550" s="8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 hidden="1">
      <c r="A3551" s="7"/>
      <c r="B3551" s="7"/>
      <c r="C3551" s="7"/>
      <c r="D3551" s="7"/>
      <c r="E3551" s="7"/>
      <c r="F3551" s="7"/>
      <c r="G3551" s="7"/>
      <c r="H3551" s="8"/>
      <c r="I3551" s="8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 hidden="1">
      <c r="A3552" s="7"/>
      <c r="B3552" s="7"/>
      <c r="C3552" s="7"/>
      <c r="D3552" s="7"/>
      <c r="E3552" s="7"/>
      <c r="F3552" s="7"/>
      <c r="G3552" s="7"/>
      <c r="H3552" s="8"/>
      <c r="I3552" s="8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 hidden="1">
      <c r="A3553" s="7"/>
      <c r="B3553" s="7"/>
      <c r="C3553" s="7"/>
      <c r="D3553" s="7"/>
      <c r="E3553" s="7"/>
      <c r="F3553" s="7"/>
      <c r="G3553" s="7"/>
      <c r="H3553" s="8"/>
      <c r="I3553" s="8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 hidden="1">
      <c r="A3554" s="7"/>
      <c r="B3554" s="7"/>
      <c r="C3554" s="7"/>
      <c r="D3554" s="7"/>
      <c r="E3554" s="7"/>
      <c r="F3554" s="7"/>
      <c r="G3554" s="7"/>
      <c r="H3554" s="8"/>
      <c r="I3554" s="8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 hidden="1">
      <c r="A3555" s="7"/>
      <c r="B3555" s="7"/>
      <c r="C3555" s="7"/>
      <c r="D3555" s="7"/>
      <c r="E3555" s="7"/>
      <c r="F3555" s="7"/>
      <c r="G3555" s="7"/>
      <c r="H3555" s="8"/>
      <c r="I3555" s="8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 hidden="1">
      <c r="A3556" s="7"/>
      <c r="B3556" s="7"/>
      <c r="C3556" s="7"/>
      <c r="D3556" s="7"/>
      <c r="E3556" s="7"/>
      <c r="F3556" s="7"/>
      <c r="G3556" s="7"/>
      <c r="H3556" s="8"/>
      <c r="I3556" s="8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 hidden="1">
      <c r="A3557" s="7"/>
      <c r="B3557" s="7"/>
      <c r="C3557" s="7"/>
      <c r="D3557" s="7"/>
      <c r="E3557" s="7"/>
      <c r="F3557" s="7"/>
      <c r="G3557" s="7"/>
      <c r="H3557" s="8"/>
      <c r="I3557" s="8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 hidden="1">
      <c r="A3558" s="7"/>
      <c r="B3558" s="7"/>
      <c r="C3558" s="7"/>
      <c r="D3558" s="7"/>
      <c r="E3558" s="7"/>
      <c r="F3558" s="7"/>
      <c r="G3558" s="7"/>
      <c r="H3558" s="8"/>
      <c r="I3558" s="8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 hidden="1">
      <c r="A3559" s="7"/>
      <c r="B3559" s="7"/>
      <c r="C3559" s="7"/>
      <c r="D3559" s="7"/>
      <c r="E3559" s="7"/>
      <c r="F3559" s="7"/>
      <c r="G3559" s="7"/>
      <c r="H3559" s="8"/>
      <c r="I3559" s="8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 hidden="1">
      <c r="A3560" s="7"/>
      <c r="B3560" s="7"/>
      <c r="C3560" s="7"/>
      <c r="D3560" s="7"/>
      <c r="E3560" s="7"/>
      <c r="F3560" s="7"/>
      <c r="G3560" s="7"/>
      <c r="H3560" s="8"/>
      <c r="I3560" s="8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 hidden="1">
      <c r="A3561" s="7"/>
      <c r="B3561" s="7"/>
      <c r="C3561" s="7"/>
      <c r="D3561" s="7"/>
      <c r="E3561" s="7"/>
      <c r="F3561" s="7"/>
      <c r="G3561" s="7"/>
      <c r="H3561" s="8"/>
      <c r="I3561" s="8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 hidden="1">
      <c r="A3562" s="7"/>
      <c r="B3562" s="7"/>
      <c r="C3562" s="7"/>
      <c r="D3562" s="7"/>
      <c r="E3562" s="7"/>
      <c r="F3562" s="7"/>
      <c r="G3562" s="7"/>
      <c r="H3562" s="8"/>
      <c r="I3562" s="8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 hidden="1">
      <c r="A3563" s="7"/>
      <c r="B3563" s="7"/>
      <c r="C3563" s="7"/>
      <c r="D3563" s="7"/>
      <c r="E3563" s="7"/>
      <c r="F3563" s="7"/>
      <c r="G3563" s="7"/>
      <c r="H3563" s="8"/>
      <c r="I3563" s="8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 hidden="1">
      <c r="A3564" s="7"/>
      <c r="B3564" s="7"/>
      <c r="C3564" s="7"/>
      <c r="D3564" s="7"/>
      <c r="E3564" s="7"/>
      <c r="F3564" s="7"/>
      <c r="G3564" s="7"/>
      <c r="H3564" s="8"/>
      <c r="I3564" s="8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 hidden="1">
      <c r="A3565" s="7"/>
      <c r="B3565" s="7"/>
      <c r="C3565" s="7"/>
      <c r="D3565" s="7"/>
      <c r="E3565" s="7"/>
      <c r="F3565" s="7"/>
      <c r="G3565" s="7"/>
      <c r="H3565" s="8"/>
      <c r="I3565" s="8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 hidden="1">
      <c r="A3566" s="7"/>
      <c r="B3566" s="7"/>
      <c r="C3566" s="7"/>
      <c r="D3566" s="7"/>
      <c r="E3566" s="7"/>
      <c r="F3566" s="7"/>
      <c r="G3566" s="7"/>
      <c r="H3566" s="8"/>
      <c r="I3566" s="8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 hidden="1">
      <c r="A3567" s="7"/>
      <c r="B3567" s="7"/>
      <c r="C3567" s="7"/>
      <c r="D3567" s="7"/>
      <c r="E3567" s="7"/>
      <c r="F3567" s="7"/>
      <c r="G3567" s="7"/>
      <c r="H3567" s="8"/>
      <c r="I3567" s="8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 hidden="1">
      <c r="A3568" s="7"/>
      <c r="B3568" s="7"/>
      <c r="C3568" s="7"/>
      <c r="D3568" s="7"/>
      <c r="E3568" s="7"/>
      <c r="F3568" s="7"/>
      <c r="G3568" s="7"/>
      <c r="H3568" s="8"/>
      <c r="I3568" s="8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 hidden="1">
      <c r="A3569" s="7"/>
      <c r="B3569" s="7"/>
      <c r="C3569" s="7"/>
      <c r="D3569" s="7"/>
      <c r="E3569" s="7"/>
      <c r="F3569" s="7"/>
      <c r="G3569" s="7"/>
      <c r="H3569" s="8"/>
      <c r="I3569" s="8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 hidden="1">
      <c r="A3570" s="7"/>
      <c r="B3570" s="7"/>
      <c r="C3570" s="7"/>
      <c r="D3570" s="7"/>
      <c r="E3570" s="7"/>
      <c r="F3570" s="7"/>
      <c r="G3570" s="7"/>
      <c r="H3570" s="8"/>
      <c r="I3570" s="8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 hidden="1">
      <c r="A3571" s="7"/>
      <c r="B3571" s="7"/>
      <c r="C3571" s="7"/>
      <c r="D3571" s="7"/>
      <c r="E3571" s="7"/>
      <c r="F3571" s="7"/>
      <c r="G3571" s="7"/>
      <c r="H3571" s="8"/>
      <c r="I3571" s="8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 hidden="1">
      <c r="A3572" s="7"/>
      <c r="B3572" s="7"/>
      <c r="C3572" s="7"/>
      <c r="D3572" s="7"/>
      <c r="E3572" s="7"/>
      <c r="F3572" s="7"/>
      <c r="G3572" s="7"/>
      <c r="H3572" s="8"/>
      <c r="I3572" s="8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 hidden="1">
      <c r="A3573" s="7"/>
      <c r="B3573" s="7"/>
      <c r="C3573" s="7"/>
      <c r="D3573" s="7"/>
      <c r="E3573" s="7"/>
      <c r="F3573" s="7"/>
      <c r="G3573" s="7"/>
      <c r="H3573" s="8"/>
      <c r="I3573" s="8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 hidden="1">
      <c r="A3574" s="7"/>
      <c r="B3574" s="7"/>
      <c r="C3574" s="7"/>
      <c r="D3574" s="7"/>
      <c r="E3574" s="7"/>
      <c r="F3574" s="7"/>
      <c r="G3574" s="7"/>
      <c r="H3574" s="8"/>
      <c r="I3574" s="8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 hidden="1">
      <c r="A3575" s="7"/>
      <c r="B3575" s="7"/>
      <c r="C3575" s="7"/>
      <c r="D3575" s="7"/>
      <c r="E3575" s="7"/>
      <c r="F3575" s="7"/>
      <c r="G3575" s="7"/>
      <c r="H3575" s="8"/>
      <c r="I3575" s="8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 hidden="1">
      <c r="A3576" s="7"/>
      <c r="B3576" s="7"/>
      <c r="C3576" s="7"/>
      <c r="D3576" s="7"/>
      <c r="E3576" s="7"/>
      <c r="F3576" s="7"/>
      <c r="G3576" s="7"/>
      <c r="H3576" s="8"/>
      <c r="I3576" s="8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 hidden="1">
      <c r="A3577" s="7"/>
      <c r="B3577" s="7"/>
      <c r="C3577" s="7"/>
      <c r="D3577" s="7"/>
      <c r="E3577" s="7"/>
      <c r="F3577" s="7"/>
      <c r="G3577" s="7"/>
      <c r="H3577" s="8"/>
      <c r="I3577" s="8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 hidden="1">
      <c r="A3578" s="7"/>
      <c r="B3578" s="7"/>
      <c r="C3578" s="7"/>
      <c r="D3578" s="7"/>
      <c r="E3578" s="7"/>
      <c r="F3578" s="7"/>
      <c r="G3578" s="7"/>
      <c r="H3578" s="8"/>
      <c r="I3578" s="8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 hidden="1">
      <c r="A3579" s="7"/>
      <c r="B3579" s="7"/>
      <c r="C3579" s="7"/>
      <c r="D3579" s="7"/>
      <c r="E3579" s="7"/>
      <c r="F3579" s="7"/>
      <c r="G3579" s="7"/>
      <c r="H3579" s="8"/>
      <c r="I3579" s="8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 hidden="1">
      <c r="A3580" s="7"/>
      <c r="B3580" s="7"/>
      <c r="C3580" s="7"/>
      <c r="D3580" s="7"/>
      <c r="E3580" s="7"/>
      <c r="F3580" s="7"/>
      <c r="G3580" s="7"/>
      <c r="H3580" s="8"/>
      <c r="I3580" s="8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 hidden="1">
      <c r="A3581" s="7"/>
      <c r="B3581" s="7"/>
      <c r="C3581" s="7"/>
      <c r="D3581" s="7"/>
      <c r="E3581" s="7"/>
      <c r="F3581" s="7"/>
      <c r="G3581" s="7"/>
      <c r="H3581" s="8"/>
      <c r="I3581" s="8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 hidden="1">
      <c r="A3582" s="7"/>
      <c r="B3582" s="7"/>
      <c r="C3582" s="7"/>
      <c r="D3582" s="7"/>
      <c r="E3582" s="7"/>
      <c r="F3582" s="7"/>
      <c r="G3582" s="7"/>
      <c r="H3582" s="8"/>
      <c r="I3582" s="8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 hidden="1">
      <c r="A3583" s="7"/>
      <c r="B3583" s="7"/>
      <c r="C3583" s="7"/>
      <c r="D3583" s="7"/>
      <c r="E3583" s="7"/>
      <c r="F3583" s="7"/>
      <c r="G3583" s="7"/>
      <c r="H3583" s="8"/>
      <c r="I3583" s="8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 hidden="1">
      <c r="A3584" s="7"/>
      <c r="B3584" s="7"/>
      <c r="C3584" s="7"/>
      <c r="D3584" s="7"/>
      <c r="E3584" s="7"/>
      <c r="F3584" s="7"/>
      <c r="G3584" s="7"/>
      <c r="H3584" s="8"/>
      <c r="I3584" s="8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 hidden="1">
      <c r="A3585" s="7"/>
      <c r="B3585" s="7"/>
      <c r="C3585" s="7"/>
      <c r="D3585" s="7"/>
      <c r="E3585" s="7"/>
      <c r="F3585" s="7"/>
      <c r="G3585" s="7"/>
      <c r="H3585" s="8"/>
      <c r="I3585" s="8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 hidden="1">
      <c r="A3586" s="7"/>
      <c r="B3586" s="7"/>
      <c r="C3586" s="7"/>
      <c r="D3586" s="7"/>
      <c r="E3586" s="7"/>
      <c r="F3586" s="7"/>
      <c r="G3586" s="7"/>
      <c r="H3586" s="8"/>
      <c r="I3586" s="8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 hidden="1">
      <c r="A3587" s="7"/>
      <c r="B3587" s="7"/>
      <c r="C3587" s="7"/>
      <c r="D3587" s="7"/>
      <c r="E3587" s="7"/>
      <c r="F3587" s="7"/>
      <c r="G3587" s="7"/>
      <c r="H3587" s="8"/>
      <c r="I3587" s="8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 hidden="1">
      <c r="A3588" s="7"/>
      <c r="B3588" s="7"/>
      <c r="C3588" s="7"/>
      <c r="D3588" s="7"/>
      <c r="E3588" s="7"/>
      <c r="F3588" s="7"/>
      <c r="G3588" s="7"/>
      <c r="H3588" s="8"/>
      <c r="I3588" s="8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 hidden="1">
      <c r="A3589" s="7"/>
      <c r="B3589" s="7"/>
      <c r="C3589" s="7"/>
      <c r="D3589" s="7"/>
      <c r="E3589" s="7"/>
      <c r="F3589" s="7"/>
      <c r="G3589" s="7"/>
      <c r="H3589" s="8"/>
      <c r="I3589" s="8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 hidden="1">
      <c r="A3590" s="7"/>
      <c r="B3590" s="7"/>
      <c r="C3590" s="7"/>
      <c r="D3590" s="7"/>
      <c r="E3590" s="7"/>
      <c r="F3590" s="7"/>
      <c r="G3590" s="7"/>
      <c r="H3590" s="8"/>
      <c r="I3590" s="8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 hidden="1">
      <c r="A3591" s="7"/>
      <c r="B3591" s="7"/>
      <c r="C3591" s="7"/>
      <c r="D3591" s="7"/>
      <c r="E3591" s="7"/>
      <c r="F3591" s="7"/>
      <c r="G3591" s="7"/>
      <c r="H3591" s="8"/>
      <c r="I3591" s="8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 hidden="1">
      <c r="A3592" s="7"/>
      <c r="B3592" s="7"/>
      <c r="C3592" s="7"/>
      <c r="D3592" s="7"/>
      <c r="E3592" s="7"/>
      <c r="F3592" s="7"/>
      <c r="G3592" s="7"/>
      <c r="H3592" s="8"/>
      <c r="I3592" s="8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 hidden="1">
      <c r="A3593" s="7"/>
      <c r="B3593" s="7"/>
      <c r="C3593" s="7"/>
      <c r="D3593" s="7"/>
      <c r="E3593" s="7"/>
      <c r="F3593" s="7"/>
      <c r="G3593" s="7"/>
      <c r="H3593" s="8"/>
      <c r="I3593" s="8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 hidden="1">
      <c r="A3594" s="7"/>
      <c r="B3594" s="7"/>
      <c r="C3594" s="7"/>
      <c r="D3594" s="7"/>
      <c r="E3594" s="7"/>
      <c r="F3594" s="7"/>
      <c r="G3594" s="7"/>
      <c r="H3594" s="8"/>
      <c r="I3594" s="8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 hidden="1">
      <c r="A3595" s="7"/>
      <c r="B3595" s="7"/>
      <c r="C3595" s="7"/>
      <c r="D3595" s="7"/>
      <c r="E3595" s="7"/>
      <c r="F3595" s="7"/>
      <c r="G3595" s="7"/>
      <c r="H3595" s="8"/>
      <c r="I3595" s="8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 hidden="1">
      <c r="A3596" s="7"/>
      <c r="B3596" s="7"/>
      <c r="C3596" s="7"/>
      <c r="D3596" s="7"/>
      <c r="E3596" s="7"/>
      <c r="F3596" s="7"/>
      <c r="G3596" s="7"/>
      <c r="H3596" s="8"/>
      <c r="I3596" s="8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 hidden="1">
      <c r="A3597" s="7"/>
      <c r="B3597" s="7"/>
      <c r="C3597" s="7"/>
      <c r="D3597" s="7"/>
      <c r="E3597" s="7"/>
      <c r="F3597" s="7"/>
      <c r="G3597" s="7"/>
      <c r="H3597" s="8"/>
      <c r="I3597" s="8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 hidden="1">
      <c r="A3598" s="7"/>
      <c r="B3598" s="7"/>
      <c r="C3598" s="7"/>
      <c r="D3598" s="7"/>
      <c r="E3598" s="7"/>
      <c r="F3598" s="7"/>
      <c r="G3598" s="7"/>
      <c r="H3598" s="8"/>
      <c r="I3598" s="8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 hidden="1">
      <c r="A3599" s="7"/>
      <c r="B3599" s="7"/>
      <c r="C3599" s="7"/>
      <c r="D3599" s="7"/>
      <c r="E3599" s="7"/>
      <c r="F3599" s="7"/>
      <c r="G3599" s="7"/>
      <c r="H3599" s="8"/>
      <c r="I3599" s="8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 hidden="1">
      <c r="A3600" s="7"/>
      <c r="B3600" s="7"/>
      <c r="C3600" s="7"/>
      <c r="D3600" s="7"/>
      <c r="E3600" s="7"/>
      <c r="F3600" s="7"/>
      <c r="G3600" s="7"/>
      <c r="H3600" s="8"/>
      <c r="I3600" s="8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 hidden="1">
      <c r="A3601" s="7"/>
      <c r="B3601" s="7"/>
      <c r="C3601" s="7"/>
      <c r="D3601" s="7"/>
      <c r="E3601" s="7"/>
      <c r="F3601" s="7"/>
      <c r="G3601" s="7"/>
      <c r="H3601" s="8"/>
      <c r="I3601" s="8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 hidden="1">
      <c r="A3602" s="7"/>
      <c r="B3602" s="7"/>
      <c r="C3602" s="7"/>
      <c r="D3602" s="7"/>
      <c r="E3602" s="7"/>
      <c r="F3602" s="7"/>
      <c r="G3602" s="7"/>
      <c r="H3602" s="8"/>
      <c r="I3602" s="8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 hidden="1">
      <c r="A3603" s="7"/>
      <c r="B3603" s="7"/>
      <c r="C3603" s="7"/>
      <c r="D3603" s="7"/>
      <c r="E3603" s="7"/>
      <c r="F3603" s="7"/>
      <c r="G3603" s="7"/>
      <c r="H3603" s="8"/>
      <c r="I3603" s="8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 hidden="1">
      <c r="A3604" s="7"/>
      <c r="B3604" s="7"/>
      <c r="C3604" s="7"/>
      <c r="D3604" s="7"/>
      <c r="E3604" s="7"/>
      <c r="F3604" s="7"/>
      <c r="G3604" s="7"/>
      <c r="H3604" s="8"/>
      <c r="I3604" s="8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 hidden="1">
      <c r="A3605" s="7"/>
      <c r="B3605" s="7"/>
      <c r="C3605" s="7"/>
      <c r="D3605" s="7"/>
      <c r="E3605" s="7"/>
      <c r="F3605" s="7"/>
      <c r="G3605" s="7"/>
      <c r="H3605" s="8"/>
      <c r="I3605" s="8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 hidden="1">
      <c r="A3606" s="7"/>
      <c r="B3606" s="7"/>
      <c r="C3606" s="7"/>
      <c r="D3606" s="7"/>
      <c r="E3606" s="7"/>
      <c r="F3606" s="7"/>
      <c r="G3606" s="7"/>
      <c r="H3606" s="8"/>
      <c r="I3606" s="8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 hidden="1">
      <c r="A3607" s="7"/>
      <c r="B3607" s="7"/>
      <c r="C3607" s="7"/>
      <c r="D3607" s="7"/>
      <c r="E3607" s="7"/>
      <c r="F3607" s="7"/>
      <c r="G3607" s="7"/>
      <c r="H3607" s="8"/>
      <c r="I3607" s="8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 hidden="1">
      <c r="A3608" s="7"/>
      <c r="B3608" s="7"/>
      <c r="C3608" s="7"/>
      <c r="D3608" s="7"/>
      <c r="E3608" s="7"/>
      <c r="F3608" s="7"/>
      <c r="G3608" s="7"/>
      <c r="H3608" s="8"/>
      <c r="I3608" s="8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 hidden="1">
      <c r="A3609" s="7"/>
      <c r="B3609" s="7"/>
      <c r="C3609" s="7"/>
      <c r="D3609" s="7"/>
      <c r="E3609" s="7"/>
      <c r="F3609" s="7"/>
      <c r="G3609" s="7"/>
      <c r="H3609" s="8"/>
      <c r="I3609" s="8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 hidden="1">
      <c r="A3610" s="7"/>
      <c r="B3610" s="7"/>
      <c r="C3610" s="7"/>
      <c r="D3610" s="7"/>
      <c r="E3610" s="7"/>
      <c r="F3610" s="7"/>
      <c r="G3610" s="7"/>
      <c r="H3610" s="8"/>
      <c r="I3610" s="8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 hidden="1">
      <c r="A3611" s="7"/>
      <c r="B3611" s="7"/>
      <c r="C3611" s="7"/>
      <c r="D3611" s="7"/>
      <c r="E3611" s="7"/>
      <c r="F3611" s="7"/>
      <c r="G3611" s="7"/>
      <c r="H3611" s="8"/>
      <c r="I3611" s="8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 hidden="1">
      <c r="A3612" s="7"/>
      <c r="B3612" s="7"/>
      <c r="C3612" s="7"/>
      <c r="D3612" s="7"/>
      <c r="E3612" s="7"/>
      <c r="F3612" s="7"/>
      <c r="G3612" s="7"/>
      <c r="H3612" s="8"/>
      <c r="I3612" s="8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 hidden="1">
      <c r="A3613" s="7"/>
      <c r="B3613" s="7"/>
      <c r="C3613" s="7"/>
      <c r="D3613" s="7"/>
      <c r="E3613" s="7"/>
      <c r="F3613" s="7"/>
      <c r="G3613" s="7"/>
      <c r="H3613" s="8"/>
      <c r="I3613" s="8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 hidden="1">
      <c r="A3614" s="7"/>
      <c r="B3614" s="7"/>
      <c r="C3614" s="7"/>
      <c r="D3614" s="7"/>
      <c r="E3614" s="7"/>
      <c r="F3614" s="7"/>
      <c r="G3614" s="7"/>
      <c r="H3614" s="8"/>
      <c r="I3614" s="8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 hidden="1">
      <c r="A3615" s="7"/>
      <c r="B3615" s="7"/>
      <c r="C3615" s="7"/>
      <c r="D3615" s="7"/>
      <c r="E3615" s="7"/>
      <c r="F3615" s="7"/>
      <c r="G3615" s="7"/>
      <c r="H3615" s="8"/>
      <c r="I3615" s="8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 hidden="1">
      <c r="A3616" s="7"/>
      <c r="B3616" s="7"/>
      <c r="C3616" s="7"/>
      <c r="D3616" s="7"/>
      <c r="E3616" s="7"/>
      <c r="F3616" s="7"/>
      <c r="G3616" s="7"/>
      <c r="H3616" s="8"/>
      <c r="I3616" s="8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 hidden="1">
      <c r="A3617" s="7"/>
      <c r="B3617" s="7"/>
      <c r="C3617" s="7"/>
      <c r="D3617" s="7"/>
      <c r="E3617" s="7"/>
      <c r="F3617" s="7"/>
      <c r="G3617" s="7"/>
      <c r="H3617" s="8"/>
      <c r="I3617" s="8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 hidden="1">
      <c r="A3618" s="7"/>
      <c r="B3618" s="7"/>
      <c r="C3618" s="7"/>
      <c r="D3618" s="7"/>
      <c r="E3618" s="7"/>
      <c r="F3618" s="7"/>
      <c r="G3618" s="7"/>
      <c r="H3618" s="8"/>
      <c r="I3618" s="8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 hidden="1">
      <c r="A3619" s="7"/>
      <c r="B3619" s="7"/>
      <c r="C3619" s="7"/>
      <c r="D3619" s="7"/>
      <c r="E3619" s="7"/>
      <c r="F3619" s="7"/>
      <c r="G3619" s="7"/>
      <c r="H3619" s="8"/>
      <c r="I3619" s="8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 hidden="1">
      <c r="A3620" s="7"/>
      <c r="B3620" s="7"/>
      <c r="C3620" s="7"/>
      <c r="D3620" s="7"/>
      <c r="E3620" s="7"/>
      <c r="F3620" s="7"/>
      <c r="G3620" s="7"/>
      <c r="H3620" s="8"/>
      <c r="I3620" s="8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 hidden="1">
      <c r="A3621" s="7"/>
      <c r="B3621" s="7"/>
      <c r="C3621" s="7"/>
      <c r="D3621" s="7"/>
      <c r="E3621" s="7"/>
      <c r="F3621" s="7"/>
      <c r="G3621" s="7"/>
      <c r="H3621" s="8"/>
      <c r="I3621" s="8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 hidden="1">
      <c r="A3622" s="7"/>
      <c r="B3622" s="7"/>
      <c r="C3622" s="7"/>
      <c r="D3622" s="7"/>
      <c r="E3622" s="7"/>
      <c r="F3622" s="7"/>
      <c r="G3622" s="7"/>
      <c r="H3622" s="8"/>
      <c r="I3622" s="8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 hidden="1">
      <c r="A3623" s="7"/>
      <c r="B3623" s="7"/>
      <c r="C3623" s="7"/>
      <c r="D3623" s="7"/>
      <c r="E3623" s="7"/>
      <c r="F3623" s="7"/>
      <c r="G3623" s="7"/>
      <c r="H3623" s="8"/>
      <c r="I3623" s="8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 hidden="1">
      <c r="A3624" s="7"/>
      <c r="B3624" s="7"/>
      <c r="C3624" s="7"/>
      <c r="D3624" s="7"/>
      <c r="E3624" s="7"/>
      <c r="F3624" s="7"/>
      <c r="G3624" s="7"/>
      <c r="H3624" s="8"/>
      <c r="I3624" s="8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 hidden="1">
      <c r="A3625" s="7"/>
      <c r="B3625" s="7"/>
      <c r="C3625" s="7"/>
      <c r="D3625" s="7"/>
      <c r="E3625" s="7"/>
      <c r="F3625" s="7"/>
      <c r="G3625" s="7"/>
      <c r="H3625" s="8"/>
      <c r="I3625" s="8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 hidden="1">
      <c r="A3626" s="7"/>
      <c r="B3626" s="7"/>
      <c r="C3626" s="7"/>
      <c r="D3626" s="7"/>
      <c r="E3626" s="7"/>
      <c r="F3626" s="7"/>
      <c r="G3626" s="7"/>
      <c r="H3626" s="8"/>
      <c r="I3626" s="8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 hidden="1">
      <c r="A3627" s="7"/>
      <c r="B3627" s="7"/>
      <c r="C3627" s="7"/>
      <c r="D3627" s="7"/>
      <c r="E3627" s="7"/>
      <c r="F3627" s="7"/>
      <c r="G3627" s="7"/>
      <c r="H3627" s="8"/>
      <c r="I3627" s="8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 hidden="1">
      <c r="A3628" s="7"/>
      <c r="B3628" s="7"/>
      <c r="C3628" s="7"/>
      <c r="D3628" s="7"/>
      <c r="E3628" s="7"/>
      <c r="F3628" s="7"/>
      <c r="G3628" s="7"/>
      <c r="H3628" s="8"/>
      <c r="I3628" s="8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 hidden="1">
      <c r="A3629" s="7"/>
      <c r="B3629" s="7"/>
      <c r="C3629" s="7"/>
      <c r="D3629" s="7"/>
      <c r="E3629" s="7"/>
      <c r="F3629" s="7"/>
      <c r="G3629" s="7"/>
      <c r="H3629" s="8"/>
      <c r="I3629" s="8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 hidden="1">
      <c r="A3630" s="7"/>
      <c r="B3630" s="7"/>
      <c r="C3630" s="7"/>
      <c r="D3630" s="7"/>
      <c r="E3630" s="7"/>
      <c r="F3630" s="7"/>
      <c r="G3630" s="7"/>
      <c r="H3630" s="8"/>
      <c r="I3630" s="8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 hidden="1">
      <c r="A3631" s="7"/>
      <c r="B3631" s="7"/>
      <c r="C3631" s="7"/>
      <c r="D3631" s="7"/>
      <c r="E3631" s="7"/>
      <c r="F3631" s="7"/>
      <c r="G3631" s="7"/>
      <c r="H3631" s="8"/>
      <c r="I3631" s="8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 hidden="1">
      <c r="A3632" s="7"/>
      <c r="B3632" s="7"/>
      <c r="C3632" s="7"/>
      <c r="D3632" s="7"/>
      <c r="E3632" s="7"/>
      <c r="F3632" s="7"/>
      <c r="G3632" s="7"/>
      <c r="H3632" s="8"/>
      <c r="I3632" s="8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 hidden="1">
      <c r="A3633" s="7"/>
      <c r="B3633" s="7"/>
      <c r="C3633" s="7"/>
      <c r="D3633" s="7"/>
      <c r="E3633" s="7"/>
      <c r="F3633" s="7"/>
      <c r="G3633" s="7"/>
      <c r="H3633" s="8"/>
      <c r="I3633" s="8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 hidden="1">
      <c r="A3634" s="7"/>
      <c r="B3634" s="7"/>
      <c r="C3634" s="7"/>
      <c r="D3634" s="7"/>
      <c r="E3634" s="7"/>
      <c r="F3634" s="7"/>
      <c r="G3634" s="7"/>
      <c r="H3634" s="8"/>
      <c r="I3634" s="8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 hidden="1">
      <c r="A3635" s="7"/>
      <c r="B3635" s="7"/>
      <c r="C3635" s="7"/>
      <c r="D3635" s="7"/>
      <c r="E3635" s="7"/>
      <c r="F3635" s="7"/>
      <c r="G3635" s="7"/>
      <c r="H3635" s="8"/>
      <c r="I3635" s="8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 hidden="1">
      <c r="A3636" s="7"/>
      <c r="B3636" s="7"/>
      <c r="C3636" s="7"/>
      <c r="D3636" s="7"/>
      <c r="E3636" s="7"/>
      <c r="F3636" s="7"/>
      <c r="G3636" s="7"/>
      <c r="H3636" s="8"/>
      <c r="I3636" s="8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 hidden="1">
      <c r="A3637" s="7"/>
      <c r="B3637" s="7"/>
      <c r="C3637" s="7"/>
      <c r="D3637" s="7"/>
      <c r="E3637" s="7"/>
      <c r="F3637" s="7"/>
      <c r="G3637" s="7"/>
      <c r="H3637" s="8"/>
      <c r="I3637" s="8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 hidden="1">
      <c r="A3638" s="7"/>
      <c r="B3638" s="7"/>
      <c r="C3638" s="7"/>
      <c r="D3638" s="7"/>
      <c r="E3638" s="7"/>
      <c r="F3638" s="7"/>
      <c r="G3638" s="7"/>
      <c r="H3638" s="8"/>
      <c r="I3638" s="8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 hidden="1">
      <c r="A3639" s="7"/>
      <c r="B3639" s="7"/>
      <c r="C3639" s="7"/>
      <c r="D3639" s="7"/>
      <c r="E3639" s="7"/>
      <c r="F3639" s="7"/>
      <c r="G3639" s="7"/>
      <c r="H3639" s="8"/>
      <c r="I3639" s="8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 hidden="1">
      <c r="A3640" s="7"/>
      <c r="B3640" s="7"/>
      <c r="C3640" s="7"/>
      <c r="D3640" s="7"/>
      <c r="E3640" s="7"/>
      <c r="F3640" s="7"/>
      <c r="G3640" s="7"/>
      <c r="H3640" s="8"/>
      <c r="I3640" s="8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 hidden="1">
      <c r="A3641" s="7"/>
      <c r="B3641" s="7"/>
      <c r="C3641" s="7"/>
      <c r="D3641" s="7"/>
      <c r="E3641" s="7"/>
      <c r="F3641" s="7"/>
      <c r="G3641" s="7"/>
      <c r="H3641" s="8"/>
      <c r="I3641" s="8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 hidden="1">
      <c r="A3642" s="7"/>
      <c r="B3642" s="7"/>
      <c r="C3642" s="7"/>
      <c r="D3642" s="7"/>
      <c r="E3642" s="7"/>
      <c r="F3642" s="7"/>
      <c r="G3642" s="7"/>
      <c r="H3642" s="8"/>
      <c r="I3642" s="8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 hidden="1">
      <c r="A3643" s="7"/>
      <c r="B3643" s="7"/>
      <c r="C3643" s="7"/>
      <c r="D3643" s="7"/>
      <c r="E3643" s="7"/>
      <c r="F3643" s="7"/>
      <c r="G3643" s="7"/>
      <c r="H3643" s="8"/>
      <c r="I3643" s="8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 hidden="1">
      <c r="A3644" s="7"/>
      <c r="B3644" s="7"/>
      <c r="C3644" s="7"/>
      <c r="D3644" s="7"/>
      <c r="E3644" s="7"/>
      <c r="F3644" s="7"/>
      <c r="G3644" s="7"/>
      <c r="H3644" s="8"/>
      <c r="I3644" s="8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 hidden="1">
      <c r="A3645" s="7"/>
      <c r="B3645" s="7"/>
      <c r="C3645" s="7"/>
      <c r="D3645" s="7"/>
      <c r="E3645" s="7"/>
      <c r="F3645" s="7"/>
      <c r="G3645" s="7"/>
      <c r="H3645" s="8"/>
      <c r="I3645" s="8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 hidden="1">
      <c r="A3646" s="7"/>
      <c r="B3646" s="7"/>
      <c r="C3646" s="7"/>
      <c r="D3646" s="7"/>
      <c r="E3646" s="7"/>
      <c r="F3646" s="7"/>
      <c r="G3646" s="7"/>
      <c r="H3646" s="8"/>
      <c r="I3646" s="8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 hidden="1">
      <c r="A3647" s="7"/>
      <c r="B3647" s="7"/>
      <c r="C3647" s="7"/>
      <c r="D3647" s="7"/>
      <c r="E3647" s="7"/>
      <c r="F3647" s="7"/>
      <c r="G3647" s="7"/>
      <c r="H3647" s="8"/>
      <c r="I3647" s="8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 hidden="1">
      <c r="A3648" s="7"/>
      <c r="B3648" s="7"/>
      <c r="C3648" s="7"/>
      <c r="D3648" s="7"/>
      <c r="E3648" s="7"/>
      <c r="F3648" s="7"/>
      <c r="G3648" s="7"/>
      <c r="H3648" s="8"/>
      <c r="I3648" s="8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 hidden="1">
      <c r="A3649" s="7"/>
      <c r="B3649" s="7"/>
      <c r="C3649" s="7"/>
      <c r="D3649" s="7"/>
      <c r="E3649" s="7"/>
      <c r="F3649" s="7"/>
      <c r="G3649" s="7"/>
      <c r="H3649" s="8"/>
      <c r="I3649" s="8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 hidden="1">
      <c r="A3650" s="7"/>
      <c r="B3650" s="7"/>
      <c r="C3650" s="7"/>
      <c r="D3650" s="7"/>
      <c r="E3650" s="7"/>
      <c r="F3650" s="7"/>
      <c r="G3650" s="7"/>
      <c r="H3650" s="8"/>
      <c r="I3650" s="8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 hidden="1">
      <c r="A3651" s="7"/>
      <c r="B3651" s="7"/>
      <c r="C3651" s="7"/>
      <c r="D3651" s="7"/>
      <c r="E3651" s="7"/>
      <c r="F3651" s="7"/>
      <c r="G3651" s="7"/>
      <c r="H3651" s="8"/>
      <c r="I3651" s="8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 hidden="1">
      <c r="A3652" s="7"/>
      <c r="B3652" s="7"/>
      <c r="C3652" s="7"/>
      <c r="D3652" s="7"/>
      <c r="E3652" s="7"/>
      <c r="F3652" s="7"/>
      <c r="G3652" s="7"/>
      <c r="H3652" s="8"/>
      <c r="I3652" s="8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 hidden="1">
      <c r="A3653" s="7"/>
      <c r="B3653" s="7"/>
      <c r="C3653" s="7"/>
      <c r="D3653" s="7"/>
      <c r="E3653" s="7"/>
      <c r="F3653" s="7"/>
      <c r="G3653" s="7"/>
      <c r="H3653" s="8"/>
      <c r="I3653" s="8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 hidden="1">
      <c r="A3654" s="7"/>
      <c r="B3654" s="7"/>
      <c r="C3654" s="7"/>
      <c r="D3654" s="7"/>
      <c r="E3654" s="7"/>
      <c r="F3654" s="7"/>
      <c r="G3654" s="7"/>
      <c r="H3654" s="8"/>
      <c r="I3654" s="8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 hidden="1">
      <c r="A3655" s="7"/>
      <c r="B3655" s="7"/>
      <c r="C3655" s="7"/>
      <c r="D3655" s="7"/>
      <c r="E3655" s="7"/>
      <c r="F3655" s="7"/>
      <c r="G3655" s="7"/>
      <c r="H3655" s="8"/>
      <c r="I3655" s="8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 hidden="1">
      <c r="A3656" s="7"/>
      <c r="B3656" s="7"/>
      <c r="C3656" s="7"/>
      <c r="D3656" s="7"/>
      <c r="E3656" s="7"/>
      <c r="F3656" s="7"/>
      <c r="G3656" s="7"/>
      <c r="H3656" s="8"/>
      <c r="I3656" s="8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 hidden="1">
      <c r="A3657" s="7"/>
      <c r="B3657" s="7"/>
      <c r="C3657" s="7"/>
      <c r="D3657" s="7"/>
      <c r="E3657" s="7"/>
      <c r="F3657" s="7"/>
      <c r="G3657" s="7"/>
      <c r="H3657" s="8"/>
      <c r="I3657" s="8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 hidden="1">
      <c r="A3658" s="7"/>
      <c r="B3658" s="7"/>
      <c r="C3658" s="7"/>
      <c r="D3658" s="7"/>
      <c r="E3658" s="7"/>
      <c r="F3658" s="7"/>
      <c r="G3658" s="7"/>
      <c r="H3658" s="8"/>
      <c r="I3658" s="8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 hidden="1">
      <c r="A3659" s="7"/>
      <c r="B3659" s="7"/>
      <c r="C3659" s="7"/>
      <c r="D3659" s="7"/>
      <c r="E3659" s="7"/>
      <c r="F3659" s="7"/>
      <c r="G3659" s="7"/>
      <c r="H3659" s="8"/>
      <c r="I3659" s="8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 hidden="1">
      <c r="A3660" s="7"/>
      <c r="B3660" s="7"/>
      <c r="C3660" s="7"/>
      <c r="D3660" s="7"/>
      <c r="E3660" s="7"/>
      <c r="F3660" s="7"/>
      <c r="G3660" s="7"/>
      <c r="H3660" s="8"/>
      <c r="I3660" s="8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 hidden="1">
      <c r="A3661" s="7"/>
      <c r="B3661" s="7"/>
      <c r="C3661" s="7"/>
      <c r="D3661" s="7"/>
      <c r="E3661" s="7"/>
      <c r="F3661" s="7"/>
      <c r="G3661" s="7"/>
      <c r="H3661" s="8"/>
      <c r="I3661" s="8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 hidden="1">
      <c r="A3662" s="7"/>
      <c r="B3662" s="7"/>
      <c r="C3662" s="7"/>
      <c r="D3662" s="7"/>
      <c r="E3662" s="7"/>
      <c r="F3662" s="7"/>
      <c r="G3662" s="7"/>
      <c r="H3662" s="8"/>
      <c r="I3662" s="8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 hidden="1">
      <c r="A3663" s="7"/>
      <c r="B3663" s="7"/>
      <c r="C3663" s="7"/>
      <c r="D3663" s="7"/>
      <c r="E3663" s="7"/>
      <c r="F3663" s="7"/>
      <c r="G3663" s="7"/>
      <c r="H3663" s="8"/>
      <c r="I3663" s="8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 hidden="1">
      <c r="A3664" s="7"/>
      <c r="B3664" s="7"/>
      <c r="C3664" s="7"/>
      <c r="D3664" s="7"/>
      <c r="E3664" s="7"/>
      <c r="F3664" s="7"/>
      <c r="G3664" s="7"/>
      <c r="H3664" s="8"/>
      <c r="I3664" s="8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 hidden="1">
      <c r="A3665" s="7"/>
      <c r="B3665" s="7"/>
      <c r="C3665" s="7"/>
      <c r="D3665" s="7"/>
      <c r="E3665" s="7"/>
      <c r="F3665" s="7"/>
      <c r="G3665" s="7"/>
      <c r="H3665" s="8"/>
      <c r="I3665" s="8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 hidden="1">
      <c r="A3666" s="7"/>
      <c r="B3666" s="7"/>
      <c r="C3666" s="7"/>
      <c r="D3666" s="7"/>
      <c r="E3666" s="7"/>
      <c r="F3666" s="7"/>
      <c r="G3666" s="7"/>
      <c r="H3666" s="8"/>
      <c r="I3666" s="8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 hidden="1">
      <c r="A3667" s="7"/>
      <c r="B3667" s="7"/>
      <c r="C3667" s="7"/>
      <c r="D3667" s="7"/>
      <c r="E3667" s="7"/>
      <c r="F3667" s="7"/>
      <c r="G3667" s="7"/>
      <c r="H3667" s="8"/>
      <c r="I3667" s="8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 hidden="1">
      <c r="A3668" s="7"/>
      <c r="B3668" s="7"/>
      <c r="C3668" s="7"/>
      <c r="D3668" s="7"/>
      <c r="E3668" s="7"/>
      <c r="F3668" s="7"/>
      <c r="G3668" s="7"/>
      <c r="H3668" s="8"/>
      <c r="I3668" s="8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 hidden="1">
      <c r="A3669" s="7"/>
      <c r="B3669" s="7"/>
      <c r="C3669" s="7"/>
      <c r="D3669" s="7"/>
      <c r="E3669" s="7"/>
      <c r="F3669" s="7"/>
      <c r="G3669" s="7"/>
      <c r="H3669" s="8"/>
      <c r="I3669" s="8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 hidden="1">
      <c r="A3670" s="7"/>
      <c r="B3670" s="7"/>
      <c r="C3670" s="7"/>
      <c r="D3670" s="7"/>
      <c r="E3670" s="7"/>
      <c r="F3670" s="7"/>
      <c r="G3670" s="7"/>
      <c r="H3670" s="8"/>
      <c r="I3670" s="8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 hidden="1">
      <c r="A3671" s="7"/>
      <c r="B3671" s="7"/>
      <c r="C3671" s="7"/>
      <c r="D3671" s="7"/>
      <c r="E3671" s="7"/>
      <c r="F3671" s="7"/>
      <c r="G3671" s="7"/>
      <c r="H3671" s="8"/>
      <c r="I3671" s="8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 hidden="1">
      <c r="A3672" s="7"/>
      <c r="B3672" s="7"/>
      <c r="C3672" s="7"/>
      <c r="D3672" s="7"/>
      <c r="E3672" s="7"/>
      <c r="F3672" s="7"/>
      <c r="G3672" s="7"/>
      <c r="H3672" s="8"/>
      <c r="I3672" s="8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 hidden="1">
      <c r="A3673" s="7"/>
      <c r="B3673" s="7"/>
      <c r="C3673" s="7"/>
      <c r="D3673" s="7"/>
      <c r="E3673" s="7"/>
      <c r="F3673" s="7"/>
      <c r="G3673" s="7"/>
      <c r="H3673" s="8"/>
      <c r="I3673" s="8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 hidden="1">
      <c r="A3674" s="7"/>
      <c r="B3674" s="7"/>
      <c r="C3674" s="7"/>
      <c r="D3674" s="7"/>
      <c r="E3674" s="7"/>
      <c r="F3674" s="7"/>
      <c r="G3674" s="7"/>
      <c r="H3674" s="8"/>
      <c r="I3674" s="8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 hidden="1">
      <c r="A3675" s="7"/>
      <c r="B3675" s="7"/>
      <c r="C3675" s="7"/>
      <c r="D3675" s="7"/>
      <c r="E3675" s="7"/>
      <c r="F3675" s="7"/>
      <c r="G3675" s="7"/>
      <c r="H3675" s="8"/>
      <c r="I3675" s="8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 hidden="1">
      <c r="A3676" s="7"/>
      <c r="B3676" s="7"/>
      <c r="C3676" s="7"/>
      <c r="D3676" s="7"/>
      <c r="E3676" s="7"/>
      <c r="F3676" s="7"/>
      <c r="G3676" s="7"/>
      <c r="H3676" s="8"/>
      <c r="I3676" s="8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 hidden="1">
      <c r="A3677" s="7"/>
      <c r="B3677" s="7"/>
      <c r="C3677" s="7"/>
      <c r="D3677" s="7"/>
      <c r="E3677" s="7"/>
      <c r="F3677" s="7"/>
      <c r="G3677" s="7"/>
      <c r="H3677" s="8"/>
      <c r="I3677" s="8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 hidden="1">
      <c r="A3678" s="7"/>
      <c r="B3678" s="7"/>
      <c r="C3678" s="7"/>
      <c r="D3678" s="7"/>
      <c r="E3678" s="7"/>
      <c r="F3678" s="7"/>
      <c r="G3678" s="7"/>
      <c r="H3678" s="8"/>
      <c r="I3678" s="8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 hidden="1">
      <c r="A3679" s="7"/>
      <c r="B3679" s="7"/>
      <c r="C3679" s="7"/>
      <c r="D3679" s="7"/>
      <c r="E3679" s="7"/>
      <c r="F3679" s="7"/>
      <c r="G3679" s="7"/>
      <c r="H3679" s="8"/>
      <c r="I3679" s="8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 hidden="1">
      <c r="A3680" s="7"/>
      <c r="B3680" s="7"/>
      <c r="C3680" s="7"/>
      <c r="D3680" s="7"/>
      <c r="E3680" s="7"/>
      <c r="F3680" s="7"/>
      <c r="G3680" s="7"/>
      <c r="H3680" s="8"/>
      <c r="I3680" s="8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 hidden="1">
      <c r="A3681" s="7"/>
      <c r="B3681" s="7"/>
      <c r="C3681" s="7"/>
      <c r="D3681" s="7"/>
      <c r="E3681" s="7"/>
      <c r="F3681" s="7"/>
      <c r="G3681" s="7"/>
      <c r="H3681" s="8"/>
      <c r="I3681" s="8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 hidden="1">
      <c r="A3682" s="7"/>
      <c r="B3682" s="7"/>
      <c r="C3682" s="7"/>
      <c r="D3682" s="7"/>
      <c r="E3682" s="7"/>
      <c r="F3682" s="7"/>
      <c r="G3682" s="7"/>
      <c r="H3682" s="8"/>
      <c r="I3682" s="8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 hidden="1">
      <c r="A3683" s="7"/>
      <c r="B3683" s="7"/>
      <c r="C3683" s="7"/>
      <c r="D3683" s="7"/>
      <c r="E3683" s="7"/>
      <c r="F3683" s="7"/>
      <c r="G3683" s="7"/>
      <c r="H3683" s="8"/>
      <c r="I3683" s="8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 hidden="1">
      <c r="A3684" s="7"/>
      <c r="B3684" s="7"/>
      <c r="C3684" s="7"/>
      <c r="D3684" s="7"/>
      <c r="E3684" s="7"/>
      <c r="F3684" s="7"/>
      <c r="G3684" s="7"/>
      <c r="H3684" s="8"/>
      <c r="I3684" s="8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 hidden="1">
      <c r="A3685" s="7"/>
      <c r="B3685" s="7"/>
      <c r="C3685" s="7"/>
      <c r="D3685" s="7"/>
      <c r="E3685" s="7"/>
      <c r="F3685" s="7"/>
      <c r="G3685" s="7"/>
      <c r="H3685" s="8"/>
      <c r="I3685" s="8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 hidden="1">
      <c r="A3686" s="7"/>
      <c r="B3686" s="7"/>
      <c r="C3686" s="7"/>
      <c r="D3686" s="7"/>
      <c r="E3686" s="7"/>
      <c r="F3686" s="7"/>
      <c r="G3686" s="7"/>
      <c r="H3686" s="8"/>
      <c r="I3686" s="8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 hidden="1">
      <c r="A3687" s="7"/>
      <c r="B3687" s="7"/>
      <c r="C3687" s="7"/>
      <c r="D3687" s="7"/>
      <c r="E3687" s="7"/>
      <c r="F3687" s="7"/>
      <c r="G3687" s="7"/>
      <c r="H3687" s="8"/>
      <c r="I3687" s="8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 hidden="1">
      <c r="A3688" s="7"/>
      <c r="B3688" s="7"/>
      <c r="C3688" s="7"/>
      <c r="D3688" s="7"/>
      <c r="E3688" s="7"/>
      <c r="F3688" s="7"/>
      <c r="G3688" s="7"/>
      <c r="H3688" s="8"/>
      <c r="I3688" s="8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 hidden="1">
      <c r="A3689" s="7"/>
      <c r="B3689" s="7"/>
      <c r="C3689" s="7"/>
      <c r="D3689" s="7"/>
      <c r="E3689" s="7"/>
      <c r="F3689" s="7"/>
      <c r="G3689" s="7"/>
      <c r="H3689" s="8"/>
      <c r="I3689" s="8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 hidden="1">
      <c r="A3690" s="7"/>
      <c r="B3690" s="7"/>
      <c r="C3690" s="7"/>
      <c r="D3690" s="7"/>
      <c r="E3690" s="7"/>
      <c r="F3690" s="7"/>
      <c r="G3690" s="7"/>
      <c r="H3690" s="8"/>
      <c r="I3690" s="8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 hidden="1">
      <c r="A3691" s="7"/>
      <c r="B3691" s="7"/>
      <c r="C3691" s="7"/>
      <c r="D3691" s="7"/>
      <c r="E3691" s="7"/>
      <c r="F3691" s="7"/>
      <c r="G3691" s="7"/>
      <c r="H3691" s="8"/>
      <c r="I3691" s="8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 hidden="1">
      <c r="A3692" s="7"/>
      <c r="B3692" s="7"/>
      <c r="C3692" s="7"/>
      <c r="D3692" s="7"/>
      <c r="E3692" s="7"/>
      <c r="F3692" s="7"/>
      <c r="G3692" s="7"/>
      <c r="H3692" s="8"/>
      <c r="I3692" s="8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 hidden="1">
      <c r="A3693" s="7"/>
      <c r="B3693" s="7"/>
      <c r="C3693" s="7"/>
      <c r="D3693" s="7"/>
      <c r="E3693" s="7"/>
      <c r="F3693" s="7"/>
      <c r="G3693" s="7"/>
      <c r="H3693" s="8"/>
      <c r="I3693" s="8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 hidden="1">
      <c r="A3694" s="7"/>
      <c r="B3694" s="7"/>
      <c r="C3694" s="7"/>
      <c r="D3694" s="7"/>
      <c r="E3694" s="7"/>
      <c r="F3694" s="7"/>
      <c r="G3694" s="7"/>
      <c r="H3694" s="8"/>
      <c r="I3694" s="8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 hidden="1">
      <c r="A3695" s="7"/>
      <c r="B3695" s="7"/>
      <c r="C3695" s="7"/>
      <c r="D3695" s="7"/>
      <c r="E3695" s="7"/>
      <c r="F3695" s="7"/>
      <c r="G3695" s="7"/>
      <c r="H3695" s="8"/>
      <c r="I3695" s="8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 hidden="1">
      <c r="A3696" s="7"/>
      <c r="B3696" s="7"/>
      <c r="C3696" s="7"/>
      <c r="D3696" s="7"/>
      <c r="E3696" s="7"/>
      <c r="F3696" s="7"/>
      <c r="G3696" s="7"/>
      <c r="H3696" s="8"/>
      <c r="I3696" s="8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 hidden="1">
      <c r="A3697" s="7"/>
      <c r="B3697" s="7"/>
      <c r="C3697" s="7"/>
      <c r="D3697" s="7"/>
      <c r="E3697" s="7"/>
      <c r="F3697" s="7"/>
      <c r="G3697" s="7"/>
      <c r="H3697" s="8"/>
      <c r="I3697" s="8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 hidden="1">
      <c r="A3698" s="7"/>
      <c r="B3698" s="7"/>
      <c r="C3698" s="7"/>
      <c r="D3698" s="7"/>
      <c r="E3698" s="7"/>
      <c r="F3698" s="7"/>
      <c r="G3698" s="7"/>
      <c r="H3698" s="8"/>
      <c r="I3698" s="8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 hidden="1">
      <c r="A3699" s="7"/>
      <c r="B3699" s="7"/>
      <c r="C3699" s="7"/>
      <c r="D3699" s="7"/>
      <c r="E3699" s="7"/>
      <c r="F3699" s="7"/>
      <c r="G3699" s="7"/>
      <c r="H3699" s="8"/>
      <c r="I3699" s="8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 hidden="1">
      <c r="A3700" s="7"/>
      <c r="B3700" s="7"/>
      <c r="C3700" s="7"/>
      <c r="D3700" s="7"/>
      <c r="E3700" s="7"/>
      <c r="F3700" s="7"/>
      <c r="G3700" s="7"/>
      <c r="H3700" s="8"/>
      <c r="I3700" s="8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 hidden="1">
      <c r="A3701" s="7"/>
      <c r="B3701" s="7"/>
      <c r="C3701" s="7"/>
      <c r="D3701" s="7"/>
      <c r="E3701" s="7"/>
      <c r="F3701" s="7"/>
      <c r="G3701" s="7"/>
      <c r="H3701" s="8"/>
      <c r="I3701" s="8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 hidden="1">
      <c r="A3702" s="7"/>
      <c r="B3702" s="7"/>
      <c r="C3702" s="7"/>
      <c r="D3702" s="7"/>
      <c r="E3702" s="7"/>
      <c r="F3702" s="7"/>
      <c r="G3702" s="7"/>
      <c r="H3702" s="8"/>
      <c r="I3702" s="8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 hidden="1">
      <c r="A3703" s="7"/>
      <c r="B3703" s="7"/>
      <c r="C3703" s="7"/>
      <c r="D3703" s="7"/>
      <c r="E3703" s="7"/>
      <c r="F3703" s="7"/>
      <c r="G3703" s="7"/>
      <c r="H3703" s="8"/>
      <c r="I3703" s="8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 hidden="1">
      <c r="A3704" s="7"/>
      <c r="B3704" s="7"/>
      <c r="C3704" s="7"/>
      <c r="D3704" s="7"/>
      <c r="E3704" s="7"/>
      <c r="F3704" s="7"/>
      <c r="G3704" s="7"/>
      <c r="H3704" s="8"/>
      <c r="I3704" s="8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 hidden="1">
      <c r="A3705" s="7"/>
      <c r="B3705" s="7"/>
      <c r="C3705" s="7"/>
      <c r="D3705" s="7"/>
      <c r="E3705" s="7"/>
      <c r="F3705" s="7"/>
      <c r="G3705" s="7"/>
      <c r="H3705" s="8"/>
      <c r="I3705" s="8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 hidden="1">
      <c r="A3706" s="7"/>
      <c r="B3706" s="7"/>
      <c r="C3706" s="7"/>
      <c r="D3706" s="7"/>
      <c r="E3706" s="7"/>
      <c r="F3706" s="7"/>
      <c r="G3706" s="7"/>
      <c r="H3706" s="8"/>
      <c r="I3706" s="8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 hidden="1">
      <c r="A3707" s="7"/>
      <c r="B3707" s="7"/>
      <c r="C3707" s="7"/>
      <c r="D3707" s="7"/>
      <c r="E3707" s="7"/>
      <c r="F3707" s="7"/>
      <c r="G3707" s="7"/>
      <c r="H3707" s="8"/>
      <c r="I3707" s="8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 hidden="1">
      <c r="A3708" s="7"/>
      <c r="B3708" s="7"/>
      <c r="C3708" s="7"/>
      <c r="D3708" s="7"/>
      <c r="E3708" s="7"/>
      <c r="F3708" s="7"/>
      <c r="G3708" s="7"/>
      <c r="H3708" s="8"/>
      <c r="I3708" s="8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 hidden="1">
      <c r="A3709" s="7"/>
      <c r="B3709" s="7"/>
      <c r="C3709" s="7"/>
      <c r="D3709" s="7"/>
      <c r="E3709" s="7"/>
      <c r="F3709" s="7"/>
      <c r="G3709" s="7"/>
      <c r="H3709" s="8"/>
      <c r="I3709" s="8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 hidden="1">
      <c r="A3710" s="7"/>
      <c r="B3710" s="7"/>
      <c r="C3710" s="7"/>
      <c r="D3710" s="7"/>
      <c r="E3710" s="7"/>
      <c r="F3710" s="7"/>
      <c r="G3710" s="7"/>
      <c r="H3710" s="8"/>
      <c r="I3710" s="8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 hidden="1">
      <c r="A3711" s="7"/>
      <c r="B3711" s="7"/>
      <c r="C3711" s="7"/>
      <c r="D3711" s="7"/>
      <c r="E3711" s="7"/>
      <c r="F3711" s="7"/>
      <c r="G3711" s="7"/>
      <c r="H3711" s="8"/>
      <c r="I3711" s="8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 hidden="1">
      <c r="A3712" s="7"/>
      <c r="B3712" s="7"/>
      <c r="C3712" s="7"/>
      <c r="D3712" s="7"/>
      <c r="E3712" s="7"/>
      <c r="F3712" s="7"/>
      <c r="G3712" s="7"/>
      <c r="H3712" s="8"/>
      <c r="I3712" s="8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 hidden="1">
      <c r="A3713" s="7"/>
      <c r="B3713" s="7"/>
      <c r="C3713" s="7"/>
      <c r="D3713" s="7"/>
      <c r="E3713" s="7"/>
      <c r="F3713" s="7"/>
      <c r="G3713" s="7"/>
      <c r="H3713" s="8"/>
      <c r="I3713" s="8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 hidden="1">
      <c r="A3714" s="7"/>
      <c r="B3714" s="7"/>
      <c r="C3714" s="7"/>
      <c r="D3714" s="7"/>
      <c r="E3714" s="7"/>
      <c r="F3714" s="7"/>
      <c r="G3714" s="7"/>
      <c r="H3714" s="8"/>
      <c r="I3714" s="8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 hidden="1">
      <c r="A3715" s="7"/>
      <c r="B3715" s="7"/>
      <c r="C3715" s="7"/>
      <c r="D3715" s="7"/>
      <c r="E3715" s="7"/>
      <c r="F3715" s="7"/>
      <c r="G3715" s="7"/>
      <c r="H3715" s="8"/>
      <c r="I3715" s="8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 hidden="1">
      <c r="A3716" s="7"/>
      <c r="B3716" s="7"/>
      <c r="C3716" s="7"/>
      <c r="D3716" s="7"/>
      <c r="E3716" s="7"/>
      <c r="F3716" s="7"/>
      <c r="G3716" s="7"/>
      <c r="H3716" s="8"/>
      <c r="I3716" s="8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 hidden="1">
      <c r="A3717" s="7"/>
      <c r="B3717" s="7"/>
      <c r="C3717" s="7"/>
      <c r="D3717" s="7"/>
      <c r="E3717" s="7"/>
      <c r="F3717" s="7"/>
      <c r="G3717" s="7"/>
      <c r="H3717" s="8"/>
      <c r="I3717" s="8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 hidden="1">
      <c r="A3718" s="7"/>
      <c r="B3718" s="7"/>
      <c r="C3718" s="7"/>
      <c r="D3718" s="7"/>
      <c r="E3718" s="7"/>
      <c r="F3718" s="7"/>
      <c r="G3718" s="7"/>
      <c r="H3718" s="8"/>
      <c r="I3718" s="8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 hidden="1">
      <c r="A3719" s="7"/>
      <c r="B3719" s="7"/>
      <c r="C3719" s="7"/>
      <c r="D3719" s="7"/>
      <c r="E3719" s="7"/>
      <c r="F3719" s="7"/>
      <c r="G3719" s="7"/>
      <c r="H3719" s="8"/>
      <c r="I3719" s="8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 hidden="1">
      <c r="A3720" s="7"/>
      <c r="B3720" s="7"/>
      <c r="C3720" s="7"/>
      <c r="D3720" s="7"/>
      <c r="E3720" s="7"/>
      <c r="F3720" s="7"/>
      <c r="G3720" s="7"/>
      <c r="H3720" s="8"/>
      <c r="I3720" s="8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 hidden="1">
      <c r="A3721" s="7"/>
      <c r="B3721" s="7"/>
      <c r="C3721" s="7"/>
      <c r="D3721" s="7"/>
      <c r="E3721" s="7"/>
      <c r="F3721" s="7"/>
      <c r="G3721" s="7"/>
      <c r="H3721" s="8"/>
      <c r="I3721" s="8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 hidden="1">
      <c r="A3722" s="7"/>
      <c r="B3722" s="7"/>
      <c r="C3722" s="7"/>
      <c r="D3722" s="7"/>
      <c r="E3722" s="7"/>
      <c r="F3722" s="7"/>
      <c r="G3722" s="7"/>
      <c r="H3722" s="8"/>
      <c r="I3722" s="8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 hidden="1">
      <c r="A3723" s="7"/>
      <c r="B3723" s="7"/>
      <c r="C3723" s="7"/>
      <c r="D3723" s="7"/>
      <c r="E3723" s="7"/>
      <c r="F3723" s="7"/>
      <c r="G3723" s="7"/>
      <c r="H3723" s="8"/>
      <c r="I3723" s="8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 hidden="1">
      <c r="A3724" s="7"/>
      <c r="B3724" s="7"/>
      <c r="C3724" s="7"/>
      <c r="D3724" s="7"/>
      <c r="E3724" s="7"/>
      <c r="F3724" s="7"/>
      <c r="G3724" s="7"/>
      <c r="H3724" s="8"/>
      <c r="I3724" s="8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 hidden="1">
      <c r="A3725" s="7"/>
      <c r="B3725" s="7"/>
      <c r="C3725" s="7"/>
      <c r="D3725" s="7"/>
      <c r="E3725" s="7"/>
      <c r="F3725" s="7"/>
      <c r="G3725" s="7"/>
      <c r="H3725" s="8"/>
      <c r="I3725" s="8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 hidden="1">
      <c r="A3726" s="7"/>
      <c r="B3726" s="7"/>
      <c r="C3726" s="7"/>
      <c r="D3726" s="7"/>
      <c r="E3726" s="7"/>
      <c r="F3726" s="7"/>
      <c r="G3726" s="7"/>
      <c r="H3726" s="8"/>
      <c r="I3726" s="8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 hidden="1">
      <c r="A3727" s="7"/>
      <c r="B3727" s="7"/>
      <c r="C3727" s="7"/>
      <c r="D3727" s="7"/>
      <c r="E3727" s="7"/>
      <c r="F3727" s="7"/>
      <c r="G3727" s="7"/>
      <c r="H3727" s="8"/>
      <c r="I3727" s="8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 hidden="1">
      <c r="A3728" s="7"/>
      <c r="B3728" s="7"/>
      <c r="C3728" s="7"/>
      <c r="D3728" s="7"/>
      <c r="E3728" s="7"/>
      <c r="F3728" s="7"/>
      <c r="G3728" s="7"/>
      <c r="H3728" s="8"/>
      <c r="I3728" s="8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 hidden="1">
      <c r="A3729" s="7"/>
      <c r="B3729" s="7"/>
      <c r="C3729" s="7"/>
      <c r="D3729" s="7"/>
      <c r="E3729" s="7"/>
      <c r="F3729" s="7"/>
      <c r="G3729" s="7"/>
      <c r="H3729" s="8"/>
      <c r="I3729" s="8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 hidden="1">
      <c r="A3730" s="7"/>
      <c r="B3730" s="7"/>
      <c r="C3730" s="7"/>
      <c r="D3730" s="7"/>
      <c r="E3730" s="7"/>
      <c r="F3730" s="7"/>
      <c r="G3730" s="7"/>
      <c r="H3730" s="8"/>
      <c r="I3730" s="8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 hidden="1">
      <c r="A3731" s="7"/>
      <c r="B3731" s="7"/>
      <c r="C3731" s="7"/>
      <c r="D3731" s="7"/>
      <c r="E3731" s="7"/>
      <c r="F3731" s="7"/>
      <c r="G3731" s="7"/>
      <c r="H3731" s="8"/>
      <c r="I3731" s="8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 hidden="1">
      <c r="A3732" s="7"/>
      <c r="B3732" s="7"/>
      <c r="C3732" s="7"/>
      <c r="D3732" s="7"/>
      <c r="E3732" s="7"/>
      <c r="F3732" s="7"/>
      <c r="G3732" s="7"/>
      <c r="H3732" s="8"/>
      <c r="I3732" s="8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 hidden="1">
      <c r="A3733" s="7"/>
      <c r="B3733" s="7"/>
      <c r="C3733" s="7"/>
      <c r="D3733" s="7"/>
      <c r="E3733" s="7"/>
      <c r="F3733" s="7"/>
      <c r="G3733" s="7"/>
      <c r="H3733" s="8"/>
      <c r="I3733" s="8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 hidden="1">
      <c r="A3734" s="7"/>
      <c r="B3734" s="7"/>
      <c r="C3734" s="7"/>
      <c r="D3734" s="7"/>
      <c r="E3734" s="7"/>
      <c r="F3734" s="7"/>
      <c r="G3734" s="7"/>
      <c r="H3734" s="8"/>
      <c r="I3734" s="8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 hidden="1">
      <c r="A3735" s="7"/>
      <c r="B3735" s="7"/>
      <c r="C3735" s="7"/>
      <c r="D3735" s="7"/>
      <c r="E3735" s="7"/>
      <c r="F3735" s="7"/>
      <c r="G3735" s="7"/>
      <c r="H3735" s="8"/>
      <c r="I3735" s="8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 hidden="1">
      <c r="A3736" s="7"/>
      <c r="B3736" s="7"/>
      <c r="C3736" s="7"/>
      <c r="D3736" s="7"/>
      <c r="E3736" s="7"/>
      <c r="F3736" s="7"/>
      <c r="G3736" s="7"/>
      <c r="H3736" s="8"/>
      <c r="I3736" s="8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 hidden="1">
      <c r="A3737" s="7"/>
      <c r="B3737" s="7"/>
      <c r="C3737" s="7"/>
      <c r="D3737" s="7"/>
      <c r="E3737" s="7"/>
      <c r="F3737" s="7"/>
      <c r="G3737" s="7"/>
      <c r="H3737" s="8"/>
      <c r="I3737" s="8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 hidden="1">
      <c r="A3738" s="7"/>
      <c r="B3738" s="7"/>
      <c r="C3738" s="7"/>
      <c r="D3738" s="7"/>
      <c r="E3738" s="7"/>
      <c r="F3738" s="7"/>
      <c r="G3738" s="7"/>
      <c r="H3738" s="8"/>
      <c r="I3738" s="8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 hidden="1">
      <c r="A3739" s="7"/>
      <c r="B3739" s="7"/>
      <c r="C3739" s="7"/>
      <c r="D3739" s="7"/>
      <c r="E3739" s="7"/>
      <c r="F3739" s="7"/>
      <c r="G3739" s="7"/>
      <c r="H3739" s="8"/>
      <c r="I3739" s="8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 hidden="1">
      <c r="A3740" s="7"/>
      <c r="B3740" s="7"/>
      <c r="C3740" s="7"/>
      <c r="D3740" s="7"/>
      <c r="E3740" s="7"/>
      <c r="F3740" s="7"/>
      <c r="G3740" s="7"/>
      <c r="H3740" s="8"/>
      <c r="I3740" s="8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 hidden="1">
      <c r="A3741" s="7"/>
      <c r="B3741" s="7"/>
      <c r="C3741" s="7"/>
      <c r="D3741" s="7"/>
      <c r="E3741" s="7"/>
      <c r="F3741" s="7"/>
      <c r="G3741" s="7"/>
      <c r="H3741" s="8"/>
      <c r="I3741" s="8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 hidden="1">
      <c r="A3742" s="7"/>
      <c r="B3742" s="7"/>
      <c r="C3742" s="7"/>
      <c r="D3742" s="7"/>
      <c r="E3742" s="7"/>
      <c r="F3742" s="7"/>
      <c r="G3742" s="7"/>
      <c r="H3742" s="8"/>
      <c r="I3742" s="8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 hidden="1">
      <c r="A3743" s="7"/>
      <c r="B3743" s="7"/>
      <c r="C3743" s="7"/>
      <c r="D3743" s="7"/>
      <c r="E3743" s="7"/>
      <c r="F3743" s="7"/>
      <c r="G3743" s="7"/>
      <c r="H3743" s="8"/>
      <c r="I3743" s="8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 hidden="1">
      <c r="A3744" s="7"/>
      <c r="B3744" s="7"/>
      <c r="C3744" s="7"/>
      <c r="D3744" s="7"/>
      <c r="E3744" s="7"/>
      <c r="F3744" s="7"/>
      <c r="G3744" s="7"/>
      <c r="H3744" s="8"/>
      <c r="I3744" s="8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 hidden="1">
      <c r="A3745" s="7"/>
      <c r="B3745" s="7"/>
      <c r="C3745" s="7"/>
      <c r="D3745" s="7"/>
      <c r="E3745" s="7"/>
      <c r="F3745" s="7"/>
      <c r="G3745" s="7"/>
      <c r="H3745" s="8"/>
      <c r="I3745" s="8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 hidden="1">
      <c r="A3746" s="7"/>
      <c r="B3746" s="7"/>
      <c r="C3746" s="7"/>
      <c r="D3746" s="7"/>
      <c r="E3746" s="7"/>
      <c r="F3746" s="7"/>
      <c r="G3746" s="7"/>
      <c r="H3746" s="8"/>
      <c r="I3746" s="8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 hidden="1">
      <c r="A3747" s="7"/>
      <c r="B3747" s="7"/>
      <c r="C3747" s="7"/>
      <c r="D3747" s="7"/>
      <c r="E3747" s="7"/>
      <c r="F3747" s="7"/>
      <c r="G3747" s="7"/>
      <c r="H3747" s="8"/>
      <c r="I3747" s="8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 hidden="1">
      <c r="A3748" s="7"/>
      <c r="B3748" s="7"/>
      <c r="C3748" s="7"/>
      <c r="D3748" s="7"/>
      <c r="E3748" s="7"/>
      <c r="F3748" s="7"/>
      <c r="G3748" s="7"/>
      <c r="H3748" s="8"/>
      <c r="I3748" s="8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 hidden="1">
      <c r="A3749" s="7"/>
      <c r="B3749" s="7"/>
      <c r="C3749" s="7"/>
      <c r="D3749" s="7"/>
      <c r="E3749" s="7"/>
      <c r="F3749" s="7"/>
      <c r="G3749" s="7"/>
      <c r="H3749" s="8"/>
      <c r="I3749" s="8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 hidden="1">
      <c r="A3750" s="7"/>
      <c r="B3750" s="7"/>
      <c r="C3750" s="7"/>
      <c r="D3750" s="7"/>
      <c r="E3750" s="7"/>
      <c r="F3750" s="7"/>
      <c r="G3750" s="7"/>
      <c r="H3750" s="8"/>
      <c r="I3750" s="8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 hidden="1">
      <c r="A3751" s="7"/>
      <c r="B3751" s="7"/>
      <c r="C3751" s="7"/>
      <c r="D3751" s="7"/>
      <c r="E3751" s="7"/>
      <c r="F3751" s="7"/>
      <c r="G3751" s="7"/>
      <c r="H3751" s="8"/>
      <c r="I3751" s="8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 hidden="1">
      <c r="A3752" s="7"/>
      <c r="B3752" s="7"/>
      <c r="C3752" s="7"/>
      <c r="D3752" s="7"/>
      <c r="E3752" s="7"/>
      <c r="F3752" s="7"/>
      <c r="G3752" s="7"/>
      <c r="H3752" s="8"/>
      <c r="I3752" s="8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 hidden="1">
      <c r="A3753" s="7"/>
      <c r="B3753" s="7"/>
      <c r="C3753" s="7"/>
      <c r="D3753" s="7"/>
      <c r="E3753" s="7"/>
      <c r="F3753" s="7"/>
      <c r="G3753" s="7"/>
      <c r="H3753" s="8"/>
      <c r="I3753" s="8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 hidden="1">
      <c r="A3754" s="7"/>
      <c r="B3754" s="7"/>
      <c r="C3754" s="7"/>
      <c r="D3754" s="7"/>
      <c r="E3754" s="7"/>
      <c r="F3754" s="7"/>
      <c r="G3754" s="7"/>
      <c r="H3754" s="8"/>
      <c r="I3754" s="8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 hidden="1">
      <c r="A3755" s="7"/>
      <c r="B3755" s="7"/>
      <c r="C3755" s="7"/>
      <c r="D3755" s="7"/>
      <c r="E3755" s="7"/>
      <c r="F3755" s="7"/>
      <c r="G3755" s="7"/>
      <c r="H3755" s="8"/>
      <c r="I3755" s="8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 hidden="1">
      <c r="A3756" s="7"/>
      <c r="B3756" s="7"/>
      <c r="C3756" s="7"/>
      <c r="D3756" s="7"/>
      <c r="E3756" s="7"/>
      <c r="F3756" s="7"/>
      <c r="G3756" s="7"/>
      <c r="H3756" s="8"/>
      <c r="I3756" s="8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 hidden="1">
      <c r="A3757" s="7"/>
      <c r="B3757" s="7"/>
      <c r="C3757" s="7"/>
      <c r="D3757" s="7"/>
      <c r="E3757" s="7"/>
      <c r="F3757" s="7"/>
      <c r="G3757" s="7"/>
      <c r="H3757" s="8"/>
      <c r="I3757" s="8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 hidden="1">
      <c r="A3758" s="7"/>
      <c r="B3758" s="7"/>
      <c r="C3758" s="7"/>
      <c r="D3758" s="7"/>
      <c r="E3758" s="7"/>
      <c r="F3758" s="7"/>
      <c r="G3758" s="7"/>
      <c r="H3758" s="8"/>
      <c r="I3758" s="8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 hidden="1">
      <c r="A3759" s="7"/>
      <c r="B3759" s="7"/>
      <c r="C3759" s="7"/>
      <c r="D3759" s="7"/>
      <c r="E3759" s="7"/>
      <c r="F3759" s="7"/>
      <c r="G3759" s="7"/>
      <c r="H3759" s="8"/>
      <c r="I3759" s="8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 hidden="1">
      <c r="A3760" s="7"/>
      <c r="B3760" s="7"/>
      <c r="C3760" s="7"/>
      <c r="D3760" s="7"/>
      <c r="E3760" s="7"/>
      <c r="F3760" s="7"/>
      <c r="G3760" s="7"/>
      <c r="H3760" s="8"/>
      <c r="I3760" s="8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 hidden="1">
      <c r="A3761" s="7"/>
      <c r="B3761" s="7"/>
      <c r="C3761" s="7"/>
      <c r="D3761" s="7"/>
      <c r="E3761" s="7"/>
      <c r="F3761" s="7"/>
      <c r="G3761" s="7"/>
      <c r="H3761" s="8"/>
      <c r="I3761" s="8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 hidden="1">
      <c r="A3762" s="7"/>
      <c r="B3762" s="7"/>
      <c r="C3762" s="7"/>
      <c r="D3762" s="7"/>
      <c r="E3762" s="7"/>
      <c r="F3762" s="7"/>
      <c r="G3762" s="7"/>
      <c r="H3762" s="8"/>
      <c r="I3762" s="8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 hidden="1">
      <c r="A3763" s="7"/>
      <c r="B3763" s="7"/>
      <c r="C3763" s="7"/>
      <c r="D3763" s="7"/>
      <c r="E3763" s="7"/>
      <c r="F3763" s="7"/>
      <c r="G3763" s="7"/>
      <c r="H3763" s="8"/>
      <c r="I3763" s="8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 hidden="1">
      <c r="A3764" s="7"/>
      <c r="B3764" s="7"/>
      <c r="C3764" s="7"/>
      <c r="D3764" s="7"/>
      <c r="E3764" s="7"/>
      <c r="F3764" s="7"/>
      <c r="G3764" s="7"/>
      <c r="H3764" s="8"/>
      <c r="I3764" s="8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 hidden="1">
      <c r="A3765" s="7"/>
      <c r="B3765" s="7"/>
      <c r="C3765" s="7"/>
      <c r="D3765" s="7"/>
      <c r="E3765" s="7"/>
      <c r="F3765" s="7"/>
      <c r="G3765" s="7"/>
      <c r="H3765" s="8"/>
      <c r="I3765" s="8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 hidden="1">
      <c r="A3766" s="7"/>
      <c r="B3766" s="7"/>
      <c r="C3766" s="7"/>
      <c r="D3766" s="7"/>
      <c r="E3766" s="7"/>
      <c r="F3766" s="7"/>
      <c r="G3766" s="7"/>
      <c r="H3766" s="8"/>
      <c r="I3766" s="8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 hidden="1">
      <c r="A3767" s="7"/>
      <c r="B3767" s="7"/>
      <c r="C3767" s="7"/>
      <c r="D3767" s="7"/>
      <c r="E3767" s="7"/>
      <c r="F3767" s="7"/>
      <c r="G3767" s="7"/>
      <c r="H3767" s="8"/>
      <c r="I3767" s="8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 hidden="1">
      <c r="A3768" s="7"/>
      <c r="B3768" s="7"/>
      <c r="C3768" s="7"/>
      <c r="D3768" s="7"/>
      <c r="E3768" s="7"/>
      <c r="F3768" s="7"/>
      <c r="G3768" s="7"/>
      <c r="H3768" s="8"/>
      <c r="I3768" s="8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 hidden="1">
      <c r="A3769" s="7"/>
      <c r="B3769" s="7"/>
      <c r="C3769" s="7"/>
      <c r="D3769" s="7"/>
      <c r="E3769" s="7"/>
      <c r="F3769" s="7"/>
      <c r="G3769" s="7"/>
      <c r="H3769" s="8"/>
      <c r="I3769" s="8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 hidden="1">
      <c r="A3770" s="7"/>
      <c r="B3770" s="7"/>
      <c r="C3770" s="7"/>
      <c r="D3770" s="7"/>
      <c r="E3770" s="7"/>
      <c r="F3770" s="7"/>
      <c r="G3770" s="7"/>
      <c r="H3770" s="8"/>
      <c r="I3770" s="8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 hidden="1">
      <c r="A3771" s="7"/>
      <c r="B3771" s="7"/>
      <c r="C3771" s="7"/>
      <c r="D3771" s="7"/>
      <c r="E3771" s="7"/>
      <c r="F3771" s="7"/>
      <c r="G3771" s="7"/>
      <c r="H3771" s="8"/>
      <c r="I3771" s="8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 hidden="1">
      <c r="A3772" s="7"/>
      <c r="B3772" s="7"/>
      <c r="C3772" s="7"/>
      <c r="D3772" s="7"/>
      <c r="E3772" s="7"/>
      <c r="F3772" s="7"/>
      <c r="G3772" s="7"/>
      <c r="H3772" s="8"/>
      <c r="I3772" s="8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  <row r="3773" hidden="1">
      <c r="A3773" s="7"/>
      <c r="B3773" s="7"/>
      <c r="C3773" s="7"/>
      <c r="D3773" s="7"/>
      <c r="E3773" s="7"/>
      <c r="F3773" s="7"/>
      <c r="G3773" s="7"/>
      <c r="H3773" s="8"/>
      <c r="I3773" s="8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</row>
    <row r="3774" hidden="1">
      <c r="A3774" s="7"/>
      <c r="B3774" s="7"/>
      <c r="C3774" s="7"/>
      <c r="D3774" s="7"/>
      <c r="E3774" s="7"/>
      <c r="F3774" s="7"/>
      <c r="G3774" s="7"/>
      <c r="H3774" s="8"/>
      <c r="I3774" s="8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</row>
    <row r="3775" hidden="1">
      <c r="A3775" s="7"/>
      <c r="B3775" s="7"/>
      <c r="C3775" s="7"/>
      <c r="D3775" s="7"/>
      <c r="E3775" s="7"/>
      <c r="F3775" s="7"/>
      <c r="G3775" s="7"/>
      <c r="H3775" s="8"/>
      <c r="I3775" s="8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</row>
    <row r="3776" hidden="1">
      <c r="A3776" s="7"/>
      <c r="B3776" s="7"/>
      <c r="C3776" s="7"/>
      <c r="D3776" s="7"/>
      <c r="E3776" s="7"/>
      <c r="F3776" s="7"/>
      <c r="G3776" s="7"/>
      <c r="H3776" s="8"/>
      <c r="I3776" s="8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</row>
    <row r="3777" hidden="1">
      <c r="A3777" s="7"/>
      <c r="B3777" s="7"/>
      <c r="C3777" s="7"/>
      <c r="D3777" s="7"/>
      <c r="E3777" s="7"/>
      <c r="F3777" s="7"/>
      <c r="G3777" s="7"/>
      <c r="H3777" s="8"/>
      <c r="I3777" s="8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</row>
    <row r="3778" hidden="1">
      <c r="A3778" s="7"/>
      <c r="B3778" s="7"/>
      <c r="C3778" s="7"/>
      <c r="D3778" s="7"/>
      <c r="E3778" s="7"/>
      <c r="F3778" s="7"/>
      <c r="G3778" s="7"/>
      <c r="H3778" s="8"/>
      <c r="I3778" s="8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</row>
    <row r="3779" hidden="1">
      <c r="A3779" s="7"/>
      <c r="B3779" s="7"/>
      <c r="C3779" s="7"/>
      <c r="D3779" s="7"/>
      <c r="E3779" s="7"/>
      <c r="F3779" s="7"/>
      <c r="G3779" s="7"/>
      <c r="H3779" s="8"/>
      <c r="I3779" s="8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</row>
    <row r="3780" hidden="1">
      <c r="A3780" s="7"/>
      <c r="B3780" s="7"/>
      <c r="C3780" s="7"/>
      <c r="D3780" s="7"/>
      <c r="E3780" s="7"/>
      <c r="F3780" s="7"/>
      <c r="G3780" s="7"/>
      <c r="H3780" s="8"/>
      <c r="I3780" s="8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</row>
    <row r="3781" hidden="1">
      <c r="A3781" s="7"/>
      <c r="B3781" s="7"/>
      <c r="C3781" s="7"/>
      <c r="D3781" s="7"/>
      <c r="E3781" s="7"/>
      <c r="F3781" s="7"/>
      <c r="G3781" s="7"/>
      <c r="H3781" s="8"/>
      <c r="I3781" s="8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</row>
    <row r="3782" hidden="1">
      <c r="A3782" s="7"/>
      <c r="B3782" s="7"/>
      <c r="C3782" s="7"/>
      <c r="D3782" s="7"/>
      <c r="E3782" s="7"/>
      <c r="F3782" s="7"/>
      <c r="G3782" s="7"/>
      <c r="H3782" s="8"/>
      <c r="I3782" s="8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</row>
    <row r="3783" hidden="1">
      <c r="A3783" s="7"/>
      <c r="B3783" s="7"/>
      <c r="C3783" s="7"/>
      <c r="D3783" s="7"/>
      <c r="E3783" s="7"/>
      <c r="F3783" s="7"/>
      <c r="G3783" s="7"/>
      <c r="H3783" s="8"/>
      <c r="I3783" s="8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</row>
    <row r="3784" hidden="1">
      <c r="A3784" s="7"/>
      <c r="B3784" s="7"/>
      <c r="C3784" s="7"/>
      <c r="D3784" s="7"/>
      <c r="E3784" s="7"/>
      <c r="F3784" s="7"/>
      <c r="G3784" s="7"/>
      <c r="H3784" s="8"/>
      <c r="I3784" s="8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</row>
    <row r="3785" hidden="1">
      <c r="A3785" s="7"/>
      <c r="B3785" s="7"/>
      <c r="C3785" s="7"/>
      <c r="D3785" s="7"/>
      <c r="E3785" s="7"/>
      <c r="F3785" s="7"/>
      <c r="G3785" s="7"/>
      <c r="H3785" s="8"/>
      <c r="I3785" s="8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</row>
    <row r="3786" hidden="1">
      <c r="A3786" s="7"/>
      <c r="B3786" s="7"/>
      <c r="C3786" s="7"/>
      <c r="D3786" s="7"/>
      <c r="E3786" s="7"/>
      <c r="F3786" s="7"/>
      <c r="G3786" s="7"/>
      <c r="H3786" s="8"/>
      <c r="I3786" s="8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</row>
    <row r="3787" hidden="1">
      <c r="A3787" s="7"/>
      <c r="B3787" s="7"/>
      <c r="C3787" s="7"/>
      <c r="D3787" s="7"/>
      <c r="E3787" s="7"/>
      <c r="F3787" s="7"/>
      <c r="G3787" s="7"/>
      <c r="H3787" s="8"/>
      <c r="I3787" s="8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</row>
    <row r="3788" hidden="1">
      <c r="A3788" s="7"/>
      <c r="B3788" s="7"/>
      <c r="C3788" s="7"/>
      <c r="D3788" s="7"/>
      <c r="E3788" s="7"/>
      <c r="F3788" s="7"/>
      <c r="G3788" s="7"/>
      <c r="H3788" s="8"/>
      <c r="I3788" s="8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</row>
    <row r="3789" hidden="1">
      <c r="A3789" s="7"/>
      <c r="B3789" s="7"/>
      <c r="C3789" s="7"/>
      <c r="D3789" s="7"/>
      <c r="E3789" s="7"/>
      <c r="F3789" s="7"/>
      <c r="G3789" s="7"/>
      <c r="H3789" s="8"/>
      <c r="I3789" s="8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</row>
    <row r="3790" hidden="1">
      <c r="A3790" s="7"/>
      <c r="B3790" s="7"/>
      <c r="C3790" s="7"/>
      <c r="D3790" s="7"/>
      <c r="E3790" s="7"/>
      <c r="F3790" s="7"/>
      <c r="G3790" s="7"/>
      <c r="H3790" s="8"/>
      <c r="I3790" s="8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</row>
    <row r="3791" hidden="1">
      <c r="A3791" s="7"/>
      <c r="B3791" s="7"/>
      <c r="C3791" s="7"/>
      <c r="D3791" s="7"/>
      <c r="E3791" s="7"/>
      <c r="F3791" s="7"/>
      <c r="G3791" s="7"/>
      <c r="H3791" s="8"/>
      <c r="I3791" s="8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</row>
    <row r="3792" hidden="1">
      <c r="A3792" s="7"/>
      <c r="B3792" s="7"/>
      <c r="C3792" s="7"/>
      <c r="D3792" s="7"/>
      <c r="E3792" s="7"/>
      <c r="F3792" s="7"/>
      <c r="G3792" s="7"/>
      <c r="H3792" s="8"/>
      <c r="I3792" s="8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</row>
    <row r="3793" hidden="1">
      <c r="A3793" s="7"/>
      <c r="B3793" s="7"/>
      <c r="C3793" s="7"/>
      <c r="D3793" s="7"/>
      <c r="E3793" s="7"/>
      <c r="F3793" s="7"/>
      <c r="G3793" s="7"/>
      <c r="H3793" s="8"/>
      <c r="I3793" s="8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</row>
    <row r="3794" hidden="1">
      <c r="A3794" s="7"/>
      <c r="B3794" s="7"/>
      <c r="C3794" s="7"/>
      <c r="D3794" s="7"/>
      <c r="E3794" s="7"/>
      <c r="F3794" s="7"/>
      <c r="G3794" s="7"/>
      <c r="H3794" s="8"/>
      <c r="I3794" s="8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</row>
    <row r="3795" hidden="1">
      <c r="A3795" s="7"/>
      <c r="B3795" s="7"/>
      <c r="C3795" s="7"/>
      <c r="D3795" s="7"/>
      <c r="E3795" s="7"/>
      <c r="F3795" s="7"/>
      <c r="G3795" s="7"/>
      <c r="H3795" s="8"/>
      <c r="I3795" s="8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</row>
    <row r="3796" hidden="1">
      <c r="A3796" s="7"/>
      <c r="B3796" s="7"/>
      <c r="C3796" s="7"/>
      <c r="D3796" s="7"/>
      <c r="E3796" s="7"/>
      <c r="F3796" s="7"/>
      <c r="G3796" s="7"/>
      <c r="H3796" s="8"/>
      <c r="I3796" s="8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</row>
    <row r="3797" hidden="1">
      <c r="A3797" s="7"/>
      <c r="B3797" s="7"/>
      <c r="C3797" s="7"/>
      <c r="D3797" s="7"/>
      <c r="E3797" s="7"/>
      <c r="F3797" s="7"/>
      <c r="G3797" s="7"/>
      <c r="H3797" s="8"/>
      <c r="I3797" s="8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</row>
    <row r="3798" hidden="1">
      <c r="A3798" s="7"/>
      <c r="B3798" s="7"/>
      <c r="C3798" s="7"/>
      <c r="D3798" s="7"/>
      <c r="E3798" s="7"/>
      <c r="F3798" s="7"/>
      <c r="G3798" s="7"/>
      <c r="H3798" s="8"/>
      <c r="I3798" s="8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</row>
    <row r="3799" hidden="1">
      <c r="A3799" s="7"/>
      <c r="B3799" s="7"/>
      <c r="C3799" s="7"/>
      <c r="D3799" s="7"/>
      <c r="E3799" s="7"/>
      <c r="F3799" s="7"/>
      <c r="G3799" s="7"/>
      <c r="H3799" s="8"/>
      <c r="I3799" s="8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</row>
    <row r="3800" hidden="1">
      <c r="A3800" s="7"/>
      <c r="B3800" s="7"/>
      <c r="C3800" s="7"/>
      <c r="D3800" s="7"/>
      <c r="E3800" s="7"/>
      <c r="F3800" s="7"/>
      <c r="G3800" s="7"/>
      <c r="H3800" s="8"/>
      <c r="I3800" s="8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</row>
    <row r="3801" hidden="1">
      <c r="A3801" s="7"/>
      <c r="B3801" s="7"/>
      <c r="C3801" s="7"/>
      <c r="D3801" s="7"/>
      <c r="E3801" s="7"/>
      <c r="F3801" s="7"/>
      <c r="G3801" s="7"/>
      <c r="H3801" s="8"/>
      <c r="I3801" s="8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</row>
    <row r="3802" hidden="1">
      <c r="A3802" s="7"/>
      <c r="B3802" s="7"/>
      <c r="C3802" s="7"/>
      <c r="D3802" s="7"/>
      <c r="E3802" s="7"/>
      <c r="F3802" s="7"/>
      <c r="G3802" s="7"/>
      <c r="H3802" s="8"/>
      <c r="I3802" s="8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</row>
    <row r="3803" hidden="1">
      <c r="A3803" s="7"/>
      <c r="B3803" s="7"/>
      <c r="C3803" s="7"/>
      <c r="D3803" s="7"/>
      <c r="E3803" s="7"/>
      <c r="F3803" s="7"/>
      <c r="G3803" s="7"/>
      <c r="H3803" s="8"/>
      <c r="I3803" s="8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</row>
    <row r="3804" hidden="1">
      <c r="A3804" s="7"/>
      <c r="B3804" s="7"/>
      <c r="C3804" s="7"/>
      <c r="D3804" s="7"/>
      <c r="E3804" s="7"/>
      <c r="F3804" s="7"/>
      <c r="G3804" s="7"/>
      <c r="H3804" s="8"/>
      <c r="I3804" s="8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</row>
    <row r="3805" hidden="1">
      <c r="A3805" s="7"/>
      <c r="B3805" s="7"/>
      <c r="C3805" s="7"/>
      <c r="D3805" s="7"/>
      <c r="E3805" s="7"/>
      <c r="F3805" s="7"/>
      <c r="G3805" s="7"/>
      <c r="H3805" s="8"/>
      <c r="I3805" s="8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</row>
    <row r="3806" hidden="1">
      <c r="A3806" s="7"/>
      <c r="B3806" s="7"/>
      <c r="C3806" s="7"/>
      <c r="D3806" s="7"/>
      <c r="E3806" s="7"/>
      <c r="F3806" s="7"/>
      <c r="G3806" s="7"/>
      <c r="H3806" s="8"/>
      <c r="I3806" s="8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</row>
    <row r="3807" hidden="1">
      <c r="A3807" s="7"/>
      <c r="B3807" s="7"/>
      <c r="C3807" s="7"/>
      <c r="D3807" s="7"/>
      <c r="E3807" s="7"/>
      <c r="F3807" s="7"/>
      <c r="G3807" s="7"/>
      <c r="H3807" s="8"/>
      <c r="I3807" s="8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</row>
    <row r="3808" hidden="1">
      <c r="A3808" s="7"/>
      <c r="B3808" s="7"/>
      <c r="C3808" s="7"/>
      <c r="D3808" s="7"/>
      <c r="E3808" s="7"/>
      <c r="F3808" s="7"/>
      <c r="G3808" s="7"/>
      <c r="H3808" s="8"/>
      <c r="I3808" s="8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</row>
    <row r="3809" hidden="1">
      <c r="A3809" s="7"/>
      <c r="B3809" s="7"/>
      <c r="C3809" s="7"/>
      <c r="D3809" s="7"/>
      <c r="E3809" s="7"/>
      <c r="F3809" s="7"/>
      <c r="G3809" s="7"/>
      <c r="H3809" s="8"/>
      <c r="I3809" s="8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</row>
    <row r="3810" hidden="1">
      <c r="A3810" s="7"/>
      <c r="B3810" s="7"/>
      <c r="C3810" s="7"/>
      <c r="D3810" s="7"/>
      <c r="E3810" s="7"/>
      <c r="F3810" s="7"/>
      <c r="G3810" s="7"/>
      <c r="H3810" s="8"/>
      <c r="I3810" s="8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</row>
    <row r="3811" hidden="1">
      <c r="A3811" s="7"/>
      <c r="B3811" s="7"/>
      <c r="C3811" s="7"/>
      <c r="D3811" s="7"/>
      <c r="E3811" s="7"/>
      <c r="F3811" s="7"/>
      <c r="G3811" s="7"/>
      <c r="H3811" s="8"/>
      <c r="I3811" s="8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</row>
    <row r="3812" hidden="1">
      <c r="A3812" s="7"/>
      <c r="B3812" s="7"/>
      <c r="C3812" s="7"/>
      <c r="D3812" s="7"/>
      <c r="E3812" s="7"/>
      <c r="F3812" s="7"/>
      <c r="G3812" s="7"/>
      <c r="H3812" s="8"/>
      <c r="I3812" s="8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</row>
    <row r="3813" hidden="1">
      <c r="A3813" s="7"/>
      <c r="B3813" s="7"/>
      <c r="C3813" s="7"/>
      <c r="D3813" s="7"/>
      <c r="E3813" s="7"/>
      <c r="F3813" s="7"/>
      <c r="G3813" s="7"/>
      <c r="H3813" s="8"/>
      <c r="I3813" s="8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</row>
    <row r="3814" hidden="1">
      <c r="A3814" s="7"/>
      <c r="B3814" s="7"/>
      <c r="C3814" s="7"/>
      <c r="D3814" s="7"/>
      <c r="E3814" s="7"/>
      <c r="F3814" s="7"/>
      <c r="G3814" s="7"/>
      <c r="H3814" s="8"/>
      <c r="I3814" s="8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</row>
    <row r="3815" hidden="1">
      <c r="A3815" s="7"/>
      <c r="B3815" s="7"/>
      <c r="C3815" s="7"/>
      <c r="D3815" s="7"/>
      <c r="E3815" s="7"/>
      <c r="F3815" s="7"/>
      <c r="G3815" s="7"/>
      <c r="H3815" s="8"/>
      <c r="I3815" s="8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</row>
    <row r="3816" hidden="1">
      <c r="A3816" s="7"/>
      <c r="B3816" s="7"/>
      <c r="C3816" s="7"/>
      <c r="D3816" s="7"/>
      <c r="E3816" s="7"/>
      <c r="F3816" s="7"/>
      <c r="G3816" s="7"/>
      <c r="H3816" s="8"/>
      <c r="I3816" s="8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</row>
    <row r="3817" hidden="1">
      <c r="A3817" s="7"/>
      <c r="B3817" s="7"/>
      <c r="C3817" s="7"/>
      <c r="D3817" s="7"/>
      <c r="E3817" s="7"/>
      <c r="F3817" s="7"/>
      <c r="G3817" s="7"/>
      <c r="H3817" s="8"/>
      <c r="I3817" s="8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</row>
    <row r="3818" hidden="1">
      <c r="A3818" s="7"/>
      <c r="B3818" s="7"/>
      <c r="C3818" s="7"/>
      <c r="D3818" s="7"/>
      <c r="E3818" s="7"/>
      <c r="F3818" s="7"/>
      <c r="G3818" s="7"/>
      <c r="H3818" s="8"/>
      <c r="I3818" s="8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</row>
    <row r="3819" hidden="1">
      <c r="A3819" s="7"/>
      <c r="B3819" s="7"/>
      <c r="C3819" s="7"/>
      <c r="D3819" s="7"/>
      <c r="E3819" s="7"/>
      <c r="F3819" s="7"/>
      <c r="G3819" s="7"/>
      <c r="H3819" s="8"/>
      <c r="I3819" s="8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</row>
    <row r="3820" hidden="1">
      <c r="A3820" s="7"/>
      <c r="B3820" s="7"/>
      <c r="C3820" s="7"/>
      <c r="D3820" s="7"/>
      <c r="E3820" s="7"/>
      <c r="F3820" s="7"/>
      <c r="G3820" s="7"/>
      <c r="H3820" s="8"/>
      <c r="I3820" s="8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</row>
    <row r="3821" hidden="1">
      <c r="A3821" s="7"/>
      <c r="B3821" s="7"/>
      <c r="C3821" s="7"/>
      <c r="D3821" s="7"/>
      <c r="E3821" s="7"/>
      <c r="F3821" s="7"/>
      <c r="G3821" s="7"/>
      <c r="H3821" s="8"/>
      <c r="I3821" s="8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</row>
    <row r="3822" hidden="1">
      <c r="A3822" s="7"/>
      <c r="B3822" s="7"/>
      <c r="C3822" s="7"/>
      <c r="D3822" s="7"/>
      <c r="E3822" s="7"/>
      <c r="F3822" s="7"/>
      <c r="G3822" s="7"/>
      <c r="H3822" s="8"/>
      <c r="I3822" s="8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</row>
    <row r="3823" hidden="1">
      <c r="A3823" s="7"/>
      <c r="B3823" s="7"/>
      <c r="C3823" s="7"/>
      <c r="D3823" s="7"/>
      <c r="E3823" s="7"/>
      <c r="F3823" s="7"/>
      <c r="G3823" s="7"/>
      <c r="H3823" s="8"/>
      <c r="I3823" s="8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</row>
    <row r="3824" hidden="1">
      <c r="A3824" s="7"/>
      <c r="B3824" s="7"/>
      <c r="C3824" s="7"/>
      <c r="D3824" s="7"/>
      <c r="E3824" s="7"/>
      <c r="F3824" s="7"/>
      <c r="G3824" s="7"/>
      <c r="H3824" s="8"/>
      <c r="I3824" s="8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</row>
    <row r="3825" hidden="1">
      <c r="A3825" s="7"/>
      <c r="B3825" s="7"/>
      <c r="C3825" s="7"/>
      <c r="D3825" s="7"/>
      <c r="E3825" s="7"/>
      <c r="F3825" s="7"/>
      <c r="G3825" s="7"/>
      <c r="H3825" s="8"/>
      <c r="I3825" s="8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</row>
    <row r="3826" hidden="1">
      <c r="A3826" s="7"/>
      <c r="B3826" s="7"/>
      <c r="C3826" s="7"/>
      <c r="D3826" s="7"/>
      <c r="E3826" s="7"/>
      <c r="F3826" s="7"/>
      <c r="G3826" s="7"/>
      <c r="H3826" s="8"/>
      <c r="I3826" s="8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</row>
    <row r="3827" hidden="1">
      <c r="A3827" s="7"/>
      <c r="B3827" s="7"/>
      <c r="C3827" s="7"/>
      <c r="D3827" s="7"/>
      <c r="E3827" s="7"/>
      <c r="F3827" s="7"/>
      <c r="G3827" s="7"/>
      <c r="H3827" s="8"/>
      <c r="I3827" s="8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</row>
    <row r="3828" hidden="1">
      <c r="A3828" s="7"/>
      <c r="B3828" s="7"/>
      <c r="C3828" s="7"/>
      <c r="D3828" s="7"/>
      <c r="E3828" s="7"/>
      <c r="F3828" s="7"/>
      <c r="G3828" s="7"/>
      <c r="H3828" s="8"/>
      <c r="I3828" s="8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</row>
    <row r="3829" hidden="1">
      <c r="A3829" s="7"/>
      <c r="B3829" s="7"/>
      <c r="C3829" s="7"/>
      <c r="D3829" s="7"/>
      <c r="E3829" s="7"/>
      <c r="F3829" s="7"/>
      <c r="G3829" s="7"/>
      <c r="H3829" s="8"/>
      <c r="I3829" s="8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</row>
    <row r="3830" hidden="1">
      <c r="A3830" s="7"/>
      <c r="B3830" s="7"/>
      <c r="C3830" s="7"/>
      <c r="D3830" s="7"/>
      <c r="E3830" s="7"/>
      <c r="F3830" s="7"/>
      <c r="G3830" s="7"/>
      <c r="H3830" s="8"/>
      <c r="I3830" s="8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</row>
    <row r="3831" hidden="1">
      <c r="A3831" s="7"/>
      <c r="B3831" s="7"/>
      <c r="C3831" s="7"/>
      <c r="D3831" s="7"/>
      <c r="E3831" s="7"/>
      <c r="F3831" s="7"/>
      <c r="G3831" s="7"/>
      <c r="H3831" s="8"/>
      <c r="I3831" s="8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</row>
    <row r="3832" hidden="1">
      <c r="A3832" s="7"/>
      <c r="B3832" s="7"/>
      <c r="C3832" s="7"/>
      <c r="D3832" s="7"/>
      <c r="E3832" s="7"/>
      <c r="F3832" s="7"/>
      <c r="G3832" s="7"/>
      <c r="H3832" s="8"/>
      <c r="I3832" s="8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</row>
    <row r="3833" hidden="1">
      <c r="A3833" s="7"/>
      <c r="B3833" s="7"/>
      <c r="C3833" s="7"/>
      <c r="D3833" s="7"/>
      <c r="E3833" s="7"/>
      <c r="F3833" s="7"/>
      <c r="G3833" s="7"/>
      <c r="H3833" s="8"/>
      <c r="I3833" s="8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</row>
    <row r="3834" hidden="1">
      <c r="A3834" s="7"/>
      <c r="B3834" s="7"/>
      <c r="C3834" s="7"/>
      <c r="D3834" s="7"/>
      <c r="E3834" s="7"/>
      <c r="F3834" s="7"/>
      <c r="G3834" s="7"/>
      <c r="H3834" s="8"/>
      <c r="I3834" s="8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</row>
    <row r="3835" hidden="1">
      <c r="A3835" s="7"/>
      <c r="B3835" s="7"/>
      <c r="C3835" s="7"/>
      <c r="D3835" s="7"/>
      <c r="E3835" s="7"/>
      <c r="F3835" s="7"/>
      <c r="G3835" s="7"/>
      <c r="H3835" s="8"/>
      <c r="I3835" s="8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</row>
    <row r="3836" hidden="1">
      <c r="A3836" s="7"/>
      <c r="B3836" s="7"/>
      <c r="C3836" s="7"/>
      <c r="D3836" s="7"/>
      <c r="E3836" s="7"/>
      <c r="F3836" s="7"/>
      <c r="G3836" s="7"/>
      <c r="H3836" s="8"/>
      <c r="I3836" s="8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</row>
    <row r="3837" hidden="1">
      <c r="A3837" s="7"/>
      <c r="B3837" s="7"/>
      <c r="C3837" s="7"/>
      <c r="D3837" s="7"/>
      <c r="E3837" s="7"/>
      <c r="F3837" s="7"/>
      <c r="G3837" s="7"/>
      <c r="H3837" s="8"/>
      <c r="I3837" s="8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</row>
    <row r="3838" hidden="1">
      <c r="A3838" s="7"/>
      <c r="B3838" s="7"/>
      <c r="C3838" s="7"/>
      <c r="D3838" s="7"/>
      <c r="E3838" s="7"/>
      <c r="F3838" s="7"/>
      <c r="G3838" s="7"/>
      <c r="H3838" s="8"/>
      <c r="I3838" s="8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</row>
    <row r="3839" hidden="1">
      <c r="A3839" s="7"/>
      <c r="B3839" s="7"/>
      <c r="C3839" s="7"/>
      <c r="D3839" s="7"/>
      <c r="E3839" s="7"/>
      <c r="F3839" s="7"/>
      <c r="G3839" s="7"/>
      <c r="H3839" s="8"/>
      <c r="I3839" s="8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</row>
    <row r="3840" hidden="1">
      <c r="A3840" s="7"/>
      <c r="B3840" s="7"/>
      <c r="C3840" s="7"/>
      <c r="D3840" s="7"/>
      <c r="E3840" s="7"/>
      <c r="F3840" s="7"/>
      <c r="G3840" s="7"/>
      <c r="H3840" s="8"/>
      <c r="I3840" s="8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</row>
    <row r="3841" hidden="1">
      <c r="A3841" s="7"/>
      <c r="B3841" s="7"/>
      <c r="C3841" s="7"/>
      <c r="D3841" s="7"/>
      <c r="E3841" s="7"/>
      <c r="F3841" s="7"/>
      <c r="G3841" s="7"/>
      <c r="H3841" s="8"/>
      <c r="I3841" s="8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</row>
    <row r="3842" hidden="1">
      <c r="A3842" s="7"/>
      <c r="B3842" s="7"/>
      <c r="C3842" s="7"/>
      <c r="D3842" s="7"/>
      <c r="E3842" s="7"/>
      <c r="F3842" s="7"/>
      <c r="G3842" s="7"/>
      <c r="H3842" s="8"/>
      <c r="I3842" s="8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</row>
    <row r="3843" hidden="1">
      <c r="A3843" s="7"/>
      <c r="B3843" s="7"/>
      <c r="C3843" s="7"/>
      <c r="D3843" s="7"/>
      <c r="E3843" s="7"/>
      <c r="F3843" s="7"/>
      <c r="G3843" s="7"/>
      <c r="H3843" s="8"/>
      <c r="I3843" s="8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</row>
    <row r="3844" hidden="1">
      <c r="A3844" s="7"/>
      <c r="B3844" s="7"/>
      <c r="C3844" s="7"/>
      <c r="D3844" s="7"/>
      <c r="E3844" s="7"/>
      <c r="F3844" s="7"/>
      <c r="G3844" s="7"/>
      <c r="H3844" s="8"/>
      <c r="I3844" s="8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</row>
    <row r="3845" hidden="1">
      <c r="A3845" s="7"/>
      <c r="B3845" s="7"/>
      <c r="C3845" s="7"/>
      <c r="D3845" s="7"/>
      <c r="E3845" s="7"/>
      <c r="F3845" s="7"/>
      <c r="G3845" s="7"/>
      <c r="H3845" s="8"/>
      <c r="I3845" s="8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</row>
    <row r="3846" hidden="1">
      <c r="A3846" s="7"/>
      <c r="B3846" s="7"/>
      <c r="C3846" s="7"/>
      <c r="D3846" s="7"/>
      <c r="E3846" s="7"/>
      <c r="F3846" s="7"/>
      <c r="G3846" s="7"/>
      <c r="H3846" s="8"/>
      <c r="I3846" s="8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</row>
    <row r="3847" hidden="1">
      <c r="A3847" s="7"/>
      <c r="B3847" s="7"/>
      <c r="C3847" s="7"/>
      <c r="D3847" s="7"/>
      <c r="E3847" s="7"/>
      <c r="F3847" s="7"/>
      <c r="G3847" s="7"/>
      <c r="H3847" s="8"/>
      <c r="I3847" s="8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</row>
    <row r="3848" hidden="1">
      <c r="A3848" s="7"/>
      <c r="B3848" s="7"/>
      <c r="C3848" s="7"/>
      <c r="D3848" s="7"/>
      <c r="E3848" s="7"/>
      <c r="F3848" s="7"/>
      <c r="G3848" s="7"/>
      <c r="H3848" s="8"/>
      <c r="I3848" s="8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</row>
    <row r="3849" hidden="1">
      <c r="A3849" s="7"/>
      <c r="B3849" s="7"/>
      <c r="C3849" s="7"/>
      <c r="D3849" s="7"/>
      <c r="E3849" s="7"/>
      <c r="F3849" s="7"/>
      <c r="G3849" s="7"/>
      <c r="H3849" s="8"/>
      <c r="I3849" s="8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</row>
    <row r="3850" hidden="1">
      <c r="A3850" s="7"/>
      <c r="B3850" s="7"/>
      <c r="C3850" s="7"/>
      <c r="D3850" s="7"/>
      <c r="E3850" s="7"/>
      <c r="F3850" s="7"/>
      <c r="G3850" s="7"/>
      <c r="H3850" s="8"/>
      <c r="I3850" s="8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</row>
    <row r="3851" hidden="1">
      <c r="A3851" s="7"/>
      <c r="B3851" s="7"/>
      <c r="C3851" s="7"/>
      <c r="D3851" s="7"/>
      <c r="E3851" s="7"/>
      <c r="F3851" s="7"/>
      <c r="G3851" s="7"/>
      <c r="H3851" s="8"/>
      <c r="I3851" s="8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</row>
    <row r="3852" hidden="1">
      <c r="A3852" s="7"/>
      <c r="B3852" s="7"/>
      <c r="C3852" s="7"/>
      <c r="D3852" s="7"/>
      <c r="E3852" s="7"/>
      <c r="F3852" s="7"/>
      <c r="G3852" s="7"/>
      <c r="H3852" s="8"/>
      <c r="I3852" s="8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</row>
    <row r="3853" hidden="1">
      <c r="A3853" s="7"/>
      <c r="B3853" s="7"/>
      <c r="C3853" s="7"/>
      <c r="D3853" s="7"/>
      <c r="E3853" s="7"/>
      <c r="F3853" s="7"/>
      <c r="G3853" s="7"/>
      <c r="H3853" s="8"/>
      <c r="I3853" s="8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</row>
    <row r="3854" hidden="1">
      <c r="A3854" s="7"/>
      <c r="B3854" s="7"/>
      <c r="C3854" s="7"/>
      <c r="D3854" s="7"/>
      <c r="E3854" s="7"/>
      <c r="F3854" s="7"/>
      <c r="G3854" s="7"/>
      <c r="H3854" s="8"/>
      <c r="I3854" s="8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</row>
    <row r="3855" hidden="1">
      <c r="A3855" s="7"/>
      <c r="B3855" s="7"/>
      <c r="C3855" s="7"/>
      <c r="D3855" s="7"/>
      <c r="E3855" s="7"/>
      <c r="F3855" s="7"/>
      <c r="G3855" s="7"/>
      <c r="H3855" s="8"/>
      <c r="I3855" s="8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</row>
    <row r="3856" hidden="1">
      <c r="A3856" s="7"/>
      <c r="B3856" s="7"/>
      <c r="C3856" s="7"/>
      <c r="D3856" s="7"/>
      <c r="E3856" s="7"/>
      <c r="F3856" s="7"/>
      <c r="G3856" s="7"/>
      <c r="H3856" s="8"/>
      <c r="I3856" s="8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</row>
    <row r="3857" hidden="1">
      <c r="A3857" s="7"/>
      <c r="B3857" s="7"/>
      <c r="C3857" s="7"/>
      <c r="D3857" s="7"/>
      <c r="E3857" s="7"/>
      <c r="F3857" s="7"/>
      <c r="G3857" s="7"/>
      <c r="H3857" s="8"/>
      <c r="I3857" s="8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</row>
    <row r="3858" hidden="1">
      <c r="A3858" s="7"/>
      <c r="B3858" s="7"/>
      <c r="C3858" s="7"/>
      <c r="D3858" s="7"/>
      <c r="E3858" s="7"/>
      <c r="F3858" s="7"/>
      <c r="G3858" s="7"/>
      <c r="H3858" s="8"/>
      <c r="I3858" s="8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</row>
    <row r="3859" hidden="1">
      <c r="A3859" s="7"/>
      <c r="B3859" s="7"/>
      <c r="C3859" s="7"/>
      <c r="D3859" s="7"/>
      <c r="E3859" s="7"/>
      <c r="F3859" s="7"/>
      <c r="G3859" s="7"/>
      <c r="H3859" s="8"/>
      <c r="I3859" s="8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</row>
    <row r="3860" hidden="1">
      <c r="A3860" s="7"/>
      <c r="B3860" s="7"/>
      <c r="C3860" s="7"/>
      <c r="D3860" s="7"/>
      <c r="E3860" s="7"/>
      <c r="F3860" s="7"/>
      <c r="G3860" s="7"/>
      <c r="H3860" s="8"/>
      <c r="I3860" s="8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</row>
    <row r="3861" hidden="1">
      <c r="A3861" s="7"/>
      <c r="B3861" s="7"/>
      <c r="C3861" s="7"/>
      <c r="D3861" s="7"/>
      <c r="E3861" s="7"/>
      <c r="F3861" s="7"/>
      <c r="G3861" s="7"/>
      <c r="H3861" s="8"/>
      <c r="I3861" s="8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</row>
    <row r="3862" hidden="1">
      <c r="A3862" s="7"/>
      <c r="B3862" s="7"/>
      <c r="C3862" s="7"/>
      <c r="D3862" s="7"/>
      <c r="E3862" s="7"/>
      <c r="F3862" s="7"/>
      <c r="G3862" s="7"/>
      <c r="H3862" s="8"/>
      <c r="I3862" s="8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</row>
    <row r="3863" hidden="1">
      <c r="A3863" s="7"/>
      <c r="B3863" s="7"/>
      <c r="C3863" s="7"/>
      <c r="D3863" s="7"/>
      <c r="E3863" s="7"/>
      <c r="F3863" s="7"/>
      <c r="G3863" s="7"/>
      <c r="H3863" s="8"/>
      <c r="I3863" s="8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</row>
    <row r="3864" hidden="1">
      <c r="A3864" s="7"/>
      <c r="B3864" s="7"/>
      <c r="C3864" s="7"/>
      <c r="D3864" s="7"/>
      <c r="E3864" s="7"/>
      <c r="F3864" s="7"/>
      <c r="G3864" s="7"/>
      <c r="H3864" s="8"/>
      <c r="I3864" s="8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</row>
    <row r="3865" hidden="1">
      <c r="A3865" s="7"/>
      <c r="B3865" s="7"/>
      <c r="C3865" s="7"/>
      <c r="D3865" s="7"/>
      <c r="E3865" s="7"/>
      <c r="F3865" s="7"/>
      <c r="G3865" s="7"/>
      <c r="H3865" s="8"/>
      <c r="I3865" s="8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</row>
    <row r="3866" hidden="1">
      <c r="A3866" s="7"/>
      <c r="B3866" s="7"/>
      <c r="C3866" s="7"/>
      <c r="D3866" s="7"/>
      <c r="E3866" s="7"/>
      <c r="F3866" s="7"/>
      <c r="G3866" s="7"/>
      <c r="H3866" s="8"/>
      <c r="I3866" s="8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</row>
    <row r="3867" hidden="1">
      <c r="A3867" s="7"/>
      <c r="B3867" s="7"/>
      <c r="C3867" s="7"/>
      <c r="D3867" s="7"/>
      <c r="E3867" s="7"/>
      <c r="F3867" s="7"/>
      <c r="G3867" s="7"/>
      <c r="H3867" s="8"/>
      <c r="I3867" s="8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</row>
    <row r="3868" hidden="1">
      <c r="A3868" s="7"/>
      <c r="B3868" s="7"/>
      <c r="C3868" s="7"/>
      <c r="D3868" s="7"/>
      <c r="E3868" s="7"/>
      <c r="F3868" s="7"/>
      <c r="G3868" s="7"/>
      <c r="H3868" s="8"/>
      <c r="I3868" s="8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</row>
    <row r="3869" hidden="1">
      <c r="A3869" s="7"/>
      <c r="B3869" s="7"/>
      <c r="C3869" s="7"/>
      <c r="D3869" s="7"/>
      <c r="E3869" s="7"/>
      <c r="F3869" s="7"/>
      <c r="G3869" s="7"/>
      <c r="H3869" s="8"/>
      <c r="I3869" s="8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</row>
    <row r="3870" hidden="1">
      <c r="A3870" s="7"/>
      <c r="B3870" s="7"/>
      <c r="C3870" s="7"/>
      <c r="D3870" s="7"/>
      <c r="E3870" s="7"/>
      <c r="F3870" s="7"/>
      <c r="G3870" s="7"/>
      <c r="H3870" s="8"/>
      <c r="I3870" s="8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</row>
    <row r="3871" hidden="1">
      <c r="A3871" s="7"/>
      <c r="B3871" s="7"/>
      <c r="C3871" s="7"/>
      <c r="D3871" s="7"/>
      <c r="E3871" s="7"/>
      <c r="F3871" s="7"/>
      <c r="G3871" s="7"/>
      <c r="H3871" s="8"/>
      <c r="I3871" s="8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</row>
    <row r="3872" hidden="1">
      <c r="A3872" s="7"/>
      <c r="B3872" s="7"/>
      <c r="C3872" s="7"/>
      <c r="D3872" s="7"/>
      <c r="E3872" s="7"/>
      <c r="F3872" s="7"/>
      <c r="G3872" s="7"/>
      <c r="H3872" s="8"/>
      <c r="I3872" s="8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</row>
    <row r="3873" hidden="1">
      <c r="A3873" s="7"/>
      <c r="B3873" s="7"/>
      <c r="C3873" s="7"/>
      <c r="D3873" s="7"/>
      <c r="E3873" s="7"/>
      <c r="F3873" s="7"/>
      <c r="G3873" s="7"/>
      <c r="H3873" s="8"/>
      <c r="I3873" s="8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</row>
    <row r="3874" hidden="1">
      <c r="A3874" s="7"/>
      <c r="B3874" s="7"/>
      <c r="C3874" s="7"/>
      <c r="D3874" s="7"/>
      <c r="E3874" s="7"/>
      <c r="F3874" s="7"/>
      <c r="G3874" s="7"/>
      <c r="H3874" s="8"/>
      <c r="I3874" s="8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</row>
    <row r="3875" hidden="1">
      <c r="A3875" s="7"/>
      <c r="B3875" s="7"/>
      <c r="C3875" s="7"/>
      <c r="D3875" s="7"/>
      <c r="E3875" s="7"/>
      <c r="F3875" s="7"/>
      <c r="G3875" s="7"/>
      <c r="H3875" s="8"/>
      <c r="I3875" s="8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</row>
    <row r="3876" hidden="1">
      <c r="A3876" s="7"/>
      <c r="B3876" s="7"/>
      <c r="C3876" s="7"/>
      <c r="D3876" s="7"/>
      <c r="E3876" s="7"/>
      <c r="F3876" s="7"/>
      <c r="G3876" s="7"/>
      <c r="H3876" s="8"/>
      <c r="I3876" s="8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</row>
    <row r="3877" hidden="1">
      <c r="A3877" s="7"/>
      <c r="B3877" s="7"/>
      <c r="C3877" s="7"/>
      <c r="D3877" s="7"/>
      <c r="E3877" s="7"/>
      <c r="F3877" s="7"/>
      <c r="G3877" s="7"/>
      <c r="H3877" s="8"/>
      <c r="I3877" s="8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</row>
    <row r="3878" hidden="1">
      <c r="A3878" s="7"/>
      <c r="B3878" s="7"/>
      <c r="C3878" s="7"/>
      <c r="D3878" s="7"/>
      <c r="E3878" s="7"/>
      <c r="F3878" s="7"/>
      <c r="G3878" s="7"/>
      <c r="H3878" s="8"/>
      <c r="I3878" s="8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</row>
    <row r="3879" hidden="1">
      <c r="A3879" s="7"/>
      <c r="B3879" s="7"/>
      <c r="C3879" s="7"/>
      <c r="D3879" s="7"/>
      <c r="E3879" s="7"/>
      <c r="F3879" s="7"/>
      <c r="G3879" s="7"/>
      <c r="H3879" s="8"/>
      <c r="I3879" s="8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</row>
    <row r="3880" hidden="1">
      <c r="A3880" s="7"/>
      <c r="B3880" s="7"/>
      <c r="C3880" s="7"/>
      <c r="D3880" s="7"/>
      <c r="E3880" s="7"/>
      <c r="F3880" s="7"/>
      <c r="G3880" s="7"/>
      <c r="H3880" s="8"/>
      <c r="I3880" s="8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</row>
    <row r="3881" hidden="1">
      <c r="A3881" s="7"/>
      <c r="B3881" s="7"/>
      <c r="C3881" s="7"/>
      <c r="D3881" s="7"/>
      <c r="E3881" s="7"/>
      <c r="F3881" s="7"/>
      <c r="G3881" s="7"/>
      <c r="H3881" s="8"/>
      <c r="I3881" s="8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</row>
    <row r="3882" hidden="1">
      <c r="A3882" s="7"/>
      <c r="B3882" s="7"/>
      <c r="C3882" s="7"/>
      <c r="D3882" s="7"/>
      <c r="E3882" s="7"/>
      <c r="F3882" s="7"/>
      <c r="G3882" s="7"/>
      <c r="H3882" s="8"/>
      <c r="I3882" s="8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</row>
    <row r="3883" hidden="1">
      <c r="A3883" s="7"/>
      <c r="B3883" s="7"/>
      <c r="C3883" s="7"/>
      <c r="D3883" s="7"/>
      <c r="E3883" s="7"/>
      <c r="F3883" s="7"/>
      <c r="G3883" s="7"/>
      <c r="H3883" s="8"/>
      <c r="I3883" s="8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</row>
    <row r="3884" hidden="1">
      <c r="A3884" s="7"/>
      <c r="B3884" s="7"/>
      <c r="C3884" s="7"/>
      <c r="D3884" s="7"/>
      <c r="E3884" s="7"/>
      <c r="F3884" s="7"/>
      <c r="G3884" s="7"/>
      <c r="H3884" s="8"/>
      <c r="I3884" s="8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</row>
    <row r="3885" hidden="1">
      <c r="A3885" s="7"/>
      <c r="B3885" s="7"/>
      <c r="C3885" s="7"/>
      <c r="D3885" s="7"/>
      <c r="E3885" s="7"/>
      <c r="F3885" s="7"/>
      <c r="G3885" s="7"/>
      <c r="H3885" s="8"/>
      <c r="I3885" s="8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</row>
    <row r="3886" hidden="1">
      <c r="A3886" s="7"/>
      <c r="B3886" s="7"/>
      <c r="C3886" s="7"/>
      <c r="D3886" s="7"/>
      <c r="E3886" s="7"/>
      <c r="F3886" s="7"/>
      <c r="G3886" s="7"/>
      <c r="H3886" s="8"/>
      <c r="I3886" s="8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</row>
    <row r="3887" hidden="1">
      <c r="A3887" s="7"/>
      <c r="B3887" s="7"/>
      <c r="C3887" s="7"/>
      <c r="D3887" s="7"/>
      <c r="E3887" s="7"/>
      <c r="F3887" s="7"/>
      <c r="G3887" s="7"/>
      <c r="H3887" s="8"/>
      <c r="I3887" s="8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</row>
    <row r="3888" hidden="1">
      <c r="A3888" s="7"/>
      <c r="B3888" s="7"/>
      <c r="C3888" s="7"/>
      <c r="D3888" s="7"/>
      <c r="E3888" s="7"/>
      <c r="F3888" s="7"/>
      <c r="G3888" s="7"/>
      <c r="H3888" s="8"/>
      <c r="I3888" s="8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</row>
    <row r="3889" hidden="1">
      <c r="A3889" s="7"/>
      <c r="B3889" s="7"/>
      <c r="C3889" s="7"/>
      <c r="D3889" s="7"/>
      <c r="E3889" s="7"/>
      <c r="F3889" s="7"/>
      <c r="G3889" s="7"/>
      <c r="H3889" s="8"/>
      <c r="I3889" s="8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</row>
    <row r="3890" hidden="1">
      <c r="A3890" s="7"/>
      <c r="B3890" s="7"/>
      <c r="C3890" s="7"/>
      <c r="D3890" s="7"/>
      <c r="E3890" s="7"/>
      <c r="F3890" s="7"/>
      <c r="G3890" s="7"/>
      <c r="H3890" s="8"/>
      <c r="I3890" s="8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</row>
    <row r="3891" hidden="1">
      <c r="A3891" s="7"/>
      <c r="B3891" s="7"/>
      <c r="C3891" s="7"/>
      <c r="D3891" s="7"/>
      <c r="E3891" s="7"/>
      <c r="F3891" s="7"/>
      <c r="G3891" s="7"/>
      <c r="H3891" s="8"/>
      <c r="I3891" s="8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</row>
    <row r="3892" hidden="1">
      <c r="A3892" s="7"/>
      <c r="B3892" s="7"/>
      <c r="C3892" s="7"/>
      <c r="D3892" s="7"/>
      <c r="E3892" s="7"/>
      <c r="F3892" s="7"/>
      <c r="G3892" s="7"/>
      <c r="H3892" s="8"/>
      <c r="I3892" s="8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</row>
    <row r="3893" hidden="1">
      <c r="A3893" s="7"/>
      <c r="B3893" s="7"/>
      <c r="C3893" s="7"/>
      <c r="D3893" s="7"/>
      <c r="E3893" s="7"/>
      <c r="F3893" s="7"/>
      <c r="G3893" s="7"/>
      <c r="H3893" s="8"/>
      <c r="I3893" s="8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</row>
    <row r="3894" hidden="1">
      <c r="A3894" s="7"/>
      <c r="B3894" s="7"/>
      <c r="C3894" s="7"/>
      <c r="D3894" s="7"/>
      <c r="E3894" s="7"/>
      <c r="F3894" s="7"/>
      <c r="G3894" s="7"/>
      <c r="H3894" s="8"/>
      <c r="I3894" s="8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</row>
    <row r="3895" hidden="1">
      <c r="A3895" s="7"/>
      <c r="B3895" s="7"/>
      <c r="C3895" s="7"/>
      <c r="D3895" s="7"/>
      <c r="E3895" s="7"/>
      <c r="F3895" s="7"/>
      <c r="G3895" s="7"/>
      <c r="H3895" s="8"/>
      <c r="I3895" s="8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</row>
    <row r="3896" hidden="1">
      <c r="A3896" s="7"/>
      <c r="B3896" s="7"/>
      <c r="C3896" s="7"/>
      <c r="D3896" s="7"/>
      <c r="E3896" s="7"/>
      <c r="F3896" s="7"/>
      <c r="G3896" s="7"/>
      <c r="H3896" s="8"/>
      <c r="I3896" s="8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</row>
    <row r="3897" hidden="1">
      <c r="A3897" s="7"/>
      <c r="B3897" s="7"/>
      <c r="C3897" s="7"/>
      <c r="D3897" s="7"/>
      <c r="E3897" s="7"/>
      <c r="F3897" s="7"/>
      <c r="G3897" s="7"/>
      <c r="H3897" s="8"/>
      <c r="I3897" s="8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</row>
    <row r="3898" hidden="1">
      <c r="A3898" s="7"/>
      <c r="B3898" s="7"/>
      <c r="C3898" s="7"/>
      <c r="D3898" s="7"/>
      <c r="E3898" s="7"/>
      <c r="F3898" s="7"/>
      <c r="G3898" s="7"/>
      <c r="H3898" s="8"/>
      <c r="I3898" s="8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</row>
    <row r="3899" hidden="1">
      <c r="A3899" s="7"/>
      <c r="B3899" s="7"/>
      <c r="C3899" s="7"/>
      <c r="D3899" s="7"/>
      <c r="E3899" s="7"/>
      <c r="F3899" s="7"/>
      <c r="G3899" s="7"/>
      <c r="H3899" s="8"/>
      <c r="I3899" s="8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</row>
    <row r="3900" hidden="1">
      <c r="A3900" s="7"/>
      <c r="B3900" s="7"/>
      <c r="C3900" s="7"/>
      <c r="D3900" s="7"/>
      <c r="E3900" s="7"/>
      <c r="F3900" s="7"/>
      <c r="G3900" s="7"/>
      <c r="H3900" s="8"/>
      <c r="I3900" s="8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</row>
    <row r="3901" hidden="1">
      <c r="A3901" s="7"/>
      <c r="B3901" s="7"/>
      <c r="C3901" s="7"/>
      <c r="D3901" s="7"/>
      <c r="E3901" s="7"/>
      <c r="F3901" s="7"/>
      <c r="G3901" s="7"/>
      <c r="H3901" s="8"/>
      <c r="I3901" s="8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</row>
    <row r="3902" hidden="1">
      <c r="A3902" s="7"/>
      <c r="B3902" s="7"/>
      <c r="C3902" s="7"/>
      <c r="D3902" s="7"/>
      <c r="E3902" s="7"/>
      <c r="F3902" s="7"/>
      <c r="G3902" s="7"/>
      <c r="H3902" s="8"/>
      <c r="I3902" s="8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</row>
    <row r="3903" hidden="1">
      <c r="A3903" s="7"/>
      <c r="B3903" s="7"/>
      <c r="C3903" s="7"/>
      <c r="D3903" s="7"/>
      <c r="E3903" s="7"/>
      <c r="F3903" s="7"/>
      <c r="G3903" s="7"/>
      <c r="H3903" s="8"/>
      <c r="I3903" s="8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</row>
    <row r="3904" hidden="1">
      <c r="A3904" s="7"/>
      <c r="B3904" s="7"/>
      <c r="C3904" s="7"/>
      <c r="D3904" s="7"/>
      <c r="E3904" s="7"/>
      <c r="F3904" s="7"/>
      <c r="G3904" s="7"/>
      <c r="H3904" s="8"/>
      <c r="I3904" s="8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</row>
    <row r="3905" hidden="1">
      <c r="A3905" s="7"/>
      <c r="B3905" s="7"/>
      <c r="C3905" s="7"/>
      <c r="D3905" s="7"/>
      <c r="E3905" s="7"/>
      <c r="F3905" s="7"/>
      <c r="G3905" s="7"/>
      <c r="H3905" s="8"/>
      <c r="I3905" s="8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</row>
    <row r="3906" hidden="1">
      <c r="A3906" s="7"/>
      <c r="B3906" s="7"/>
      <c r="C3906" s="7"/>
      <c r="D3906" s="7"/>
      <c r="E3906" s="7"/>
      <c r="F3906" s="7"/>
      <c r="G3906" s="7"/>
      <c r="H3906" s="8"/>
      <c r="I3906" s="8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</row>
    <row r="3907" hidden="1">
      <c r="A3907" s="7"/>
      <c r="B3907" s="7"/>
      <c r="C3907" s="7"/>
      <c r="D3907" s="7"/>
      <c r="E3907" s="7"/>
      <c r="F3907" s="7"/>
      <c r="G3907" s="7"/>
      <c r="H3907" s="8"/>
      <c r="I3907" s="8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</row>
    <row r="3908" hidden="1">
      <c r="A3908" s="7"/>
      <c r="B3908" s="7"/>
      <c r="C3908" s="7"/>
      <c r="D3908" s="7"/>
      <c r="E3908" s="7"/>
      <c r="F3908" s="7"/>
      <c r="G3908" s="7"/>
      <c r="H3908" s="8"/>
      <c r="I3908" s="8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</row>
    <row r="3909" hidden="1">
      <c r="A3909" s="7"/>
      <c r="B3909" s="7"/>
      <c r="C3909" s="7"/>
      <c r="D3909" s="7"/>
      <c r="E3909" s="7"/>
      <c r="F3909" s="7"/>
      <c r="G3909" s="7"/>
      <c r="H3909" s="8"/>
      <c r="I3909" s="8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</row>
    <row r="3910" hidden="1">
      <c r="A3910" s="7"/>
      <c r="B3910" s="7"/>
      <c r="C3910" s="7"/>
      <c r="D3910" s="7"/>
      <c r="E3910" s="7"/>
      <c r="F3910" s="7"/>
      <c r="G3910" s="7"/>
      <c r="H3910" s="8"/>
      <c r="I3910" s="8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</row>
    <row r="3911" hidden="1">
      <c r="A3911" s="7"/>
      <c r="B3911" s="7"/>
      <c r="C3911" s="7"/>
      <c r="D3911" s="7"/>
      <c r="E3911" s="7"/>
      <c r="F3911" s="7"/>
      <c r="G3911" s="7"/>
      <c r="H3911" s="8"/>
      <c r="I3911" s="8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</row>
    <row r="3912" hidden="1">
      <c r="A3912" s="7"/>
      <c r="B3912" s="7"/>
      <c r="C3912" s="7"/>
      <c r="D3912" s="7"/>
      <c r="E3912" s="7"/>
      <c r="F3912" s="7"/>
      <c r="G3912" s="7"/>
      <c r="H3912" s="8"/>
      <c r="I3912" s="8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</row>
    <row r="3913" hidden="1">
      <c r="A3913" s="7"/>
      <c r="B3913" s="7"/>
      <c r="C3913" s="7"/>
      <c r="D3913" s="7"/>
      <c r="E3913" s="7"/>
      <c r="F3913" s="7"/>
      <c r="G3913" s="7"/>
      <c r="H3913" s="8"/>
      <c r="I3913" s="8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</row>
    <row r="3914" hidden="1">
      <c r="A3914" s="7"/>
      <c r="B3914" s="7"/>
      <c r="C3914" s="7"/>
      <c r="D3914" s="7"/>
      <c r="E3914" s="7"/>
      <c r="F3914" s="7"/>
      <c r="G3914" s="7"/>
      <c r="H3914" s="8"/>
      <c r="I3914" s="8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</row>
    <row r="3915" hidden="1">
      <c r="A3915" s="7"/>
      <c r="B3915" s="7"/>
      <c r="C3915" s="7"/>
      <c r="D3915" s="7"/>
      <c r="E3915" s="7"/>
      <c r="F3915" s="7"/>
      <c r="G3915" s="7"/>
      <c r="H3915" s="8"/>
      <c r="I3915" s="8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</row>
    <row r="3916" hidden="1">
      <c r="A3916" s="7"/>
      <c r="B3916" s="7"/>
      <c r="C3916" s="7"/>
      <c r="D3916" s="7"/>
      <c r="E3916" s="7"/>
      <c r="F3916" s="7"/>
      <c r="G3916" s="7"/>
      <c r="H3916" s="8"/>
      <c r="I3916" s="8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</row>
    <row r="3917" hidden="1">
      <c r="A3917" s="7"/>
      <c r="B3917" s="7"/>
      <c r="C3917" s="7"/>
      <c r="D3917" s="7"/>
      <c r="E3917" s="7"/>
      <c r="F3917" s="7"/>
      <c r="G3917" s="7"/>
      <c r="H3917" s="8"/>
      <c r="I3917" s="8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</row>
    <row r="3918" hidden="1">
      <c r="A3918" s="7"/>
      <c r="B3918" s="7"/>
      <c r="C3918" s="7"/>
      <c r="D3918" s="7"/>
      <c r="E3918" s="7"/>
      <c r="F3918" s="7"/>
      <c r="G3918" s="7"/>
      <c r="H3918" s="8"/>
      <c r="I3918" s="8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</row>
    <row r="3919" hidden="1">
      <c r="A3919" s="7"/>
      <c r="B3919" s="7"/>
      <c r="C3919" s="7"/>
      <c r="D3919" s="7"/>
      <c r="E3919" s="7"/>
      <c r="F3919" s="7"/>
      <c r="G3919" s="7"/>
      <c r="H3919" s="8"/>
      <c r="I3919" s="8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</row>
    <row r="3920" hidden="1">
      <c r="A3920" s="7"/>
      <c r="B3920" s="7"/>
      <c r="C3920" s="7"/>
      <c r="D3920" s="7"/>
      <c r="E3920" s="7"/>
      <c r="F3920" s="7"/>
      <c r="G3920" s="7"/>
      <c r="H3920" s="8"/>
      <c r="I3920" s="8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</row>
    <row r="3921" hidden="1">
      <c r="A3921" s="7"/>
      <c r="B3921" s="7"/>
      <c r="C3921" s="7"/>
      <c r="D3921" s="7"/>
      <c r="E3921" s="7"/>
      <c r="F3921" s="7"/>
      <c r="G3921" s="7"/>
      <c r="H3921" s="8"/>
      <c r="I3921" s="8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</row>
    <row r="3922" hidden="1">
      <c r="A3922" s="7"/>
      <c r="B3922" s="7"/>
      <c r="C3922" s="7"/>
      <c r="D3922" s="7"/>
      <c r="E3922" s="7"/>
      <c r="F3922" s="7"/>
      <c r="G3922" s="7"/>
      <c r="H3922" s="8"/>
      <c r="I3922" s="8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</row>
    <row r="3923" hidden="1">
      <c r="A3923" s="7"/>
      <c r="B3923" s="7"/>
      <c r="C3923" s="7"/>
      <c r="D3923" s="7"/>
      <c r="E3923" s="7"/>
      <c r="F3923" s="7"/>
      <c r="G3923" s="7"/>
      <c r="H3923" s="8"/>
      <c r="I3923" s="8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</row>
    <row r="3924" hidden="1">
      <c r="A3924" s="7"/>
      <c r="B3924" s="7"/>
      <c r="C3924" s="7"/>
      <c r="D3924" s="7"/>
      <c r="E3924" s="7"/>
      <c r="F3924" s="7"/>
      <c r="G3924" s="7"/>
      <c r="H3924" s="8"/>
      <c r="I3924" s="8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</row>
    <row r="3925" hidden="1">
      <c r="A3925" s="7"/>
      <c r="B3925" s="7"/>
      <c r="C3925" s="7"/>
      <c r="D3925" s="7"/>
      <c r="E3925" s="7"/>
      <c r="F3925" s="7"/>
      <c r="G3925" s="7"/>
      <c r="H3925" s="8"/>
      <c r="I3925" s="8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</row>
    <row r="3926" hidden="1">
      <c r="A3926" s="7"/>
      <c r="B3926" s="7"/>
      <c r="C3926" s="7"/>
      <c r="D3926" s="7"/>
      <c r="E3926" s="7"/>
      <c r="F3926" s="7"/>
      <c r="G3926" s="7"/>
      <c r="H3926" s="8"/>
      <c r="I3926" s="8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</row>
    <row r="3927" hidden="1">
      <c r="A3927" s="7"/>
      <c r="B3927" s="7"/>
      <c r="C3927" s="7"/>
      <c r="D3927" s="7"/>
      <c r="E3927" s="7"/>
      <c r="F3927" s="7"/>
      <c r="G3927" s="7"/>
      <c r="H3927" s="8"/>
      <c r="I3927" s="8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</row>
    <row r="3928" hidden="1">
      <c r="A3928" s="7"/>
      <c r="B3928" s="7"/>
      <c r="C3928" s="7"/>
      <c r="D3928" s="7"/>
      <c r="E3928" s="7"/>
      <c r="F3928" s="7"/>
      <c r="G3928" s="7"/>
      <c r="H3928" s="8"/>
      <c r="I3928" s="8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</row>
    <row r="3929" hidden="1">
      <c r="A3929" s="7"/>
      <c r="B3929" s="7"/>
      <c r="C3929" s="7"/>
      <c r="D3929" s="7"/>
      <c r="E3929" s="7"/>
      <c r="F3929" s="7"/>
      <c r="G3929" s="7"/>
      <c r="H3929" s="8"/>
      <c r="I3929" s="8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</row>
    <row r="3930" hidden="1">
      <c r="A3930" s="7"/>
      <c r="B3930" s="7"/>
      <c r="C3930" s="7"/>
      <c r="D3930" s="7"/>
      <c r="E3930" s="7"/>
      <c r="F3930" s="7"/>
      <c r="G3930" s="7"/>
      <c r="H3930" s="8"/>
      <c r="I3930" s="8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</row>
    <row r="3931" hidden="1">
      <c r="A3931" s="7"/>
      <c r="B3931" s="7"/>
      <c r="C3931" s="7"/>
      <c r="D3931" s="7"/>
      <c r="E3931" s="7"/>
      <c r="F3931" s="7"/>
      <c r="G3931" s="7"/>
      <c r="H3931" s="8"/>
      <c r="I3931" s="8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</row>
    <row r="3932" hidden="1">
      <c r="A3932" s="7"/>
      <c r="B3932" s="7"/>
      <c r="C3932" s="7"/>
      <c r="D3932" s="7"/>
      <c r="E3932" s="7"/>
      <c r="F3932" s="7"/>
      <c r="G3932" s="7"/>
      <c r="H3932" s="8"/>
      <c r="I3932" s="8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</row>
    <row r="3933" hidden="1">
      <c r="A3933" s="7"/>
      <c r="B3933" s="7"/>
      <c r="C3933" s="7"/>
      <c r="D3933" s="7"/>
      <c r="E3933" s="7"/>
      <c r="F3933" s="7"/>
      <c r="G3933" s="7"/>
      <c r="H3933" s="8"/>
      <c r="I3933" s="8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</row>
    <row r="3934" hidden="1">
      <c r="A3934" s="7"/>
      <c r="B3934" s="7"/>
      <c r="C3934" s="7"/>
      <c r="D3934" s="7"/>
      <c r="E3934" s="7"/>
      <c r="F3934" s="7"/>
      <c r="G3934" s="7"/>
      <c r="H3934" s="8"/>
      <c r="I3934" s="8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</row>
    <row r="3935" hidden="1">
      <c r="A3935" s="7"/>
      <c r="B3935" s="7"/>
      <c r="C3935" s="7"/>
      <c r="D3935" s="7"/>
      <c r="E3935" s="7"/>
      <c r="F3935" s="7"/>
      <c r="G3935" s="7"/>
      <c r="H3935" s="8"/>
      <c r="I3935" s="8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</row>
    <row r="3936" hidden="1">
      <c r="A3936" s="7"/>
      <c r="B3936" s="7"/>
      <c r="C3936" s="7"/>
      <c r="D3936" s="7"/>
      <c r="E3936" s="7"/>
      <c r="F3936" s="7"/>
      <c r="G3936" s="7"/>
      <c r="H3936" s="8"/>
      <c r="I3936" s="8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</row>
    <row r="3937" hidden="1">
      <c r="A3937" s="7"/>
      <c r="B3937" s="7"/>
      <c r="C3937" s="7"/>
      <c r="D3937" s="7"/>
      <c r="E3937" s="7"/>
      <c r="F3937" s="7"/>
      <c r="G3937" s="7"/>
      <c r="H3937" s="8"/>
      <c r="I3937" s="8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</row>
    <row r="3938" hidden="1">
      <c r="A3938" s="7"/>
      <c r="B3938" s="7"/>
      <c r="C3938" s="7"/>
      <c r="D3938" s="7"/>
      <c r="E3938" s="7"/>
      <c r="F3938" s="7"/>
      <c r="G3938" s="7"/>
      <c r="H3938" s="8"/>
      <c r="I3938" s="8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</row>
    <row r="3939" hidden="1">
      <c r="A3939" s="7"/>
      <c r="B3939" s="7"/>
      <c r="C3939" s="7"/>
      <c r="D3939" s="7"/>
      <c r="E3939" s="7"/>
      <c r="F3939" s="7"/>
      <c r="G3939" s="7"/>
      <c r="H3939" s="8"/>
      <c r="I3939" s="8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</row>
    <row r="3940" hidden="1">
      <c r="A3940" s="7"/>
      <c r="B3940" s="7"/>
      <c r="C3940" s="7"/>
      <c r="D3940" s="7"/>
      <c r="E3940" s="7"/>
      <c r="F3940" s="7"/>
      <c r="G3940" s="7"/>
      <c r="H3940" s="8"/>
      <c r="I3940" s="8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</row>
    <row r="3941" hidden="1">
      <c r="A3941" s="7"/>
      <c r="B3941" s="7"/>
      <c r="C3941" s="7"/>
      <c r="D3941" s="7"/>
      <c r="E3941" s="7"/>
      <c r="F3941" s="7"/>
      <c r="G3941" s="7"/>
      <c r="H3941" s="8"/>
      <c r="I3941" s="8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</row>
    <row r="3942" hidden="1">
      <c r="A3942" s="7"/>
      <c r="B3942" s="7"/>
      <c r="C3942" s="7"/>
      <c r="D3942" s="7"/>
      <c r="E3942" s="7"/>
      <c r="F3942" s="7"/>
      <c r="G3942" s="7"/>
      <c r="H3942" s="8"/>
      <c r="I3942" s="8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</row>
    <row r="3943" hidden="1">
      <c r="A3943" s="7"/>
      <c r="B3943" s="7"/>
      <c r="C3943" s="7"/>
      <c r="D3943" s="7"/>
      <c r="E3943" s="7"/>
      <c r="F3943" s="7"/>
      <c r="G3943" s="7"/>
      <c r="H3943" s="8"/>
      <c r="I3943" s="8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</row>
    <row r="3944" hidden="1">
      <c r="A3944" s="7"/>
      <c r="B3944" s="7"/>
      <c r="C3944" s="7"/>
      <c r="D3944" s="7"/>
      <c r="E3944" s="7"/>
      <c r="F3944" s="7"/>
      <c r="G3944" s="7"/>
      <c r="H3944" s="8"/>
      <c r="I3944" s="8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</row>
    <row r="3945" hidden="1">
      <c r="A3945" s="7"/>
      <c r="B3945" s="7"/>
      <c r="C3945" s="7"/>
      <c r="D3945" s="7"/>
      <c r="E3945" s="7"/>
      <c r="F3945" s="7"/>
      <c r="G3945" s="7"/>
      <c r="H3945" s="8"/>
      <c r="I3945" s="8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</row>
    <row r="3946" hidden="1">
      <c r="A3946" s="7"/>
      <c r="B3946" s="7"/>
      <c r="C3946" s="7"/>
      <c r="D3946" s="7"/>
      <c r="E3946" s="7"/>
      <c r="F3946" s="7"/>
      <c r="G3946" s="7"/>
      <c r="H3946" s="8"/>
      <c r="I3946" s="8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</row>
    <row r="3947" hidden="1">
      <c r="A3947" s="7"/>
      <c r="B3947" s="7"/>
      <c r="C3947" s="7"/>
      <c r="D3947" s="7"/>
      <c r="E3947" s="7"/>
      <c r="F3947" s="7"/>
      <c r="G3947" s="7"/>
      <c r="H3947" s="8"/>
      <c r="I3947" s="8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</row>
    <row r="3948" hidden="1">
      <c r="A3948" s="7"/>
      <c r="B3948" s="7"/>
      <c r="C3948" s="7"/>
      <c r="D3948" s="7"/>
      <c r="E3948" s="7"/>
      <c r="F3948" s="7"/>
      <c r="G3948" s="7"/>
      <c r="H3948" s="8"/>
      <c r="I3948" s="8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</row>
    <row r="3949" hidden="1">
      <c r="A3949" s="7"/>
      <c r="B3949" s="7"/>
      <c r="C3949" s="7"/>
      <c r="D3949" s="7"/>
      <c r="E3949" s="7"/>
      <c r="F3949" s="7"/>
      <c r="G3949" s="7"/>
      <c r="H3949" s="8"/>
      <c r="I3949" s="8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</row>
    <row r="3950" hidden="1">
      <c r="A3950" s="7"/>
      <c r="B3950" s="7"/>
      <c r="C3950" s="7"/>
      <c r="D3950" s="7"/>
      <c r="E3950" s="7"/>
      <c r="F3950" s="7"/>
      <c r="G3950" s="7"/>
      <c r="H3950" s="8"/>
      <c r="I3950" s="8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</row>
    <row r="3951" hidden="1">
      <c r="A3951" s="7"/>
      <c r="B3951" s="7"/>
      <c r="C3951" s="7"/>
      <c r="D3951" s="7"/>
      <c r="E3951" s="7"/>
      <c r="F3951" s="7"/>
      <c r="G3951" s="7"/>
      <c r="H3951" s="8"/>
      <c r="I3951" s="8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</row>
    <row r="3952" hidden="1">
      <c r="A3952" s="7"/>
      <c r="B3952" s="7"/>
      <c r="C3952" s="7"/>
      <c r="D3952" s="7"/>
      <c r="E3952" s="7"/>
      <c r="F3952" s="7"/>
      <c r="G3952" s="7"/>
      <c r="H3952" s="8"/>
      <c r="I3952" s="8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</row>
    <row r="3953" hidden="1">
      <c r="A3953" s="7"/>
      <c r="B3953" s="7"/>
      <c r="C3953" s="7"/>
      <c r="D3953" s="7"/>
      <c r="E3953" s="7"/>
      <c r="F3953" s="7"/>
      <c r="G3953" s="7"/>
      <c r="H3953" s="8"/>
      <c r="I3953" s="8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</row>
    <row r="3954" hidden="1">
      <c r="A3954" s="7"/>
      <c r="B3954" s="7"/>
      <c r="C3954" s="7"/>
      <c r="D3954" s="7"/>
      <c r="E3954" s="7"/>
      <c r="F3954" s="7"/>
      <c r="G3954" s="7"/>
      <c r="H3954" s="8"/>
      <c r="I3954" s="8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</row>
    <row r="3955" hidden="1">
      <c r="A3955" s="7"/>
      <c r="B3955" s="7"/>
      <c r="C3955" s="7"/>
      <c r="D3955" s="7"/>
      <c r="E3955" s="7"/>
      <c r="F3955" s="7"/>
      <c r="G3955" s="7"/>
      <c r="H3955" s="8"/>
      <c r="I3955" s="8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</row>
    <row r="3956" hidden="1">
      <c r="A3956" s="7"/>
      <c r="B3956" s="7"/>
      <c r="C3956" s="7"/>
      <c r="D3956" s="7"/>
      <c r="E3956" s="7"/>
      <c r="F3956" s="7"/>
      <c r="G3956" s="7"/>
      <c r="H3956" s="8"/>
      <c r="I3956" s="8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</row>
    <row r="3957" hidden="1">
      <c r="A3957" s="7"/>
      <c r="B3957" s="7"/>
      <c r="C3957" s="7"/>
      <c r="D3957" s="7"/>
      <c r="E3957" s="7"/>
      <c r="F3957" s="7"/>
      <c r="G3957" s="7"/>
      <c r="H3957" s="8"/>
      <c r="I3957" s="8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</row>
    <row r="3958" hidden="1">
      <c r="A3958" s="7"/>
      <c r="B3958" s="7"/>
      <c r="C3958" s="7"/>
      <c r="D3958" s="7"/>
      <c r="E3958" s="7"/>
      <c r="F3958" s="7"/>
      <c r="G3958" s="7"/>
      <c r="H3958" s="8"/>
      <c r="I3958" s="8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</row>
    <row r="3959" hidden="1">
      <c r="A3959" s="7"/>
      <c r="B3959" s="7"/>
      <c r="C3959" s="7"/>
      <c r="D3959" s="7"/>
      <c r="E3959" s="7"/>
      <c r="F3959" s="7"/>
      <c r="G3959" s="7"/>
      <c r="H3959" s="8"/>
      <c r="I3959" s="8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</row>
    <row r="3960" hidden="1">
      <c r="A3960" s="7"/>
      <c r="B3960" s="7"/>
      <c r="C3960" s="7"/>
      <c r="D3960" s="7"/>
      <c r="E3960" s="7"/>
      <c r="F3960" s="7"/>
      <c r="G3960" s="7"/>
      <c r="H3960" s="8"/>
      <c r="I3960" s="8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</row>
    <row r="3961" hidden="1">
      <c r="A3961" s="7"/>
      <c r="B3961" s="7"/>
      <c r="C3961" s="7"/>
      <c r="D3961" s="7"/>
      <c r="E3961" s="7"/>
      <c r="F3961" s="7"/>
      <c r="G3961" s="7"/>
      <c r="H3961" s="8"/>
      <c r="I3961" s="8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</row>
    <row r="3962" hidden="1">
      <c r="A3962" s="7"/>
      <c r="B3962" s="7"/>
      <c r="C3962" s="7"/>
      <c r="D3962" s="7"/>
      <c r="E3962" s="7"/>
      <c r="F3962" s="7"/>
      <c r="G3962" s="7"/>
      <c r="H3962" s="8"/>
      <c r="I3962" s="8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</row>
    <row r="3963" hidden="1">
      <c r="A3963" s="7"/>
      <c r="B3963" s="7"/>
      <c r="C3963" s="7"/>
      <c r="D3963" s="7"/>
      <c r="E3963" s="7"/>
      <c r="F3963" s="7"/>
      <c r="G3963" s="7"/>
      <c r="H3963" s="8"/>
      <c r="I3963" s="8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</row>
    <row r="3964" hidden="1">
      <c r="A3964" s="7"/>
      <c r="B3964" s="7"/>
      <c r="C3964" s="7"/>
      <c r="D3964" s="7"/>
      <c r="E3964" s="7"/>
      <c r="F3964" s="7"/>
      <c r="G3964" s="7"/>
      <c r="H3964" s="8"/>
      <c r="I3964" s="8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</row>
    <row r="3965" hidden="1">
      <c r="A3965" s="7"/>
      <c r="B3965" s="7"/>
      <c r="C3965" s="7"/>
      <c r="D3965" s="7"/>
      <c r="E3965" s="7"/>
      <c r="F3965" s="7"/>
      <c r="G3965" s="7"/>
      <c r="H3965" s="8"/>
      <c r="I3965" s="8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</row>
    <row r="3966" hidden="1">
      <c r="A3966" s="7"/>
      <c r="B3966" s="7"/>
      <c r="C3966" s="7"/>
      <c r="D3966" s="7"/>
      <c r="E3966" s="7"/>
      <c r="F3966" s="7"/>
      <c r="G3966" s="7"/>
      <c r="H3966" s="8"/>
      <c r="I3966" s="8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</row>
    <row r="3967" hidden="1">
      <c r="A3967" s="7"/>
      <c r="B3967" s="7"/>
      <c r="C3967" s="7"/>
      <c r="D3967" s="7"/>
      <c r="E3967" s="7"/>
      <c r="F3967" s="7"/>
      <c r="G3967" s="7"/>
      <c r="H3967" s="8"/>
      <c r="I3967" s="8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</row>
    <row r="3968" hidden="1">
      <c r="A3968" s="7"/>
      <c r="B3968" s="7"/>
      <c r="C3968" s="7"/>
      <c r="D3968" s="7"/>
      <c r="E3968" s="7"/>
      <c r="F3968" s="7"/>
      <c r="G3968" s="7"/>
      <c r="H3968" s="8"/>
      <c r="I3968" s="8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</row>
    <row r="3969" hidden="1">
      <c r="A3969" s="7"/>
      <c r="B3969" s="7"/>
      <c r="C3969" s="7"/>
      <c r="D3969" s="7"/>
      <c r="E3969" s="7"/>
      <c r="F3969" s="7"/>
      <c r="G3969" s="7"/>
      <c r="H3969" s="8"/>
      <c r="I3969" s="8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</row>
    <row r="3970" hidden="1">
      <c r="A3970" s="7"/>
      <c r="B3970" s="7"/>
      <c r="C3970" s="7"/>
      <c r="D3970" s="7"/>
      <c r="E3970" s="7"/>
      <c r="F3970" s="7"/>
      <c r="G3970" s="7"/>
      <c r="H3970" s="8"/>
      <c r="I3970" s="8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</row>
    <row r="3971" hidden="1">
      <c r="A3971" s="7"/>
      <c r="B3971" s="7"/>
      <c r="C3971" s="7"/>
      <c r="D3971" s="7"/>
      <c r="E3971" s="7"/>
      <c r="F3971" s="7"/>
      <c r="G3971" s="7"/>
      <c r="H3971" s="8"/>
      <c r="I3971" s="8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</row>
    <row r="3972" hidden="1">
      <c r="A3972" s="7"/>
      <c r="B3972" s="7"/>
      <c r="C3972" s="7"/>
      <c r="D3972" s="7"/>
      <c r="E3972" s="7"/>
      <c r="F3972" s="7"/>
      <c r="G3972" s="7"/>
      <c r="H3972" s="8"/>
      <c r="I3972" s="8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</row>
    <row r="3973" hidden="1">
      <c r="A3973" s="7"/>
      <c r="B3973" s="7"/>
      <c r="C3973" s="7"/>
      <c r="D3973" s="7"/>
      <c r="E3973" s="7"/>
      <c r="F3973" s="7"/>
      <c r="G3973" s="7"/>
      <c r="H3973" s="8"/>
      <c r="I3973" s="8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</row>
    <row r="3974" hidden="1">
      <c r="A3974" s="7"/>
      <c r="B3974" s="7"/>
      <c r="C3974" s="7"/>
      <c r="D3974" s="7"/>
      <c r="E3974" s="7"/>
      <c r="F3974" s="7"/>
      <c r="G3974" s="7"/>
      <c r="H3974" s="8"/>
      <c r="I3974" s="8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</row>
    <row r="3975" hidden="1">
      <c r="A3975" s="7"/>
      <c r="B3975" s="7"/>
      <c r="C3975" s="7"/>
      <c r="D3975" s="7"/>
      <c r="E3975" s="7"/>
      <c r="F3975" s="7"/>
      <c r="G3975" s="7"/>
      <c r="H3975" s="8"/>
      <c r="I3975" s="8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</row>
    <row r="3976" hidden="1">
      <c r="A3976" s="7"/>
      <c r="B3976" s="7"/>
      <c r="C3976" s="7"/>
      <c r="D3976" s="7"/>
      <c r="E3976" s="7"/>
      <c r="F3976" s="7"/>
      <c r="G3976" s="7"/>
      <c r="H3976" s="8"/>
      <c r="I3976" s="8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</row>
    <row r="3977" hidden="1">
      <c r="A3977" s="7"/>
      <c r="B3977" s="7"/>
      <c r="C3977" s="7"/>
      <c r="D3977" s="7"/>
      <c r="E3977" s="7"/>
      <c r="F3977" s="7"/>
      <c r="G3977" s="7"/>
      <c r="H3977" s="8"/>
      <c r="I3977" s="8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</row>
    <row r="3978" hidden="1">
      <c r="A3978" s="7"/>
      <c r="B3978" s="7"/>
      <c r="C3978" s="7"/>
      <c r="D3978" s="7"/>
      <c r="E3978" s="7"/>
      <c r="F3978" s="7"/>
      <c r="G3978" s="7"/>
      <c r="H3978" s="8"/>
      <c r="I3978" s="8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</row>
    <row r="3979" hidden="1">
      <c r="A3979" s="7"/>
      <c r="B3979" s="7"/>
      <c r="C3979" s="7"/>
      <c r="D3979" s="7"/>
      <c r="E3979" s="7"/>
      <c r="F3979" s="7"/>
      <c r="G3979" s="7"/>
      <c r="H3979" s="8"/>
      <c r="I3979" s="8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</row>
    <row r="3980" hidden="1">
      <c r="A3980" s="7"/>
      <c r="B3980" s="7"/>
      <c r="C3980" s="7"/>
      <c r="D3980" s="7"/>
      <c r="E3980" s="7"/>
      <c r="F3980" s="7"/>
      <c r="G3980" s="7"/>
      <c r="H3980" s="8"/>
      <c r="I3980" s="8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</row>
    <row r="3981" hidden="1">
      <c r="A3981" s="7"/>
      <c r="B3981" s="7"/>
      <c r="C3981" s="7"/>
      <c r="D3981" s="7"/>
      <c r="E3981" s="7"/>
      <c r="F3981" s="7"/>
      <c r="G3981" s="7"/>
      <c r="H3981" s="8"/>
      <c r="I3981" s="8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</row>
    <row r="3982" hidden="1">
      <c r="A3982" s="7"/>
      <c r="B3982" s="7"/>
      <c r="C3982" s="7"/>
      <c r="D3982" s="7"/>
      <c r="E3982" s="7"/>
      <c r="F3982" s="7"/>
      <c r="G3982" s="7"/>
      <c r="H3982" s="8"/>
      <c r="I3982" s="8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</row>
    <row r="3983" hidden="1">
      <c r="A3983" s="7"/>
      <c r="B3983" s="7"/>
      <c r="C3983" s="7"/>
      <c r="D3983" s="7"/>
      <c r="E3983" s="7"/>
      <c r="F3983" s="7"/>
      <c r="G3983" s="7"/>
      <c r="H3983" s="8"/>
      <c r="I3983" s="8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</row>
    <row r="3984" hidden="1">
      <c r="A3984" s="7"/>
      <c r="B3984" s="7"/>
      <c r="C3984" s="7"/>
      <c r="D3984" s="7"/>
      <c r="E3984" s="7"/>
      <c r="F3984" s="7"/>
      <c r="G3984" s="7"/>
      <c r="H3984" s="8"/>
      <c r="I3984" s="8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</row>
    <row r="3985" hidden="1">
      <c r="A3985" s="7"/>
      <c r="B3985" s="7"/>
      <c r="C3985" s="7"/>
      <c r="D3985" s="7"/>
      <c r="E3985" s="7"/>
      <c r="F3985" s="7"/>
      <c r="G3985" s="7"/>
      <c r="H3985" s="8"/>
      <c r="I3985" s="8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</row>
    <row r="3986" hidden="1">
      <c r="A3986" s="7"/>
      <c r="B3986" s="7"/>
      <c r="C3986" s="7"/>
      <c r="D3986" s="7"/>
      <c r="E3986" s="7"/>
      <c r="F3986" s="7"/>
      <c r="G3986" s="7"/>
      <c r="H3986" s="8"/>
      <c r="I3986" s="8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</row>
    <row r="3987" hidden="1">
      <c r="A3987" s="7"/>
      <c r="B3987" s="7"/>
      <c r="C3987" s="7"/>
      <c r="D3987" s="7"/>
      <c r="E3987" s="7"/>
      <c r="F3987" s="7"/>
      <c r="G3987" s="7"/>
      <c r="H3987" s="8"/>
      <c r="I3987" s="8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</row>
    <row r="3988" hidden="1">
      <c r="A3988" s="7"/>
      <c r="B3988" s="7"/>
      <c r="C3988" s="7"/>
      <c r="D3988" s="7"/>
      <c r="E3988" s="7"/>
      <c r="F3988" s="7"/>
      <c r="G3988" s="7"/>
      <c r="H3988" s="8"/>
      <c r="I3988" s="8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</row>
    <row r="3989" hidden="1">
      <c r="A3989" s="7"/>
      <c r="B3989" s="7"/>
      <c r="C3989" s="7"/>
      <c r="D3989" s="7"/>
      <c r="E3989" s="7"/>
      <c r="F3989" s="7"/>
      <c r="G3989" s="7"/>
      <c r="H3989" s="8"/>
      <c r="I3989" s="8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</row>
    <row r="3990" hidden="1">
      <c r="A3990" s="7"/>
      <c r="B3990" s="7"/>
      <c r="C3990" s="7"/>
      <c r="D3990" s="7"/>
      <c r="E3990" s="7"/>
      <c r="F3990" s="7"/>
      <c r="G3990" s="7"/>
      <c r="H3990" s="8"/>
      <c r="I3990" s="8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</row>
    <row r="3991" hidden="1">
      <c r="A3991" s="7"/>
      <c r="B3991" s="7"/>
      <c r="C3991" s="7"/>
      <c r="D3991" s="7"/>
      <c r="E3991" s="7"/>
      <c r="F3991" s="7"/>
      <c r="G3991" s="7"/>
      <c r="H3991" s="8"/>
      <c r="I3991" s="8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</row>
    <row r="3992" hidden="1">
      <c r="A3992" s="7"/>
      <c r="B3992" s="7"/>
      <c r="C3992" s="7"/>
      <c r="D3992" s="7"/>
      <c r="E3992" s="7"/>
      <c r="F3992" s="7"/>
      <c r="G3992" s="7"/>
      <c r="H3992" s="8"/>
      <c r="I3992" s="8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</row>
    <row r="3993" hidden="1">
      <c r="A3993" s="7"/>
      <c r="B3993" s="7"/>
      <c r="C3993" s="7"/>
      <c r="D3993" s="7"/>
      <c r="E3993" s="7"/>
      <c r="F3993" s="7"/>
      <c r="G3993" s="7"/>
      <c r="H3993" s="8"/>
      <c r="I3993" s="8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</row>
    <row r="3994" hidden="1">
      <c r="A3994" s="7"/>
      <c r="B3994" s="7"/>
      <c r="C3994" s="7"/>
      <c r="D3994" s="7"/>
      <c r="E3994" s="7"/>
      <c r="F3994" s="7"/>
      <c r="G3994" s="7"/>
      <c r="H3994" s="8"/>
      <c r="I3994" s="8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</row>
    <row r="3995" hidden="1">
      <c r="A3995" s="7"/>
      <c r="B3995" s="7"/>
      <c r="C3995" s="7"/>
      <c r="D3995" s="7"/>
      <c r="E3995" s="7"/>
      <c r="F3995" s="7"/>
      <c r="G3995" s="7"/>
      <c r="H3995" s="8"/>
      <c r="I3995" s="8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</row>
    <row r="3996" hidden="1">
      <c r="A3996" s="7"/>
      <c r="B3996" s="7"/>
      <c r="C3996" s="7"/>
      <c r="D3996" s="7"/>
      <c r="E3996" s="7"/>
      <c r="F3996" s="7"/>
      <c r="G3996" s="7"/>
      <c r="H3996" s="8"/>
      <c r="I3996" s="8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</row>
    <row r="3997" hidden="1">
      <c r="A3997" s="7"/>
      <c r="B3997" s="7"/>
      <c r="C3997" s="7"/>
      <c r="D3997" s="7"/>
      <c r="E3997" s="7"/>
      <c r="F3997" s="7"/>
      <c r="G3997" s="7"/>
      <c r="H3997" s="8"/>
      <c r="I3997" s="8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</row>
    <row r="3998" hidden="1">
      <c r="A3998" s="7"/>
      <c r="B3998" s="7"/>
      <c r="C3998" s="7"/>
      <c r="D3998" s="7"/>
      <c r="E3998" s="7"/>
      <c r="F3998" s="7"/>
      <c r="G3998" s="7"/>
      <c r="H3998" s="8"/>
      <c r="I3998" s="8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</row>
    <row r="3999" hidden="1">
      <c r="A3999" s="7"/>
      <c r="B3999" s="7"/>
      <c r="C3999" s="7"/>
      <c r="D3999" s="7"/>
      <c r="E3999" s="7"/>
      <c r="F3999" s="7"/>
      <c r="G3999" s="7"/>
      <c r="H3999" s="8"/>
      <c r="I3999" s="8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</row>
    <row r="4000" hidden="1">
      <c r="A4000" s="7"/>
      <c r="B4000" s="7"/>
      <c r="C4000" s="7"/>
      <c r="D4000" s="7"/>
      <c r="E4000" s="7"/>
      <c r="F4000" s="7"/>
      <c r="G4000" s="7"/>
      <c r="H4000" s="8"/>
      <c r="I4000" s="8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</row>
    <row r="4001" hidden="1">
      <c r="A4001" s="7"/>
      <c r="B4001" s="7"/>
      <c r="C4001" s="7"/>
      <c r="D4001" s="7"/>
      <c r="E4001" s="7"/>
      <c r="F4001" s="7"/>
      <c r="G4001" s="7"/>
      <c r="H4001" s="8"/>
      <c r="I4001" s="8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</row>
    <row r="4002" hidden="1">
      <c r="A4002" s="7"/>
      <c r="B4002" s="7"/>
      <c r="C4002" s="7"/>
      <c r="D4002" s="7"/>
      <c r="E4002" s="7"/>
      <c r="F4002" s="7"/>
      <c r="G4002" s="7"/>
      <c r="H4002" s="8"/>
      <c r="I4002" s="8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</row>
    <row r="4003" hidden="1">
      <c r="A4003" s="7"/>
      <c r="B4003" s="7"/>
      <c r="C4003" s="7"/>
      <c r="D4003" s="7"/>
      <c r="E4003" s="7"/>
      <c r="F4003" s="7"/>
      <c r="G4003" s="7"/>
      <c r="H4003" s="8"/>
      <c r="I4003" s="8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</row>
    <row r="4004" hidden="1">
      <c r="A4004" s="7"/>
      <c r="B4004" s="7"/>
      <c r="C4004" s="7"/>
      <c r="D4004" s="7"/>
      <c r="E4004" s="7"/>
      <c r="F4004" s="7"/>
      <c r="G4004" s="7"/>
      <c r="H4004" s="8"/>
      <c r="I4004" s="8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</row>
    <row r="4005" hidden="1">
      <c r="A4005" s="7"/>
      <c r="B4005" s="7"/>
      <c r="C4005" s="7"/>
      <c r="D4005" s="7"/>
      <c r="E4005" s="7"/>
      <c r="F4005" s="7"/>
      <c r="G4005" s="7"/>
      <c r="H4005" s="8"/>
      <c r="I4005" s="8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</row>
    <row r="4006" hidden="1">
      <c r="A4006" s="7"/>
      <c r="B4006" s="7"/>
      <c r="C4006" s="7"/>
      <c r="D4006" s="7"/>
      <c r="E4006" s="7"/>
      <c r="F4006" s="7"/>
      <c r="G4006" s="7"/>
      <c r="H4006" s="8"/>
      <c r="I4006" s="8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</row>
    <row r="4007" hidden="1">
      <c r="A4007" s="7"/>
      <c r="B4007" s="7"/>
      <c r="C4007" s="7"/>
      <c r="D4007" s="7"/>
      <c r="E4007" s="7"/>
      <c r="F4007" s="7"/>
      <c r="G4007" s="7"/>
      <c r="H4007" s="8"/>
      <c r="I4007" s="8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</row>
    <row r="4008" hidden="1">
      <c r="A4008" s="7"/>
      <c r="B4008" s="7"/>
      <c r="C4008" s="7"/>
      <c r="D4008" s="7"/>
      <c r="E4008" s="7"/>
      <c r="F4008" s="7"/>
      <c r="G4008" s="7"/>
      <c r="H4008" s="8"/>
      <c r="I4008" s="8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</row>
    <row r="4009" hidden="1">
      <c r="A4009" s="7"/>
      <c r="B4009" s="7"/>
      <c r="C4009" s="7"/>
      <c r="D4009" s="7"/>
      <c r="E4009" s="7"/>
      <c r="F4009" s="7"/>
      <c r="G4009" s="7"/>
      <c r="H4009" s="8"/>
      <c r="I4009" s="8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</row>
    <row r="4010" hidden="1">
      <c r="A4010" s="7"/>
      <c r="B4010" s="7"/>
      <c r="C4010" s="7"/>
      <c r="D4010" s="7"/>
      <c r="E4010" s="7"/>
      <c r="F4010" s="7"/>
      <c r="G4010" s="7"/>
      <c r="H4010" s="8"/>
      <c r="I4010" s="8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</row>
    <row r="4011" hidden="1">
      <c r="A4011" s="7"/>
      <c r="B4011" s="7"/>
      <c r="C4011" s="7"/>
      <c r="D4011" s="7"/>
      <c r="E4011" s="7"/>
      <c r="F4011" s="7"/>
      <c r="G4011" s="7"/>
      <c r="H4011" s="8"/>
      <c r="I4011" s="8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</row>
    <row r="4012" hidden="1">
      <c r="A4012" s="7"/>
      <c r="B4012" s="7"/>
      <c r="C4012" s="7"/>
      <c r="D4012" s="7"/>
      <c r="E4012" s="7"/>
      <c r="F4012" s="7"/>
      <c r="G4012" s="7"/>
      <c r="H4012" s="8"/>
      <c r="I4012" s="8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</row>
    <row r="4013" hidden="1">
      <c r="A4013" s="7"/>
      <c r="B4013" s="7"/>
      <c r="C4013" s="7"/>
      <c r="D4013" s="7"/>
      <c r="E4013" s="7"/>
      <c r="F4013" s="7"/>
      <c r="G4013" s="7"/>
      <c r="H4013" s="8"/>
      <c r="I4013" s="8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</row>
    <row r="4014" hidden="1">
      <c r="A4014" s="7"/>
      <c r="B4014" s="7"/>
      <c r="C4014" s="7"/>
      <c r="D4014" s="7"/>
      <c r="E4014" s="7"/>
      <c r="F4014" s="7"/>
      <c r="G4014" s="7"/>
      <c r="H4014" s="8"/>
      <c r="I4014" s="8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</row>
    <row r="4015" hidden="1">
      <c r="A4015" s="7"/>
      <c r="B4015" s="7"/>
      <c r="C4015" s="7"/>
      <c r="D4015" s="7"/>
      <c r="E4015" s="7"/>
      <c r="F4015" s="7"/>
      <c r="G4015" s="7"/>
      <c r="H4015" s="8"/>
      <c r="I4015" s="8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</row>
    <row r="4016" hidden="1">
      <c r="A4016" s="7"/>
      <c r="B4016" s="7"/>
      <c r="C4016" s="7"/>
      <c r="D4016" s="7"/>
      <c r="E4016" s="7"/>
      <c r="F4016" s="7"/>
      <c r="G4016" s="7"/>
      <c r="H4016" s="8"/>
      <c r="I4016" s="8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</row>
    <row r="4017" hidden="1">
      <c r="A4017" s="7"/>
      <c r="B4017" s="7"/>
      <c r="C4017" s="7"/>
      <c r="D4017" s="7"/>
      <c r="E4017" s="7"/>
      <c r="F4017" s="7"/>
      <c r="G4017" s="7"/>
      <c r="H4017" s="8"/>
      <c r="I4017" s="8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</row>
    <row r="4018" hidden="1">
      <c r="A4018" s="7"/>
      <c r="B4018" s="7"/>
      <c r="C4018" s="7"/>
      <c r="D4018" s="7"/>
      <c r="E4018" s="7"/>
      <c r="F4018" s="7"/>
      <c r="G4018" s="7"/>
      <c r="H4018" s="8"/>
      <c r="I4018" s="8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</row>
    <row r="4019" hidden="1">
      <c r="A4019" s="7"/>
      <c r="B4019" s="7"/>
      <c r="C4019" s="7"/>
      <c r="D4019" s="7"/>
      <c r="E4019" s="7"/>
      <c r="F4019" s="7"/>
      <c r="G4019" s="7"/>
      <c r="H4019" s="8"/>
      <c r="I4019" s="8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</row>
    <row r="4020" hidden="1">
      <c r="A4020" s="7"/>
      <c r="B4020" s="7"/>
      <c r="C4020" s="7"/>
      <c r="D4020" s="7"/>
      <c r="E4020" s="7"/>
      <c r="F4020" s="7"/>
      <c r="G4020" s="7"/>
      <c r="H4020" s="8"/>
      <c r="I4020" s="8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</row>
    <row r="4021" hidden="1">
      <c r="A4021" s="7"/>
      <c r="B4021" s="7"/>
      <c r="C4021" s="7"/>
      <c r="D4021" s="7"/>
      <c r="E4021" s="7"/>
      <c r="F4021" s="7"/>
      <c r="G4021" s="7"/>
      <c r="H4021" s="8"/>
      <c r="I4021" s="8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</row>
    <row r="4022" hidden="1">
      <c r="A4022" s="7"/>
      <c r="B4022" s="7"/>
      <c r="C4022" s="7"/>
      <c r="D4022" s="7"/>
      <c r="E4022" s="7"/>
      <c r="F4022" s="7"/>
      <c r="G4022" s="7"/>
      <c r="H4022" s="8"/>
      <c r="I4022" s="8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</row>
    <row r="4023" hidden="1">
      <c r="A4023" s="7"/>
      <c r="B4023" s="7"/>
      <c r="C4023" s="7"/>
      <c r="D4023" s="7"/>
      <c r="E4023" s="7"/>
      <c r="F4023" s="7"/>
      <c r="G4023" s="7"/>
      <c r="H4023" s="8"/>
      <c r="I4023" s="8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</row>
    <row r="4024" hidden="1">
      <c r="A4024" s="7"/>
      <c r="B4024" s="7"/>
      <c r="C4024" s="7"/>
      <c r="D4024" s="7"/>
      <c r="E4024" s="7"/>
      <c r="F4024" s="7"/>
      <c r="G4024" s="7"/>
      <c r="H4024" s="8"/>
      <c r="I4024" s="8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</row>
    <row r="4025" hidden="1">
      <c r="A4025" s="7"/>
      <c r="B4025" s="7"/>
      <c r="C4025" s="7"/>
      <c r="D4025" s="7"/>
      <c r="E4025" s="7"/>
      <c r="F4025" s="7"/>
      <c r="G4025" s="7"/>
      <c r="H4025" s="8"/>
      <c r="I4025" s="8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</row>
    <row r="4026" hidden="1">
      <c r="A4026" s="7"/>
      <c r="B4026" s="7"/>
      <c r="C4026" s="7"/>
      <c r="D4026" s="7"/>
      <c r="E4026" s="7"/>
      <c r="F4026" s="7"/>
      <c r="G4026" s="7"/>
      <c r="H4026" s="8"/>
      <c r="I4026" s="8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</row>
    <row r="4027" hidden="1">
      <c r="A4027" s="7"/>
      <c r="B4027" s="7"/>
      <c r="C4027" s="7"/>
      <c r="D4027" s="7"/>
      <c r="E4027" s="7"/>
      <c r="F4027" s="7"/>
      <c r="G4027" s="7"/>
      <c r="H4027" s="8"/>
      <c r="I4027" s="8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</row>
    <row r="4028" hidden="1">
      <c r="A4028" s="7"/>
      <c r="B4028" s="7"/>
      <c r="C4028" s="7"/>
      <c r="D4028" s="7"/>
      <c r="E4028" s="7"/>
      <c r="F4028" s="7"/>
      <c r="G4028" s="7"/>
      <c r="H4028" s="8"/>
      <c r="I4028" s="8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</row>
    <row r="4029" hidden="1">
      <c r="A4029" s="7"/>
      <c r="B4029" s="7"/>
      <c r="C4029" s="7"/>
      <c r="D4029" s="7"/>
      <c r="E4029" s="7"/>
      <c r="F4029" s="7"/>
      <c r="G4029" s="7"/>
      <c r="H4029" s="8"/>
      <c r="I4029" s="8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</row>
    <row r="4030" hidden="1">
      <c r="A4030" s="7"/>
      <c r="B4030" s="7"/>
      <c r="C4030" s="7"/>
      <c r="D4030" s="7"/>
      <c r="E4030" s="7"/>
      <c r="F4030" s="7"/>
      <c r="G4030" s="7"/>
      <c r="H4030" s="8"/>
      <c r="I4030" s="8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</row>
    <row r="4031" hidden="1">
      <c r="A4031" s="7"/>
      <c r="B4031" s="7"/>
      <c r="C4031" s="7"/>
      <c r="D4031" s="7"/>
      <c r="E4031" s="7"/>
      <c r="F4031" s="7"/>
      <c r="G4031" s="7"/>
      <c r="H4031" s="8"/>
      <c r="I4031" s="8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</row>
    <row r="4032" hidden="1">
      <c r="A4032" s="7"/>
      <c r="B4032" s="7"/>
      <c r="C4032" s="7"/>
      <c r="D4032" s="7"/>
      <c r="E4032" s="7"/>
      <c r="F4032" s="7"/>
      <c r="G4032" s="7"/>
      <c r="H4032" s="8"/>
      <c r="I4032" s="8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</row>
    <row r="4033" hidden="1">
      <c r="A4033" s="7"/>
      <c r="B4033" s="7"/>
      <c r="C4033" s="7"/>
      <c r="D4033" s="7"/>
      <c r="E4033" s="7"/>
      <c r="F4033" s="7"/>
      <c r="G4033" s="7"/>
      <c r="H4033" s="8"/>
      <c r="I4033" s="8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</row>
    <row r="4034" hidden="1">
      <c r="A4034" s="7"/>
      <c r="B4034" s="7"/>
      <c r="C4034" s="7"/>
      <c r="D4034" s="7"/>
      <c r="E4034" s="7"/>
      <c r="F4034" s="7"/>
      <c r="G4034" s="7"/>
      <c r="H4034" s="8"/>
      <c r="I4034" s="8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</row>
    <row r="4035" hidden="1">
      <c r="A4035" s="7"/>
      <c r="B4035" s="7"/>
      <c r="C4035" s="7"/>
      <c r="D4035" s="7"/>
      <c r="E4035" s="7"/>
      <c r="F4035" s="7"/>
      <c r="G4035" s="7"/>
      <c r="H4035" s="8"/>
      <c r="I4035" s="8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</row>
    <row r="4036" hidden="1">
      <c r="A4036" s="7"/>
      <c r="B4036" s="7"/>
      <c r="C4036" s="7"/>
      <c r="D4036" s="7"/>
      <c r="E4036" s="7"/>
      <c r="F4036" s="7"/>
      <c r="G4036" s="7"/>
      <c r="H4036" s="8"/>
      <c r="I4036" s="8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</row>
    <row r="4037" hidden="1">
      <c r="A4037" s="7"/>
      <c r="B4037" s="7"/>
      <c r="C4037" s="7"/>
      <c r="D4037" s="7"/>
      <c r="E4037" s="7"/>
      <c r="F4037" s="7"/>
      <c r="G4037" s="7"/>
      <c r="H4037" s="8"/>
      <c r="I4037" s="8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</row>
    <row r="4038" hidden="1">
      <c r="A4038" s="7"/>
      <c r="B4038" s="7"/>
      <c r="C4038" s="7"/>
      <c r="D4038" s="7"/>
      <c r="E4038" s="7"/>
      <c r="F4038" s="7"/>
      <c r="G4038" s="7"/>
      <c r="H4038" s="8"/>
      <c r="I4038" s="8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</row>
    <row r="4039" hidden="1">
      <c r="A4039" s="7"/>
      <c r="B4039" s="7"/>
      <c r="C4039" s="7"/>
      <c r="D4039" s="7"/>
      <c r="E4039" s="7"/>
      <c r="F4039" s="7"/>
      <c r="G4039" s="7"/>
      <c r="H4039" s="8"/>
      <c r="I4039" s="8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</row>
    <row r="4040" hidden="1">
      <c r="A4040" s="7"/>
      <c r="B4040" s="7"/>
      <c r="C4040" s="7"/>
      <c r="D4040" s="7"/>
      <c r="E4040" s="7"/>
      <c r="F4040" s="7"/>
      <c r="G4040" s="7"/>
      <c r="H4040" s="8"/>
      <c r="I4040" s="8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</row>
    <row r="4041" hidden="1">
      <c r="A4041" s="7"/>
      <c r="B4041" s="7"/>
      <c r="C4041" s="7"/>
      <c r="D4041" s="7"/>
      <c r="E4041" s="7"/>
      <c r="F4041" s="7"/>
      <c r="G4041" s="7"/>
      <c r="H4041" s="8"/>
      <c r="I4041" s="8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</row>
    <row r="4042" hidden="1">
      <c r="A4042" s="7"/>
      <c r="B4042" s="7"/>
      <c r="C4042" s="7"/>
      <c r="D4042" s="7"/>
      <c r="E4042" s="7"/>
      <c r="F4042" s="7"/>
      <c r="G4042" s="7"/>
      <c r="H4042" s="8"/>
      <c r="I4042" s="8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</row>
    <row r="4043" hidden="1">
      <c r="A4043" s="7"/>
      <c r="B4043" s="7"/>
      <c r="C4043" s="7"/>
      <c r="D4043" s="7"/>
      <c r="E4043" s="7"/>
      <c r="F4043" s="7"/>
      <c r="G4043" s="7"/>
      <c r="H4043" s="8"/>
      <c r="I4043" s="8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</row>
    <row r="4044" hidden="1">
      <c r="A4044" s="7"/>
      <c r="B4044" s="7"/>
      <c r="C4044" s="7"/>
      <c r="D4044" s="7"/>
      <c r="E4044" s="7"/>
      <c r="F4044" s="7"/>
      <c r="G4044" s="7"/>
      <c r="H4044" s="8"/>
      <c r="I4044" s="8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</row>
    <row r="4045" hidden="1">
      <c r="A4045" s="7"/>
      <c r="B4045" s="7"/>
      <c r="C4045" s="7"/>
      <c r="D4045" s="7"/>
      <c r="E4045" s="7"/>
      <c r="F4045" s="7"/>
      <c r="G4045" s="7"/>
      <c r="H4045" s="8"/>
      <c r="I4045" s="8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</row>
    <row r="4046" hidden="1">
      <c r="A4046" s="7"/>
      <c r="B4046" s="7"/>
      <c r="C4046" s="7"/>
      <c r="D4046" s="7"/>
      <c r="E4046" s="7"/>
      <c r="F4046" s="7"/>
      <c r="G4046" s="7"/>
      <c r="H4046" s="8"/>
      <c r="I4046" s="8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</row>
    <row r="4047" hidden="1">
      <c r="A4047" s="7"/>
      <c r="B4047" s="7"/>
      <c r="C4047" s="7"/>
      <c r="D4047" s="7"/>
      <c r="E4047" s="7"/>
      <c r="F4047" s="7"/>
      <c r="G4047" s="7"/>
      <c r="H4047" s="8"/>
      <c r="I4047" s="8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</row>
    <row r="4048" hidden="1">
      <c r="A4048" s="7"/>
      <c r="B4048" s="7"/>
      <c r="C4048" s="7"/>
      <c r="D4048" s="7"/>
      <c r="E4048" s="7"/>
      <c r="F4048" s="7"/>
      <c r="G4048" s="7"/>
      <c r="H4048" s="8"/>
      <c r="I4048" s="8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</row>
    <row r="4049" hidden="1">
      <c r="A4049" s="7"/>
      <c r="B4049" s="7"/>
      <c r="C4049" s="7"/>
      <c r="D4049" s="7"/>
      <c r="E4049" s="7"/>
      <c r="F4049" s="7"/>
      <c r="G4049" s="7"/>
      <c r="H4049" s="8"/>
      <c r="I4049" s="8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</row>
    <row r="4050" hidden="1">
      <c r="A4050" s="7"/>
      <c r="B4050" s="7"/>
      <c r="C4050" s="7"/>
      <c r="D4050" s="7"/>
      <c r="E4050" s="7"/>
      <c r="F4050" s="7"/>
      <c r="G4050" s="7"/>
      <c r="H4050" s="8"/>
      <c r="I4050" s="8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</row>
    <row r="4051" hidden="1">
      <c r="A4051" s="7"/>
      <c r="B4051" s="7"/>
      <c r="C4051" s="7"/>
      <c r="D4051" s="7"/>
      <c r="E4051" s="7"/>
      <c r="F4051" s="7"/>
      <c r="G4051" s="7"/>
      <c r="H4051" s="8"/>
      <c r="I4051" s="8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</row>
    <row r="4052" hidden="1">
      <c r="A4052" s="7"/>
      <c r="B4052" s="7"/>
      <c r="C4052" s="7"/>
      <c r="D4052" s="7"/>
      <c r="E4052" s="7"/>
      <c r="F4052" s="7"/>
      <c r="G4052" s="7"/>
      <c r="H4052" s="8"/>
      <c r="I4052" s="8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</row>
    <row r="4053" hidden="1">
      <c r="A4053" s="7"/>
      <c r="B4053" s="7"/>
      <c r="C4053" s="7"/>
      <c r="D4053" s="7"/>
      <c r="E4053" s="7"/>
      <c r="F4053" s="7"/>
      <c r="G4053" s="7"/>
      <c r="H4053" s="8"/>
      <c r="I4053" s="8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</row>
    <row r="4054" hidden="1">
      <c r="A4054" s="7"/>
      <c r="B4054" s="7"/>
      <c r="C4054" s="7"/>
      <c r="D4054" s="7"/>
      <c r="E4054" s="7"/>
      <c r="F4054" s="7"/>
      <c r="G4054" s="7"/>
      <c r="H4054" s="8"/>
      <c r="I4054" s="8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</row>
    <row r="4055" hidden="1">
      <c r="A4055" s="7"/>
      <c r="B4055" s="7"/>
      <c r="C4055" s="7"/>
      <c r="D4055" s="7"/>
      <c r="E4055" s="7"/>
      <c r="F4055" s="7"/>
      <c r="G4055" s="7"/>
      <c r="H4055" s="8"/>
      <c r="I4055" s="8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</row>
    <row r="4056" hidden="1">
      <c r="A4056" s="7"/>
      <c r="B4056" s="7"/>
      <c r="C4056" s="7"/>
      <c r="D4056" s="7"/>
      <c r="E4056" s="7"/>
      <c r="F4056" s="7"/>
      <c r="G4056" s="7"/>
      <c r="H4056" s="8"/>
      <c r="I4056" s="8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</row>
    <row r="4057" hidden="1">
      <c r="A4057" s="7"/>
      <c r="B4057" s="7"/>
      <c r="C4057" s="7"/>
      <c r="D4057" s="7"/>
      <c r="E4057" s="7"/>
      <c r="F4057" s="7"/>
      <c r="G4057" s="7"/>
      <c r="H4057" s="8"/>
      <c r="I4057" s="8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</row>
    <row r="4058" hidden="1">
      <c r="A4058" s="7"/>
      <c r="B4058" s="7"/>
      <c r="C4058" s="7"/>
      <c r="D4058" s="7"/>
      <c r="E4058" s="7"/>
      <c r="F4058" s="7"/>
      <c r="G4058" s="7"/>
      <c r="H4058" s="8"/>
      <c r="I4058" s="8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</row>
    <row r="4059" hidden="1">
      <c r="A4059" s="7"/>
      <c r="B4059" s="7"/>
      <c r="C4059" s="7"/>
      <c r="D4059" s="7"/>
      <c r="E4059" s="7"/>
      <c r="F4059" s="7"/>
      <c r="G4059" s="7"/>
      <c r="H4059" s="8"/>
      <c r="I4059" s="8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</row>
    <row r="4060" hidden="1">
      <c r="A4060" s="7"/>
      <c r="B4060" s="7"/>
      <c r="C4060" s="7"/>
      <c r="D4060" s="7"/>
      <c r="E4060" s="7"/>
      <c r="F4060" s="7"/>
      <c r="G4060" s="7"/>
      <c r="H4060" s="8"/>
      <c r="I4060" s="8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</row>
    <row r="4061" hidden="1">
      <c r="A4061" s="7"/>
      <c r="B4061" s="7"/>
      <c r="C4061" s="7"/>
      <c r="D4061" s="7"/>
      <c r="E4061" s="7"/>
      <c r="F4061" s="7"/>
      <c r="G4061" s="7"/>
      <c r="H4061" s="8"/>
      <c r="I4061" s="8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</row>
    <row r="4062" hidden="1">
      <c r="A4062" s="7"/>
      <c r="B4062" s="7"/>
      <c r="C4062" s="7"/>
      <c r="D4062" s="7"/>
      <c r="E4062" s="7"/>
      <c r="F4062" s="7"/>
      <c r="G4062" s="7"/>
      <c r="H4062" s="8"/>
      <c r="I4062" s="8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</row>
    <row r="4063" hidden="1">
      <c r="A4063" s="7"/>
      <c r="B4063" s="7"/>
      <c r="C4063" s="7"/>
      <c r="D4063" s="7"/>
      <c r="E4063" s="7"/>
      <c r="F4063" s="7"/>
      <c r="G4063" s="7"/>
      <c r="H4063" s="8"/>
      <c r="I4063" s="8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</row>
    <row r="4064" hidden="1">
      <c r="A4064" s="7"/>
      <c r="B4064" s="7"/>
      <c r="C4064" s="7"/>
      <c r="D4064" s="7"/>
      <c r="E4064" s="7"/>
      <c r="F4064" s="7"/>
      <c r="G4064" s="7"/>
      <c r="H4064" s="8"/>
      <c r="I4064" s="8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</row>
    <row r="4065" hidden="1">
      <c r="A4065" s="7"/>
      <c r="B4065" s="7"/>
      <c r="C4065" s="7"/>
      <c r="D4065" s="7"/>
      <c r="E4065" s="7"/>
      <c r="F4065" s="7"/>
      <c r="G4065" s="7"/>
      <c r="H4065" s="8"/>
      <c r="I4065" s="8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</row>
    <row r="4066" hidden="1">
      <c r="A4066" s="7"/>
      <c r="B4066" s="7"/>
      <c r="C4066" s="7"/>
      <c r="D4066" s="7"/>
      <c r="E4066" s="7"/>
      <c r="F4066" s="7"/>
      <c r="G4066" s="7"/>
      <c r="H4066" s="8"/>
      <c r="I4066" s="8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</row>
    <row r="4067" hidden="1">
      <c r="A4067" s="7"/>
      <c r="B4067" s="7"/>
      <c r="C4067" s="7"/>
      <c r="D4067" s="7"/>
      <c r="E4067" s="7"/>
      <c r="F4067" s="7"/>
      <c r="G4067" s="7"/>
      <c r="H4067" s="8"/>
      <c r="I4067" s="8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</row>
    <row r="4068" hidden="1">
      <c r="A4068" s="7"/>
      <c r="B4068" s="7"/>
      <c r="C4068" s="7"/>
      <c r="D4068" s="7"/>
      <c r="E4068" s="7"/>
      <c r="F4068" s="7"/>
      <c r="G4068" s="7"/>
      <c r="H4068" s="8"/>
      <c r="I4068" s="8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</row>
    <row r="4069" hidden="1">
      <c r="A4069" s="7"/>
      <c r="B4069" s="7"/>
      <c r="C4069" s="7"/>
      <c r="D4069" s="7"/>
      <c r="E4069" s="7"/>
      <c r="F4069" s="7"/>
      <c r="G4069" s="7"/>
      <c r="H4069" s="8"/>
      <c r="I4069" s="8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</row>
    <row r="4070" hidden="1">
      <c r="A4070" s="7"/>
      <c r="B4070" s="7"/>
      <c r="C4070" s="7"/>
      <c r="D4070" s="7"/>
      <c r="E4070" s="7"/>
      <c r="F4070" s="7"/>
      <c r="G4070" s="7"/>
      <c r="H4070" s="8"/>
      <c r="I4070" s="8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</row>
    <row r="4071" hidden="1">
      <c r="A4071" s="7"/>
      <c r="B4071" s="7"/>
      <c r="C4071" s="7"/>
      <c r="D4071" s="7"/>
      <c r="E4071" s="7"/>
      <c r="F4071" s="7"/>
      <c r="G4071" s="7"/>
      <c r="H4071" s="8"/>
      <c r="I4071" s="8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</row>
    <row r="4072" hidden="1">
      <c r="A4072" s="7"/>
      <c r="B4072" s="7"/>
      <c r="C4072" s="7"/>
      <c r="D4072" s="7"/>
      <c r="E4072" s="7"/>
      <c r="F4072" s="7"/>
      <c r="G4072" s="7"/>
      <c r="H4072" s="8"/>
      <c r="I4072" s="8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</row>
    <row r="4073" hidden="1">
      <c r="A4073" s="7"/>
      <c r="B4073" s="7"/>
      <c r="C4073" s="7"/>
      <c r="D4073" s="7"/>
      <c r="E4073" s="7"/>
      <c r="F4073" s="7"/>
      <c r="G4073" s="7"/>
      <c r="H4073" s="8"/>
      <c r="I4073" s="8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</row>
    <row r="4074" hidden="1">
      <c r="A4074" s="7"/>
      <c r="B4074" s="7"/>
      <c r="C4074" s="7"/>
      <c r="D4074" s="7"/>
      <c r="E4074" s="7"/>
      <c r="F4074" s="7"/>
      <c r="G4074" s="7"/>
      <c r="H4074" s="8"/>
      <c r="I4074" s="8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</row>
    <row r="4075" hidden="1">
      <c r="A4075" s="7"/>
      <c r="B4075" s="7"/>
      <c r="C4075" s="7"/>
      <c r="D4075" s="7"/>
      <c r="E4075" s="7"/>
      <c r="F4075" s="7"/>
      <c r="G4075" s="7"/>
      <c r="H4075" s="8"/>
      <c r="I4075" s="8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</row>
    <row r="4076" hidden="1">
      <c r="A4076" s="7"/>
      <c r="B4076" s="7"/>
      <c r="C4076" s="7"/>
      <c r="D4076" s="7"/>
      <c r="E4076" s="7"/>
      <c r="F4076" s="7"/>
      <c r="G4076" s="7"/>
      <c r="H4076" s="8"/>
      <c r="I4076" s="8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</row>
    <row r="4077" hidden="1">
      <c r="A4077" s="7"/>
      <c r="B4077" s="7"/>
      <c r="C4077" s="7"/>
      <c r="D4077" s="7"/>
      <c r="E4077" s="7"/>
      <c r="F4077" s="7"/>
      <c r="G4077" s="7"/>
      <c r="H4077" s="8"/>
      <c r="I4077" s="8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</row>
    <row r="4078" hidden="1">
      <c r="A4078" s="7"/>
      <c r="B4078" s="7"/>
      <c r="C4078" s="7"/>
      <c r="D4078" s="7"/>
      <c r="E4078" s="7"/>
      <c r="F4078" s="7"/>
      <c r="G4078" s="7"/>
      <c r="H4078" s="8"/>
      <c r="I4078" s="8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</row>
    <row r="4079" hidden="1">
      <c r="A4079" s="7"/>
      <c r="B4079" s="7"/>
      <c r="C4079" s="7"/>
      <c r="D4079" s="7"/>
      <c r="E4079" s="7"/>
      <c r="F4079" s="7"/>
      <c r="G4079" s="7"/>
      <c r="H4079" s="8"/>
      <c r="I4079" s="8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</row>
    <row r="4080" hidden="1">
      <c r="A4080" s="7"/>
      <c r="B4080" s="7"/>
      <c r="C4080" s="7"/>
      <c r="D4080" s="7"/>
      <c r="E4080" s="7"/>
      <c r="F4080" s="7"/>
      <c r="G4080" s="7"/>
      <c r="H4080" s="8"/>
      <c r="I4080" s="8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</row>
    <row r="4081" hidden="1">
      <c r="A4081" s="7"/>
      <c r="B4081" s="7"/>
      <c r="C4081" s="7"/>
      <c r="D4081" s="7"/>
      <c r="E4081" s="7"/>
      <c r="F4081" s="7"/>
      <c r="G4081" s="7"/>
      <c r="H4081" s="8"/>
      <c r="I4081" s="8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</row>
    <row r="4082" hidden="1">
      <c r="A4082" s="7"/>
      <c r="B4082" s="7"/>
      <c r="C4082" s="7"/>
      <c r="D4082" s="7"/>
      <c r="E4082" s="7"/>
      <c r="F4082" s="7"/>
      <c r="G4082" s="7"/>
      <c r="H4082" s="8"/>
      <c r="I4082" s="8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</row>
    <row r="4083" hidden="1">
      <c r="A4083" s="7"/>
      <c r="B4083" s="7"/>
      <c r="C4083" s="7"/>
      <c r="D4083" s="7"/>
      <c r="E4083" s="7"/>
      <c r="F4083" s="7"/>
      <c r="G4083" s="7"/>
      <c r="H4083" s="8"/>
      <c r="I4083" s="8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</row>
    <row r="4084" hidden="1">
      <c r="A4084" s="7"/>
      <c r="B4084" s="7"/>
      <c r="C4084" s="7"/>
      <c r="D4084" s="7"/>
      <c r="E4084" s="7"/>
      <c r="F4084" s="7"/>
      <c r="G4084" s="7"/>
      <c r="H4084" s="8"/>
      <c r="I4084" s="8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</row>
    <row r="4085" hidden="1">
      <c r="A4085" s="7"/>
      <c r="B4085" s="7"/>
      <c r="C4085" s="7"/>
      <c r="D4085" s="7"/>
      <c r="E4085" s="7"/>
      <c r="F4085" s="7"/>
      <c r="G4085" s="7"/>
      <c r="H4085" s="8"/>
      <c r="I4085" s="8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</row>
    <row r="4086" hidden="1">
      <c r="A4086" s="7"/>
      <c r="B4086" s="7"/>
      <c r="C4086" s="7"/>
      <c r="D4086" s="7"/>
      <c r="E4086" s="7"/>
      <c r="F4086" s="7"/>
      <c r="G4086" s="7"/>
      <c r="H4086" s="8"/>
      <c r="I4086" s="8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</row>
    <row r="4087" hidden="1">
      <c r="A4087" s="7"/>
      <c r="B4087" s="7"/>
      <c r="C4087" s="7"/>
      <c r="D4087" s="7"/>
      <c r="E4087" s="7"/>
      <c r="F4087" s="7"/>
      <c r="G4087" s="7"/>
      <c r="H4087" s="8"/>
      <c r="I4087" s="8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</row>
    <row r="4088" hidden="1">
      <c r="A4088" s="7"/>
      <c r="B4088" s="7"/>
      <c r="C4088" s="7"/>
      <c r="D4088" s="7"/>
      <c r="E4088" s="7"/>
      <c r="F4088" s="7"/>
      <c r="G4088" s="7"/>
      <c r="H4088" s="8"/>
      <c r="I4088" s="8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</row>
    <row r="4089" hidden="1">
      <c r="A4089" s="7"/>
      <c r="B4089" s="7"/>
      <c r="C4089" s="7"/>
      <c r="D4089" s="7"/>
      <c r="E4089" s="7"/>
      <c r="F4089" s="7"/>
      <c r="G4089" s="7"/>
      <c r="H4089" s="8"/>
      <c r="I4089" s="8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</row>
    <row r="4090" hidden="1">
      <c r="A4090" s="7"/>
      <c r="B4090" s="7"/>
      <c r="C4090" s="7"/>
      <c r="D4090" s="7"/>
      <c r="E4090" s="7"/>
      <c r="F4090" s="7"/>
      <c r="G4090" s="7"/>
      <c r="H4090" s="8"/>
      <c r="I4090" s="8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</row>
    <row r="4091" hidden="1">
      <c r="A4091" s="7"/>
      <c r="B4091" s="7"/>
      <c r="C4091" s="7"/>
      <c r="D4091" s="7"/>
      <c r="E4091" s="7"/>
      <c r="F4091" s="7"/>
      <c r="G4091" s="7"/>
      <c r="H4091" s="8"/>
      <c r="I4091" s="8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</row>
    <row r="4092" hidden="1">
      <c r="A4092" s="7"/>
      <c r="B4092" s="7"/>
      <c r="C4092" s="7"/>
      <c r="D4092" s="7"/>
      <c r="E4092" s="7"/>
      <c r="F4092" s="7"/>
      <c r="G4092" s="7"/>
      <c r="H4092" s="8"/>
      <c r="I4092" s="8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</row>
    <row r="4093" hidden="1">
      <c r="A4093" s="7"/>
      <c r="B4093" s="7"/>
      <c r="C4093" s="7"/>
      <c r="D4093" s="7"/>
      <c r="E4093" s="7"/>
      <c r="F4093" s="7"/>
      <c r="G4093" s="7"/>
      <c r="H4093" s="8"/>
      <c r="I4093" s="8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</row>
    <row r="4094" hidden="1">
      <c r="A4094" s="7"/>
      <c r="B4094" s="7"/>
      <c r="C4094" s="7"/>
      <c r="D4094" s="7"/>
      <c r="E4094" s="7"/>
      <c r="F4094" s="7"/>
      <c r="G4094" s="7"/>
      <c r="H4094" s="8"/>
      <c r="I4094" s="8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</row>
    <row r="4095" hidden="1">
      <c r="A4095" s="7"/>
      <c r="B4095" s="7"/>
      <c r="C4095" s="7"/>
      <c r="D4095" s="7"/>
      <c r="E4095" s="7"/>
      <c r="F4095" s="7"/>
      <c r="G4095" s="7"/>
      <c r="H4095" s="8"/>
      <c r="I4095" s="8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</row>
    <row r="4096" hidden="1">
      <c r="A4096" s="7"/>
      <c r="B4096" s="7"/>
      <c r="C4096" s="7"/>
      <c r="D4096" s="7"/>
      <c r="E4096" s="7"/>
      <c r="F4096" s="7"/>
      <c r="G4096" s="7"/>
      <c r="H4096" s="8"/>
      <c r="I4096" s="8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</row>
    <row r="4097" hidden="1">
      <c r="A4097" s="7"/>
      <c r="B4097" s="7"/>
      <c r="C4097" s="7"/>
      <c r="D4097" s="7"/>
      <c r="E4097" s="7"/>
      <c r="F4097" s="7"/>
      <c r="G4097" s="7"/>
      <c r="H4097" s="8"/>
      <c r="I4097" s="8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</row>
    <row r="4098" hidden="1">
      <c r="A4098" s="7"/>
      <c r="B4098" s="7"/>
      <c r="C4098" s="7"/>
      <c r="D4098" s="7"/>
      <c r="E4098" s="7"/>
      <c r="F4098" s="7"/>
      <c r="G4098" s="7"/>
      <c r="H4098" s="8"/>
      <c r="I4098" s="8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</row>
    <row r="4099" hidden="1">
      <c r="A4099" s="7"/>
      <c r="B4099" s="7"/>
      <c r="C4099" s="7"/>
      <c r="D4099" s="7"/>
      <c r="E4099" s="7"/>
      <c r="F4099" s="7"/>
      <c r="G4099" s="7"/>
      <c r="H4099" s="8"/>
      <c r="I4099" s="8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</row>
    <row r="4100" hidden="1">
      <c r="A4100" s="7"/>
      <c r="B4100" s="7"/>
      <c r="C4100" s="7"/>
      <c r="D4100" s="7"/>
      <c r="E4100" s="7"/>
      <c r="F4100" s="7"/>
      <c r="G4100" s="7"/>
      <c r="H4100" s="8"/>
      <c r="I4100" s="8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</row>
    <row r="4101" hidden="1">
      <c r="A4101" s="7"/>
      <c r="B4101" s="7"/>
      <c r="C4101" s="7"/>
      <c r="D4101" s="7"/>
      <c r="E4101" s="7"/>
      <c r="F4101" s="7"/>
      <c r="G4101" s="7"/>
      <c r="H4101" s="8"/>
      <c r="I4101" s="8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</row>
    <row r="4102" hidden="1">
      <c r="A4102" s="7"/>
      <c r="B4102" s="7"/>
      <c r="C4102" s="7"/>
      <c r="D4102" s="7"/>
      <c r="E4102" s="7"/>
      <c r="F4102" s="7"/>
      <c r="G4102" s="7"/>
      <c r="H4102" s="8"/>
      <c r="I4102" s="8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</row>
    <row r="4103" hidden="1">
      <c r="A4103" s="7"/>
      <c r="B4103" s="7"/>
      <c r="C4103" s="7"/>
      <c r="D4103" s="7"/>
      <c r="E4103" s="7"/>
      <c r="F4103" s="7"/>
      <c r="G4103" s="7"/>
      <c r="H4103" s="8"/>
      <c r="I4103" s="8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</row>
    <row r="4104" hidden="1">
      <c r="A4104" s="7"/>
      <c r="B4104" s="7"/>
      <c r="C4104" s="7"/>
      <c r="D4104" s="7"/>
      <c r="E4104" s="7"/>
      <c r="F4104" s="7"/>
      <c r="G4104" s="7"/>
      <c r="H4104" s="8"/>
      <c r="I4104" s="8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</row>
    <row r="4105" hidden="1">
      <c r="A4105" s="7"/>
      <c r="B4105" s="7"/>
      <c r="C4105" s="7"/>
      <c r="D4105" s="7"/>
      <c r="E4105" s="7"/>
      <c r="F4105" s="7"/>
      <c r="G4105" s="7"/>
      <c r="H4105" s="8"/>
      <c r="I4105" s="8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</row>
    <row r="4106" hidden="1">
      <c r="A4106" s="7"/>
      <c r="B4106" s="7"/>
      <c r="C4106" s="7"/>
      <c r="D4106" s="7"/>
      <c r="E4106" s="7"/>
      <c r="F4106" s="7"/>
      <c r="G4106" s="7"/>
      <c r="H4106" s="8"/>
      <c r="I4106" s="8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</row>
    <row r="4107" hidden="1">
      <c r="A4107" s="7"/>
      <c r="B4107" s="7"/>
      <c r="C4107" s="7"/>
      <c r="D4107" s="7"/>
      <c r="E4107" s="7"/>
      <c r="F4107" s="7"/>
      <c r="G4107" s="7"/>
      <c r="H4107" s="8"/>
      <c r="I4107" s="8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</row>
    <row r="4108" hidden="1">
      <c r="A4108" s="7"/>
      <c r="B4108" s="7"/>
      <c r="C4108" s="7"/>
      <c r="D4108" s="7"/>
      <c r="E4108" s="7"/>
      <c r="F4108" s="7"/>
      <c r="G4108" s="7"/>
      <c r="H4108" s="8"/>
      <c r="I4108" s="8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</row>
    <row r="4109" hidden="1">
      <c r="A4109" s="7"/>
      <c r="B4109" s="7"/>
      <c r="C4109" s="7"/>
      <c r="D4109" s="7"/>
      <c r="E4109" s="7"/>
      <c r="F4109" s="7"/>
      <c r="G4109" s="7"/>
      <c r="H4109" s="8"/>
      <c r="I4109" s="8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</row>
    <row r="4110" hidden="1">
      <c r="A4110" s="7"/>
      <c r="B4110" s="7"/>
      <c r="C4110" s="7"/>
      <c r="D4110" s="7"/>
      <c r="E4110" s="7"/>
      <c r="F4110" s="7"/>
      <c r="G4110" s="7"/>
      <c r="H4110" s="8"/>
      <c r="I4110" s="8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</row>
    <row r="4111" hidden="1">
      <c r="A4111" s="7"/>
      <c r="B4111" s="7"/>
      <c r="C4111" s="7"/>
      <c r="D4111" s="7"/>
      <c r="E4111" s="7"/>
      <c r="F4111" s="7"/>
      <c r="G4111" s="7"/>
      <c r="H4111" s="8"/>
      <c r="I4111" s="8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</row>
    <row r="4112" hidden="1">
      <c r="A4112" s="7"/>
      <c r="B4112" s="7"/>
      <c r="C4112" s="7"/>
      <c r="D4112" s="7"/>
      <c r="E4112" s="7"/>
      <c r="F4112" s="7"/>
      <c r="G4112" s="7"/>
      <c r="H4112" s="8"/>
      <c r="I4112" s="8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</row>
    <row r="4113" hidden="1">
      <c r="A4113" s="7"/>
      <c r="B4113" s="7"/>
      <c r="C4113" s="7"/>
      <c r="D4113" s="7"/>
      <c r="E4113" s="7"/>
      <c r="F4113" s="7"/>
      <c r="G4113" s="7"/>
      <c r="H4113" s="8"/>
      <c r="I4113" s="8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</row>
    <row r="4114" hidden="1">
      <c r="A4114" s="7"/>
      <c r="B4114" s="7"/>
      <c r="C4114" s="7"/>
      <c r="D4114" s="7"/>
      <c r="E4114" s="7"/>
      <c r="F4114" s="7"/>
      <c r="G4114" s="7"/>
      <c r="H4114" s="8"/>
      <c r="I4114" s="8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</row>
    <row r="4115" hidden="1">
      <c r="A4115" s="7"/>
      <c r="B4115" s="7"/>
      <c r="C4115" s="7"/>
      <c r="D4115" s="7"/>
      <c r="E4115" s="7"/>
      <c r="F4115" s="7"/>
      <c r="G4115" s="7"/>
      <c r="H4115" s="8"/>
      <c r="I4115" s="8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</row>
    <row r="4116" hidden="1">
      <c r="A4116" s="7"/>
      <c r="B4116" s="7"/>
      <c r="C4116" s="7"/>
      <c r="D4116" s="7"/>
      <c r="E4116" s="7"/>
      <c r="F4116" s="7"/>
      <c r="G4116" s="7"/>
      <c r="H4116" s="8"/>
      <c r="I4116" s="8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</row>
    <row r="4117" hidden="1">
      <c r="A4117" s="7"/>
      <c r="B4117" s="7"/>
      <c r="C4117" s="7"/>
      <c r="D4117" s="7"/>
      <c r="E4117" s="7"/>
      <c r="F4117" s="7"/>
      <c r="G4117" s="7"/>
      <c r="H4117" s="8"/>
      <c r="I4117" s="8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</row>
    <row r="4118" hidden="1">
      <c r="A4118" s="7"/>
      <c r="B4118" s="7"/>
      <c r="C4118" s="7"/>
      <c r="D4118" s="7"/>
      <c r="E4118" s="7"/>
      <c r="F4118" s="7"/>
      <c r="G4118" s="7"/>
      <c r="H4118" s="8"/>
      <c r="I4118" s="8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</row>
    <row r="4119" hidden="1">
      <c r="A4119" s="7"/>
      <c r="B4119" s="7"/>
      <c r="C4119" s="7"/>
      <c r="D4119" s="7"/>
      <c r="E4119" s="7"/>
      <c r="F4119" s="7"/>
      <c r="G4119" s="7"/>
      <c r="H4119" s="8"/>
      <c r="I4119" s="8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</row>
    <row r="4120" hidden="1">
      <c r="A4120" s="7"/>
      <c r="B4120" s="7"/>
      <c r="C4120" s="7"/>
      <c r="D4120" s="7"/>
      <c r="E4120" s="7"/>
      <c r="F4120" s="7"/>
      <c r="G4120" s="7"/>
      <c r="H4120" s="8"/>
      <c r="I4120" s="8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</row>
    <row r="4121" hidden="1">
      <c r="A4121" s="7"/>
      <c r="B4121" s="7"/>
      <c r="C4121" s="7"/>
      <c r="D4121" s="7"/>
      <c r="E4121" s="7"/>
      <c r="F4121" s="7"/>
      <c r="G4121" s="7"/>
      <c r="H4121" s="8"/>
      <c r="I4121" s="8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</row>
    <row r="4122" hidden="1">
      <c r="A4122" s="7"/>
      <c r="B4122" s="7"/>
      <c r="C4122" s="7"/>
      <c r="D4122" s="7"/>
      <c r="E4122" s="7"/>
      <c r="F4122" s="7"/>
      <c r="G4122" s="7"/>
      <c r="H4122" s="8"/>
      <c r="I4122" s="8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</row>
    <row r="4123" hidden="1">
      <c r="A4123" s="7"/>
      <c r="B4123" s="7"/>
      <c r="C4123" s="7"/>
      <c r="D4123" s="7"/>
      <c r="E4123" s="7"/>
      <c r="F4123" s="7"/>
      <c r="G4123" s="7"/>
      <c r="H4123" s="8"/>
      <c r="I4123" s="8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</row>
    <row r="4124" hidden="1">
      <c r="A4124" s="7"/>
      <c r="B4124" s="7"/>
      <c r="C4124" s="7"/>
      <c r="D4124" s="7"/>
      <c r="E4124" s="7"/>
      <c r="F4124" s="7"/>
      <c r="G4124" s="7"/>
      <c r="H4124" s="8"/>
      <c r="I4124" s="8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</row>
    <row r="4125" hidden="1">
      <c r="A4125" s="7"/>
      <c r="B4125" s="7"/>
      <c r="C4125" s="7"/>
      <c r="D4125" s="7"/>
      <c r="E4125" s="7"/>
      <c r="F4125" s="7"/>
      <c r="G4125" s="7"/>
      <c r="H4125" s="8"/>
      <c r="I4125" s="8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</row>
    <row r="4126" hidden="1">
      <c r="A4126" s="7"/>
      <c r="B4126" s="7"/>
      <c r="C4126" s="7"/>
      <c r="D4126" s="7"/>
      <c r="E4126" s="7"/>
      <c r="F4126" s="7"/>
      <c r="G4126" s="7"/>
      <c r="H4126" s="8"/>
      <c r="I4126" s="8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</row>
    <row r="4127" hidden="1">
      <c r="A4127" s="7"/>
      <c r="B4127" s="7"/>
      <c r="C4127" s="7"/>
      <c r="D4127" s="7"/>
      <c r="E4127" s="7"/>
      <c r="F4127" s="7"/>
      <c r="G4127" s="7"/>
      <c r="H4127" s="8"/>
      <c r="I4127" s="8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</row>
    <row r="4128" hidden="1">
      <c r="A4128" s="7"/>
      <c r="B4128" s="7"/>
      <c r="C4128" s="7"/>
      <c r="D4128" s="7"/>
      <c r="E4128" s="7"/>
      <c r="F4128" s="7"/>
      <c r="G4128" s="7"/>
      <c r="H4128" s="8"/>
      <c r="I4128" s="8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</row>
    <row r="4129" hidden="1">
      <c r="A4129" s="7"/>
      <c r="B4129" s="7"/>
      <c r="C4129" s="7"/>
      <c r="D4129" s="7"/>
      <c r="E4129" s="7"/>
      <c r="F4129" s="7"/>
      <c r="G4129" s="7"/>
      <c r="H4129" s="8"/>
      <c r="I4129" s="8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</row>
    <row r="4130" hidden="1">
      <c r="A4130" s="7"/>
      <c r="B4130" s="7"/>
      <c r="C4130" s="7"/>
      <c r="D4130" s="7"/>
      <c r="E4130" s="7"/>
      <c r="F4130" s="7"/>
      <c r="G4130" s="7"/>
      <c r="H4130" s="8"/>
      <c r="I4130" s="8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</row>
    <row r="4131" hidden="1">
      <c r="A4131" s="7"/>
      <c r="B4131" s="7"/>
      <c r="C4131" s="7"/>
      <c r="D4131" s="7"/>
      <c r="E4131" s="7"/>
      <c r="F4131" s="7"/>
      <c r="G4131" s="7"/>
      <c r="H4131" s="8"/>
      <c r="I4131" s="8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</row>
    <row r="4132" hidden="1">
      <c r="A4132" s="7"/>
      <c r="B4132" s="7"/>
      <c r="C4132" s="7"/>
      <c r="D4132" s="7"/>
      <c r="E4132" s="7"/>
      <c r="F4132" s="7"/>
      <c r="G4132" s="7"/>
      <c r="H4132" s="8"/>
      <c r="I4132" s="8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</row>
    <row r="4133" hidden="1">
      <c r="A4133" s="7"/>
      <c r="B4133" s="7"/>
      <c r="C4133" s="7"/>
      <c r="D4133" s="7"/>
      <c r="E4133" s="7"/>
      <c r="F4133" s="7"/>
      <c r="G4133" s="7"/>
      <c r="H4133" s="8"/>
      <c r="I4133" s="8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</row>
    <row r="4134" hidden="1">
      <c r="A4134" s="7"/>
      <c r="B4134" s="7"/>
      <c r="C4134" s="7"/>
      <c r="D4134" s="7"/>
      <c r="E4134" s="7"/>
      <c r="F4134" s="7"/>
      <c r="G4134" s="7"/>
      <c r="H4134" s="8"/>
      <c r="I4134" s="8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</row>
    <row r="4135" hidden="1">
      <c r="A4135" s="7"/>
      <c r="B4135" s="7"/>
      <c r="C4135" s="7"/>
      <c r="D4135" s="7"/>
      <c r="E4135" s="7"/>
      <c r="F4135" s="7"/>
      <c r="G4135" s="7"/>
      <c r="H4135" s="8"/>
      <c r="I4135" s="8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</row>
    <row r="4136" hidden="1">
      <c r="A4136" s="7"/>
      <c r="B4136" s="7"/>
      <c r="C4136" s="7"/>
      <c r="D4136" s="7"/>
      <c r="E4136" s="7"/>
      <c r="F4136" s="7"/>
      <c r="G4136" s="7"/>
      <c r="H4136" s="8"/>
      <c r="I4136" s="8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</row>
    <row r="4137" hidden="1">
      <c r="A4137" s="7"/>
      <c r="B4137" s="7"/>
      <c r="C4137" s="7"/>
      <c r="D4137" s="7"/>
      <c r="E4137" s="7"/>
      <c r="F4137" s="7"/>
      <c r="G4137" s="7"/>
      <c r="H4137" s="8"/>
      <c r="I4137" s="8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</row>
    <row r="4138" hidden="1">
      <c r="A4138" s="7"/>
      <c r="B4138" s="7"/>
      <c r="C4138" s="7"/>
      <c r="D4138" s="7"/>
      <c r="E4138" s="7"/>
      <c r="F4138" s="7"/>
      <c r="G4138" s="7"/>
      <c r="H4138" s="8"/>
      <c r="I4138" s="8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</row>
    <row r="4139" hidden="1">
      <c r="A4139" s="7"/>
      <c r="B4139" s="7"/>
      <c r="C4139" s="7"/>
      <c r="D4139" s="7"/>
      <c r="E4139" s="7"/>
      <c r="F4139" s="7"/>
      <c r="G4139" s="7"/>
      <c r="H4139" s="8"/>
      <c r="I4139" s="8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</row>
    <row r="4140" hidden="1">
      <c r="A4140" s="7"/>
      <c r="B4140" s="7"/>
      <c r="C4140" s="7"/>
      <c r="D4140" s="7"/>
      <c r="E4140" s="7"/>
      <c r="F4140" s="7"/>
      <c r="G4140" s="7"/>
      <c r="H4140" s="8"/>
      <c r="I4140" s="8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</row>
    <row r="4141" hidden="1">
      <c r="A4141" s="7"/>
      <c r="B4141" s="7"/>
      <c r="C4141" s="7"/>
      <c r="D4141" s="7"/>
      <c r="E4141" s="7"/>
      <c r="F4141" s="7"/>
      <c r="G4141" s="7"/>
      <c r="H4141" s="8"/>
      <c r="I4141" s="8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</row>
    <row r="4142" hidden="1">
      <c r="A4142" s="7"/>
      <c r="B4142" s="7"/>
      <c r="C4142" s="7"/>
      <c r="D4142" s="7"/>
      <c r="E4142" s="7"/>
      <c r="F4142" s="7"/>
      <c r="G4142" s="7"/>
      <c r="H4142" s="8"/>
      <c r="I4142" s="8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</row>
    <row r="4143" hidden="1">
      <c r="A4143" s="7"/>
      <c r="B4143" s="7"/>
      <c r="C4143" s="7"/>
      <c r="D4143" s="7"/>
      <c r="E4143" s="7"/>
      <c r="F4143" s="7"/>
      <c r="G4143" s="7"/>
      <c r="H4143" s="8"/>
      <c r="I4143" s="8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</row>
    <row r="4144" hidden="1">
      <c r="A4144" s="7"/>
      <c r="B4144" s="7"/>
      <c r="C4144" s="7"/>
      <c r="D4144" s="7"/>
      <c r="E4144" s="7"/>
      <c r="F4144" s="7"/>
      <c r="G4144" s="7"/>
      <c r="H4144" s="8"/>
      <c r="I4144" s="8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</row>
    <row r="4145" hidden="1">
      <c r="A4145" s="7"/>
      <c r="B4145" s="7"/>
      <c r="C4145" s="7"/>
      <c r="D4145" s="7"/>
      <c r="E4145" s="7"/>
      <c r="F4145" s="7"/>
      <c r="G4145" s="7"/>
      <c r="H4145" s="8"/>
      <c r="I4145" s="8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</row>
    <row r="4146" hidden="1">
      <c r="A4146" s="7"/>
      <c r="B4146" s="7"/>
      <c r="C4146" s="7"/>
      <c r="D4146" s="7"/>
      <c r="E4146" s="7"/>
      <c r="F4146" s="7"/>
      <c r="G4146" s="7"/>
      <c r="H4146" s="8"/>
      <c r="I4146" s="8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</row>
    <row r="4147" hidden="1">
      <c r="A4147" s="7"/>
      <c r="B4147" s="7"/>
      <c r="C4147" s="7"/>
      <c r="D4147" s="7"/>
      <c r="E4147" s="7"/>
      <c r="F4147" s="7"/>
      <c r="G4147" s="7"/>
      <c r="H4147" s="8"/>
      <c r="I4147" s="8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</row>
    <row r="4148" hidden="1">
      <c r="A4148" s="7"/>
      <c r="B4148" s="7"/>
      <c r="C4148" s="7"/>
      <c r="D4148" s="7"/>
      <c r="E4148" s="7"/>
      <c r="F4148" s="7"/>
      <c r="G4148" s="7"/>
      <c r="H4148" s="8"/>
      <c r="I4148" s="8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</row>
    <row r="4149" hidden="1">
      <c r="A4149" s="7"/>
      <c r="B4149" s="7"/>
      <c r="C4149" s="7"/>
      <c r="D4149" s="7"/>
      <c r="E4149" s="7"/>
      <c r="F4149" s="7"/>
      <c r="G4149" s="7"/>
      <c r="H4149" s="8"/>
      <c r="I4149" s="8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</row>
    <row r="4150" hidden="1">
      <c r="A4150" s="7"/>
      <c r="B4150" s="7"/>
      <c r="C4150" s="7"/>
      <c r="D4150" s="7"/>
      <c r="E4150" s="7"/>
      <c r="F4150" s="7"/>
      <c r="G4150" s="7"/>
      <c r="H4150" s="8"/>
      <c r="I4150" s="8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</row>
    <row r="4151" hidden="1">
      <c r="A4151" s="7"/>
      <c r="B4151" s="7"/>
      <c r="C4151" s="7"/>
      <c r="D4151" s="7"/>
      <c r="E4151" s="7"/>
      <c r="F4151" s="7"/>
      <c r="G4151" s="7"/>
      <c r="H4151" s="8"/>
      <c r="I4151" s="8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</row>
    <row r="4152" hidden="1">
      <c r="A4152" s="7"/>
      <c r="B4152" s="7"/>
      <c r="C4152" s="7"/>
      <c r="D4152" s="7"/>
      <c r="E4152" s="7"/>
      <c r="F4152" s="7"/>
      <c r="G4152" s="7"/>
      <c r="H4152" s="8"/>
      <c r="I4152" s="8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</row>
    <row r="4153" hidden="1">
      <c r="A4153" s="7"/>
      <c r="B4153" s="7"/>
      <c r="C4153" s="7"/>
      <c r="D4153" s="7"/>
      <c r="E4153" s="7"/>
      <c r="F4153" s="7"/>
      <c r="G4153" s="7"/>
      <c r="H4153" s="8"/>
      <c r="I4153" s="8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</row>
    <row r="4154" hidden="1">
      <c r="A4154" s="7"/>
      <c r="B4154" s="7"/>
      <c r="C4154" s="7"/>
      <c r="D4154" s="7"/>
      <c r="E4154" s="7"/>
      <c r="F4154" s="7"/>
      <c r="G4154" s="7"/>
      <c r="H4154" s="8"/>
      <c r="I4154" s="8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</row>
    <row r="4155" hidden="1">
      <c r="A4155" s="7"/>
      <c r="B4155" s="7"/>
      <c r="C4155" s="7"/>
      <c r="D4155" s="7"/>
      <c r="E4155" s="7"/>
      <c r="F4155" s="7"/>
      <c r="G4155" s="7"/>
      <c r="H4155" s="8"/>
      <c r="I4155" s="8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</row>
    <row r="4156" hidden="1">
      <c r="A4156" s="7"/>
      <c r="B4156" s="7"/>
      <c r="C4156" s="7"/>
      <c r="D4156" s="7"/>
      <c r="E4156" s="7"/>
      <c r="F4156" s="7"/>
      <c r="G4156" s="7"/>
      <c r="H4156" s="8"/>
      <c r="I4156" s="8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</row>
    <row r="4157" hidden="1">
      <c r="A4157" s="7"/>
      <c r="B4157" s="7"/>
      <c r="C4157" s="7"/>
      <c r="D4157" s="7"/>
      <c r="E4157" s="7"/>
      <c r="F4157" s="7"/>
      <c r="G4157" s="7"/>
      <c r="H4157" s="8"/>
      <c r="I4157" s="8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</row>
    <row r="4158" hidden="1">
      <c r="A4158" s="7"/>
      <c r="B4158" s="7"/>
      <c r="C4158" s="7"/>
      <c r="D4158" s="7"/>
      <c r="E4158" s="7"/>
      <c r="F4158" s="7"/>
      <c r="G4158" s="7"/>
      <c r="H4158" s="8"/>
      <c r="I4158" s="8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</row>
    <row r="4159" hidden="1">
      <c r="A4159" s="7"/>
      <c r="B4159" s="7"/>
      <c r="C4159" s="7"/>
      <c r="D4159" s="7"/>
      <c r="E4159" s="7"/>
      <c r="F4159" s="7"/>
      <c r="G4159" s="7"/>
      <c r="H4159" s="8"/>
      <c r="I4159" s="8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</row>
    <row r="4160" hidden="1">
      <c r="A4160" s="7"/>
      <c r="B4160" s="7"/>
      <c r="C4160" s="7"/>
      <c r="D4160" s="7"/>
      <c r="E4160" s="7"/>
      <c r="F4160" s="7"/>
      <c r="G4160" s="7"/>
      <c r="H4160" s="8"/>
      <c r="I4160" s="8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</row>
    <row r="4161" hidden="1">
      <c r="A4161" s="7"/>
      <c r="B4161" s="7"/>
      <c r="C4161" s="7"/>
      <c r="D4161" s="7"/>
      <c r="E4161" s="7"/>
      <c r="F4161" s="7"/>
      <c r="G4161" s="7"/>
      <c r="H4161" s="8"/>
      <c r="I4161" s="8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</row>
    <row r="4162" hidden="1">
      <c r="A4162" s="7"/>
      <c r="B4162" s="7"/>
      <c r="C4162" s="7"/>
      <c r="D4162" s="7"/>
      <c r="E4162" s="7"/>
      <c r="F4162" s="7"/>
      <c r="G4162" s="7"/>
      <c r="H4162" s="8"/>
      <c r="I4162" s="8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</row>
    <row r="4163" hidden="1">
      <c r="A4163" s="7"/>
      <c r="B4163" s="7"/>
      <c r="C4163" s="7"/>
      <c r="D4163" s="7"/>
      <c r="E4163" s="7"/>
      <c r="F4163" s="7"/>
      <c r="G4163" s="7"/>
      <c r="H4163" s="8"/>
      <c r="I4163" s="8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</row>
    <row r="4164" hidden="1">
      <c r="A4164" s="7"/>
      <c r="B4164" s="7"/>
      <c r="C4164" s="7"/>
      <c r="D4164" s="7"/>
      <c r="E4164" s="7"/>
      <c r="F4164" s="7"/>
      <c r="G4164" s="7"/>
      <c r="H4164" s="8"/>
      <c r="I4164" s="8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</row>
    <row r="4165" hidden="1">
      <c r="A4165" s="7"/>
      <c r="B4165" s="7"/>
      <c r="C4165" s="7"/>
      <c r="D4165" s="7"/>
      <c r="E4165" s="7"/>
      <c r="F4165" s="7"/>
      <c r="G4165" s="7"/>
      <c r="H4165" s="8"/>
      <c r="I4165" s="8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</row>
    <row r="4166" hidden="1">
      <c r="A4166" s="7"/>
      <c r="B4166" s="7"/>
      <c r="C4166" s="7"/>
      <c r="D4166" s="7"/>
      <c r="E4166" s="7"/>
      <c r="F4166" s="7"/>
      <c r="G4166" s="7"/>
      <c r="H4166" s="8"/>
      <c r="I4166" s="8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</row>
    <row r="4167" hidden="1">
      <c r="A4167" s="7"/>
      <c r="B4167" s="7"/>
      <c r="C4167" s="7"/>
      <c r="D4167" s="7"/>
      <c r="E4167" s="7"/>
      <c r="F4167" s="7"/>
      <c r="G4167" s="7"/>
      <c r="H4167" s="8"/>
      <c r="I4167" s="8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</row>
    <row r="4168" hidden="1">
      <c r="A4168" s="7"/>
      <c r="B4168" s="7"/>
      <c r="C4168" s="7"/>
      <c r="D4168" s="7"/>
      <c r="E4168" s="7"/>
      <c r="F4168" s="7"/>
      <c r="G4168" s="7"/>
      <c r="H4168" s="8"/>
      <c r="I4168" s="8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</row>
    <row r="4169" hidden="1">
      <c r="A4169" s="7"/>
      <c r="B4169" s="7"/>
      <c r="C4169" s="7"/>
      <c r="D4169" s="7"/>
      <c r="E4169" s="7"/>
      <c r="F4169" s="7"/>
      <c r="G4169" s="7"/>
      <c r="H4169" s="8"/>
      <c r="I4169" s="8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</row>
    <row r="4170" hidden="1">
      <c r="A4170" s="7"/>
      <c r="B4170" s="7"/>
      <c r="C4170" s="7"/>
      <c r="D4170" s="7"/>
      <c r="E4170" s="7"/>
      <c r="F4170" s="7"/>
      <c r="G4170" s="7"/>
      <c r="H4170" s="8"/>
      <c r="I4170" s="8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</row>
    <row r="4171" hidden="1">
      <c r="A4171" s="7"/>
      <c r="B4171" s="7"/>
      <c r="C4171" s="7"/>
      <c r="D4171" s="7"/>
      <c r="E4171" s="7"/>
      <c r="F4171" s="7"/>
      <c r="G4171" s="7"/>
      <c r="H4171" s="8"/>
      <c r="I4171" s="8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</row>
    <row r="4172" hidden="1">
      <c r="A4172" s="7"/>
      <c r="B4172" s="7"/>
      <c r="C4172" s="7"/>
      <c r="D4172" s="7"/>
      <c r="E4172" s="7"/>
      <c r="F4172" s="7"/>
      <c r="G4172" s="7"/>
      <c r="H4172" s="8"/>
      <c r="I4172" s="8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</row>
    <row r="4173" hidden="1">
      <c r="A4173" s="7"/>
      <c r="B4173" s="7"/>
      <c r="C4173" s="7"/>
      <c r="D4173" s="7"/>
      <c r="E4173" s="7"/>
      <c r="F4173" s="7"/>
      <c r="G4173" s="7"/>
      <c r="H4173" s="8"/>
      <c r="I4173" s="8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</row>
    <row r="4174" hidden="1">
      <c r="A4174" s="7"/>
      <c r="B4174" s="7"/>
      <c r="C4174" s="7"/>
      <c r="D4174" s="7"/>
      <c r="E4174" s="7"/>
      <c r="F4174" s="7"/>
      <c r="G4174" s="7"/>
      <c r="H4174" s="8"/>
      <c r="I4174" s="8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</row>
    <row r="4175" hidden="1">
      <c r="A4175" s="7"/>
      <c r="B4175" s="7"/>
      <c r="C4175" s="7"/>
      <c r="D4175" s="7"/>
      <c r="E4175" s="7"/>
      <c r="F4175" s="7"/>
      <c r="G4175" s="7"/>
      <c r="H4175" s="8"/>
      <c r="I4175" s="8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</row>
    <row r="4176" hidden="1">
      <c r="A4176" s="7"/>
      <c r="B4176" s="7"/>
      <c r="C4176" s="7"/>
      <c r="D4176" s="7"/>
      <c r="E4176" s="7"/>
      <c r="F4176" s="7"/>
      <c r="G4176" s="7"/>
      <c r="H4176" s="8"/>
      <c r="I4176" s="8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</row>
    <row r="4177" hidden="1">
      <c r="A4177" s="7"/>
      <c r="B4177" s="7"/>
      <c r="C4177" s="7"/>
      <c r="D4177" s="7"/>
      <c r="E4177" s="7"/>
      <c r="F4177" s="7"/>
      <c r="G4177" s="7"/>
      <c r="H4177" s="8"/>
      <c r="I4177" s="8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</row>
    <row r="4178" hidden="1">
      <c r="A4178" s="7"/>
      <c r="B4178" s="7"/>
      <c r="C4178" s="7"/>
      <c r="D4178" s="7"/>
      <c r="E4178" s="7"/>
      <c r="F4178" s="7"/>
      <c r="G4178" s="7"/>
      <c r="H4178" s="8"/>
      <c r="I4178" s="8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</row>
    <row r="4179" hidden="1">
      <c r="A4179" s="7"/>
      <c r="B4179" s="7"/>
      <c r="C4179" s="7"/>
      <c r="D4179" s="7"/>
      <c r="E4179" s="7"/>
      <c r="F4179" s="7"/>
      <c r="G4179" s="7"/>
      <c r="H4179" s="8"/>
      <c r="I4179" s="8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</row>
    <row r="4180" hidden="1">
      <c r="A4180" s="7"/>
      <c r="B4180" s="7"/>
      <c r="C4180" s="7"/>
      <c r="D4180" s="7"/>
      <c r="E4180" s="7"/>
      <c r="F4180" s="7"/>
      <c r="G4180" s="7"/>
      <c r="H4180" s="8"/>
      <c r="I4180" s="8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</row>
    <row r="4181" hidden="1">
      <c r="A4181" s="7"/>
      <c r="B4181" s="7"/>
      <c r="C4181" s="7"/>
      <c r="D4181" s="7"/>
      <c r="E4181" s="7"/>
      <c r="F4181" s="7"/>
      <c r="G4181" s="7"/>
      <c r="H4181" s="8"/>
      <c r="I4181" s="8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</row>
    <row r="4182" hidden="1">
      <c r="A4182" s="7"/>
      <c r="B4182" s="7"/>
      <c r="C4182" s="7"/>
      <c r="D4182" s="7"/>
      <c r="E4182" s="7"/>
      <c r="F4182" s="7"/>
      <c r="G4182" s="7"/>
      <c r="H4182" s="8"/>
      <c r="I4182" s="8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</row>
    <row r="4183" hidden="1">
      <c r="A4183" s="7"/>
      <c r="B4183" s="7"/>
      <c r="C4183" s="7"/>
      <c r="D4183" s="7"/>
      <c r="E4183" s="7"/>
      <c r="F4183" s="7"/>
      <c r="G4183" s="7"/>
      <c r="H4183" s="8"/>
      <c r="I4183" s="8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</row>
    <row r="4184" hidden="1">
      <c r="A4184" s="7"/>
      <c r="B4184" s="7"/>
      <c r="C4184" s="7"/>
      <c r="D4184" s="7"/>
      <c r="E4184" s="7"/>
      <c r="F4184" s="7"/>
      <c r="G4184" s="7"/>
      <c r="H4184" s="8"/>
      <c r="I4184" s="8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</row>
    <row r="4185" hidden="1">
      <c r="A4185" s="7"/>
      <c r="B4185" s="7"/>
      <c r="C4185" s="7"/>
      <c r="D4185" s="7"/>
      <c r="E4185" s="7"/>
      <c r="F4185" s="7"/>
      <c r="G4185" s="7"/>
      <c r="H4185" s="8"/>
      <c r="I4185" s="8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</row>
    <row r="4186" hidden="1">
      <c r="A4186" s="7"/>
      <c r="B4186" s="7"/>
      <c r="C4186" s="7"/>
      <c r="D4186" s="7"/>
      <c r="E4186" s="7"/>
      <c r="F4186" s="7"/>
      <c r="G4186" s="7"/>
      <c r="H4186" s="8"/>
      <c r="I4186" s="8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</row>
    <row r="4187" hidden="1">
      <c r="A4187" s="7"/>
      <c r="B4187" s="7"/>
      <c r="C4187" s="7"/>
      <c r="D4187" s="7"/>
      <c r="E4187" s="7"/>
      <c r="F4187" s="7"/>
      <c r="G4187" s="7"/>
      <c r="H4187" s="8"/>
      <c r="I4187" s="8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</row>
    <row r="4188" hidden="1">
      <c r="A4188" s="7"/>
      <c r="B4188" s="7"/>
      <c r="C4188" s="7"/>
      <c r="D4188" s="7"/>
      <c r="E4188" s="7"/>
      <c r="F4188" s="7"/>
      <c r="G4188" s="7"/>
      <c r="H4188" s="8"/>
      <c r="I4188" s="8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</row>
    <row r="4189" hidden="1">
      <c r="A4189" s="7"/>
      <c r="B4189" s="7"/>
      <c r="C4189" s="7"/>
      <c r="D4189" s="7"/>
      <c r="E4189" s="7"/>
      <c r="F4189" s="7"/>
      <c r="G4189" s="7"/>
      <c r="H4189" s="8"/>
      <c r="I4189" s="8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</row>
    <row r="4190" hidden="1">
      <c r="A4190" s="7"/>
      <c r="B4190" s="7"/>
      <c r="C4190" s="7"/>
      <c r="D4190" s="7"/>
      <c r="E4190" s="7"/>
      <c r="F4190" s="7"/>
      <c r="G4190" s="7"/>
      <c r="H4190" s="8"/>
      <c r="I4190" s="8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</row>
    <row r="4191" hidden="1">
      <c r="A4191" s="7"/>
      <c r="B4191" s="7"/>
      <c r="C4191" s="7"/>
      <c r="D4191" s="7"/>
      <c r="E4191" s="7"/>
      <c r="F4191" s="7"/>
      <c r="G4191" s="7"/>
      <c r="H4191" s="8"/>
      <c r="I4191" s="8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</row>
    <row r="4192" hidden="1">
      <c r="A4192" s="7"/>
      <c r="B4192" s="7"/>
      <c r="C4192" s="7"/>
      <c r="D4192" s="7"/>
      <c r="E4192" s="7"/>
      <c r="F4192" s="7"/>
      <c r="G4192" s="7"/>
      <c r="H4192" s="8"/>
      <c r="I4192" s="8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</row>
    <row r="4193" hidden="1">
      <c r="A4193" s="7"/>
      <c r="B4193" s="7"/>
      <c r="C4193" s="7"/>
      <c r="D4193" s="7"/>
      <c r="E4193" s="7"/>
      <c r="F4193" s="7"/>
      <c r="G4193" s="7"/>
      <c r="H4193" s="8"/>
      <c r="I4193" s="8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</row>
    <row r="4194" hidden="1">
      <c r="A4194" s="7"/>
      <c r="B4194" s="7"/>
      <c r="C4194" s="7"/>
      <c r="D4194" s="7"/>
      <c r="E4194" s="7"/>
      <c r="F4194" s="7"/>
      <c r="G4194" s="7"/>
      <c r="H4194" s="8"/>
      <c r="I4194" s="8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</row>
    <row r="4195" hidden="1">
      <c r="A4195" s="7"/>
      <c r="B4195" s="7"/>
      <c r="C4195" s="7"/>
      <c r="D4195" s="7"/>
      <c r="E4195" s="7"/>
      <c r="F4195" s="7"/>
      <c r="G4195" s="7"/>
      <c r="H4195" s="8"/>
      <c r="I4195" s="8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</row>
    <row r="4196" hidden="1">
      <c r="A4196" s="7"/>
      <c r="B4196" s="7"/>
      <c r="C4196" s="7"/>
      <c r="D4196" s="7"/>
      <c r="E4196" s="7"/>
      <c r="F4196" s="7"/>
      <c r="G4196" s="7"/>
      <c r="H4196" s="8"/>
      <c r="I4196" s="8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</row>
    <row r="4197" hidden="1">
      <c r="A4197" s="7"/>
      <c r="B4197" s="7"/>
      <c r="C4197" s="7"/>
      <c r="D4197" s="7"/>
      <c r="E4197" s="7"/>
      <c r="F4197" s="7"/>
      <c r="G4197" s="7"/>
      <c r="H4197" s="8"/>
      <c r="I4197" s="8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</row>
    <row r="4198" hidden="1">
      <c r="A4198" s="7"/>
      <c r="B4198" s="7"/>
      <c r="C4198" s="7"/>
      <c r="D4198" s="7"/>
      <c r="E4198" s="7"/>
      <c r="F4198" s="7"/>
      <c r="G4198" s="7"/>
      <c r="H4198" s="8"/>
      <c r="I4198" s="8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</row>
    <row r="4199" hidden="1">
      <c r="A4199" s="7"/>
      <c r="B4199" s="7"/>
      <c r="C4199" s="7"/>
      <c r="D4199" s="7"/>
      <c r="E4199" s="7"/>
      <c r="F4199" s="7"/>
      <c r="G4199" s="7"/>
      <c r="H4199" s="8"/>
      <c r="I4199" s="8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</row>
    <row r="4200" hidden="1">
      <c r="A4200" s="7"/>
      <c r="B4200" s="7"/>
      <c r="C4200" s="7"/>
      <c r="D4200" s="7"/>
      <c r="E4200" s="7"/>
      <c r="F4200" s="7"/>
      <c r="G4200" s="7"/>
      <c r="H4200" s="8"/>
      <c r="I4200" s="8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</row>
    <row r="4201" hidden="1">
      <c r="A4201" s="7"/>
      <c r="B4201" s="7"/>
      <c r="C4201" s="7"/>
      <c r="D4201" s="7"/>
      <c r="E4201" s="7"/>
      <c r="F4201" s="7"/>
      <c r="G4201" s="7"/>
      <c r="H4201" s="8"/>
      <c r="I4201" s="8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</row>
    <row r="4202" hidden="1">
      <c r="A4202" s="7"/>
      <c r="B4202" s="7"/>
      <c r="C4202" s="7"/>
      <c r="D4202" s="7"/>
      <c r="E4202" s="7"/>
      <c r="F4202" s="7"/>
      <c r="G4202" s="7"/>
      <c r="H4202" s="8"/>
      <c r="I4202" s="8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</row>
    <row r="4203" hidden="1">
      <c r="A4203" s="7"/>
      <c r="B4203" s="7"/>
      <c r="C4203" s="7"/>
      <c r="D4203" s="7"/>
      <c r="E4203" s="7"/>
      <c r="F4203" s="7"/>
      <c r="G4203" s="7"/>
      <c r="H4203" s="8"/>
      <c r="I4203" s="8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</row>
    <row r="4204" hidden="1">
      <c r="A4204" s="7"/>
      <c r="B4204" s="7"/>
      <c r="C4204" s="7"/>
      <c r="D4204" s="7"/>
      <c r="E4204" s="7"/>
      <c r="F4204" s="7"/>
      <c r="G4204" s="7"/>
      <c r="H4204" s="8"/>
      <c r="I4204" s="8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</row>
    <row r="4205" hidden="1">
      <c r="A4205" s="7"/>
      <c r="B4205" s="7"/>
      <c r="C4205" s="7"/>
      <c r="D4205" s="7"/>
      <c r="E4205" s="7"/>
      <c r="F4205" s="7"/>
      <c r="G4205" s="7"/>
      <c r="H4205" s="8"/>
      <c r="I4205" s="8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</row>
    <row r="4206" hidden="1">
      <c r="A4206" s="7"/>
      <c r="B4206" s="7"/>
      <c r="C4206" s="7"/>
      <c r="D4206" s="7"/>
      <c r="E4206" s="7"/>
      <c r="F4206" s="7"/>
      <c r="G4206" s="7"/>
      <c r="H4206" s="8"/>
      <c r="I4206" s="8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</row>
    <row r="4207" hidden="1">
      <c r="A4207" s="7"/>
      <c r="B4207" s="7"/>
      <c r="C4207" s="7"/>
      <c r="D4207" s="7"/>
      <c r="E4207" s="7"/>
      <c r="F4207" s="7"/>
      <c r="G4207" s="7"/>
      <c r="H4207" s="8"/>
      <c r="I4207" s="8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</row>
    <row r="4208" hidden="1">
      <c r="A4208" s="7"/>
      <c r="B4208" s="7"/>
      <c r="C4208" s="7"/>
      <c r="D4208" s="7"/>
      <c r="E4208" s="7"/>
      <c r="F4208" s="7"/>
      <c r="G4208" s="7"/>
      <c r="H4208" s="8"/>
      <c r="I4208" s="8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</row>
    <row r="4209" hidden="1">
      <c r="A4209" s="7"/>
      <c r="B4209" s="7"/>
      <c r="C4209" s="7"/>
      <c r="D4209" s="7"/>
      <c r="E4209" s="7"/>
      <c r="F4209" s="7"/>
      <c r="G4209" s="7"/>
      <c r="H4209" s="8"/>
      <c r="I4209" s="8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</row>
    <row r="4210" hidden="1">
      <c r="A4210" s="7"/>
      <c r="B4210" s="7"/>
      <c r="C4210" s="7"/>
      <c r="D4210" s="7"/>
      <c r="E4210" s="7"/>
      <c r="F4210" s="7"/>
      <c r="G4210" s="7"/>
      <c r="H4210" s="8"/>
      <c r="I4210" s="8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</row>
    <row r="4211" hidden="1">
      <c r="A4211" s="7"/>
      <c r="B4211" s="7"/>
      <c r="C4211" s="7"/>
      <c r="D4211" s="7"/>
      <c r="E4211" s="7"/>
      <c r="F4211" s="7"/>
      <c r="G4211" s="7"/>
      <c r="H4211" s="8"/>
      <c r="I4211" s="8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</row>
    <row r="4212" hidden="1">
      <c r="A4212" s="7"/>
      <c r="B4212" s="7"/>
      <c r="C4212" s="7"/>
      <c r="D4212" s="7"/>
      <c r="E4212" s="7"/>
      <c r="F4212" s="7"/>
      <c r="G4212" s="7"/>
      <c r="H4212" s="8"/>
      <c r="I4212" s="8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</row>
    <row r="4213" hidden="1">
      <c r="A4213" s="7"/>
      <c r="B4213" s="7"/>
      <c r="C4213" s="7"/>
      <c r="D4213" s="7"/>
      <c r="E4213" s="7"/>
      <c r="F4213" s="7"/>
      <c r="G4213" s="7"/>
      <c r="H4213" s="8"/>
      <c r="I4213" s="8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</row>
    <row r="4214" hidden="1">
      <c r="A4214" s="7"/>
      <c r="B4214" s="7"/>
      <c r="C4214" s="7"/>
      <c r="D4214" s="7"/>
      <c r="E4214" s="7"/>
      <c r="F4214" s="7"/>
      <c r="G4214" s="7"/>
      <c r="H4214" s="8"/>
      <c r="I4214" s="8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</row>
    <row r="4215" hidden="1">
      <c r="A4215" s="7"/>
      <c r="B4215" s="7"/>
      <c r="C4215" s="7"/>
      <c r="D4215" s="7"/>
      <c r="E4215" s="7"/>
      <c r="F4215" s="7"/>
      <c r="G4215" s="7"/>
      <c r="H4215" s="8"/>
      <c r="I4215" s="8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</row>
    <row r="4216" hidden="1">
      <c r="A4216" s="7"/>
      <c r="B4216" s="7"/>
      <c r="C4216" s="7"/>
      <c r="D4216" s="7"/>
      <c r="E4216" s="7"/>
      <c r="F4216" s="7"/>
      <c r="G4216" s="7"/>
      <c r="H4216" s="8"/>
      <c r="I4216" s="8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</row>
    <row r="4217" hidden="1">
      <c r="A4217" s="7"/>
      <c r="B4217" s="7"/>
      <c r="C4217" s="7"/>
      <c r="D4217" s="7"/>
      <c r="E4217" s="7"/>
      <c r="F4217" s="7"/>
      <c r="G4217" s="7"/>
      <c r="H4217" s="8"/>
      <c r="I4217" s="8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</row>
    <row r="4218" hidden="1">
      <c r="A4218" s="7"/>
      <c r="B4218" s="7"/>
      <c r="C4218" s="7"/>
      <c r="D4218" s="7"/>
      <c r="E4218" s="7"/>
      <c r="F4218" s="7"/>
      <c r="G4218" s="7"/>
      <c r="H4218" s="8"/>
      <c r="I4218" s="8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</row>
    <row r="4219" hidden="1">
      <c r="A4219" s="7"/>
      <c r="B4219" s="7"/>
      <c r="C4219" s="7"/>
      <c r="D4219" s="7"/>
      <c r="E4219" s="7"/>
      <c r="F4219" s="7"/>
      <c r="G4219" s="7"/>
      <c r="H4219" s="8"/>
      <c r="I4219" s="8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</row>
    <row r="4220" hidden="1">
      <c r="A4220" s="7"/>
      <c r="B4220" s="7"/>
      <c r="C4220" s="7"/>
      <c r="D4220" s="7"/>
      <c r="E4220" s="7"/>
      <c r="F4220" s="7"/>
      <c r="G4220" s="7"/>
      <c r="H4220" s="8"/>
      <c r="I4220" s="8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</row>
    <row r="4221" hidden="1">
      <c r="A4221" s="7"/>
      <c r="B4221" s="7"/>
      <c r="C4221" s="7"/>
      <c r="D4221" s="7"/>
      <c r="E4221" s="7"/>
      <c r="F4221" s="7"/>
      <c r="G4221" s="7"/>
      <c r="H4221" s="8"/>
      <c r="I4221" s="8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</row>
    <row r="4222" hidden="1">
      <c r="A4222" s="7"/>
      <c r="B4222" s="7"/>
      <c r="C4222" s="7"/>
      <c r="D4222" s="7"/>
      <c r="E4222" s="7"/>
      <c r="F4222" s="7"/>
      <c r="G4222" s="7"/>
      <c r="H4222" s="8"/>
      <c r="I4222" s="8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</row>
    <row r="4223" hidden="1">
      <c r="A4223" s="7"/>
      <c r="B4223" s="7"/>
      <c r="C4223" s="7"/>
      <c r="D4223" s="7"/>
      <c r="E4223" s="7"/>
      <c r="F4223" s="7"/>
      <c r="G4223" s="7"/>
      <c r="H4223" s="8"/>
      <c r="I4223" s="8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</row>
    <row r="4224" hidden="1">
      <c r="A4224" s="7"/>
      <c r="B4224" s="7"/>
      <c r="C4224" s="7"/>
      <c r="D4224" s="7"/>
      <c r="E4224" s="7"/>
      <c r="F4224" s="7"/>
      <c r="G4224" s="7"/>
      <c r="H4224" s="8"/>
      <c r="I4224" s="8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</row>
    <row r="4225" hidden="1">
      <c r="A4225" s="7"/>
      <c r="B4225" s="7"/>
      <c r="C4225" s="7"/>
      <c r="D4225" s="7"/>
      <c r="E4225" s="7"/>
      <c r="F4225" s="7"/>
      <c r="G4225" s="7"/>
      <c r="H4225" s="8"/>
      <c r="I4225" s="8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</row>
    <row r="4226" hidden="1">
      <c r="A4226" s="7"/>
      <c r="B4226" s="7"/>
      <c r="C4226" s="7"/>
      <c r="D4226" s="7"/>
      <c r="E4226" s="7"/>
      <c r="F4226" s="7"/>
      <c r="G4226" s="7"/>
      <c r="H4226" s="8"/>
      <c r="I4226" s="8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</row>
    <row r="4227" hidden="1">
      <c r="A4227" s="7"/>
      <c r="B4227" s="7"/>
      <c r="C4227" s="7"/>
      <c r="D4227" s="7"/>
      <c r="E4227" s="7"/>
      <c r="F4227" s="7"/>
      <c r="G4227" s="7"/>
      <c r="H4227" s="8"/>
      <c r="I4227" s="8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</row>
    <row r="4228" hidden="1">
      <c r="A4228" s="7"/>
      <c r="B4228" s="7"/>
      <c r="C4228" s="7"/>
      <c r="D4228" s="7"/>
      <c r="E4228" s="7"/>
      <c r="F4228" s="7"/>
      <c r="G4228" s="7"/>
      <c r="H4228" s="8"/>
      <c r="I4228" s="8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</row>
    <row r="4229" hidden="1">
      <c r="A4229" s="7"/>
      <c r="B4229" s="7"/>
      <c r="C4229" s="7"/>
      <c r="D4229" s="7"/>
      <c r="E4229" s="7"/>
      <c r="F4229" s="7"/>
      <c r="G4229" s="7"/>
      <c r="H4229" s="8"/>
      <c r="I4229" s="8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</row>
    <row r="4230" hidden="1">
      <c r="A4230" s="7"/>
      <c r="B4230" s="7"/>
      <c r="C4230" s="7"/>
      <c r="D4230" s="7"/>
      <c r="E4230" s="7"/>
      <c r="F4230" s="7"/>
      <c r="G4230" s="7"/>
      <c r="H4230" s="8"/>
      <c r="I4230" s="8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</row>
    <row r="4231" hidden="1">
      <c r="A4231" s="7"/>
      <c r="B4231" s="7"/>
      <c r="C4231" s="7"/>
      <c r="D4231" s="7"/>
      <c r="E4231" s="7"/>
      <c r="F4231" s="7"/>
      <c r="G4231" s="7"/>
      <c r="H4231" s="8"/>
      <c r="I4231" s="8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</row>
    <row r="4232" hidden="1">
      <c r="A4232" s="7"/>
      <c r="B4232" s="7"/>
      <c r="C4232" s="7"/>
      <c r="D4232" s="7"/>
      <c r="E4232" s="7"/>
      <c r="F4232" s="7"/>
      <c r="G4232" s="7"/>
      <c r="H4232" s="8"/>
      <c r="I4232" s="8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</row>
    <row r="4233" hidden="1">
      <c r="A4233" s="7"/>
      <c r="B4233" s="7"/>
      <c r="C4233" s="7"/>
      <c r="D4233" s="7"/>
      <c r="E4233" s="7"/>
      <c r="F4233" s="7"/>
      <c r="G4233" s="7"/>
      <c r="H4233" s="8"/>
      <c r="I4233" s="8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</row>
    <row r="4234" hidden="1">
      <c r="A4234" s="7"/>
      <c r="B4234" s="7"/>
      <c r="C4234" s="7"/>
      <c r="D4234" s="7"/>
      <c r="E4234" s="7"/>
      <c r="F4234" s="7"/>
      <c r="G4234" s="7"/>
      <c r="H4234" s="8"/>
      <c r="I4234" s="8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</row>
    <row r="4235" hidden="1">
      <c r="A4235" s="7"/>
      <c r="B4235" s="7"/>
      <c r="C4235" s="7"/>
      <c r="D4235" s="7"/>
      <c r="E4235" s="7"/>
      <c r="F4235" s="7"/>
      <c r="G4235" s="7"/>
      <c r="H4235" s="8"/>
      <c r="I4235" s="8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</row>
    <row r="4236" hidden="1">
      <c r="A4236" s="7"/>
      <c r="B4236" s="7"/>
      <c r="C4236" s="7"/>
      <c r="D4236" s="7"/>
      <c r="E4236" s="7"/>
      <c r="F4236" s="7"/>
      <c r="G4236" s="7"/>
      <c r="H4236" s="8"/>
      <c r="I4236" s="8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</row>
    <row r="4237" hidden="1">
      <c r="A4237" s="7"/>
      <c r="B4237" s="7"/>
      <c r="C4237" s="7"/>
      <c r="D4237" s="7"/>
      <c r="E4237" s="7"/>
      <c r="F4237" s="7"/>
      <c r="G4237" s="7"/>
      <c r="H4237" s="8"/>
      <c r="I4237" s="8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</row>
    <row r="4238" hidden="1">
      <c r="A4238" s="7"/>
      <c r="B4238" s="7"/>
      <c r="C4238" s="7"/>
      <c r="D4238" s="7"/>
      <c r="E4238" s="7"/>
      <c r="F4238" s="7"/>
      <c r="G4238" s="7"/>
      <c r="H4238" s="8"/>
      <c r="I4238" s="8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</row>
    <row r="4239" hidden="1">
      <c r="A4239" s="7"/>
      <c r="B4239" s="7"/>
      <c r="C4239" s="7"/>
      <c r="D4239" s="7"/>
      <c r="E4239" s="7"/>
      <c r="F4239" s="7"/>
      <c r="G4239" s="7"/>
      <c r="H4239" s="8"/>
      <c r="I4239" s="8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</row>
    <row r="4240" hidden="1">
      <c r="A4240" s="7"/>
      <c r="B4240" s="7"/>
      <c r="C4240" s="7"/>
      <c r="D4240" s="7"/>
      <c r="E4240" s="7"/>
      <c r="F4240" s="7"/>
      <c r="G4240" s="7"/>
      <c r="H4240" s="8"/>
      <c r="I4240" s="8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</row>
    <row r="4241" hidden="1">
      <c r="A4241" s="7"/>
      <c r="B4241" s="7"/>
      <c r="C4241" s="7"/>
      <c r="D4241" s="7"/>
      <c r="E4241" s="7"/>
      <c r="F4241" s="7"/>
      <c r="G4241" s="7"/>
      <c r="H4241" s="8"/>
      <c r="I4241" s="8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</row>
    <row r="4242" hidden="1">
      <c r="A4242" s="7"/>
      <c r="B4242" s="7"/>
      <c r="C4242" s="7"/>
      <c r="D4242" s="7"/>
      <c r="E4242" s="7"/>
      <c r="F4242" s="7"/>
      <c r="G4242" s="7"/>
      <c r="H4242" s="8"/>
      <c r="I4242" s="8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</row>
    <row r="4243" hidden="1">
      <c r="A4243" s="7"/>
      <c r="B4243" s="7"/>
      <c r="C4243" s="7"/>
      <c r="D4243" s="7"/>
      <c r="E4243" s="7"/>
      <c r="F4243" s="7"/>
      <c r="G4243" s="7"/>
      <c r="H4243" s="8"/>
      <c r="I4243" s="8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</row>
    <row r="4244" hidden="1">
      <c r="A4244" s="7"/>
      <c r="B4244" s="7"/>
      <c r="C4244" s="7"/>
      <c r="D4244" s="7"/>
      <c r="E4244" s="7"/>
      <c r="F4244" s="7"/>
      <c r="G4244" s="7"/>
      <c r="H4244" s="8"/>
      <c r="I4244" s="8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</row>
    <row r="4245" hidden="1">
      <c r="A4245" s="7"/>
      <c r="B4245" s="7"/>
      <c r="C4245" s="7"/>
      <c r="D4245" s="7"/>
      <c r="E4245" s="7"/>
      <c r="F4245" s="7"/>
      <c r="G4245" s="7"/>
      <c r="H4245" s="8"/>
      <c r="I4245" s="8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</row>
    <row r="4246" hidden="1">
      <c r="A4246" s="7"/>
      <c r="B4246" s="7"/>
      <c r="C4246" s="7"/>
      <c r="D4246" s="7"/>
      <c r="E4246" s="7"/>
      <c r="F4246" s="7"/>
      <c r="G4246" s="7"/>
      <c r="H4246" s="8"/>
      <c r="I4246" s="8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</row>
    <row r="4247" hidden="1">
      <c r="A4247" s="7"/>
      <c r="B4247" s="7"/>
      <c r="C4247" s="7"/>
      <c r="D4247" s="7"/>
      <c r="E4247" s="7"/>
      <c r="F4247" s="7"/>
      <c r="G4247" s="7"/>
      <c r="H4247" s="8"/>
      <c r="I4247" s="8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</row>
    <row r="4248" hidden="1">
      <c r="A4248" s="7"/>
      <c r="B4248" s="7"/>
      <c r="C4248" s="7"/>
      <c r="D4248" s="7"/>
      <c r="E4248" s="7"/>
      <c r="F4248" s="7"/>
      <c r="G4248" s="7"/>
      <c r="H4248" s="8"/>
      <c r="I4248" s="8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</row>
    <row r="4249" hidden="1">
      <c r="A4249" s="7"/>
      <c r="B4249" s="7"/>
      <c r="C4249" s="7"/>
      <c r="D4249" s="7"/>
      <c r="E4249" s="7"/>
      <c r="F4249" s="7"/>
      <c r="G4249" s="7"/>
      <c r="H4249" s="8"/>
      <c r="I4249" s="8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</row>
    <row r="4250" hidden="1">
      <c r="A4250" s="7"/>
      <c r="B4250" s="7"/>
      <c r="C4250" s="7"/>
      <c r="D4250" s="7"/>
      <c r="E4250" s="7"/>
      <c r="F4250" s="7"/>
      <c r="G4250" s="7"/>
      <c r="H4250" s="8"/>
      <c r="I4250" s="8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</row>
    <row r="4251" hidden="1">
      <c r="A4251" s="7"/>
      <c r="B4251" s="7"/>
      <c r="C4251" s="7"/>
      <c r="D4251" s="7"/>
      <c r="E4251" s="7"/>
      <c r="F4251" s="7"/>
      <c r="G4251" s="7"/>
      <c r="H4251" s="8"/>
      <c r="I4251" s="8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</row>
    <row r="4252" hidden="1">
      <c r="A4252" s="7"/>
      <c r="B4252" s="7"/>
      <c r="C4252" s="7"/>
      <c r="D4252" s="7"/>
      <c r="E4252" s="7"/>
      <c r="F4252" s="7"/>
      <c r="G4252" s="7"/>
      <c r="H4252" s="8"/>
      <c r="I4252" s="8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</row>
    <row r="4253" hidden="1">
      <c r="A4253" s="7"/>
      <c r="B4253" s="7"/>
      <c r="C4253" s="7"/>
      <c r="D4253" s="7"/>
      <c r="E4253" s="7"/>
      <c r="F4253" s="7"/>
      <c r="G4253" s="7"/>
      <c r="H4253" s="8"/>
      <c r="I4253" s="8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</row>
    <row r="4254" hidden="1">
      <c r="A4254" s="7"/>
      <c r="B4254" s="7"/>
      <c r="C4254" s="7"/>
      <c r="D4254" s="7"/>
      <c r="E4254" s="7"/>
      <c r="F4254" s="7"/>
      <c r="G4254" s="7"/>
      <c r="H4254" s="8"/>
      <c r="I4254" s="8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</row>
    <row r="4255" hidden="1">
      <c r="A4255" s="7"/>
      <c r="B4255" s="7"/>
      <c r="C4255" s="7"/>
      <c r="D4255" s="7"/>
      <c r="E4255" s="7"/>
      <c r="F4255" s="7"/>
      <c r="G4255" s="7"/>
      <c r="H4255" s="8"/>
      <c r="I4255" s="8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</row>
    <row r="4256" hidden="1">
      <c r="A4256" s="7"/>
      <c r="B4256" s="7"/>
      <c r="C4256" s="7"/>
      <c r="D4256" s="7"/>
      <c r="E4256" s="7"/>
      <c r="F4256" s="7"/>
      <c r="G4256" s="7"/>
      <c r="H4256" s="8"/>
      <c r="I4256" s="8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</row>
    <row r="4257" hidden="1">
      <c r="A4257" s="7"/>
      <c r="B4257" s="7"/>
      <c r="C4257" s="7"/>
      <c r="D4257" s="7"/>
      <c r="E4257" s="7"/>
      <c r="F4257" s="7"/>
      <c r="G4257" s="7"/>
      <c r="H4257" s="8"/>
      <c r="I4257" s="8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</row>
    <row r="4258" hidden="1">
      <c r="A4258" s="7"/>
      <c r="B4258" s="7"/>
      <c r="C4258" s="7"/>
      <c r="D4258" s="7"/>
      <c r="E4258" s="7"/>
      <c r="F4258" s="7"/>
      <c r="G4258" s="7"/>
      <c r="H4258" s="8"/>
      <c r="I4258" s="8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</row>
    <row r="4259" hidden="1">
      <c r="A4259" s="7"/>
      <c r="B4259" s="7"/>
      <c r="C4259" s="7"/>
      <c r="D4259" s="7"/>
      <c r="E4259" s="7"/>
      <c r="F4259" s="7"/>
      <c r="G4259" s="7"/>
      <c r="H4259" s="8"/>
      <c r="I4259" s="8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</row>
    <row r="4260" hidden="1">
      <c r="A4260" s="7"/>
      <c r="B4260" s="7"/>
      <c r="C4260" s="7"/>
      <c r="D4260" s="7"/>
      <c r="E4260" s="7"/>
      <c r="F4260" s="7"/>
      <c r="G4260" s="7"/>
      <c r="H4260" s="8"/>
      <c r="I4260" s="8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</row>
    <row r="4261" hidden="1">
      <c r="A4261" s="7"/>
      <c r="B4261" s="7"/>
      <c r="C4261" s="7"/>
      <c r="D4261" s="7"/>
      <c r="E4261" s="7"/>
      <c r="F4261" s="7"/>
      <c r="G4261" s="7"/>
      <c r="H4261" s="8"/>
      <c r="I4261" s="8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</row>
    <row r="4262" hidden="1">
      <c r="A4262" s="7"/>
      <c r="B4262" s="7"/>
      <c r="C4262" s="7"/>
      <c r="D4262" s="7"/>
      <c r="E4262" s="7"/>
      <c r="F4262" s="7"/>
      <c r="G4262" s="7"/>
      <c r="H4262" s="8"/>
      <c r="I4262" s="8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</row>
    <row r="4263" hidden="1">
      <c r="A4263" s="7"/>
      <c r="B4263" s="7"/>
      <c r="C4263" s="7"/>
      <c r="D4263" s="7"/>
      <c r="E4263" s="7"/>
      <c r="F4263" s="7"/>
      <c r="G4263" s="7"/>
      <c r="H4263" s="8"/>
      <c r="I4263" s="8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</row>
    <row r="4264" hidden="1">
      <c r="A4264" s="7"/>
      <c r="B4264" s="7"/>
      <c r="C4264" s="7"/>
      <c r="D4264" s="7"/>
      <c r="E4264" s="7"/>
      <c r="F4264" s="7"/>
      <c r="G4264" s="7"/>
      <c r="H4264" s="8"/>
      <c r="I4264" s="8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</row>
    <row r="4265" hidden="1">
      <c r="A4265" s="7"/>
      <c r="B4265" s="7"/>
      <c r="C4265" s="7"/>
      <c r="D4265" s="7"/>
      <c r="E4265" s="7"/>
      <c r="F4265" s="7"/>
      <c r="G4265" s="7"/>
      <c r="H4265" s="8"/>
      <c r="I4265" s="8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</row>
    <row r="4266" hidden="1">
      <c r="A4266" s="7"/>
      <c r="B4266" s="7"/>
      <c r="C4266" s="7"/>
      <c r="D4266" s="7"/>
      <c r="E4266" s="7"/>
      <c r="F4266" s="7"/>
      <c r="G4266" s="7"/>
      <c r="H4266" s="8"/>
      <c r="I4266" s="8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</row>
    <row r="4267" hidden="1">
      <c r="A4267" s="7"/>
      <c r="B4267" s="7"/>
      <c r="C4267" s="7"/>
      <c r="D4267" s="7"/>
      <c r="E4267" s="7"/>
      <c r="F4267" s="7"/>
      <c r="G4267" s="7"/>
      <c r="H4267" s="8"/>
      <c r="I4267" s="8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</row>
    <row r="4268" hidden="1">
      <c r="A4268" s="7"/>
      <c r="B4268" s="7"/>
      <c r="C4268" s="7"/>
      <c r="D4268" s="7"/>
      <c r="E4268" s="7"/>
      <c r="F4268" s="7"/>
      <c r="G4268" s="7"/>
      <c r="H4268" s="8"/>
      <c r="I4268" s="8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</row>
    <row r="4269" hidden="1">
      <c r="A4269" s="7"/>
      <c r="B4269" s="7"/>
      <c r="C4269" s="7"/>
      <c r="D4269" s="7"/>
      <c r="E4269" s="7"/>
      <c r="F4269" s="7"/>
      <c r="G4269" s="7"/>
      <c r="H4269" s="8"/>
      <c r="I4269" s="8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</row>
    <row r="4270" hidden="1">
      <c r="A4270" s="7"/>
      <c r="B4270" s="7"/>
      <c r="C4270" s="7"/>
      <c r="D4270" s="7"/>
      <c r="E4270" s="7"/>
      <c r="F4270" s="7"/>
      <c r="G4270" s="7"/>
      <c r="H4270" s="8"/>
      <c r="I4270" s="8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</row>
    <row r="4271" hidden="1">
      <c r="A4271" s="7"/>
      <c r="B4271" s="7"/>
      <c r="C4271" s="7"/>
      <c r="D4271" s="7"/>
      <c r="E4271" s="7"/>
      <c r="F4271" s="7"/>
      <c r="G4271" s="7"/>
      <c r="H4271" s="8"/>
      <c r="I4271" s="8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</row>
    <row r="4272" hidden="1">
      <c r="A4272" s="7"/>
      <c r="B4272" s="7"/>
      <c r="C4272" s="7"/>
      <c r="D4272" s="7"/>
      <c r="E4272" s="7"/>
      <c r="F4272" s="7"/>
      <c r="G4272" s="7"/>
      <c r="H4272" s="8"/>
      <c r="I4272" s="8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</row>
    <row r="4273" hidden="1">
      <c r="A4273" s="7"/>
      <c r="B4273" s="7"/>
      <c r="C4273" s="7"/>
      <c r="D4273" s="7"/>
      <c r="E4273" s="7"/>
      <c r="F4273" s="7"/>
      <c r="G4273" s="7"/>
      <c r="H4273" s="8"/>
      <c r="I4273" s="8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</row>
    <row r="4274" hidden="1">
      <c r="A4274" s="7"/>
      <c r="B4274" s="7"/>
      <c r="C4274" s="7"/>
      <c r="D4274" s="7"/>
      <c r="E4274" s="7"/>
      <c r="F4274" s="7"/>
      <c r="G4274" s="7"/>
      <c r="H4274" s="8"/>
      <c r="I4274" s="8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</row>
    <row r="4275" hidden="1">
      <c r="A4275" s="7"/>
      <c r="B4275" s="7"/>
      <c r="C4275" s="7"/>
      <c r="D4275" s="7"/>
      <c r="E4275" s="7"/>
      <c r="F4275" s="7"/>
      <c r="G4275" s="7"/>
      <c r="H4275" s="8"/>
      <c r="I4275" s="8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</row>
    <row r="4276" hidden="1">
      <c r="A4276" s="7"/>
      <c r="B4276" s="7"/>
      <c r="C4276" s="7"/>
      <c r="D4276" s="7"/>
      <c r="E4276" s="7"/>
      <c r="F4276" s="7"/>
      <c r="G4276" s="7"/>
      <c r="H4276" s="8"/>
      <c r="I4276" s="8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</row>
    <row r="4277" hidden="1">
      <c r="A4277" s="7"/>
      <c r="B4277" s="7"/>
      <c r="C4277" s="7"/>
      <c r="D4277" s="7"/>
      <c r="E4277" s="7"/>
      <c r="F4277" s="7"/>
      <c r="G4277" s="7"/>
      <c r="H4277" s="8"/>
      <c r="I4277" s="8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</row>
    <row r="4278" hidden="1">
      <c r="A4278" s="7"/>
      <c r="B4278" s="7"/>
      <c r="C4278" s="7"/>
      <c r="D4278" s="7"/>
      <c r="E4278" s="7"/>
      <c r="F4278" s="7"/>
      <c r="G4278" s="7"/>
      <c r="H4278" s="8"/>
      <c r="I4278" s="8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</row>
    <row r="4279" hidden="1">
      <c r="A4279" s="7"/>
      <c r="B4279" s="7"/>
      <c r="C4279" s="7"/>
      <c r="D4279" s="7"/>
      <c r="E4279" s="7"/>
      <c r="F4279" s="7"/>
      <c r="G4279" s="7"/>
      <c r="H4279" s="8"/>
      <c r="I4279" s="8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</row>
    <row r="4280" hidden="1">
      <c r="A4280" s="7"/>
      <c r="B4280" s="7"/>
      <c r="C4280" s="7"/>
      <c r="D4280" s="7"/>
      <c r="E4280" s="7"/>
      <c r="F4280" s="7"/>
      <c r="G4280" s="7"/>
      <c r="H4280" s="8"/>
      <c r="I4280" s="8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</row>
    <row r="4281" hidden="1">
      <c r="A4281" s="7"/>
      <c r="B4281" s="7"/>
      <c r="C4281" s="7"/>
      <c r="D4281" s="7"/>
      <c r="E4281" s="7"/>
      <c r="F4281" s="7"/>
      <c r="G4281" s="7"/>
      <c r="H4281" s="8"/>
      <c r="I4281" s="8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</row>
    <row r="4282" hidden="1">
      <c r="A4282" s="7"/>
      <c r="B4282" s="7"/>
      <c r="C4282" s="7"/>
      <c r="D4282" s="7"/>
      <c r="E4282" s="7"/>
      <c r="F4282" s="7"/>
      <c r="G4282" s="7"/>
      <c r="H4282" s="8"/>
      <c r="I4282" s="8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</row>
    <row r="4283" hidden="1">
      <c r="A4283" s="7"/>
      <c r="B4283" s="7"/>
      <c r="C4283" s="7"/>
      <c r="D4283" s="7"/>
      <c r="E4283" s="7"/>
      <c r="F4283" s="7"/>
      <c r="G4283" s="7"/>
      <c r="H4283" s="8"/>
      <c r="I4283" s="8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</row>
    <row r="4284" hidden="1">
      <c r="A4284" s="7"/>
      <c r="B4284" s="7"/>
      <c r="C4284" s="7"/>
      <c r="D4284" s="7"/>
      <c r="E4284" s="7"/>
      <c r="F4284" s="7"/>
      <c r="G4284" s="7"/>
      <c r="H4284" s="8"/>
      <c r="I4284" s="8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</row>
    <row r="4285" hidden="1">
      <c r="A4285" s="7"/>
      <c r="B4285" s="7"/>
      <c r="C4285" s="7"/>
      <c r="D4285" s="7"/>
      <c r="E4285" s="7"/>
      <c r="F4285" s="7"/>
      <c r="G4285" s="7"/>
      <c r="H4285" s="8"/>
      <c r="I4285" s="8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</row>
    <row r="4286" hidden="1">
      <c r="A4286" s="7"/>
      <c r="B4286" s="7"/>
      <c r="C4286" s="7"/>
      <c r="D4286" s="7"/>
      <c r="E4286" s="7"/>
      <c r="F4286" s="7"/>
      <c r="G4286" s="7"/>
      <c r="H4286" s="8"/>
      <c r="I4286" s="8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</row>
    <row r="4287" hidden="1">
      <c r="A4287" s="7"/>
      <c r="B4287" s="7"/>
      <c r="C4287" s="7"/>
      <c r="D4287" s="7"/>
      <c r="E4287" s="7"/>
      <c r="F4287" s="7"/>
      <c r="G4287" s="7"/>
      <c r="H4287" s="8"/>
      <c r="I4287" s="8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</row>
    <row r="4288" hidden="1">
      <c r="A4288" s="7"/>
      <c r="B4288" s="7"/>
      <c r="C4288" s="7"/>
      <c r="D4288" s="7"/>
      <c r="E4288" s="7"/>
      <c r="F4288" s="7"/>
      <c r="G4288" s="7"/>
      <c r="H4288" s="8"/>
      <c r="I4288" s="8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</row>
    <row r="4289" hidden="1">
      <c r="A4289" s="7"/>
      <c r="B4289" s="7"/>
      <c r="C4289" s="7"/>
      <c r="D4289" s="7"/>
      <c r="E4289" s="7"/>
      <c r="F4289" s="7"/>
      <c r="G4289" s="7"/>
      <c r="H4289" s="8"/>
      <c r="I4289" s="8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</row>
    <row r="4290" hidden="1">
      <c r="A4290" s="7"/>
      <c r="B4290" s="7"/>
      <c r="C4290" s="7"/>
      <c r="D4290" s="7"/>
      <c r="E4290" s="7"/>
      <c r="F4290" s="7"/>
      <c r="G4290" s="7"/>
      <c r="H4290" s="8"/>
      <c r="I4290" s="8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</row>
    <row r="4291" hidden="1">
      <c r="A4291" s="7"/>
      <c r="B4291" s="7"/>
      <c r="C4291" s="7"/>
      <c r="D4291" s="7"/>
      <c r="E4291" s="7"/>
      <c r="F4291" s="7"/>
      <c r="G4291" s="7"/>
      <c r="H4291" s="8"/>
      <c r="I4291" s="8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</row>
    <row r="4292" hidden="1">
      <c r="A4292" s="7"/>
      <c r="B4292" s="7"/>
      <c r="C4292" s="7"/>
      <c r="D4292" s="7"/>
      <c r="E4292" s="7"/>
      <c r="F4292" s="7"/>
      <c r="G4292" s="7"/>
      <c r="H4292" s="8"/>
      <c r="I4292" s="8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</row>
    <row r="4293" hidden="1">
      <c r="A4293" s="7"/>
      <c r="B4293" s="7"/>
      <c r="C4293" s="7"/>
      <c r="D4293" s="7"/>
      <c r="E4293" s="7"/>
      <c r="F4293" s="7"/>
      <c r="G4293" s="7"/>
      <c r="H4293" s="8"/>
      <c r="I4293" s="8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</row>
    <row r="4294" hidden="1">
      <c r="A4294" s="7"/>
      <c r="B4294" s="7"/>
      <c r="C4294" s="7"/>
      <c r="D4294" s="7"/>
      <c r="E4294" s="7"/>
      <c r="F4294" s="7"/>
      <c r="G4294" s="7"/>
      <c r="H4294" s="8"/>
      <c r="I4294" s="8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</row>
    <row r="4295" hidden="1">
      <c r="A4295" s="7"/>
      <c r="B4295" s="7"/>
      <c r="C4295" s="7"/>
      <c r="D4295" s="7"/>
      <c r="E4295" s="7"/>
      <c r="F4295" s="7"/>
      <c r="G4295" s="7"/>
      <c r="H4295" s="8"/>
      <c r="I4295" s="8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</row>
    <row r="4296" hidden="1">
      <c r="A4296" s="7"/>
      <c r="B4296" s="7"/>
      <c r="C4296" s="7"/>
      <c r="D4296" s="7"/>
      <c r="E4296" s="7"/>
      <c r="F4296" s="7"/>
      <c r="G4296" s="7"/>
      <c r="H4296" s="8"/>
      <c r="I4296" s="8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</row>
    <row r="4297" hidden="1">
      <c r="A4297" s="7"/>
      <c r="B4297" s="7"/>
      <c r="C4297" s="7"/>
      <c r="D4297" s="7"/>
      <c r="E4297" s="7"/>
      <c r="F4297" s="7"/>
      <c r="G4297" s="7"/>
      <c r="H4297" s="8"/>
      <c r="I4297" s="8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</row>
    <row r="4298" hidden="1">
      <c r="A4298" s="7"/>
      <c r="B4298" s="7"/>
      <c r="C4298" s="7"/>
      <c r="D4298" s="7"/>
      <c r="E4298" s="7"/>
      <c r="F4298" s="7"/>
      <c r="G4298" s="7"/>
      <c r="H4298" s="8"/>
      <c r="I4298" s="8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</row>
    <row r="4299" hidden="1">
      <c r="A4299" s="7"/>
      <c r="B4299" s="7"/>
      <c r="C4299" s="7"/>
      <c r="D4299" s="7"/>
      <c r="E4299" s="7"/>
      <c r="F4299" s="7"/>
      <c r="G4299" s="7"/>
      <c r="H4299" s="8"/>
      <c r="I4299" s="8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</row>
    <row r="4300" hidden="1">
      <c r="A4300" s="7"/>
      <c r="B4300" s="7"/>
      <c r="C4300" s="7"/>
      <c r="D4300" s="7"/>
      <c r="E4300" s="7"/>
      <c r="F4300" s="7"/>
      <c r="G4300" s="7"/>
      <c r="H4300" s="8"/>
      <c r="I4300" s="8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</row>
    <row r="4301" hidden="1">
      <c r="A4301" s="7"/>
      <c r="B4301" s="7"/>
      <c r="C4301" s="7"/>
      <c r="D4301" s="7"/>
      <c r="E4301" s="7"/>
      <c r="F4301" s="7"/>
      <c r="G4301" s="7"/>
      <c r="H4301" s="8"/>
      <c r="I4301" s="8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</row>
    <row r="4302" hidden="1">
      <c r="A4302" s="7"/>
      <c r="B4302" s="7"/>
      <c r="C4302" s="7"/>
      <c r="D4302" s="7"/>
      <c r="E4302" s="7"/>
      <c r="F4302" s="7"/>
      <c r="G4302" s="7"/>
      <c r="H4302" s="8"/>
      <c r="I4302" s="8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</row>
    <row r="4303" hidden="1">
      <c r="A4303" s="7"/>
      <c r="B4303" s="7"/>
      <c r="C4303" s="7"/>
      <c r="D4303" s="7"/>
      <c r="E4303" s="7"/>
      <c r="F4303" s="7"/>
      <c r="G4303" s="7"/>
      <c r="H4303" s="8"/>
      <c r="I4303" s="8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</row>
    <row r="4304" hidden="1">
      <c r="A4304" s="7"/>
      <c r="B4304" s="7"/>
      <c r="C4304" s="7"/>
      <c r="D4304" s="7"/>
      <c r="E4304" s="7"/>
      <c r="F4304" s="7"/>
      <c r="G4304" s="7"/>
      <c r="H4304" s="8"/>
      <c r="I4304" s="8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</row>
    <row r="4305" hidden="1">
      <c r="A4305" s="7"/>
      <c r="B4305" s="7"/>
      <c r="C4305" s="7"/>
      <c r="D4305" s="7"/>
      <c r="E4305" s="7"/>
      <c r="F4305" s="7"/>
      <c r="G4305" s="7"/>
      <c r="H4305" s="8"/>
      <c r="I4305" s="8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</row>
    <row r="4306" hidden="1">
      <c r="A4306" s="7"/>
      <c r="B4306" s="7"/>
      <c r="C4306" s="7"/>
      <c r="D4306" s="7"/>
      <c r="E4306" s="7"/>
      <c r="F4306" s="7"/>
      <c r="G4306" s="7"/>
      <c r="H4306" s="8"/>
      <c r="I4306" s="8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</row>
    <row r="4307" hidden="1">
      <c r="A4307" s="7"/>
      <c r="B4307" s="7"/>
      <c r="C4307" s="7"/>
      <c r="D4307" s="7"/>
      <c r="E4307" s="7"/>
      <c r="F4307" s="7"/>
      <c r="G4307" s="7"/>
      <c r="H4307" s="8"/>
      <c r="I4307" s="8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</row>
    <row r="4308" hidden="1">
      <c r="A4308" s="7"/>
      <c r="B4308" s="7"/>
      <c r="C4308" s="7"/>
      <c r="D4308" s="7"/>
      <c r="E4308" s="7"/>
      <c r="F4308" s="7"/>
      <c r="G4308" s="7"/>
      <c r="H4308" s="8"/>
      <c r="I4308" s="8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</row>
    <row r="4309" hidden="1">
      <c r="A4309" s="7"/>
      <c r="B4309" s="7"/>
      <c r="C4309" s="7"/>
      <c r="D4309" s="7"/>
      <c r="E4309" s="7"/>
      <c r="F4309" s="7"/>
      <c r="G4309" s="7"/>
      <c r="H4309" s="8"/>
      <c r="I4309" s="8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</row>
    <row r="4310" hidden="1">
      <c r="A4310" s="7"/>
      <c r="B4310" s="7"/>
      <c r="C4310" s="7"/>
      <c r="D4310" s="7"/>
      <c r="E4310" s="7"/>
      <c r="F4310" s="7"/>
      <c r="G4310" s="7"/>
      <c r="H4310" s="8"/>
      <c r="I4310" s="8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</row>
    <row r="4311" hidden="1">
      <c r="A4311" s="7"/>
      <c r="B4311" s="7"/>
      <c r="C4311" s="7"/>
      <c r="D4311" s="7"/>
      <c r="E4311" s="7"/>
      <c r="F4311" s="7"/>
      <c r="G4311" s="7"/>
      <c r="H4311" s="8"/>
      <c r="I4311" s="8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</row>
    <row r="4312" hidden="1">
      <c r="A4312" s="7"/>
      <c r="B4312" s="7"/>
      <c r="C4312" s="7"/>
      <c r="D4312" s="7"/>
      <c r="E4312" s="7"/>
      <c r="F4312" s="7"/>
      <c r="G4312" s="7"/>
      <c r="H4312" s="8"/>
      <c r="I4312" s="8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</row>
    <row r="4313" hidden="1">
      <c r="A4313" s="7"/>
      <c r="B4313" s="7"/>
      <c r="C4313" s="7"/>
      <c r="D4313" s="7"/>
      <c r="E4313" s="7"/>
      <c r="F4313" s="7"/>
      <c r="G4313" s="7"/>
      <c r="H4313" s="8"/>
      <c r="I4313" s="8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</row>
    <row r="4314" hidden="1">
      <c r="A4314" s="7"/>
      <c r="B4314" s="7"/>
      <c r="C4314" s="7"/>
      <c r="D4314" s="7"/>
      <c r="E4314" s="7"/>
      <c r="F4314" s="7"/>
      <c r="G4314" s="7"/>
      <c r="H4314" s="8"/>
      <c r="I4314" s="8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</row>
    <row r="4315" hidden="1">
      <c r="A4315" s="7"/>
      <c r="B4315" s="7"/>
      <c r="C4315" s="7"/>
      <c r="D4315" s="7"/>
      <c r="E4315" s="7"/>
      <c r="F4315" s="7"/>
      <c r="G4315" s="7"/>
      <c r="H4315" s="8"/>
      <c r="I4315" s="8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</row>
    <row r="4316" hidden="1">
      <c r="A4316" s="7"/>
      <c r="B4316" s="7"/>
      <c r="C4316" s="7"/>
      <c r="D4316" s="7"/>
      <c r="E4316" s="7"/>
      <c r="F4316" s="7"/>
      <c r="G4316" s="7"/>
      <c r="H4316" s="8"/>
      <c r="I4316" s="8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</row>
    <row r="4317" hidden="1">
      <c r="A4317" s="7"/>
      <c r="B4317" s="7"/>
      <c r="C4317" s="7"/>
      <c r="D4317" s="7"/>
      <c r="E4317" s="7"/>
      <c r="F4317" s="7"/>
      <c r="G4317" s="7"/>
      <c r="H4317" s="8"/>
      <c r="I4317" s="8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</row>
    <row r="4318" hidden="1">
      <c r="A4318" s="7"/>
      <c r="B4318" s="7"/>
      <c r="C4318" s="7"/>
      <c r="D4318" s="7"/>
      <c r="E4318" s="7"/>
      <c r="F4318" s="7"/>
      <c r="G4318" s="7"/>
      <c r="H4318" s="8"/>
      <c r="I4318" s="8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</row>
    <row r="4319" hidden="1">
      <c r="A4319" s="7"/>
      <c r="B4319" s="7"/>
      <c r="C4319" s="7"/>
      <c r="D4319" s="7"/>
      <c r="E4319" s="7"/>
      <c r="F4319" s="7"/>
      <c r="G4319" s="7"/>
      <c r="H4319" s="8"/>
      <c r="I4319" s="8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</row>
    <row r="4320" hidden="1">
      <c r="A4320" s="7"/>
      <c r="B4320" s="7"/>
      <c r="C4320" s="7"/>
      <c r="D4320" s="7"/>
      <c r="E4320" s="7"/>
      <c r="F4320" s="7"/>
      <c r="G4320" s="7"/>
      <c r="H4320" s="8"/>
      <c r="I4320" s="8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</row>
    <row r="4321" hidden="1">
      <c r="A4321" s="7"/>
      <c r="B4321" s="7"/>
      <c r="C4321" s="7"/>
      <c r="D4321" s="7"/>
      <c r="E4321" s="7"/>
      <c r="F4321" s="7"/>
      <c r="G4321" s="7"/>
      <c r="H4321" s="8"/>
      <c r="I4321" s="8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</row>
    <row r="4322" hidden="1">
      <c r="A4322" s="7"/>
      <c r="B4322" s="7"/>
      <c r="C4322" s="7"/>
      <c r="D4322" s="7"/>
      <c r="E4322" s="7"/>
      <c r="F4322" s="7"/>
      <c r="G4322" s="7"/>
      <c r="H4322" s="8"/>
      <c r="I4322" s="8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</row>
    <row r="4323" hidden="1">
      <c r="A4323" s="7"/>
      <c r="B4323" s="7"/>
      <c r="C4323" s="7"/>
      <c r="D4323" s="7"/>
      <c r="E4323" s="7"/>
      <c r="F4323" s="7"/>
      <c r="G4323" s="7"/>
      <c r="H4323" s="8"/>
      <c r="I4323" s="8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</row>
    <row r="4324" hidden="1">
      <c r="A4324" s="7"/>
      <c r="B4324" s="7"/>
      <c r="C4324" s="7"/>
      <c r="D4324" s="7"/>
      <c r="E4324" s="7"/>
      <c r="F4324" s="7"/>
      <c r="G4324" s="7"/>
      <c r="H4324" s="8"/>
      <c r="I4324" s="8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</row>
    <row r="4325" hidden="1">
      <c r="A4325" s="7"/>
      <c r="B4325" s="7"/>
      <c r="C4325" s="7"/>
      <c r="D4325" s="7"/>
      <c r="E4325" s="7"/>
      <c r="F4325" s="7"/>
      <c r="G4325" s="7"/>
      <c r="H4325" s="8"/>
      <c r="I4325" s="8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</row>
    <row r="4326" hidden="1">
      <c r="A4326" s="7"/>
      <c r="B4326" s="7"/>
      <c r="C4326" s="7"/>
      <c r="D4326" s="7"/>
      <c r="E4326" s="7"/>
      <c r="F4326" s="7"/>
      <c r="G4326" s="7"/>
      <c r="H4326" s="8"/>
      <c r="I4326" s="8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</row>
    <row r="4327" hidden="1">
      <c r="A4327" s="7"/>
      <c r="B4327" s="7"/>
      <c r="C4327" s="7"/>
      <c r="D4327" s="7"/>
      <c r="E4327" s="7"/>
      <c r="F4327" s="7"/>
      <c r="G4327" s="7"/>
      <c r="H4327" s="8"/>
      <c r="I4327" s="8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</row>
    <row r="4328" hidden="1">
      <c r="A4328" s="7"/>
      <c r="B4328" s="7"/>
      <c r="C4328" s="7"/>
      <c r="D4328" s="7"/>
      <c r="E4328" s="7"/>
      <c r="F4328" s="7"/>
      <c r="G4328" s="7"/>
      <c r="H4328" s="8"/>
      <c r="I4328" s="8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</row>
    <row r="4329" hidden="1">
      <c r="A4329" s="7"/>
      <c r="B4329" s="7"/>
      <c r="C4329" s="7"/>
      <c r="D4329" s="7"/>
      <c r="E4329" s="7"/>
      <c r="F4329" s="7"/>
      <c r="G4329" s="7"/>
      <c r="H4329" s="8"/>
      <c r="I4329" s="8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</row>
    <row r="4330" hidden="1">
      <c r="A4330" s="7"/>
      <c r="B4330" s="7"/>
      <c r="C4330" s="7"/>
      <c r="D4330" s="7"/>
      <c r="E4330" s="7"/>
      <c r="F4330" s="7"/>
      <c r="G4330" s="7"/>
      <c r="H4330" s="8"/>
      <c r="I4330" s="8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</row>
    <row r="4331" hidden="1">
      <c r="A4331" s="7"/>
      <c r="B4331" s="7"/>
      <c r="C4331" s="7"/>
      <c r="D4331" s="7"/>
      <c r="E4331" s="7"/>
      <c r="F4331" s="7"/>
      <c r="G4331" s="7"/>
      <c r="H4331" s="8"/>
      <c r="I4331" s="8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</row>
    <row r="4332" hidden="1">
      <c r="A4332" s="7"/>
      <c r="B4332" s="7"/>
      <c r="C4332" s="7"/>
      <c r="D4332" s="7"/>
      <c r="E4332" s="7"/>
      <c r="F4332" s="7"/>
      <c r="G4332" s="7"/>
      <c r="H4332" s="8"/>
      <c r="I4332" s="8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</row>
    <row r="4333" hidden="1">
      <c r="A4333" s="7"/>
      <c r="B4333" s="7"/>
      <c r="C4333" s="7"/>
      <c r="D4333" s="7"/>
      <c r="E4333" s="7"/>
      <c r="F4333" s="7"/>
      <c r="G4333" s="7"/>
      <c r="H4333" s="8"/>
      <c r="I4333" s="8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</row>
    <row r="4334" hidden="1">
      <c r="A4334" s="7"/>
      <c r="B4334" s="7"/>
      <c r="C4334" s="7"/>
      <c r="D4334" s="7"/>
      <c r="E4334" s="7"/>
      <c r="F4334" s="7"/>
      <c r="G4334" s="7"/>
      <c r="H4334" s="8"/>
      <c r="I4334" s="8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</row>
    <row r="4335" hidden="1">
      <c r="A4335" s="7"/>
      <c r="B4335" s="7"/>
      <c r="C4335" s="7"/>
      <c r="D4335" s="7"/>
      <c r="E4335" s="7"/>
      <c r="F4335" s="7"/>
      <c r="G4335" s="7"/>
      <c r="H4335" s="8"/>
      <c r="I4335" s="8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</row>
    <row r="4336" hidden="1">
      <c r="A4336" s="7"/>
      <c r="B4336" s="7"/>
      <c r="C4336" s="7"/>
      <c r="D4336" s="7"/>
      <c r="E4336" s="7"/>
      <c r="F4336" s="7"/>
      <c r="G4336" s="7"/>
      <c r="H4336" s="8"/>
      <c r="I4336" s="8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</row>
    <row r="4337" hidden="1">
      <c r="A4337" s="7"/>
      <c r="B4337" s="7"/>
      <c r="C4337" s="7"/>
      <c r="D4337" s="7"/>
      <c r="E4337" s="7"/>
      <c r="F4337" s="7"/>
      <c r="G4337" s="7"/>
      <c r="H4337" s="8"/>
      <c r="I4337" s="8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</row>
    <row r="4338" hidden="1">
      <c r="A4338" s="7"/>
      <c r="B4338" s="7"/>
      <c r="C4338" s="7"/>
      <c r="D4338" s="7"/>
      <c r="E4338" s="7"/>
      <c r="F4338" s="7"/>
      <c r="G4338" s="7"/>
      <c r="H4338" s="8"/>
      <c r="I4338" s="8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</row>
    <row r="4339" hidden="1">
      <c r="A4339" s="7"/>
      <c r="B4339" s="7"/>
      <c r="C4339" s="7"/>
      <c r="D4339" s="7"/>
      <c r="E4339" s="7"/>
      <c r="F4339" s="7"/>
      <c r="G4339" s="7"/>
      <c r="H4339" s="8"/>
      <c r="I4339" s="8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</row>
    <row r="4340" hidden="1">
      <c r="A4340" s="7"/>
      <c r="B4340" s="7"/>
      <c r="C4340" s="7"/>
      <c r="D4340" s="7"/>
      <c r="E4340" s="7"/>
      <c r="F4340" s="7"/>
      <c r="G4340" s="7"/>
      <c r="H4340" s="8"/>
      <c r="I4340" s="8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</row>
    <row r="4341" hidden="1">
      <c r="A4341" s="7"/>
      <c r="B4341" s="7"/>
      <c r="C4341" s="7"/>
      <c r="D4341" s="7"/>
      <c r="E4341" s="7"/>
      <c r="F4341" s="7"/>
      <c r="G4341" s="7"/>
      <c r="H4341" s="8"/>
      <c r="I4341" s="8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</row>
    <row r="4342" hidden="1">
      <c r="A4342" s="7"/>
      <c r="B4342" s="7"/>
      <c r="C4342" s="7"/>
      <c r="D4342" s="7"/>
      <c r="E4342" s="7"/>
      <c r="F4342" s="7"/>
      <c r="G4342" s="7"/>
      <c r="H4342" s="8"/>
      <c r="I4342" s="8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</row>
    <row r="4343" hidden="1">
      <c r="A4343" s="7"/>
      <c r="B4343" s="7"/>
      <c r="C4343" s="7"/>
      <c r="D4343" s="7"/>
      <c r="E4343" s="7"/>
      <c r="F4343" s="7"/>
      <c r="G4343" s="7"/>
      <c r="H4343" s="8"/>
      <c r="I4343" s="8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</row>
    <row r="4344" hidden="1">
      <c r="A4344" s="7"/>
      <c r="B4344" s="7"/>
      <c r="C4344" s="7"/>
      <c r="D4344" s="7"/>
      <c r="E4344" s="7"/>
      <c r="F4344" s="7"/>
      <c r="G4344" s="7"/>
      <c r="H4344" s="8"/>
      <c r="I4344" s="8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</row>
    <row r="4345" hidden="1">
      <c r="A4345" s="7"/>
      <c r="B4345" s="7"/>
      <c r="C4345" s="7"/>
      <c r="D4345" s="7"/>
      <c r="E4345" s="7"/>
      <c r="F4345" s="7"/>
      <c r="G4345" s="7"/>
      <c r="H4345" s="8"/>
      <c r="I4345" s="8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</row>
    <row r="4346" hidden="1">
      <c r="A4346" s="7"/>
      <c r="B4346" s="7"/>
      <c r="C4346" s="7"/>
      <c r="D4346" s="7"/>
      <c r="E4346" s="7"/>
      <c r="F4346" s="7"/>
      <c r="G4346" s="7"/>
      <c r="H4346" s="8"/>
      <c r="I4346" s="8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</row>
    <row r="4347" hidden="1">
      <c r="A4347" s="7"/>
      <c r="B4347" s="7"/>
      <c r="C4347" s="7"/>
      <c r="D4347" s="7"/>
      <c r="E4347" s="7"/>
      <c r="F4347" s="7"/>
      <c r="G4347" s="7"/>
      <c r="H4347" s="8"/>
      <c r="I4347" s="8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</row>
    <row r="4348" hidden="1">
      <c r="A4348" s="7"/>
      <c r="B4348" s="7"/>
      <c r="C4348" s="7"/>
      <c r="D4348" s="7"/>
      <c r="E4348" s="7"/>
      <c r="F4348" s="7"/>
      <c r="G4348" s="7"/>
      <c r="H4348" s="8"/>
      <c r="I4348" s="8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</row>
    <row r="4349" hidden="1">
      <c r="A4349" s="7"/>
      <c r="B4349" s="7"/>
      <c r="C4349" s="7"/>
      <c r="D4349" s="7"/>
      <c r="E4349" s="7"/>
      <c r="F4349" s="7"/>
      <c r="G4349" s="7"/>
      <c r="H4349" s="8"/>
      <c r="I4349" s="8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</row>
    <row r="4350" hidden="1">
      <c r="A4350" s="7"/>
      <c r="B4350" s="7"/>
      <c r="C4350" s="7"/>
      <c r="D4350" s="7"/>
      <c r="E4350" s="7"/>
      <c r="F4350" s="7"/>
      <c r="G4350" s="7"/>
      <c r="H4350" s="8"/>
      <c r="I4350" s="8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</row>
    <row r="4351" hidden="1">
      <c r="A4351" s="7"/>
      <c r="B4351" s="7"/>
      <c r="C4351" s="7"/>
      <c r="D4351" s="7"/>
      <c r="E4351" s="7"/>
      <c r="F4351" s="7"/>
      <c r="G4351" s="7"/>
      <c r="H4351" s="8"/>
      <c r="I4351" s="8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</row>
    <row r="4352" hidden="1">
      <c r="A4352" s="7"/>
      <c r="B4352" s="7"/>
      <c r="C4352" s="7"/>
      <c r="D4352" s="7"/>
      <c r="E4352" s="7"/>
      <c r="F4352" s="7"/>
      <c r="G4352" s="7"/>
      <c r="H4352" s="8"/>
      <c r="I4352" s="8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</row>
    <row r="4353" hidden="1">
      <c r="A4353" s="7"/>
      <c r="B4353" s="7"/>
      <c r="C4353" s="7"/>
      <c r="D4353" s="7"/>
      <c r="E4353" s="7"/>
      <c r="F4353" s="7"/>
      <c r="G4353" s="7"/>
      <c r="H4353" s="8"/>
      <c r="I4353" s="8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</row>
    <row r="4354" hidden="1">
      <c r="A4354" s="7"/>
      <c r="B4354" s="7"/>
      <c r="C4354" s="7"/>
      <c r="D4354" s="7"/>
      <c r="E4354" s="7"/>
      <c r="F4354" s="7"/>
      <c r="G4354" s="7"/>
      <c r="H4354" s="8"/>
      <c r="I4354" s="8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</row>
    <row r="4355" hidden="1">
      <c r="A4355" s="7"/>
      <c r="B4355" s="7"/>
      <c r="C4355" s="7"/>
      <c r="D4355" s="7"/>
      <c r="E4355" s="7"/>
      <c r="F4355" s="7"/>
      <c r="G4355" s="7"/>
      <c r="H4355" s="8"/>
      <c r="I4355" s="8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</row>
    <row r="4356" hidden="1">
      <c r="A4356" s="7"/>
      <c r="B4356" s="7"/>
      <c r="C4356" s="7"/>
      <c r="D4356" s="7"/>
      <c r="E4356" s="7"/>
      <c r="F4356" s="7"/>
      <c r="G4356" s="7"/>
      <c r="H4356" s="8"/>
      <c r="I4356" s="8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</row>
    <row r="4357" hidden="1">
      <c r="A4357" s="7"/>
      <c r="B4357" s="7"/>
      <c r="C4357" s="7"/>
      <c r="D4357" s="7"/>
      <c r="E4357" s="7"/>
      <c r="F4357" s="7"/>
      <c r="G4357" s="7"/>
      <c r="H4357" s="8"/>
      <c r="I4357" s="8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</row>
    <row r="4358" hidden="1">
      <c r="A4358" s="7"/>
      <c r="B4358" s="7"/>
      <c r="C4358" s="7"/>
      <c r="D4358" s="7"/>
      <c r="E4358" s="7"/>
      <c r="F4358" s="7"/>
      <c r="G4358" s="7"/>
      <c r="H4358" s="8"/>
      <c r="I4358" s="8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</row>
    <row r="4359" hidden="1">
      <c r="A4359" s="7"/>
      <c r="B4359" s="7"/>
      <c r="C4359" s="7"/>
      <c r="D4359" s="7"/>
      <c r="E4359" s="7"/>
      <c r="F4359" s="7"/>
      <c r="G4359" s="7"/>
      <c r="H4359" s="8"/>
      <c r="I4359" s="8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</row>
    <row r="4360" hidden="1">
      <c r="A4360" s="7"/>
      <c r="B4360" s="7"/>
      <c r="C4360" s="7"/>
      <c r="D4360" s="7"/>
      <c r="E4360" s="7"/>
      <c r="F4360" s="7"/>
      <c r="G4360" s="7"/>
      <c r="H4360" s="8"/>
      <c r="I4360" s="8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</row>
    <row r="4361" hidden="1">
      <c r="A4361" s="7"/>
      <c r="B4361" s="7"/>
      <c r="C4361" s="7"/>
      <c r="D4361" s="7"/>
      <c r="E4361" s="7"/>
      <c r="F4361" s="7"/>
      <c r="G4361" s="7"/>
      <c r="H4361" s="8"/>
      <c r="I4361" s="8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</row>
    <row r="4362" hidden="1">
      <c r="A4362" s="7"/>
      <c r="B4362" s="7"/>
      <c r="C4362" s="7"/>
      <c r="D4362" s="7"/>
      <c r="E4362" s="7"/>
      <c r="F4362" s="7"/>
      <c r="G4362" s="7"/>
      <c r="H4362" s="8"/>
      <c r="I4362" s="8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</row>
    <row r="4363" hidden="1">
      <c r="A4363" s="7"/>
      <c r="B4363" s="7"/>
      <c r="C4363" s="7"/>
      <c r="D4363" s="7"/>
      <c r="E4363" s="7"/>
      <c r="F4363" s="7"/>
      <c r="G4363" s="7"/>
      <c r="H4363" s="8"/>
      <c r="I4363" s="8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</row>
    <row r="4364" hidden="1">
      <c r="A4364" s="7"/>
      <c r="B4364" s="7"/>
      <c r="C4364" s="7"/>
      <c r="D4364" s="7"/>
      <c r="E4364" s="7"/>
      <c r="F4364" s="7"/>
      <c r="G4364" s="7"/>
      <c r="H4364" s="8"/>
      <c r="I4364" s="8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</row>
    <row r="4365" hidden="1">
      <c r="A4365" s="7"/>
      <c r="B4365" s="7"/>
      <c r="C4365" s="7"/>
      <c r="D4365" s="7"/>
      <c r="E4365" s="7"/>
      <c r="F4365" s="7"/>
      <c r="G4365" s="7"/>
      <c r="H4365" s="8"/>
      <c r="I4365" s="8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</row>
    <row r="4366" hidden="1">
      <c r="A4366" s="7"/>
      <c r="B4366" s="7"/>
      <c r="C4366" s="7"/>
      <c r="D4366" s="7"/>
      <c r="E4366" s="7"/>
      <c r="F4366" s="7"/>
      <c r="G4366" s="7"/>
      <c r="H4366" s="8"/>
      <c r="I4366" s="8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</row>
    <row r="4367" hidden="1">
      <c r="A4367" s="7"/>
      <c r="B4367" s="7"/>
      <c r="C4367" s="7"/>
      <c r="D4367" s="7"/>
      <c r="E4367" s="7"/>
      <c r="F4367" s="7"/>
      <c r="G4367" s="7"/>
      <c r="H4367" s="8"/>
      <c r="I4367" s="8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</row>
    <row r="4368" hidden="1">
      <c r="A4368" s="7"/>
      <c r="B4368" s="7"/>
      <c r="C4368" s="7"/>
      <c r="D4368" s="7"/>
      <c r="E4368" s="7"/>
      <c r="F4368" s="7"/>
      <c r="G4368" s="7"/>
      <c r="H4368" s="8"/>
      <c r="I4368" s="8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</row>
    <row r="4369" hidden="1">
      <c r="A4369" s="7"/>
      <c r="B4369" s="7"/>
      <c r="C4369" s="7"/>
      <c r="D4369" s="7"/>
      <c r="E4369" s="7"/>
      <c r="F4369" s="7"/>
      <c r="G4369" s="7"/>
      <c r="H4369" s="8"/>
      <c r="I4369" s="8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</row>
    <row r="4370" hidden="1">
      <c r="A4370" s="7"/>
      <c r="B4370" s="7"/>
      <c r="C4370" s="7"/>
      <c r="D4370" s="7"/>
      <c r="E4370" s="7"/>
      <c r="F4370" s="7"/>
      <c r="G4370" s="7"/>
      <c r="H4370" s="8"/>
      <c r="I4370" s="8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</row>
    <row r="4371" hidden="1">
      <c r="A4371" s="7"/>
      <c r="B4371" s="7"/>
      <c r="C4371" s="7"/>
      <c r="D4371" s="7"/>
      <c r="E4371" s="7"/>
      <c r="F4371" s="7"/>
      <c r="G4371" s="7"/>
      <c r="H4371" s="8"/>
      <c r="I4371" s="8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</row>
    <row r="4372" hidden="1">
      <c r="A4372" s="7"/>
      <c r="B4372" s="7"/>
      <c r="C4372" s="7"/>
      <c r="D4372" s="7"/>
      <c r="E4372" s="7"/>
      <c r="F4372" s="7"/>
      <c r="G4372" s="7"/>
      <c r="H4372" s="8"/>
      <c r="I4372" s="8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</row>
    <row r="4373" hidden="1">
      <c r="A4373" s="7"/>
      <c r="B4373" s="7"/>
      <c r="C4373" s="7"/>
      <c r="D4373" s="7"/>
      <c r="E4373" s="7"/>
      <c r="F4373" s="7"/>
      <c r="G4373" s="7"/>
      <c r="H4373" s="8"/>
      <c r="I4373" s="8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</row>
    <row r="4374" hidden="1">
      <c r="A4374" s="7"/>
      <c r="B4374" s="7"/>
      <c r="C4374" s="7"/>
      <c r="D4374" s="7"/>
      <c r="E4374" s="7"/>
      <c r="F4374" s="7"/>
      <c r="G4374" s="7"/>
      <c r="H4374" s="8"/>
      <c r="I4374" s="8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</row>
    <row r="4375" hidden="1">
      <c r="A4375" s="7"/>
      <c r="B4375" s="7"/>
      <c r="C4375" s="7"/>
      <c r="D4375" s="7"/>
      <c r="E4375" s="7"/>
      <c r="F4375" s="7"/>
      <c r="G4375" s="7"/>
      <c r="H4375" s="8"/>
      <c r="I4375" s="8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</row>
    <row r="4376" hidden="1">
      <c r="A4376" s="7"/>
      <c r="B4376" s="7"/>
      <c r="C4376" s="7"/>
      <c r="D4376" s="7"/>
      <c r="E4376" s="7"/>
      <c r="F4376" s="7"/>
      <c r="G4376" s="7"/>
      <c r="H4376" s="8"/>
      <c r="I4376" s="8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</row>
    <row r="4377" hidden="1">
      <c r="A4377" s="7"/>
      <c r="B4377" s="7"/>
      <c r="C4377" s="7"/>
      <c r="D4377" s="7"/>
      <c r="E4377" s="7"/>
      <c r="F4377" s="7"/>
      <c r="G4377" s="7"/>
      <c r="H4377" s="8"/>
      <c r="I4377" s="8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</row>
    <row r="4378" hidden="1">
      <c r="A4378" s="7"/>
      <c r="B4378" s="7"/>
      <c r="C4378" s="7"/>
      <c r="D4378" s="7"/>
      <c r="E4378" s="7"/>
      <c r="F4378" s="7"/>
      <c r="G4378" s="7"/>
      <c r="H4378" s="8"/>
      <c r="I4378" s="8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</row>
    <row r="4379" hidden="1">
      <c r="A4379" s="7"/>
      <c r="B4379" s="7"/>
      <c r="C4379" s="7"/>
      <c r="D4379" s="7"/>
      <c r="E4379" s="7"/>
      <c r="F4379" s="7"/>
      <c r="G4379" s="7"/>
      <c r="H4379" s="8"/>
      <c r="I4379" s="8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</row>
    <row r="4380" hidden="1">
      <c r="A4380" s="7"/>
      <c r="B4380" s="7"/>
      <c r="C4380" s="7"/>
      <c r="D4380" s="7"/>
      <c r="E4380" s="7"/>
      <c r="F4380" s="7"/>
      <c r="G4380" s="7"/>
      <c r="H4380" s="8"/>
      <c r="I4380" s="8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</row>
    <row r="4381" hidden="1">
      <c r="A4381" s="7"/>
      <c r="B4381" s="7"/>
      <c r="C4381" s="7"/>
      <c r="D4381" s="7"/>
      <c r="E4381" s="7"/>
      <c r="F4381" s="7"/>
      <c r="G4381" s="7"/>
      <c r="H4381" s="8"/>
      <c r="I4381" s="8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</row>
    <row r="4382" hidden="1">
      <c r="A4382" s="7"/>
      <c r="B4382" s="7"/>
      <c r="C4382" s="7"/>
      <c r="D4382" s="7"/>
      <c r="E4382" s="7"/>
      <c r="F4382" s="7"/>
      <c r="G4382" s="7"/>
      <c r="H4382" s="8"/>
      <c r="I4382" s="8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</row>
    <row r="4383" hidden="1">
      <c r="A4383" s="7"/>
      <c r="B4383" s="7"/>
      <c r="C4383" s="7"/>
      <c r="D4383" s="7"/>
      <c r="E4383" s="7"/>
      <c r="F4383" s="7"/>
      <c r="G4383" s="7"/>
      <c r="H4383" s="8"/>
      <c r="I4383" s="8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</row>
    <row r="4384" hidden="1">
      <c r="A4384" s="7"/>
      <c r="B4384" s="7"/>
      <c r="C4384" s="7"/>
      <c r="D4384" s="7"/>
      <c r="E4384" s="7"/>
      <c r="F4384" s="7"/>
      <c r="G4384" s="7"/>
      <c r="H4384" s="8"/>
      <c r="I4384" s="8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</row>
    <row r="4385" hidden="1">
      <c r="A4385" s="7"/>
      <c r="B4385" s="7"/>
      <c r="C4385" s="7"/>
      <c r="D4385" s="7"/>
      <c r="E4385" s="7"/>
      <c r="F4385" s="7"/>
      <c r="G4385" s="7"/>
      <c r="H4385" s="8"/>
      <c r="I4385" s="8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</row>
    <row r="4386" hidden="1">
      <c r="A4386" s="7"/>
      <c r="B4386" s="7"/>
      <c r="C4386" s="7"/>
      <c r="D4386" s="7"/>
      <c r="E4386" s="7"/>
      <c r="F4386" s="7"/>
      <c r="G4386" s="7"/>
      <c r="H4386" s="8"/>
      <c r="I4386" s="8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</row>
    <row r="4387" hidden="1">
      <c r="A4387" s="7"/>
      <c r="B4387" s="7"/>
      <c r="C4387" s="7"/>
      <c r="D4387" s="7"/>
      <c r="E4387" s="7"/>
      <c r="F4387" s="7"/>
      <c r="G4387" s="7"/>
      <c r="H4387" s="8"/>
      <c r="I4387" s="8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</row>
    <row r="4388" hidden="1">
      <c r="A4388" s="7"/>
      <c r="B4388" s="7"/>
      <c r="C4388" s="7"/>
      <c r="D4388" s="7"/>
      <c r="E4388" s="7"/>
      <c r="F4388" s="7"/>
      <c r="G4388" s="7"/>
      <c r="H4388" s="8"/>
      <c r="I4388" s="8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</row>
    <row r="4389" hidden="1">
      <c r="A4389" s="7"/>
      <c r="B4389" s="7"/>
      <c r="C4389" s="7"/>
      <c r="D4389" s="7"/>
      <c r="E4389" s="7"/>
      <c r="F4389" s="7"/>
      <c r="G4389" s="7"/>
      <c r="H4389" s="8"/>
      <c r="I4389" s="8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</row>
    <row r="4390" hidden="1">
      <c r="A4390" s="7"/>
      <c r="B4390" s="7"/>
      <c r="C4390" s="7"/>
      <c r="D4390" s="7"/>
      <c r="E4390" s="7"/>
      <c r="F4390" s="7"/>
      <c r="G4390" s="7"/>
      <c r="H4390" s="8"/>
      <c r="I4390" s="8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</row>
    <row r="4391" hidden="1">
      <c r="A4391" s="7"/>
      <c r="B4391" s="7"/>
      <c r="C4391" s="7"/>
      <c r="D4391" s="7"/>
      <c r="E4391" s="7"/>
      <c r="F4391" s="7"/>
      <c r="G4391" s="7"/>
      <c r="H4391" s="8"/>
      <c r="I4391" s="8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</row>
    <row r="4392" hidden="1">
      <c r="A4392" s="7"/>
      <c r="B4392" s="7"/>
      <c r="C4392" s="7"/>
      <c r="D4392" s="7"/>
      <c r="E4392" s="7"/>
      <c r="F4392" s="7"/>
      <c r="G4392" s="7"/>
      <c r="H4392" s="8"/>
      <c r="I4392" s="8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</row>
    <row r="4393" hidden="1">
      <c r="A4393" s="7"/>
      <c r="B4393" s="7"/>
      <c r="C4393" s="7"/>
      <c r="D4393" s="7"/>
      <c r="E4393" s="7"/>
      <c r="F4393" s="7"/>
      <c r="G4393" s="7"/>
      <c r="H4393" s="8"/>
      <c r="I4393" s="8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</row>
    <row r="4394" hidden="1">
      <c r="A4394" s="7"/>
      <c r="B4394" s="7"/>
      <c r="C4394" s="7"/>
      <c r="D4394" s="7"/>
      <c r="E4394" s="7"/>
      <c r="F4394" s="7"/>
      <c r="G4394" s="7"/>
      <c r="H4394" s="8"/>
      <c r="I4394" s="8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</row>
    <row r="4395" hidden="1">
      <c r="A4395" s="7"/>
      <c r="B4395" s="7"/>
      <c r="C4395" s="7"/>
      <c r="D4395" s="7"/>
      <c r="E4395" s="7"/>
      <c r="F4395" s="7"/>
      <c r="G4395" s="7"/>
      <c r="H4395" s="8"/>
      <c r="I4395" s="8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</row>
    <row r="4396" hidden="1">
      <c r="A4396" s="7"/>
      <c r="B4396" s="7"/>
      <c r="C4396" s="7"/>
      <c r="D4396" s="7"/>
      <c r="E4396" s="7"/>
      <c r="F4396" s="7"/>
      <c r="G4396" s="7"/>
      <c r="H4396" s="8"/>
      <c r="I4396" s="8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</row>
    <row r="4397" hidden="1">
      <c r="A4397" s="7"/>
      <c r="B4397" s="7"/>
      <c r="C4397" s="7"/>
      <c r="D4397" s="7"/>
      <c r="E4397" s="7"/>
      <c r="F4397" s="7"/>
      <c r="G4397" s="7"/>
      <c r="H4397" s="8"/>
      <c r="I4397" s="8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</row>
    <row r="4398" hidden="1">
      <c r="A4398" s="7"/>
      <c r="B4398" s="7"/>
      <c r="C4398" s="7"/>
      <c r="D4398" s="7"/>
      <c r="E4398" s="7"/>
      <c r="F4398" s="7"/>
      <c r="G4398" s="7"/>
      <c r="H4398" s="8"/>
      <c r="I4398" s="8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</row>
    <row r="4399" hidden="1">
      <c r="A4399" s="7"/>
      <c r="B4399" s="7"/>
      <c r="C4399" s="7"/>
      <c r="D4399" s="7"/>
      <c r="E4399" s="7"/>
      <c r="F4399" s="7"/>
      <c r="G4399" s="7"/>
      <c r="H4399" s="8"/>
      <c r="I4399" s="8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</row>
    <row r="4400" hidden="1">
      <c r="A4400" s="7"/>
      <c r="B4400" s="7"/>
      <c r="C4400" s="7"/>
      <c r="D4400" s="7"/>
      <c r="E4400" s="7"/>
      <c r="F4400" s="7"/>
      <c r="G4400" s="7"/>
      <c r="H4400" s="8"/>
      <c r="I4400" s="8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</row>
    <row r="4401" hidden="1">
      <c r="A4401" s="7"/>
      <c r="B4401" s="7"/>
      <c r="C4401" s="7"/>
      <c r="D4401" s="7"/>
      <c r="E4401" s="7"/>
      <c r="F4401" s="7"/>
      <c r="G4401" s="7"/>
      <c r="H4401" s="8"/>
      <c r="I4401" s="8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</row>
    <row r="4402" hidden="1">
      <c r="A4402" s="7"/>
      <c r="B4402" s="7"/>
      <c r="C4402" s="7"/>
      <c r="D4402" s="7"/>
      <c r="E4402" s="7"/>
      <c r="F4402" s="7"/>
      <c r="G4402" s="7"/>
      <c r="H4402" s="8"/>
      <c r="I4402" s="8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</row>
    <row r="4403" hidden="1">
      <c r="A4403" s="7"/>
      <c r="B4403" s="7"/>
      <c r="C4403" s="7"/>
      <c r="D4403" s="7"/>
      <c r="E4403" s="7"/>
      <c r="F4403" s="7"/>
      <c r="G4403" s="7"/>
      <c r="H4403" s="8"/>
      <c r="I4403" s="8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</row>
    <row r="4404" hidden="1">
      <c r="A4404" s="7"/>
      <c r="B4404" s="7"/>
      <c r="C4404" s="7"/>
      <c r="D4404" s="7"/>
      <c r="E4404" s="7"/>
      <c r="F4404" s="7"/>
      <c r="G4404" s="7"/>
      <c r="H4404" s="8"/>
      <c r="I4404" s="8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</row>
    <row r="4405" hidden="1">
      <c r="A4405" s="7"/>
      <c r="B4405" s="7"/>
      <c r="C4405" s="7"/>
      <c r="D4405" s="7"/>
      <c r="E4405" s="7"/>
      <c r="F4405" s="7"/>
      <c r="G4405" s="7"/>
      <c r="H4405" s="8"/>
      <c r="I4405" s="8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</row>
    <row r="4406" hidden="1">
      <c r="A4406" s="7"/>
      <c r="B4406" s="7"/>
      <c r="C4406" s="7"/>
      <c r="D4406" s="7"/>
      <c r="E4406" s="7"/>
      <c r="F4406" s="7"/>
      <c r="G4406" s="7"/>
      <c r="H4406" s="8"/>
      <c r="I4406" s="8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</row>
    <row r="4407" hidden="1">
      <c r="A4407" s="7"/>
      <c r="B4407" s="7"/>
      <c r="C4407" s="7"/>
      <c r="D4407" s="7"/>
      <c r="E4407" s="7"/>
      <c r="F4407" s="7"/>
      <c r="G4407" s="7"/>
      <c r="H4407" s="8"/>
      <c r="I4407" s="8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</row>
    <row r="4408" hidden="1">
      <c r="A4408" s="7"/>
      <c r="B4408" s="7"/>
      <c r="C4408" s="7"/>
      <c r="D4408" s="7"/>
      <c r="E4408" s="7"/>
      <c r="F4408" s="7"/>
      <c r="G4408" s="7"/>
      <c r="H4408" s="8"/>
      <c r="I4408" s="8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</row>
    <row r="4409" hidden="1">
      <c r="A4409" s="7"/>
      <c r="B4409" s="7"/>
      <c r="C4409" s="7"/>
      <c r="D4409" s="7"/>
      <c r="E4409" s="7"/>
      <c r="F4409" s="7"/>
      <c r="G4409" s="7"/>
      <c r="H4409" s="8"/>
      <c r="I4409" s="8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</row>
    <row r="4410" hidden="1">
      <c r="A4410" s="7"/>
      <c r="B4410" s="7"/>
      <c r="C4410" s="7"/>
      <c r="D4410" s="7"/>
      <c r="E4410" s="7"/>
      <c r="F4410" s="7"/>
      <c r="G4410" s="7"/>
      <c r="H4410" s="8"/>
      <c r="I4410" s="8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</row>
    <row r="4411" hidden="1">
      <c r="A4411" s="7"/>
      <c r="B4411" s="7"/>
      <c r="C4411" s="7"/>
      <c r="D4411" s="7"/>
      <c r="E4411" s="7"/>
      <c r="F4411" s="7"/>
      <c r="G4411" s="7"/>
      <c r="H4411" s="8"/>
      <c r="I4411" s="8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</row>
    <row r="4412" hidden="1">
      <c r="A4412" s="7"/>
      <c r="B4412" s="7"/>
      <c r="C4412" s="7"/>
      <c r="D4412" s="7"/>
      <c r="E4412" s="7"/>
      <c r="F4412" s="7"/>
      <c r="G4412" s="7"/>
      <c r="H4412" s="8"/>
      <c r="I4412" s="8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</row>
    <row r="4413" hidden="1">
      <c r="A4413" s="7"/>
      <c r="B4413" s="7"/>
      <c r="C4413" s="7"/>
      <c r="D4413" s="7"/>
      <c r="E4413" s="7"/>
      <c r="F4413" s="7"/>
      <c r="G4413" s="7"/>
      <c r="H4413" s="8"/>
      <c r="I4413" s="8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</row>
    <row r="4414" hidden="1">
      <c r="A4414" s="7"/>
      <c r="B4414" s="7"/>
      <c r="C4414" s="7"/>
      <c r="D4414" s="7"/>
      <c r="E4414" s="7"/>
      <c r="F4414" s="7"/>
      <c r="G4414" s="7"/>
      <c r="H4414" s="8"/>
      <c r="I4414" s="8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</row>
    <row r="4415" hidden="1">
      <c r="A4415" s="7"/>
      <c r="B4415" s="7"/>
      <c r="C4415" s="7"/>
      <c r="D4415" s="7"/>
      <c r="E4415" s="7"/>
      <c r="F4415" s="7"/>
      <c r="G4415" s="7"/>
      <c r="H4415" s="8"/>
      <c r="I4415" s="8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</row>
    <row r="4416" hidden="1">
      <c r="A4416" s="7"/>
      <c r="B4416" s="7"/>
      <c r="C4416" s="7"/>
      <c r="D4416" s="7"/>
      <c r="E4416" s="7"/>
      <c r="F4416" s="7"/>
      <c r="G4416" s="7"/>
      <c r="H4416" s="8"/>
      <c r="I4416" s="8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</row>
    <row r="4417" hidden="1">
      <c r="A4417" s="7"/>
      <c r="B4417" s="7"/>
      <c r="C4417" s="7"/>
      <c r="D4417" s="7"/>
      <c r="E4417" s="7"/>
      <c r="F4417" s="7"/>
      <c r="G4417" s="7"/>
      <c r="H4417" s="8"/>
      <c r="I4417" s="8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</row>
    <row r="4418" hidden="1">
      <c r="A4418" s="7"/>
      <c r="B4418" s="7"/>
      <c r="C4418" s="7"/>
      <c r="D4418" s="7"/>
      <c r="E4418" s="7"/>
      <c r="F4418" s="7"/>
      <c r="G4418" s="7"/>
      <c r="H4418" s="8"/>
      <c r="I4418" s="8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</row>
    <row r="4419" hidden="1">
      <c r="A4419" s="7"/>
      <c r="B4419" s="7"/>
      <c r="C4419" s="7"/>
      <c r="D4419" s="7"/>
      <c r="E4419" s="7"/>
      <c r="F4419" s="7"/>
      <c r="G4419" s="7"/>
      <c r="H4419" s="8"/>
      <c r="I4419" s="8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</row>
    <row r="4420" hidden="1">
      <c r="A4420" s="7"/>
      <c r="B4420" s="7"/>
      <c r="C4420" s="7"/>
      <c r="D4420" s="7"/>
      <c r="E4420" s="7"/>
      <c r="F4420" s="7"/>
      <c r="G4420" s="7"/>
      <c r="H4420" s="8"/>
      <c r="I4420" s="8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</row>
    <row r="4421" hidden="1">
      <c r="A4421" s="7"/>
      <c r="B4421" s="7"/>
      <c r="C4421" s="7"/>
      <c r="D4421" s="7"/>
      <c r="E4421" s="7"/>
      <c r="F4421" s="7"/>
      <c r="G4421" s="7"/>
      <c r="H4421" s="8"/>
      <c r="I4421" s="8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</row>
    <row r="4422" hidden="1">
      <c r="A4422" s="7"/>
      <c r="B4422" s="7"/>
      <c r="C4422" s="7"/>
      <c r="D4422" s="7"/>
      <c r="E4422" s="7"/>
      <c r="F4422" s="7"/>
      <c r="G4422" s="7"/>
      <c r="H4422" s="8"/>
      <c r="I4422" s="8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</row>
    <row r="4423" hidden="1">
      <c r="A4423" s="7"/>
      <c r="B4423" s="7"/>
      <c r="C4423" s="7"/>
      <c r="D4423" s="7"/>
      <c r="E4423" s="7"/>
      <c r="F4423" s="7"/>
      <c r="G4423" s="7"/>
      <c r="H4423" s="8"/>
      <c r="I4423" s="8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</row>
    <row r="4424" hidden="1">
      <c r="A4424" s="7"/>
      <c r="B4424" s="7"/>
      <c r="C4424" s="7"/>
      <c r="D4424" s="7"/>
      <c r="E4424" s="7"/>
      <c r="F4424" s="7"/>
      <c r="G4424" s="7"/>
      <c r="H4424" s="8"/>
      <c r="I4424" s="8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</row>
    <row r="4425" hidden="1">
      <c r="A4425" s="7"/>
      <c r="B4425" s="7"/>
      <c r="C4425" s="7"/>
      <c r="D4425" s="7"/>
      <c r="E4425" s="7"/>
      <c r="F4425" s="7"/>
      <c r="G4425" s="7"/>
      <c r="H4425" s="8"/>
      <c r="I4425" s="8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</row>
    <row r="4426" hidden="1">
      <c r="A4426" s="7"/>
      <c r="B4426" s="7"/>
      <c r="C4426" s="7"/>
      <c r="D4426" s="7"/>
      <c r="E4426" s="7"/>
      <c r="F4426" s="7"/>
      <c r="G4426" s="7"/>
      <c r="H4426" s="8"/>
      <c r="I4426" s="8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</row>
    <row r="4427" hidden="1">
      <c r="A4427" s="7"/>
      <c r="B4427" s="7"/>
      <c r="C4427" s="7"/>
      <c r="D4427" s="7"/>
      <c r="E4427" s="7"/>
      <c r="F4427" s="7"/>
      <c r="G4427" s="7"/>
      <c r="H4427" s="8"/>
      <c r="I4427" s="8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</row>
    <row r="4428" hidden="1">
      <c r="A4428" s="7"/>
      <c r="B4428" s="7"/>
      <c r="C4428" s="7"/>
      <c r="D4428" s="7"/>
      <c r="E4428" s="7"/>
      <c r="F4428" s="7"/>
      <c r="G4428" s="7"/>
      <c r="H4428" s="8"/>
      <c r="I4428" s="8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</row>
    <row r="4429" hidden="1">
      <c r="A4429" s="7"/>
      <c r="B4429" s="7"/>
      <c r="C4429" s="7"/>
      <c r="D4429" s="7"/>
      <c r="E4429" s="7"/>
      <c r="F4429" s="7"/>
      <c r="G4429" s="7"/>
      <c r="H4429" s="8"/>
      <c r="I4429" s="8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</row>
    <row r="4430" hidden="1">
      <c r="A4430" s="7"/>
      <c r="B4430" s="7"/>
      <c r="C4430" s="7"/>
      <c r="D4430" s="7"/>
      <c r="E4430" s="7"/>
      <c r="F4430" s="7"/>
      <c r="G4430" s="7"/>
      <c r="H4430" s="8"/>
      <c r="I4430" s="8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</row>
    <row r="4431" hidden="1">
      <c r="A4431" s="7"/>
      <c r="B4431" s="7"/>
      <c r="C4431" s="7"/>
      <c r="D4431" s="7"/>
      <c r="E4431" s="7"/>
      <c r="F4431" s="7"/>
      <c r="G4431" s="7"/>
      <c r="H4431" s="8"/>
      <c r="I4431" s="8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</row>
    <row r="4432" hidden="1">
      <c r="A4432" s="7"/>
      <c r="B4432" s="7"/>
      <c r="C4432" s="7"/>
      <c r="D4432" s="7"/>
      <c r="E4432" s="7"/>
      <c r="F4432" s="7"/>
      <c r="G4432" s="7"/>
      <c r="H4432" s="8"/>
      <c r="I4432" s="8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</row>
    <row r="4433" hidden="1">
      <c r="A4433" s="7"/>
      <c r="B4433" s="7"/>
      <c r="C4433" s="7"/>
      <c r="D4433" s="7"/>
      <c r="E4433" s="7"/>
      <c r="F4433" s="7"/>
      <c r="G4433" s="7"/>
      <c r="H4433" s="8"/>
      <c r="I4433" s="8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</row>
    <row r="4434" hidden="1">
      <c r="A4434" s="7"/>
      <c r="B4434" s="7"/>
      <c r="C4434" s="7"/>
      <c r="D4434" s="7"/>
      <c r="E4434" s="7"/>
      <c r="F4434" s="7"/>
      <c r="G4434" s="7"/>
      <c r="H4434" s="8"/>
      <c r="I4434" s="8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</row>
    <row r="4435" hidden="1">
      <c r="A4435" s="7"/>
      <c r="B4435" s="7"/>
      <c r="C4435" s="7"/>
      <c r="D4435" s="7"/>
      <c r="E4435" s="7"/>
      <c r="F4435" s="7"/>
      <c r="G4435" s="7"/>
      <c r="H4435" s="8"/>
      <c r="I4435" s="8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</row>
    <row r="4436" hidden="1">
      <c r="A4436" s="7"/>
      <c r="B4436" s="7"/>
      <c r="C4436" s="7"/>
      <c r="D4436" s="7"/>
      <c r="E4436" s="7"/>
      <c r="F4436" s="7"/>
      <c r="G4436" s="7"/>
      <c r="H4436" s="8"/>
      <c r="I4436" s="8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</row>
    <row r="4437" hidden="1">
      <c r="A4437" s="7"/>
      <c r="B4437" s="7"/>
      <c r="C4437" s="7"/>
      <c r="D4437" s="7"/>
      <c r="E4437" s="7"/>
      <c r="F4437" s="7"/>
      <c r="G4437" s="7"/>
      <c r="H4437" s="8"/>
      <c r="I4437" s="8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</row>
    <row r="4438" hidden="1">
      <c r="A4438" s="7"/>
      <c r="B4438" s="7"/>
      <c r="C4438" s="7"/>
      <c r="D4438" s="7"/>
      <c r="E4438" s="7"/>
      <c r="F4438" s="7"/>
      <c r="G4438" s="7"/>
      <c r="H4438" s="8"/>
      <c r="I4438" s="8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</row>
    <row r="4439" hidden="1">
      <c r="A4439" s="7"/>
      <c r="B4439" s="7"/>
      <c r="C4439" s="7"/>
      <c r="D4439" s="7"/>
      <c r="E4439" s="7"/>
      <c r="F4439" s="7"/>
      <c r="G4439" s="7"/>
      <c r="H4439" s="8"/>
      <c r="I4439" s="8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</row>
    <row r="4440" hidden="1">
      <c r="A4440" s="7"/>
      <c r="B4440" s="7"/>
      <c r="C4440" s="7"/>
      <c r="D4440" s="7"/>
      <c r="E4440" s="7"/>
      <c r="F4440" s="7"/>
      <c r="G4440" s="7"/>
      <c r="H4440" s="8"/>
      <c r="I4440" s="8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</row>
    <row r="4441" hidden="1">
      <c r="A4441" s="7"/>
      <c r="B4441" s="7"/>
      <c r="C4441" s="7"/>
      <c r="D4441" s="7"/>
      <c r="E4441" s="7"/>
      <c r="F4441" s="7"/>
      <c r="G4441" s="7"/>
      <c r="H4441" s="8"/>
      <c r="I4441" s="8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</row>
    <row r="4442" hidden="1">
      <c r="A4442" s="7"/>
      <c r="B4442" s="7"/>
      <c r="C4442" s="7"/>
      <c r="D4442" s="7"/>
      <c r="E4442" s="7"/>
      <c r="F4442" s="7"/>
      <c r="G4442" s="7"/>
      <c r="H4442" s="8"/>
      <c r="I4442" s="8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</row>
    <row r="4443" hidden="1">
      <c r="A4443" s="7"/>
      <c r="B4443" s="7"/>
      <c r="C4443" s="7"/>
      <c r="D4443" s="7"/>
      <c r="E4443" s="7"/>
      <c r="F4443" s="7"/>
      <c r="G4443" s="7"/>
      <c r="H4443" s="8"/>
      <c r="I4443" s="8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</row>
    <row r="4444" hidden="1">
      <c r="A4444" s="7"/>
      <c r="B4444" s="7"/>
      <c r="C4444" s="7"/>
      <c r="D4444" s="7"/>
      <c r="E4444" s="7"/>
      <c r="F4444" s="7"/>
      <c r="G4444" s="7"/>
      <c r="H4444" s="8"/>
      <c r="I4444" s="8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</row>
    <row r="4445" hidden="1">
      <c r="A4445" s="7"/>
      <c r="B4445" s="7"/>
      <c r="C4445" s="7"/>
      <c r="D4445" s="7"/>
      <c r="E4445" s="7"/>
      <c r="F4445" s="7"/>
      <c r="G4445" s="7"/>
      <c r="H4445" s="8"/>
      <c r="I4445" s="8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</row>
    <row r="4446" hidden="1">
      <c r="A4446" s="7"/>
      <c r="B4446" s="7"/>
      <c r="C4446" s="7"/>
      <c r="D4446" s="7"/>
      <c r="E4446" s="7"/>
      <c r="F4446" s="7"/>
      <c r="G4446" s="7"/>
      <c r="H4446" s="8"/>
      <c r="I4446" s="8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</row>
    <row r="4447" hidden="1">
      <c r="A4447" s="7"/>
      <c r="B4447" s="7"/>
      <c r="C4447" s="7"/>
      <c r="D4447" s="7"/>
      <c r="E4447" s="7"/>
      <c r="F4447" s="7"/>
      <c r="G4447" s="7"/>
      <c r="H4447" s="8"/>
      <c r="I4447" s="8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</row>
    <row r="4448" hidden="1">
      <c r="A4448" s="7"/>
      <c r="B4448" s="7"/>
      <c r="C4448" s="7"/>
      <c r="D4448" s="7"/>
      <c r="E4448" s="7"/>
      <c r="F4448" s="7"/>
      <c r="G4448" s="7"/>
      <c r="H4448" s="8"/>
      <c r="I4448" s="8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</row>
    <row r="4449" hidden="1">
      <c r="A4449" s="7"/>
      <c r="B4449" s="7"/>
      <c r="C4449" s="7"/>
      <c r="D4449" s="7"/>
      <c r="E4449" s="7"/>
      <c r="F4449" s="7"/>
      <c r="G4449" s="7"/>
      <c r="H4449" s="8"/>
      <c r="I4449" s="8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</row>
    <row r="4450" hidden="1">
      <c r="A4450" s="7"/>
      <c r="B4450" s="7"/>
      <c r="C4450" s="7"/>
      <c r="D4450" s="7"/>
      <c r="E4450" s="7"/>
      <c r="F4450" s="7"/>
      <c r="G4450" s="7"/>
      <c r="H4450" s="8"/>
      <c r="I4450" s="8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</row>
    <row r="4451" hidden="1">
      <c r="A4451" s="7"/>
      <c r="B4451" s="7"/>
      <c r="C4451" s="7"/>
      <c r="D4451" s="7"/>
      <c r="E4451" s="7"/>
      <c r="F4451" s="7"/>
      <c r="G4451" s="7"/>
      <c r="H4451" s="8"/>
      <c r="I4451" s="8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</row>
    <row r="4452" hidden="1">
      <c r="A4452" s="7"/>
      <c r="B4452" s="7"/>
      <c r="C4452" s="7"/>
      <c r="D4452" s="7"/>
      <c r="E4452" s="7"/>
      <c r="F4452" s="7"/>
      <c r="G4452" s="7"/>
      <c r="H4452" s="8"/>
      <c r="I4452" s="8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</row>
    <row r="4453" hidden="1">
      <c r="A4453" s="7"/>
      <c r="B4453" s="7"/>
      <c r="C4453" s="7"/>
      <c r="D4453" s="7"/>
      <c r="E4453" s="7"/>
      <c r="F4453" s="7"/>
      <c r="G4453" s="7"/>
      <c r="H4453" s="8"/>
      <c r="I4453" s="8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</row>
    <row r="4454" hidden="1">
      <c r="A4454" s="7"/>
      <c r="B4454" s="7"/>
      <c r="C4454" s="7"/>
      <c r="D4454" s="7"/>
      <c r="E4454" s="7"/>
      <c r="F4454" s="7"/>
      <c r="G4454" s="7"/>
      <c r="H4454" s="8"/>
      <c r="I4454" s="8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</row>
    <row r="4455" hidden="1">
      <c r="A4455" s="7"/>
      <c r="B4455" s="7"/>
      <c r="C4455" s="7"/>
      <c r="D4455" s="7"/>
      <c r="E4455" s="7"/>
      <c r="F4455" s="7"/>
      <c r="G4455" s="7"/>
      <c r="H4455" s="8"/>
      <c r="I4455" s="8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</row>
    <row r="4456" hidden="1">
      <c r="A4456" s="7"/>
      <c r="B4456" s="7"/>
      <c r="C4456" s="7"/>
      <c r="D4456" s="7"/>
      <c r="E4456" s="7"/>
      <c r="F4456" s="7"/>
      <c r="G4456" s="7"/>
      <c r="H4456" s="8"/>
      <c r="I4456" s="8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</row>
    <row r="4457" hidden="1">
      <c r="A4457" s="7"/>
      <c r="B4457" s="7"/>
      <c r="C4457" s="7"/>
      <c r="D4457" s="7"/>
      <c r="E4457" s="7"/>
      <c r="F4457" s="7"/>
      <c r="G4457" s="7"/>
      <c r="H4457" s="8"/>
      <c r="I4457" s="8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</row>
    <row r="4458" hidden="1">
      <c r="A4458" s="7"/>
      <c r="B4458" s="7"/>
      <c r="C4458" s="7"/>
      <c r="D4458" s="7"/>
      <c r="E4458" s="7"/>
      <c r="F4458" s="7"/>
      <c r="G4458" s="7"/>
      <c r="H4458" s="8"/>
      <c r="I4458" s="8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</row>
    <row r="4459" hidden="1">
      <c r="A4459" s="7"/>
      <c r="B4459" s="7"/>
      <c r="C4459" s="7"/>
      <c r="D4459" s="7"/>
      <c r="E4459" s="7"/>
      <c r="F4459" s="7"/>
      <c r="G4459" s="7"/>
      <c r="H4459" s="8"/>
      <c r="I4459" s="8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</row>
    <row r="4460" hidden="1">
      <c r="A4460" s="7"/>
      <c r="B4460" s="7"/>
      <c r="C4460" s="7"/>
      <c r="D4460" s="7"/>
      <c r="E4460" s="7"/>
      <c r="F4460" s="7"/>
      <c r="G4460" s="7"/>
      <c r="H4460" s="8"/>
      <c r="I4460" s="8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</row>
    <row r="4461" hidden="1">
      <c r="A4461" s="7"/>
      <c r="B4461" s="7"/>
      <c r="C4461" s="7"/>
      <c r="D4461" s="7"/>
      <c r="E4461" s="7"/>
      <c r="F4461" s="7"/>
      <c r="G4461" s="7"/>
      <c r="H4461" s="8"/>
      <c r="I4461" s="8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</row>
    <row r="4462" hidden="1">
      <c r="A4462" s="7"/>
      <c r="B4462" s="7"/>
      <c r="C4462" s="7"/>
      <c r="D4462" s="7"/>
      <c r="E4462" s="7"/>
      <c r="F4462" s="7"/>
      <c r="G4462" s="7"/>
      <c r="H4462" s="8"/>
      <c r="I4462" s="8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</row>
    <row r="4463" hidden="1">
      <c r="A4463" s="7"/>
      <c r="B4463" s="7"/>
      <c r="C4463" s="7"/>
      <c r="D4463" s="7"/>
      <c r="E4463" s="7"/>
      <c r="F4463" s="7"/>
      <c r="G4463" s="7"/>
      <c r="H4463" s="8"/>
      <c r="I4463" s="8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</row>
    <row r="4464" hidden="1">
      <c r="A4464" s="7"/>
      <c r="B4464" s="7"/>
      <c r="C4464" s="7"/>
      <c r="D4464" s="7"/>
      <c r="E4464" s="7"/>
      <c r="F4464" s="7"/>
      <c r="G4464" s="7"/>
      <c r="H4464" s="8"/>
      <c r="I4464" s="8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</row>
    <row r="4465" hidden="1">
      <c r="A4465" s="7"/>
      <c r="B4465" s="7"/>
      <c r="C4465" s="7"/>
      <c r="D4465" s="7"/>
      <c r="E4465" s="7"/>
      <c r="F4465" s="7"/>
      <c r="G4465" s="7"/>
      <c r="H4465" s="8"/>
      <c r="I4465" s="8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</row>
    <row r="4466" hidden="1">
      <c r="A4466" s="7"/>
      <c r="B4466" s="7"/>
      <c r="C4466" s="7"/>
      <c r="D4466" s="7"/>
      <c r="E4466" s="7"/>
      <c r="F4466" s="7"/>
      <c r="G4466" s="7"/>
      <c r="H4466" s="8"/>
      <c r="I4466" s="8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</row>
    <row r="4467" hidden="1">
      <c r="A4467" s="7"/>
      <c r="B4467" s="7"/>
      <c r="C4467" s="7"/>
      <c r="D4467" s="7"/>
      <c r="E4467" s="7"/>
      <c r="F4467" s="7"/>
      <c r="G4467" s="7"/>
      <c r="H4467" s="8"/>
      <c r="I4467" s="8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</row>
    <row r="4468" hidden="1">
      <c r="A4468" s="7"/>
      <c r="B4468" s="7"/>
      <c r="C4468" s="7"/>
      <c r="D4468" s="7"/>
      <c r="E4468" s="7"/>
      <c r="F4468" s="7"/>
      <c r="G4468" s="7"/>
      <c r="H4468" s="8"/>
      <c r="I4468" s="8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</row>
    <row r="4469" hidden="1">
      <c r="A4469" s="7"/>
      <c r="B4469" s="7"/>
      <c r="C4469" s="7"/>
      <c r="D4469" s="7"/>
      <c r="E4469" s="7"/>
      <c r="F4469" s="7"/>
      <c r="G4469" s="7"/>
      <c r="H4469" s="8"/>
      <c r="I4469" s="8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</row>
    <row r="4470" hidden="1">
      <c r="A4470" s="7"/>
      <c r="B4470" s="7"/>
      <c r="C4470" s="7"/>
      <c r="D4470" s="7"/>
      <c r="E4470" s="7"/>
      <c r="F4470" s="7"/>
      <c r="G4470" s="7"/>
      <c r="H4470" s="8"/>
      <c r="I4470" s="8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</row>
    <row r="4471" hidden="1">
      <c r="A4471" s="7"/>
      <c r="B4471" s="7"/>
      <c r="C4471" s="7"/>
      <c r="D4471" s="7"/>
      <c r="E4471" s="7"/>
      <c r="F4471" s="7"/>
      <c r="G4471" s="7"/>
      <c r="H4471" s="8"/>
      <c r="I4471" s="8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</row>
    <row r="4472" hidden="1">
      <c r="A4472" s="7"/>
      <c r="B4472" s="7"/>
      <c r="C4472" s="7"/>
      <c r="D4472" s="7"/>
      <c r="E4472" s="7"/>
      <c r="F4472" s="7"/>
      <c r="G4472" s="7"/>
      <c r="H4472" s="8"/>
      <c r="I4472" s="8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</row>
    <row r="4473" hidden="1">
      <c r="A4473" s="7"/>
      <c r="B4473" s="7"/>
      <c r="C4473" s="7"/>
      <c r="D4473" s="7"/>
      <c r="E4473" s="7"/>
      <c r="F4473" s="7"/>
      <c r="G4473" s="7"/>
      <c r="H4473" s="8"/>
      <c r="I4473" s="8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</row>
    <row r="4474" hidden="1">
      <c r="A4474" s="7"/>
      <c r="B4474" s="7"/>
      <c r="C4474" s="7"/>
      <c r="D4474" s="7"/>
      <c r="E4474" s="7"/>
      <c r="F4474" s="7"/>
      <c r="G4474" s="7"/>
      <c r="H4474" s="8"/>
      <c r="I4474" s="8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</row>
    <row r="4475" hidden="1">
      <c r="A4475" s="7"/>
      <c r="B4475" s="7"/>
      <c r="C4475" s="7"/>
      <c r="D4475" s="7"/>
      <c r="E4475" s="7"/>
      <c r="F4475" s="7"/>
      <c r="G4475" s="7"/>
      <c r="H4475" s="8"/>
      <c r="I4475" s="8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</row>
    <row r="4476" hidden="1">
      <c r="A4476" s="7"/>
      <c r="B4476" s="7"/>
      <c r="C4476" s="7"/>
      <c r="D4476" s="7"/>
      <c r="E4476" s="7"/>
      <c r="F4476" s="7"/>
      <c r="G4476" s="7"/>
      <c r="H4476" s="8"/>
      <c r="I4476" s="8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</row>
    <row r="4477" hidden="1">
      <c r="A4477" s="7"/>
      <c r="B4477" s="7"/>
      <c r="C4477" s="7"/>
      <c r="D4477" s="7"/>
      <c r="E4477" s="7"/>
      <c r="F4477" s="7"/>
      <c r="G4477" s="7"/>
      <c r="H4477" s="8"/>
      <c r="I4477" s="8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</row>
    <row r="4478" hidden="1">
      <c r="A4478" s="7"/>
      <c r="B4478" s="7"/>
      <c r="C4478" s="7"/>
      <c r="D4478" s="7"/>
      <c r="E4478" s="7"/>
      <c r="F4478" s="7"/>
      <c r="G4478" s="7"/>
      <c r="H4478" s="8"/>
      <c r="I4478" s="8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</row>
    <row r="4479" hidden="1">
      <c r="A4479" s="7"/>
      <c r="B4479" s="7"/>
      <c r="C4479" s="7"/>
      <c r="D4479" s="7"/>
      <c r="E4479" s="7"/>
      <c r="F4479" s="7"/>
      <c r="G4479" s="7"/>
      <c r="H4479" s="8"/>
      <c r="I4479" s="8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</row>
    <row r="4480" hidden="1">
      <c r="A4480" s="7"/>
      <c r="B4480" s="7"/>
      <c r="C4480" s="7"/>
      <c r="D4480" s="7"/>
      <c r="E4480" s="7"/>
      <c r="F4480" s="7"/>
      <c r="G4480" s="7"/>
      <c r="H4480" s="8"/>
      <c r="I4480" s="8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</row>
    <row r="4481" hidden="1">
      <c r="A4481" s="7"/>
      <c r="B4481" s="7"/>
      <c r="C4481" s="7"/>
      <c r="D4481" s="7"/>
      <c r="E4481" s="7"/>
      <c r="F4481" s="7"/>
      <c r="G4481" s="7"/>
      <c r="H4481" s="8"/>
      <c r="I4481" s="8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</row>
    <row r="4482" hidden="1">
      <c r="A4482" s="7"/>
      <c r="B4482" s="7"/>
      <c r="C4482" s="7"/>
      <c r="D4482" s="7"/>
      <c r="E4482" s="7"/>
      <c r="F4482" s="7"/>
      <c r="G4482" s="7"/>
      <c r="H4482" s="8"/>
      <c r="I4482" s="8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</row>
    <row r="4483" hidden="1">
      <c r="A4483" s="7"/>
      <c r="B4483" s="7"/>
      <c r="C4483" s="7"/>
      <c r="D4483" s="7"/>
      <c r="E4483" s="7"/>
      <c r="F4483" s="7"/>
      <c r="G4483" s="7"/>
      <c r="H4483" s="8"/>
      <c r="I4483" s="8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</row>
    <row r="4484" hidden="1">
      <c r="A4484" s="7"/>
      <c r="B4484" s="7"/>
      <c r="C4484" s="7"/>
      <c r="D4484" s="7"/>
      <c r="E4484" s="7"/>
      <c r="F4484" s="7"/>
      <c r="G4484" s="7"/>
      <c r="H4484" s="8"/>
      <c r="I4484" s="8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</row>
    <row r="4485" hidden="1">
      <c r="A4485" s="7"/>
      <c r="B4485" s="7"/>
      <c r="C4485" s="7"/>
      <c r="D4485" s="7"/>
      <c r="E4485" s="7"/>
      <c r="F4485" s="7"/>
      <c r="G4485" s="7"/>
      <c r="H4485" s="8"/>
      <c r="I4485" s="8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</row>
    <row r="4486" hidden="1">
      <c r="A4486" s="7"/>
      <c r="B4486" s="7"/>
      <c r="C4486" s="7"/>
      <c r="D4486" s="7"/>
      <c r="E4486" s="7"/>
      <c r="F4486" s="7"/>
      <c r="G4486" s="7"/>
      <c r="H4486" s="8"/>
      <c r="I4486" s="8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</row>
    <row r="4487" hidden="1">
      <c r="A4487" s="7"/>
      <c r="B4487" s="7"/>
      <c r="C4487" s="7"/>
      <c r="D4487" s="7"/>
      <c r="E4487" s="7"/>
      <c r="F4487" s="7"/>
      <c r="G4487" s="7"/>
      <c r="H4487" s="8"/>
      <c r="I4487" s="8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</row>
    <row r="4488" hidden="1">
      <c r="A4488" s="7"/>
      <c r="B4488" s="7"/>
      <c r="C4488" s="7"/>
      <c r="D4488" s="7"/>
      <c r="E4488" s="7"/>
      <c r="F4488" s="7"/>
      <c r="G4488" s="7"/>
      <c r="H4488" s="8"/>
      <c r="I4488" s="8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</row>
    <row r="4489" hidden="1">
      <c r="A4489" s="7"/>
      <c r="B4489" s="7"/>
      <c r="C4489" s="7"/>
      <c r="D4489" s="7"/>
      <c r="E4489" s="7"/>
      <c r="F4489" s="7"/>
      <c r="G4489" s="7"/>
      <c r="H4489" s="8"/>
      <c r="I4489" s="8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</row>
    <row r="4490" hidden="1">
      <c r="A4490" s="7"/>
      <c r="B4490" s="7"/>
      <c r="C4490" s="7"/>
      <c r="D4490" s="7"/>
      <c r="E4490" s="7"/>
      <c r="F4490" s="7"/>
      <c r="G4490" s="7"/>
      <c r="H4490" s="8"/>
      <c r="I4490" s="8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</row>
    <row r="4491" hidden="1">
      <c r="A4491" s="7"/>
      <c r="B4491" s="7"/>
      <c r="C4491" s="7"/>
      <c r="D4491" s="7"/>
      <c r="E4491" s="7"/>
      <c r="F4491" s="7"/>
      <c r="G4491" s="7"/>
      <c r="H4491" s="8"/>
      <c r="I4491" s="8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</row>
    <row r="4492" hidden="1">
      <c r="A4492" s="7"/>
      <c r="B4492" s="7"/>
      <c r="C4492" s="7"/>
      <c r="D4492" s="7"/>
      <c r="E4492" s="7"/>
      <c r="F4492" s="7"/>
      <c r="G4492" s="7"/>
      <c r="H4492" s="8"/>
      <c r="I4492" s="8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</row>
    <row r="4493" hidden="1">
      <c r="A4493" s="7"/>
      <c r="B4493" s="7"/>
      <c r="C4493" s="7"/>
      <c r="D4493" s="7"/>
      <c r="E4493" s="7"/>
      <c r="F4493" s="7"/>
      <c r="G4493" s="7"/>
      <c r="H4493" s="8"/>
      <c r="I4493" s="8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</row>
    <row r="4494" hidden="1">
      <c r="A4494" s="7"/>
      <c r="B4494" s="7"/>
      <c r="C4494" s="7"/>
      <c r="D4494" s="7"/>
      <c r="E4494" s="7"/>
      <c r="F4494" s="7"/>
      <c r="G4494" s="7"/>
      <c r="H4494" s="8"/>
      <c r="I4494" s="8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</row>
    <row r="4495" hidden="1">
      <c r="A4495" s="7"/>
      <c r="B4495" s="7"/>
      <c r="C4495" s="7"/>
      <c r="D4495" s="7"/>
      <c r="E4495" s="7"/>
      <c r="F4495" s="7"/>
      <c r="G4495" s="7"/>
      <c r="H4495" s="8"/>
      <c r="I4495" s="8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</row>
    <row r="4496" hidden="1">
      <c r="A4496" s="7"/>
      <c r="B4496" s="7"/>
      <c r="C4496" s="7"/>
      <c r="D4496" s="7"/>
      <c r="E4496" s="7"/>
      <c r="F4496" s="7"/>
      <c r="G4496" s="7"/>
      <c r="H4496" s="8"/>
      <c r="I4496" s="8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</row>
    <row r="4497" hidden="1">
      <c r="A4497" s="7"/>
      <c r="B4497" s="7"/>
      <c r="C4497" s="7"/>
      <c r="D4497" s="7"/>
      <c r="E4497" s="7"/>
      <c r="F4497" s="7"/>
      <c r="G4497" s="7"/>
      <c r="H4497" s="8"/>
      <c r="I4497" s="8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</row>
    <row r="4498" hidden="1">
      <c r="A4498" s="7"/>
      <c r="B4498" s="7"/>
      <c r="C4498" s="7"/>
      <c r="D4498" s="7"/>
      <c r="E4498" s="7"/>
      <c r="F4498" s="7"/>
      <c r="G4498" s="7"/>
      <c r="H4498" s="8"/>
      <c r="I4498" s="8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</row>
    <row r="4499" hidden="1">
      <c r="A4499" s="7"/>
      <c r="B4499" s="7"/>
      <c r="C4499" s="7"/>
      <c r="D4499" s="7"/>
      <c r="E4499" s="7"/>
      <c r="F4499" s="7"/>
      <c r="G4499" s="7"/>
      <c r="H4499" s="8"/>
      <c r="I4499" s="8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</row>
    <row r="4500" hidden="1">
      <c r="A4500" s="7"/>
      <c r="B4500" s="7"/>
      <c r="C4500" s="7"/>
      <c r="D4500" s="7"/>
      <c r="E4500" s="7"/>
      <c r="F4500" s="7"/>
      <c r="G4500" s="7"/>
      <c r="H4500" s="8"/>
      <c r="I4500" s="8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</row>
    <row r="4501" hidden="1">
      <c r="A4501" s="7"/>
      <c r="B4501" s="7"/>
      <c r="C4501" s="7"/>
      <c r="D4501" s="7"/>
      <c r="E4501" s="7"/>
      <c r="F4501" s="7"/>
      <c r="G4501" s="7"/>
      <c r="H4501" s="8"/>
      <c r="I4501" s="8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</row>
    <row r="4502" hidden="1">
      <c r="A4502" s="7"/>
      <c r="B4502" s="7"/>
      <c r="C4502" s="7"/>
      <c r="D4502" s="7"/>
      <c r="E4502" s="7"/>
      <c r="F4502" s="7"/>
      <c r="G4502" s="7"/>
      <c r="H4502" s="8"/>
      <c r="I4502" s="8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</row>
    <row r="4503" hidden="1">
      <c r="A4503" s="7"/>
      <c r="B4503" s="7"/>
      <c r="C4503" s="7"/>
      <c r="D4503" s="7"/>
      <c r="E4503" s="7"/>
      <c r="F4503" s="7"/>
      <c r="G4503" s="7"/>
      <c r="H4503" s="8"/>
      <c r="I4503" s="8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</row>
    <row r="4504" hidden="1">
      <c r="A4504" s="7"/>
      <c r="B4504" s="7"/>
      <c r="C4504" s="7"/>
      <c r="D4504" s="7"/>
      <c r="E4504" s="7"/>
      <c r="F4504" s="7"/>
      <c r="G4504" s="7"/>
      <c r="H4504" s="8"/>
      <c r="I4504" s="8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</row>
    <row r="4505" hidden="1">
      <c r="A4505" s="7"/>
      <c r="B4505" s="7"/>
      <c r="C4505" s="7"/>
      <c r="D4505" s="7"/>
      <c r="E4505" s="7"/>
      <c r="F4505" s="7"/>
      <c r="G4505" s="7"/>
      <c r="H4505" s="8"/>
      <c r="I4505" s="8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</row>
    <row r="4506" hidden="1">
      <c r="A4506" s="7"/>
      <c r="B4506" s="7"/>
      <c r="C4506" s="7"/>
      <c r="D4506" s="7"/>
      <c r="E4506" s="7"/>
      <c r="F4506" s="7"/>
      <c r="G4506" s="7"/>
      <c r="H4506" s="8"/>
      <c r="I4506" s="8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</row>
    <row r="4507" hidden="1">
      <c r="A4507" s="7"/>
      <c r="B4507" s="7"/>
      <c r="C4507" s="7"/>
      <c r="D4507" s="7"/>
      <c r="E4507" s="7"/>
      <c r="F4507" s="7"/>
      <c r="G4507" s="7"/>
      <c r="H4507" s="8"/>
      <c r="I4507" s="8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</row>
    <row r="4508" hidden="1">
      <c r="A4508" s="7"/>
      <c r="B4508" s="7"/>
      <c r="C4508" s="7"/>
      <c r="D4508" s="7"/>
      <c r="E4508" s="7"/>
      <c r="F4508" s="7"/>
      <c r="G4508" s="7"/>
      <c r="H4508" s="8"/>
      <c r="I4508" s="8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</row>
    <row r="4509" hidden="1">
      <c r="A4509" s="7"/>
      <c r="B4509" s="7"/>
      <c r="C4509" s="7"/>
      <c r="D4509" s="7"/>
      <c r="E4509" s="7"/>
      <c r="F4509" s="7"/>
      <c r="G4509" s="7"/>
      <c r="H4509" s="8"/>
      <c r="I4509" s="8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</row>
    <row r="4510" hidden="1">
      <c r="A4510" s="7"/>
      <c r="B4510" s="7"/>
      <c r="C4510" s="7"/>
      <c r="D4510" s="7"/>
      <c r="E4510" s="7"/>
      <c r="F4510" s="7"/>
      <c r="G4510" s="7"/>
      <c r="H4510" s="8"/>
      <c r="I4510" s="8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</row>
    <row r="4511" hidden="1">
      <c r="A4511" s="7"/>
      <c r="B4511" s="7"/>
      <c r="C4511" s="7"/>
      <c r="D4511" s="7"/>
      <c r="E4511" s="7"/>
      <c r="F4511" s="7"/>
      <c r="G4511" s="7"/>
      <c r="H4511" s="8"/>
      <c r="I4511" s="8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</row>
    <row r="4512" hidden="1">
      <c r="A4512" s="7"/>
      <c r="B4512" s="7"/>
      <c r="C4512" s="7"/>
      <c r="D4512" s="7"/>
      <c r="E4512" s="7"/>
      <c r="F4512" s="7"/>
      <c r="G4512" s="7"/>
      <c r="H4512" s="8"/>
      <c r="I4512" s="8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</row>
    <row r="4513" hidden="1">
      <c r="A4513" s="7"/>
      <c r="B4513" s="7"/>
      <c r="C4513" s="7"/>
      <c r="D4513" s="7"/>
      <c r="E4513" s="7"/>
      <c r="F4513" s="7"/>
      <c r="G4513" s="7"/>
      <c r="H4513" s="8"/>
      <c r="I4513" s="8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</row>
    <row r="4514" hidden="1">
      <c r="A4514" s="7"/>
      <c r="B4514" s="7"/>
      <c r="C4514" s="7"/>
      <c r="D4514" s="7"/>
      <c r="E4514" s="7"/>
      <c r="F4514" s="7"/>
      <c r="G4514" s="7"/>
      <c r="H4514" s="8"/>
      <c r="I4514" s="8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</row>
    <row r="4515" hidden="1">
      <c r="A4515" s="7"/>
      <c r="B4515" s="7"/>
      <c r="C4515" s="7"/>
      <c r="D4515" s="7"/>
      <c r="E4515" s="7"/>
      <c r="F4515" s="7"/>
      <c r="G4515" s="7"/>
      <c r="H4515" s="8"/>
      <c r="I4515" s="8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</row>
    <row r="4516" hidden="1">
      <c r="A4516" s="7"/>
      <c r="B4516" s="7"/>
      <c r="C4516" s="7"/>
      <c r="D4516" s="7"/>
      <c r="E4516" s="7"/>
      <c r="F4516" s="7"/>
      <c r="G4516" s="7"/>
      <c r="H4516" s="8"/>
      <c r="I4516" s="8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</row>
    <row r="4517" hidden="1">
      <c r="A4517" s="7"/>
      <c r="B4517" s="7"/>
      <c r="C4517" s="7"/>
      <c r="D4517" s="7"/>
      <c r="E4517" s="7"/>
      <c r="F4517" s="7"/>
      <c r="G4517" s="7"/>
      <c r="H4517" s="8"/>
      <c r="I4517" s="8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</row>
    <row r="4518" hidden="1">
      <c r="A4518" s="7"/>
      <c r="B4518" s="7"/>
      <c r="C4518" s="7"/>
      <c r="D4518" s="7"/>
      <c r="E4518" s="7"/>
      <c r="F4518" s="7"/>
      <c r="G4518" s="7"/>
      <c r="H4518" s="8"/>
      <c r="I4518" s="8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</row>
    <row r="4519" hidden="1">
      <c r="A4519" s="7"/>
      <c r="B4519" s="7"/>
      <c r="C4519" s="7"/>
      <c r="D4519" s="7"/>
      <c r="E4519" s="7"/>
      <c r="F4519" s="7"/>
      <c r="G4519" s="7"/>
      <c r="H4519" s="8"/>
      <c r="I4519" s="8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</row>
    <row r="4520" hidden="1">
      <c r="A4520" s="7"/>
      <c r="B4520" s="7"/>
      <c r="C4520" s="7"/>
      <c r="D4520" s="7"/>
      <c r="E4520" s="7"/>
      <c r="F4520" s="7"/>
      <c r="G4520" s="7"/>
      <c r="H4520" s="8"/>
      <c r="I4520" s="8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</row>
    <row r="4521" hidden="1">
      <c r="A4521" s="7"/>
      <c r="B4521" s="7"/>
      <c r="C4521" s="7"/>
      <c r="D4521" s="7"/>
      <c r="E4521" s="7"/>
      <c r="F4521" s="7"/>
      <c r="G4521" s="7"/>
      <c r="H4521" s="8"/>
      <c r="I4521" s="8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</row>
    <row r="4522" hidden="1">
      <c r="A4522" s="7"/>
      <c r="B4522" s="7"/>
      <c r="C4522" s="7"/>
      <c r="D4522" s="7"/>
      <c r="E4522" s="7"/>
      <c r="F4522" s="7"/>
      <c r="G4522" s="7"/>
      <c r="H4522" s="8"/>
      <c r="I4522" s="8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</row>
    <row r="4523" hidden="1">
      <c r="A4523" s="7"/>
      <c r="B4523" s="7"/>
      <c r="C4523" s="7"/>
      <c r="D4523" s="7"/>
      <c r="E4523" s="7"/>
      <c r="F4523" s="7"/>
      <c r="G4523" s="7"/>
      <c r="H4523" s="8"/>
      <c r="I4523" s="8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</row>
    <row r="4524" hidden="1">
      <c r="A4524" s="7"/>
      <c r="B4524" s="7"/>
      <c r="C4524" s="7"/>
      <c r="D4524" s="7"/>
      <c r="E4524" s="7"/>
      <c r="F4524" s="7"/>
      <c r="G4524" s="7"/>
      <c r="H4524" s="8"/>
      <c r="I4524" s="8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</row>
    <row r="4525" hidden="1">
      <c r="A4525" s="7"/>
      <c r="B4525" s="7"/>
      <c r="C4525" s="7"/>
      <c r="D4525" s="7"/>
      <c r="E4525" s="7"/>
      <c r="F4525" s="7"/>
      <c r="G4525" s="7"/>
      <c r="H4525" s="8"/>
      <c r="I4525" s="8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</row>
    <row r="4526" hidden="1">
      <c r="A4526" s="7"/>
      <c r="B4526" s="7"/>
      <c r="C4526" s="7"/>
      <c r="D4526" s="7"/>
      <c r="E4526" s="7"/>
      <c r="F4526" s="7"/>
      <c r="G4526" s="7"/>
      <c r="H4526" s="8"/>
      <c r="I4526" s="8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</row>
    <row r="4527" hidden="1">
      <c r="A4527" s="7"/>
      <c r="B4527" s="7"/>
      <c r="C4527" s="7"/>
      <c r="D4527" s="7"/>
      <c r="E4527" s="7"/>
      <c r="F4527" s="7"/>
      <c r="G4527" s="7"/>
      <c r="H4527" s="8"/>
      <c r="I4527" s="8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</row>
    <row r="4528" hidden="1">
      <c r="A4528" s="7"/>
      <c r="B4528" s="7"/>
      <c r="C4528" s="7"/>
      <c r="D4528" s="7"/>
      <c r="E4528" s="7"/>
      <c r="F4528" s="7"/>
      <c r="G4528" s="7"/>
      <c r="H4528" s="8"/>
      <c r="I4528" s="8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</row>
    <row r="4529" hidden="1">
      <c r="A4529" s="7"/>
      <c r="B4529" s="7"/>
      <c r="C4529" s="7"/>
      <c r="D4529" s="7"/>
      <c r="E4529" s="7"/>
      <c r="F4529" s="7"/>
      <c r="G4529" s="7"/>
      <c r="H4529" s="8"/>
      <c r="I4529" s="8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</row>
    <row r="4530" hidden="1">
      <c r="A4530" s="7"/>
      <c r="B4530" s="7"/>
      <c r="C4530" s="7"/>
      <c r="D4530" s="7"/>
      <c r="E4530" s="7"/>
      <c r="F4530" s="7"/>
      <c r="G4530" s="7"/>
      <c r="H4530" s="8"/>
      <c r="I4530" s="8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</row>
    <row r="4531" hidden="1">
      <c r="A4531" s="7"/>
      <c r="B4531" s="7"/>
      <c r="C4531" s="7"/>
      <c r="D4531" s="7"/>
      <c r="E4531" s="7"/>
      <c r="F4531" s="7"/>
      <c r="G4531" s="7"/>
      <c r="H4531" s="8"/>
      <c r="I4531" s="8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</row>
    <row r="4532" hidden="1">
      <c r="A4532" s="7"/>
      <c r="B4532" s="7"/>
      <c r="C4532" s="7"/>
      <c r="D4532" s="7"/>
      <c r="E4532" s="7"/>
      <c r="F4532" s="7"/>
      <c r="G4532" s="7"/>
      <c r="H4532" s="8"/>
      <c r="I4532" s="8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</row>
    <row r="4533" hidden="1">
      <c r="A4533" s="7"/>
      <c r="B4533" s="7"/>
      <c r="C4533" s="7"/>
      <c r="D4533" s="7"/>
      <c r="E4533" s="7"/>
      <c r="F4533" s="7"/>
      <c r="G4533" s="7"/>
      <c r="H4533" s="8"/>
      <c r="I4533" s="8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</row>
    <row r="4534" hidden="1">
      <c r="A4534" s="7"/>
      <c r="B4534" s="7"/>
      <c r="C4534" s="7"/>
      <c r="D4534" s="7"/>
      <c r="E4534" s="7"/>
      <c r="F4534" s="7"/>
      <c r="G4534" s="7"/>
      <c r="H4534" s="8"/>
      <c r="I4534" s="8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</row>
    <row r="4535" hidden="1">
      <c r="A4535" s="7"/>
      <c r="B4535" s="7"/>
      <c r="C4535" s="7"/>
      <c r="D4535" s="7"/>
      <c r="E4535" s="7"/>
      <c r="F4535" s="7"/>
      <c r="G4535" s="7"/>
      <c r="H4535" s="8"/>
      <c r="I4535" s="8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</row>
    <row r="4536" hidden="1">
      <c r="A4536" s="7"/>
      <c r="B4536" s="7"/>
      <c r="C4536" s="7"/>
      <c r="D4536" s="7"/>
      <c r="E4536" s="7"/>
      <c r="F4536" s="7"/>
      <c r="G4536" s="7"/>
      <c r="H4536" s="8"/>
      <c r="I4536" s="8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</row>
    <row r="4537" hidden="1">
      <c r="A4537" s="7"/>
      <c r="B4537" s="7"/>
      <c r="C4537" s="7"/>
      <c r="D4537" s="7"/>
      <c r="E4537" s="7"/>
      <c r="F4537" s="7"/>
      <c r="G4537" s="7"/>
      <c r="H4537" s="8"/>
      <c r="I4537" s="8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</row>
    <row r="4538" hidden="1">
      <c r="A4538" s="7"/>
      <c r="B4538" s="7"/>
      <c r="C4538" s="7"/>
      <c r="D4538" s="7"/>
      <c r="E4538" s="7"/>
      <c r="F4538" s="7"/>
      <c r="G4538" s="7"/>
      <c r="H4538" s="8"/>
      <c r="I4538" s="8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</row>
    <row r="4539" hidden="1">
      <c r="A4539" s="7"/>
      <c r="B4539" s="7"/>
      <c r="C4539" s="7"/>
      <c r="D4539" s="7"/>
      <c r="E4539" s="7"/>
      <c r="F4539" s="7"/>
      <c r="G4539" s="7"/>
      <c r="H4539" s="8"/>
      <c r="I4539" s="8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</row>
    <row r="4540" hidden="1">
      <c r="A4540" s="7"/>
      <c r="B4540" s="7"/>
      <c r="C4540" s="7"/>
      <c r="D4540" s="7"/>
      <c r="E4540" s="7"/>
      <c r="F4540" s="7"/>
      <c r="G4540" s="7"/>
      <c r="H4540" s="8"/>
      <c r="I4540" s="8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</row>
    <row r="4541" hidden="1">
      <c r="A4541" s="7"/>
      <c r="B4541" s="7"/>
      <c r="C4541" s="7"/>
      <c r="D4541" s="7"/>
      <c r="E4541" s="7"/>
      <c r="F4541" s="7"/>
      <c r="G4541" s="7"/>
      <c r="H4541" s="8"/>
      <c r="I4541" s="8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</row>
    <row r="4542" hidden="1">
      <c r="A4542" s="7"/>
      <c r="B4542" s="7"/>
      <c r="C4542" s="7"/>
      <c r="D4542" s="7"/>
      <c r="E4542" s="7"/>
      <c r="F4542" s="7"/>
      <c r="G4542" s="7"/>
      <c r="H4542" s="8"/>
      <c r="I4542" s="8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</row>
    <row r="4543" hidden="1">
      <c r="A4543" s="7"/>
      <c r="B4543" s="7"/>
      <c r="C4543" s="7"/>
      <c r="D4543" s="7"/>
      <c r="E4543" s="7"/>
      <c r="F4543" s="7"/>
      <c r="G4543" s="7"/>
      <c r="H4543" s="8"/>
      <c r="I4543" s="8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</row>
    <row r="4544" hidden="1">
      <c r="A4544" s="7"/>
      <c r="B4544" s="7"/>
      <c r="C4544" s="7"/>
      <c r="D4544" s="7"/>
      <c r="E4544" s="7"/>
      <c r="F4544" s="7"/>
      <c r="G4544" s="7"/>
      <c r="H4544" s="8"/>
      <c r="I4544" s="8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</row>
    <row r="4545" hidden="1">
      <c r="A4545" s="7"/>
      <c r="B4545" s="7"/>
      <c r="C4545" s="7"/>
      <c r="D4545" s="7"/>
      <c r="E4545" s="7"/>
      <c r="F4545" s="7"/>
      <c r="G4545" s="7"/>
      <c r="H4545" s="8"/>
      <c r="I4545" s="8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</row>
    <row r="4546" hidden="1">
      <c r="A4546" s="7"/>
      <c r="B4546" s="7"/>
      <c r="C4546" s="7"/>
      <c r="D4546" s="7"/>
      <c r="E4546" s="7"/>
      <c r="F4546" s="7"/>
      <c r="G4546" s="7"/>
      <c r="H4546" s="8"/>
      <c r="I4546" s="8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</row>
    <row r="4547" hidden="1">
      <c r="A4547" s="7"/>
      <c r="B4547" s="7"/>
      <c r="C4547" s="7"/>
      <c r="D4547" s="7"/>
      <c r="E4547" s="7"/>
      <c r="F4547" s="7"/>
      <c r="G4547" s="7"/>
      <c r="H4547" s="8"/>
      <c r="I4547" s="8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</row>
    <row r="4548" hidden="1">
      <c r="A4548" s="7"/>
      <c r="B4548" s="7"/>
      <c r="C4548" s="7"/>
      <c r="D4548" s="7"/>
      <c r="E4548" s="7"/>
      <c r="F4548" s="7"/>
      <c r="G4548" s="7"/>
      <c r="H4548" s="8"/>
      <c r="I4548" s="8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</row>
    <row r="4549" hidden="1">
      <c r="A4549" s="7"/>
      <c r="B4549" s="7"/>
      <c r="C4549" s="7"/>
      <c r="D4549" s="7"/>
      <c r="E4549" s="7"/>
      <c r="F4549" s="7"/>
      <c r="G4549" s="7"/>
      <c r="H4549" s="8"/>
      <c r="I4549" s="8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</row>
    <row r="4550" hidden="1">
      <c r="A4550" s="7"/>
      <c r="B4550" s="7"/>
      <c r="C4550" s="7"/>
      <c r="D4550" s="7"/>
      <c r="E4550" s="7"/>
      <c r="F4550" s="7"/>
      <c r="G4550" s="7"/>
      <c r="H4550" s="8"/>
      <c r="I4550" s="8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</row>
    <row r="4551" hidden="1">
      <c r="A4551" s="7"/>
      <c r="B4551" s="7"/>
      <c r="C4551" s="7"/>
      <c r="D4551" s="7"/>
      <c r="E4551" s="7"/>
      <c r="F4551" s="7"/>
      <c r="G4551" s="7"/>
      <c r="H4551" s="8"/>
      <c r="I4551" s="8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</row>
    <row r="4552" hidden="1">
      <c r="A4552" s="7"/>
      <c r="B4552" s="7"/>
      <c r="C4552" s="7"/>
      <c r="D4552" s="7"/>
      <c r="E4552" s="7"/>
      <c r="F4552" s="7"/>
      <c r="G4552" s="7"/>
      <c r="H4552" s="8"/>
      <c r="I4552" s="8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</row>
    <row r="4553" hidden="1">
      <c r="A4553" s="7"/>
      <c r="B4553" s="7"/>
      <c r="C4553" s="7"/>
      <c r="D4553" s="7"/>
      <c r="E4553" s="7"/>
      <c r="F4553" s="7"/>
      <c r="G4553" s="7"/>
      <c r="H4553" s="8"/>
      <c r="I4553" s="8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</row>
    <row r="4554" hidden="1">
      <c r="A4554" s="7"/>
      <c r="B4554" s="7"/>
      <c r="C4554" s="7"/>
      <c r="D4554" s="7"/>
      <c r="E4554" s="7"/>
      <c r="F4554" s="7"/>
      <c r="G4554" s="7"/>
      <c r="H4554" s="8"/>
      <c r="I4554" s="8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</row>
    <row r="4555" hidden="1">
      <c r="A4555" s="7"/>
      <c r="B4555" s="7"/>
      <c r="C4555" s="7"/>
      <c r="D4555" s="7"/>
      <c r="E4555" s="7"/>
      <c r="F4555" s="7"/>
      <c r="G4555" s="7"/>
      <c r="H4555" s="8"/>
      <c r="I4555" s="8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</row>
    <row r="4556" hidden="1">
      <c r="A4556" s="7"/>
      <c r="B4556" s="7"/>
      <c r="C4556" s="7"/>
      <c r="D4556" s="7"/>
      <c r="E4556" s="7"/>
      <c r="F4556" s="7"/>
      <c r="G4556" s="7"/>
      <c r="H4556" s="8"/>
      <c r="I4556" s="8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</row>
    <row r="4557" hidden="1">
      <c r="A4557" s="7"/>
      <c r="B4557" s="7"/>
      <c r="C4557" s="7"/>
      <c r="D4557" s="7"/>
      <c r="E4557" s="7"/>
      <c r="F4557" s="7"/>
      <c r="G4557" s="7"/>
      <c r="H4557" s="8"/>
      <c r="I4557" s="8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</row>
    <row r="4558" hidden="1">
      <c r="A4558" s="7"/>
      <c r="B4558" s="7"/>
      <c r="C4558" s="7"/>
      <c r="D4558" s="7"/>
      <c r="E4558" s="7"/>
      <c r="F4558" s="7"/>
      <c r="G4558" s="7"/>
      <c r="H4558" s="8"/>
      <c r="I4558" s="8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</row>
    <row r="4559" hidden="1">
      <c r="A4559" s="7"/>
      <c r="B4559" s="7"/>
      <c r="C4559" s="7"/>
      <c r="D4559" s="7"/>
      <c r="E4559" s="7"/>
      <c r="F4559" s="7"/>
      <c r="G4559" s="7"/>
      <c r="H4559" s="8"/>
      <c r="I4559" s="8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</row>
    <row r="4560" hidden="1">
      <c r="A4560" s="7"/>
      <c r="B4560" s="7"/>
      <c r="C4560" s="7"/>
      <c r="D4560" s="7"/>
      <c r="E4560" s="7"/>
      <c r="F4560" s="7"/>
      <c r="G4560" s="7"/>
      <c r="H4560" s="8"/>
      <c r="I4560" s="8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</row>
    <row r="4561" hidden="1">
      <c r="A4561" s="7"/>
      <c r="B4561" s="7"/>
      <c r="C4561" s="7"/>
      <c r="D4561" s="7"/>
      <c r="E4561" s="7"/>
      <c r="F4561" s="7"/>
      <c r="G4561" s="7"/>
      <c r="H4561" s="8"/>
      <c r="I4561" s="8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</row>
    <row r="4562" hidden="1">
      <c r="A4562" s="7"/>
      <c r="B4562" s="7"/>
      <c r="C4562" s="7"/>
      <c r="D4562" s="7"/>
      <c r="E4562" s="7"/>
      <c r="F4562" s="7"/>
      <c r="G4562" s="7"/>
      <c r="H4562" s="8"/>
      <c r="I4562" s="8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</row>
    <row r="4563" hidden="1">
      <c r="A4563" s="7"/>
      <c r="B4563" s="7"/>
      <c r="C4563" s="7"/>
      <c r="D4563" s="7"/>
      <c r="E4563" s="7"/>
      <c r="F4563" s="7"/>
      <c r="G4563" s="7"/>
      <c r="H4563" s="8"/>
      <c r="I4563" s="8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</row>
    <row r="4564" hidden="1">
      <c r="A4564" s="7"/>
      <c r="B4564" s="7"/>
      <c r="C4564" s="7"/>
      <c r="D4564" s="7"/>
      <c r="E4564" s="7"/>
      <c r="F4564" s="7"/>
      <c r="G4564" s="7"/>
      <c r="H4564" s="8"/>
      <c r="I4564" s="8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</row>
    <row r="4565" hidden="1">
      <c r="A4565" s="7"/>
      <c r="B4565" s="7"/>
      <c r="C4565" s="7"/>
      <c r="D4565" s="7"/>
      <c r="E4565" s="7"/>
      <c r="F4565" s="7"/>
      <c r="G4565" s="7"/>
      <c r="H4565" s="8"/>
      <c r="I4565" s="8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</row>
    <row r="4566" hidden="1">
      <c r="A4566" s="7"/>
      <c r="B4566" s="7"/>
      <c r="C4566" s="7"/>
      <c r="D4566" s="7"/>
      <c r="E4566" s="7"/>
      <c r="F4566" s="7"/>
      <c r="G4566" s="7"/>
      <c r="H4566" s="8"/>
      <c r="I4566" s="8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</row>
    <row r="4567" hidden="1">
      <c r="A4567" s="7"/>
      <c r="B4567" s="7"/>
      <c r="C4567" s="7"/>
      <c r="D4567" s="7"/>
      <c r="E4567" s="7"/>
      <c r="F4567" s="7"/>
      <c r="G4567" s="7"/>
      <c r="H4567" s="8"/>
      <c r="I4567" s="8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</row>
    <row r="4568" hidden="1">
      <c r="A4568" s="7"/>
      <c r="B4568" s="7"/>
      <c r="C4568" s="7"/>
      <c r="D4568" s="7"/>
      <c r="E4568" s="7"/>
      <c r="F4568" s="7"/>
      <c r="G4568" s="7"/>
      <c r="H4568" s="8"/>
      <c r="I4568" s="8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</row>
    <row r="4569" hidden="1">
      <c r="A4569" s="7"/>
      <c r="B4569" s="7"/>
      <c r="C4569" s="7"/>
      <c r="D4569" s="7"/>
      <c r="E4569" s="7"/>
      <c r="F4569" s="7"/>
      <c r="G4569" s="7"/>
      <c r="H4569" s="8"/>
      <c r="I4569" s="8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</row>
    <row r="4570" hidden="1">
      <c r="A4570" s="7"/>
      <c r="B4570" s="7"/>
      <c r="C4570" s="7"/>
      <c r="D4570" s="7"/>
      <c r="E4570" s="7"/>
      <c r="F4570" s="7"/>
      <c r="G4570" s="7"/>
      <c r="H4570" s="8"/>
      <c r="I4570" s="8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</row>
    <row r="4571" hidden="1">
      <c r="A4571" s="7"/>
      <c r="B4571" s="7"/>
      <c r="C4571" s="7"/>
      <c r="D4571" s="7"/>
      <c r="E4571" s="7"/>
      <c r="F4571" s="7"/>
      <c r="G4571" s="7"/>
      <c r="H4571" s="8"/>
      <c r="I4571" s="8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</row>
    <row r="4572" hidden="1">
      <c r="A4572" s="7"/>
      <c r="B4572" s="7"/>
      <c r="C4572" s="7"/>
      <c r="D4572" s="7"/>
      <c r="E4572" s="7"/>
      <c r="F4572" s="7"/>
      <c r="G4572" s="7"/>
      <c r="H4572" s="8"/>
      <c r="I4572" s="8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</row>
    <row r="4573" hidden="1">
      <c r="A4573" s="7"/>
      <c r="B4573" s="7"/>
      <c r="C4573" s="7"/>
      <c r="D4573" s="7"/>
      <c r="E4573" s="7"/>
      <c r="F4573" s="7"/>
      <c r="G4573" s="7"/>
      <c r="H4573" s="8"/>
      <c r="I4573" s="8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</row>
    <row r="4574" hidden="1">
      <c r="A4574" s="7"/>
      <c r="B4574" s="7"/>
      <c r="C4574" s="7"/>
      <c r="D4574" s="7"/>
      <c r="E4574" s="7"/>
      <c r="F4574" s="7"/>
      <c r="G4574" s="7"/>
      <c r="H4574" s="8"/>
      <c r="I4574" s="8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</row>
    <row r="4575" hidden="1">
      <c r="A4575" s="7"/>
      <c r="B4575" s="7"/>
      <c r="C4575" s="7"/>
      <c r="D4575" s="7"/>
      <c r="E4575" s="7"/>
      <c r="F4575" s="7"/>
      <c r="G4575" s="7"/>
      <c r="H4575" s="8"/>
      <c r="I4575" s="8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</row>
    <row r="4576" hidden="1">
      <c r="A4576" s="7"/>
      <c r="B4576" s="7"/>
      <c r="C4576" s="7"/>
      <c r="D4576" s="7"/>
      <c r="E4576" s="7"/>
      <c r="F4576" s="7"/>
      <c r="G4576" s="7"/>
      <c r="H4576" s="8"/>
      <c r="I4576" s="8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</row>
    <row r="4577" hidden="1">
      <c r="A4577" s="7"/>
      <c r="B4577" s="7"/>
      <c r="C4577" s="7"/>
      <c r="D4577" s="7"/>
      <c r="E4577" s="7"/>
      <c r="F4577" s="7"/>
      <c r="G4577" s="7"/>
      <c r="H4577" s="8"/>
      <c r="I4577" s="8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</row>
    <row r="4578" hidden="1">
      <c r="A4578" s="7"/>
      <c r="B4578" s="7"/>
      <c r="C4578" s="7"/>
      <c r="D4578" s="7"/>
      <c r="E4578" s="7"/>
      <c r="F4578" s="7"/>
      <c r="G4578" s="7"/>
      <c r="H4578" s="8"/>
      <c r="I4578" s="8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</row>
    <row r="4579" hidden="1">
      <c r="A4579" s="7"/>
      <c r="B4579" s="7"/>
      <c r="C4579" s="7"/>
      <c r="D4579" s="7"/>
      <c r="E4579" s="7"/>
      <c r="F4579" s="7"/>
      <c r="G4579" s="7"/>
      <c r="H4579" s="8"/>
      <c r="I4579" s="8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</row>
    <row r="4580" hidden="1">
      <c r="A4580" s="7"/>
      <c r="B4580" s="7"/>
      <c r="C4580" s="7"/>
      <c r="D4580" s="7"/>
      <c r="E4580" s="7"/>
      <c r="F4580" s="7"/>
      <c r="G4580" s="7"/>
      <c r="H4580" s="8"/>
      <c r="I4580" s="8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</row>
    <row r="4581" hidden="1">
      <c r="A4581" s="7"/>
      <c r="B4581" s="7"/>
      <c r="C4581" s="7"/>
      <c r="D4581" s="7"/>
      <c r="E4581" s="7"/>
      <c r="F4581" s="7"/>
      <c r="G4581" s="7"/>
      <c r="H4581" s="8"/>
      <c r="I4581" s="8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</row>
    <row r="4582" hidden="1">
      <c r="A4582" s="7"/>
      <c r="B4582" s="7"/>
      <c r="C4582" s="7"/>
      <c r="D4582" s="7"/>
      <c r="E4582" s="7"/>
      <c r="F4582" s="7"/>
      <c r="G4582" s="7"/>
      <c r="H4582" s="8"/>
      <c r="I4582" s="8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</row>
    <row r="4583" hidden="1">
      <c r="A4583" s="7"/>
      <c r="B4583" s="7"/>
      <c r="C4583" s="7"/>
      <c r="D4583" s="7"/>
      <c r="E4583" s="7"/>
      <c r="F4583" s="7"/>
      <c r="G4583" s="7"/>
      <c r="H4583" s="8"/>
      <c r="I4583" s="8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</row>
    <row r="4584" hidden="1">
      <c r="A4584" s="7"/>
      <c r="B4584" s="7"/>
      <c r="C4584" s="7"/>
      <c r="D4584" s="7"/>
      <c r="E4584" s="7"/>
      <c r="F4584" s="7"/>
      <c r="G4584" s="7"/>
      <c r="H4584" s="8"/>
      <c r="I4584" s="8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</row>
    <row r="4585" hidden="1">
      <c r="A4585" s="7"/>
      <c r="B4585" s="7"/>
      <c r="C4585" s="7"/>
      <c r="D4585" s="7"/>
      <c r="E4585" s="7"/>
      <c r="F4585" s="7"/>
      <c r="G4585" s="7"/>
      <c r="H4585" s="8"/>
      <c r="I4585" s="8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</row>
    <row r="4586" hidden="1">
      <c r="A4586" s="7"/>
      <c r="B4586" s="7"/>
      <c r="C4586" s="7"/>
      <c r="D4586" s="7"/>
      <c r="E4586" s="7"/>
      <c r="F4586" s="7"/>
      <c r="G4586" s="7"/>
      <c r="H4586" s="8"/>
      <c r="I4586" s="8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</row>
    <row r="4587" hidden="1">
      <c r="A4587" s="7"/>
      <c r="B4587" s="7"/>
      <c r="C4587" s="7"/>
      <c r="D4587" s="7"/>
      <c r="E4587" s="7"/>
      <c r="F4587" s="7"/>
      <c r="G4587" s="7"/>
      <c r="H4587" s="8"/>
      <c r="I4587" s="8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</row>
    <row r="4588" hidden="1">
      <c r="A4588" s="7"/>
      <c r="B4588" s="7"/>
      <c r="C4588" s="7"/>
      <c r="D4588" s="7"/>
      <c r="E4588" s="7"/>
      <c r="F4588" s="7"/>
      <c r="G4588" s="7"/>
      <c r="H4588" s="8"/>
      <c r="I4588" s="8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</row>
    <row r="4589" hidden="1">
      <c r="A4589" s="7"/>
      <c r="B4589" s="7"/>
      <c r="C4589" s="7"/>
      <c r="D4589" s="7"/>
      <c r="E4589" s="7"/>
      <c r="F4589" s="7"/>
      <c r="G4589" s="7"/>
      <c r="H4589" s="8"/>
      <c r="I4589" s="8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</row>
    <row r="4590" hidden="1">
      <c r="A4590" s="7"/>
      <c r="B4590" s="7"/>
      <c r="C4590" s="7"/>
      <c r="D4590" s="7"/>
      <c r="E4590" s="7"/>
      <c r="F4590" s="7"/>
      <c r="G4590" s="7"/>
      <c r="H4590" s="8"/>
      <c r="I4590" s="8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</row>
    <row r="4591" hidden="1">
      <c r="A4591" s="7"/>
      <c r="B4591" s="7"/>
      <c r="C4591" s="7"/>
      <c r="D4591" s="7"/>
      <c r="E4591" s="7"/>
      <c r="F4591" s="7"/>
      <c r="G4591" s="7"/>
      <c r="H4591" s="8"/>
      <c r="I4591" s="8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</row>
    <row r="4592" hidden="1">
      <c r="A4592" s="7"/>
      <c r="B4592" s="7"/>
      <c r="C4592" s="7"/>
      <c r="D4592" s="7"/>
      <c r="E4592" s="7"/>
      <c r="F4592" s="7"/>
      <c r="G4592" s="7"/>
      <c r="H4592" s="8"/>
      <c r="I4592" s="8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</row>
    <row r="4593" hidden="1">
      <c r="A4593" s="7"/>
      <c r="B4593" s="7"/>
      <c r="C4593" s="7"/>
      <c r="D4593" s="7"/>
      <c r="E4593" s="7"/>
      <c r="F4593" s="7"/>
      <c r="G4593" s="7"/>
      <c r="H4593" s="8"/>
      <c r="I4593" s="8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</row>
    <row r="4594" hidden="1">
      <c r="A4594" s="7"/>
      <c r="B4594" s="7"/>
      <c r="C4594" s="7"/>
      <c r="D4594" s="7"/>
      <c r="E4594" s="7"/>
      <c r="F4594" s="7"/>
      <c r="G4594" s="7"/>
      <c r="H4594" s="8"/>
      <c r="I4594" s="8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</row>
    <row r="4595" hidden="1">
      <c r="A4595" s="7"/>
      <c r="B4595" s="7"/>
      <c r="C4595" s="7"/>
      <c r="D4595" s="7"/>
      <c r="E4595" s="7"/>
      <c r="F4595" s="7"/>
      <c r="G4595" s="7"/>
      <c r="H4595" s="8"/>
      <c r="I4595" s="8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</row>
    <row r="4596" hidden="1">
      <c r="A4596" s="7"/>
      <c r="B4596" s="7"/>
      <c r="C4596" s="7"/>
      <c r="D4596" s="7"/>
      <c r="E4596" s="7"/>
      <c r="F4596" s="7"/>
      <c r="G4596" s="7"/>
      <c r="H4596" s="8"/>
      <c r="I4596" s="8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</row>
    <row r="4597" hidden="1">
      <c r="A4597" s="7"/>
      <c r="B4597" s="7"/>
      <c r="C4597" s="7"/>
      <c r="D4597" s="7"/>
      <c r="E4597" s="7"/>
      <c r="F4597" s="7"/>
      <c r="G4597" s="7"/>
      <c r="H4597" s="8"/>
      <c r="I4597" s="8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</row>
    <row r="4598" hidden="1">
      <c r="A4598" s="7"/>
      <c r="B4598" s="7"/>
      <c r="C4598" s="7"/>
      <c r="D4598" s="7"/>
      <c r="E4598" s="7"/>
      <c r="F4598" s="7"/>
      <c r="G4598" s="7"/>
      <c r="H4598" s="8"/>
      <c r="I4598" s="8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</row>
    <row r="4599" hidden="1">
      <c r="A4599" s="7"/>
      <c r="B4599" s="7"/>
      <c r="C4599" s="7"/>
      <c r="D4599" s="7"/>
      <c r="E4599" s="7"/>
      <c r="F4599" s="7"/>
      <c r="G4599" s="7"/>
      <c r="H4599" s="8"/>
      <c r="I4599" s="8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</row>
    <row r="4600" hidden="1">
      <c r="A4600" s="7"/>
      <c r="B4600" s="7"/>
      <c r="C4600" s="7"/>
      <c r="D4600" s="7"/>
      <c r="E4600" s="7"/>
      <c r="F4600" s="7"/>
      <c r="G4600" s="7"/>
      <c r="H4600" s="8"/>
      <c r="I4600" s="8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</row>
    <row r="4601" hidden="1">
      <c r="A4601" s="7"/>
      <c r="B4601" s="7"/>
      <c r="C4601" s="7"/>
      <c r="D4601" s="7"/>
      <c r="E4601" s="7"/>
      <c r="F4601" s="7"/>
      <c r="G4601" s="7"/>
      <c r="H4601" s="8"/>
      <c r="I4601" s="8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</row>
    <row r="4602" hidden="1">
      <c r="A4602" s="7"/>
      <c r="B4602" s="7"/>
      <c r="C4602" s="7"/>
      <c r="D4602" s="7"/>
      <c r="E4602" s="7"/>
      <c r="F4602" s="7"/>
      <c r="G4602" s="7"/>
      <c r="H4602" s="8"/>
      <c r="I4602" s="8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</row>
    <row r="4603" hidden="1">
      <c r="A4603" s="7"/>
      <c r="B4603" s="7"/>
      <c r="C4603" s="7"/>
      <c r="D4603" s="7"/>
      <c r="E4603" s="7"/>
      <c r="F4603" s="7"/>
      <c r="G4603" s="7"/>
      <c r="H4603" s="8"/>
      <c r="I4603" s="8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</row>
    <row r="4604" hidden="1">
      <c r="A4604" s="7"/>
      <c r="B4604" s="7"/>
      <c r="C4604" s="7"/>
      <c r="D4604" s="7"/>
      <c r="E4604" s="7"/>
      <c r="F4604" s="7"/>
      <c r="G4604" s="7"/>
      <c r="H4604" s="8"/>
      <c r="I4604" s="8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</row>
    <row r="4605" hidden="1">
      <c r="A4605" s="7"/>
      <c r="B4605" s="7"/>
      <c r="C4605" s="7"/>
      <c r="D4605" s="7"/>
      <c r="E4605" s="7"/>
      <c r="F4605" s="7"/>
      <c r="G4605" s="7"/>
      <c r="H4605" s="8"/>
      <c r="I4605" s="8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</row>
    <row r="4606" hidden="1">
      <c r="A4606" s="7"/>
      <c r="B4606" s="7"/>
      <c r="C4606" s="7"/>
      <c r="D4606" s="7"/>
      <c r="E4606" s="7"/>
      <c r="F4606" s="7"/>
      <c r="G4606" s="7"/>
      <c r="H4606" s="8"/>
      <c r="I4606" s="8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</row>
    <row r="4607" hidden="1">
      <c r="A4607" s="7"/>
      <c r="B4607" s="7"/>
      <c r="C4607" s="7"/>
      <c r="D4607" s="7"/>
      <c r="E4607" s="7"/>
      <c r="F4607" s="7"/>
      <c r="G4607" s="7"/>
      <c r="H4607" s="8"/>
      <c r="I4607" s="8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</row>
    <row r="4608" hidden="1">
      <c r="A4608" s="7"/>
      <c r="B4608" s="7"/>
      <c r="C4608" s="7"/>
      <c r="D4608" s="7"/>
      <c r="E4608" s="7"/>
      <c r="F4608" s="7"/>
      <c r="G4608" s="7"/>
      <c r="H4608" s="8"/>
      <c r="I4608" s="8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</row>
    <row r="4609" hidden="1">
      <c r="A4609" s="7"/>
      <c r="B4609" s="7"/>
      <c r="C4609" s="7"/>
      <c r="D4609" s="7"/>
      <c r="E4609" s="7"/>
      <c r="F4609" s="7"/>
      <c r="G4609" s="7"/>
      <c r="H4609" s="8"/>
      <c r="I4609" s="8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</row>
    <row r="4610" hidden="1">
      <c r="A4610" s="7"/>
      <c r="B4610" s="7"/>
      <c r="C4610" s="7"/>
      <c r="D4610" s="7"/>
      <c r="E4610" s="7"/>
      <c r="F4610" s="7"/>
      <c r="G4610" s="7"/>
      <c r="H4610" s="8"/>
      <c r="I4610" s="8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</row>
    <row r="4611" hidden="1">
      <c r="A4611" s="7"/>
      <c r="B4611" s="7"/>
      <c r="C4611" s="7"/>
      <c r="D4611" s="7"/>
      <c r="E4611" s="7"/>
      <c r="F4611" s="7"/>
      <c r="G4611" s="7"/>
      <c r="H4611" s="8"/>
      <c r="I4611" s="8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</row>
    <row r="4612" hidden="1">
      <c r="A4612" s="7"/>
      <c r="B4612" s="7"/>
      <c r="C4612" s="7"/>
      <c r="D4612" s="7"/>
      <c r="E4612" s="7"/>
      <c r="F4612" s="7"/>
      <c r="G4612" s="7"/>
      <c r="H4612" s="8"/>
      <c r="I4612" s="8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</row>
    <row r="4613" hidden="1">
      <c r="A4613" s="7"/>
      <c r="B4613" s="7"/>
      <c r="C4613" s="7"/>
      <c r="D4613" s="7"/>
      <c r="E4613" s="7"/>
      <c r="F4613" s="7"/>
      <c r="G4613" s="7"/>
      <c r="H4613" s="8"/>
      <c r="I4613" s="8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</row>
    <row r="4614" hidden="1">
      <c r="A4614" s="7"/>
      <c r="B4614" s="7"/>
      <c r="C4614" s="7"/>
      <c r="D4614" s="7"/>
      <c r="E4614" s="7"/>
      <c r="F4614" s="7"/>
      <c r="G4614" s="7"/>
      <c r="H4614" s="8"/>
      <c r="I4614" s="8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</row>
    <row r="4615" hidden="1">
      <c r="A4615" s="7"/>
      <c r="B4615" s="7"/>
      <c r="C4615" s="7"/>
      <c r="D4615" s="7"/>
      <c r="E4615" s="7"/>
      <c r="F4615" s="7"/>
      <c r="G4615" s="7"/>
      <c r="H4615" s="8"/>
      <c r="I4615" s="8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</row>
    <row r="4616" hidden="1">
      <c r="A4616" s="7"/>
      <c r="B4616" s="7"/>
      <c r="C4616" s="7"/>
      <c r="D4616" s="7"/>
      <c r="E4616" s="7"/>
      <c r="F4616" s="7"/>
      <c r="G4616" s="7"/>
      <c r="H4616" s="8"/>
      <c r="I4616" s="8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</row>
    <row r="4617" hidden="1">
      <c r="A4617" s="7"/>
      <c r="B4617" s="7"/>
      <c r="C4617" s="7"/>
      <c r="D4617" s="7"/>
      <c r="E4617" s="7"/>
      <c r="F4617" s="7"/>
      <c r="G4617" s="7"/>
      <c r="H4617" s="8"/>
      <c r="I4617" s="8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</row>
    <row r="4618" hidden="1">
      <c r="A4618" s="7"/>
      <c r="B4618" s="7"/>
      <c r="C4618" s="7"/>
      <c r="D4618" s="7"/>
      <c r="E4618" s="7"/>
      <c r="F4618" s="7"/>
      <c r="G4618" s="7"/>
      <c r="H4618" s="8"/>
      <c r="I4618" s="8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</row>
    <row r="4619" hidden="1">
      <c r="A4619" s="7"/>
      <c r="B4619" s="7"/>
      <c r="C4619" s="7"/>
      <c r="D4619" s="7"/>
      <c r="E4619" s="7"/>
      <c r="F4619" s="7"/>
      <c r="G4619" s="7"/>
      <c r="H4619" s="8"/>
      <c r="I4619" s="8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</row>
    <row r="4620" hidden="1">
      <c r="A4620" s="7"/>
      <c r="B4620" s="7"/>
      <c r="C4620" s="7"/>
      <c r="D4620" s="7"/>
      <c r="E4620" s="7"/>
      <c r="F4620" s="7"/>
      <c r="G4620" s="7"/>
      <c r="H4620" s="8"/>
      <c r="I4620" s="8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</row>
    <row r="4621" hidden="1">
      <c r="A4621" s="7"/>
      <c r="B4621" s="7"/>
      <c r="C4621" s="7"/>
      <c r="D4621" s="7"/>
      <c r="E4621" s="7"/>
      <c r="F4621" s="7"/>
      <c r="G4621" s="7"/>
      <c r="H4621" s="8"/>
      <c r="I4621" s="8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</row>
    <row r="4622" hidden="1">
      <c r="A4622" s="7"/>
      <c r="B4622" s="7"/>
      <c r="C4622" s="7"/>
      <c r="D4622" s="7"/>
      <c r="E4622" s="7"/>
      <c r="F4622" s="7"/>
      <c r="G4622" s="7"/>
      <c r="H4622" s="8"/>
      <c r="I4622" s="8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</row>
    <row r="4623" hidden="1">
      <c r="A4623" s="7"/>
      <c r="B4623" s="7"/>
      <c r="C4623" s="7"/>
      <c r="D4623" s="7"/>
      <c r="E4623" s="7"/>
      <c r="F4623" s="7"/>
      <c r="G4623" s="7"/>
      <c r="H4623" s="8"/>
      <c r="I4623" s="8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</row>
    <row r="4624" hidden="1">
      <c r="A4624" s="7"/>
      <c r="B4624" s="7"/>
      <c r="C4624" s="7"/>
      <c r="D4624" s="7"/>
      <c r="E4624" s="7"/>
      <c r="F4624" s="7"/>
      <c r="G4624" s="7"/>
      <c r="H4624" s="8"/>
      <c r="I4624" s="8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</row>
    <row r="4625" hidden="1">
      <c r="A4625" s="7"/>
      <c r="B4625" s="7"/>
      <c r="C4625" s="7"/>
      <c r="D4625" s="7"/>
      <c r="E4625" s="7"/>
      <c r="F4625" s="7"/>
      <c r="G4625" s="7"/>
      <c r="H4625" s="8"/>
      <c r="I4625" s="8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</row>
    <row r="4626" hidden="1">
      <c r="A4626" s="7"/>
      <c r="B4626" s="7"/>
      <c r="C4626" s="7"/>
      <c r="D4626" s="7"/>
      <c r="E4626" s="7"/>
      <c r="F4626" s="7"/>
      <c r="G4626" s="7"/>
      <c r="H4626" s="8"/>
      <c r="I4626" s="8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</row>
    <row r="4627" hidden="1">
      <c r="A4627" s="7"/>
      <c r="B4627" s="7"/>
      <c r="C4627" s="7"/>
      <c r="D4627" s="7"/>
      <c r="E4627" s="7"/>
      <c r="F4627" s="7"/>
      <c r="G4627" s="7"/>
      <c r="H4627" s="8"/>
      <c r="I4627" s="8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</row>
    <row r="4628" hidden="1">
      <c r="A4628" s="7"/>
      <c r="B4628" s="7"/>
      <c r="C4628" s="7"/>
      <c r="D4628" s="7"/>
      <c r="E4628" s="7"/>
      <c r="F4628" s="7"/>
      <c r="G4628" s="7"/>
      <c r="H4628" s="8"/>
      <c r="I4628" s="8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</row>
    <row r="4629" hidden="1">
      <c r="A4629" s="7"/>
      <c r="B4629" s="7"/>
      <c r="C4629" s="7"/>
      <c r="D4629" s="7"/>
      <c r="E4629" s="7"/>
      <c r="F4629" s="7"/>
      <c r="G4629" s="7"/>
      <c r="H4629" s="8"/>
      <c r="I4629" s="8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</row>
    <row r="4630" hidden="1">
      <c r="A4630" s="7"/>
      <c r="B4630" s="7"/>
      <c r="C4630" s="7"/>
      <c r="D4630" s="7"/>
      <c r="E4630" s="7"/>
      <c r="F4630" s="7"/>
      <c r="G4630" s="7"/>
      <c r="H4630" s="8"/>
      <c r="I4630" s="8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</row>
    <row r="4631" hidden="1">
      <c r="A4631" s="7"/>
      <c r="B4631" s="7"/>
      <c r="C4631" s="7"/>
      <c r="D4631" s="7"/>
      <c r="E4631" s="7"/>
      <c r="F4631" s="7"/>
      <c r="G4631" s="7"/>
      <c r="H4631" s="8"/>
      <c r="I4631" s="8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</row>
    <row r="4632" hidden="1">
      <c r="A4632" s="7"/>
      <c r="B4632" s="7"/>
      <c r="C4632" s="7"/>
      <c r="D4632" s="7"/>
      <c r="E4632" s="7"/>
      <c r="F4632" s="7"/>
      <c r="G4632" s="7"/>
      <c r="H4632" s="8"/>
      <c r="I4632" s="8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</row>
    <row r="4633" hidden="1">
      <c r="A4633" s="7"/>
      <c r="B4633" s="7"/>
      <c r="C4633" s="7"/>
      <c r="D4633" s="7"/>
      <c r="E4633" s="7"/>
      <c r="F4633" s="7"/>
      <c r="G4633" s="7"/>
      <c r="H4633" s="8"/>
      <c r="I4633" s="8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</row>
    <row r="4634" hidden="1">
      <c r="A4634" s="7"/>
      <c r="B4634" s="7"/>
      <c r="C4634" s="7"/>
      <c r="D4634" s="7"/>
      <c r="E4634" s="7"/>
      <c r="F4634" s="7"/>
      <c r="G4634" s="7"/>
      <c r="H4634" s="8"/>
      <c r="I4634" s="8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</row>
    <row r="4635" hidden="1">
      <c r="A4635" s="7"/>
      <c r="B4635" s="7"/>
      <c r="C4635" s="7"/>
      <c r="D4635" s="7"/>
      <c r="E4635" s="7"/>
      <c r="F4635" s="7"/>
      <c r="G4635" s="7"/>
      <c r="H4635" s="8"/>
      <c r="I4635" s="8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</row>
    <row r="4636" hidden="1">
      <c r="A4636" s="7"/>
      <c r="B4636" s="7"/>
      <c r="C4636" s="7"/>
      <c r="D4636" s="7"/>
      <c r="E4636" s="7"/>
      <c r="F4636" s="7"/>
      <c r="G4636" s="7"/>
      <c r="H4636" s="8"/>
      <c r="I4636" s="8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</row>
    <row r="4637" hidden="1">
      <c r="A4637" s="7"/>
      <c r="B4637" s="7"/>
      <c r="C4637" s="7"/>
      <c r="D4637" s="7"/>
      <c r="E4637" s="7"/>
      <c r="F4637" s="7"/>
      <c r="G4637" s="7"/>
      <c r="H4637" s="8"/>
      <c r="I4637" s="8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</row>
    <row r="4638" hidden="1">
      <c r="A4638" s="7"/>
      <c r="B4638" s="7"/>
      <c r="C4638" s="7"/>
      <c r="D4638" s="7"/>
      <c r="E4638" s="7"/>
      <c r="F4638" s="7"/>
      <c r="G4638" s="7"/>
      <c r="H4638" s="8"/>
      <c r="I4638" s="8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</row>
    <row r="4639" hidden="1">
      <c r="A4639" s="7"/>
      <c r="B4639" s="7"/>
      <c r="C4639" s="7"/>
      <c r="D4639" s="7"/>
      <c r="E4639" s="7"/>
      <c r="F4639" s="7"/>
      <c r="G4639" s="7"/>
      <c r="H4639" s="8"/>
      <c r="I4639" s="8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</row>
    <row r="4640" hidden="1">
      <c r="A4640" s="7"/>
      <c r="B4640" s="7"/>
      <c r="C4640" s="7"/>
      <c r="D4640" s="7"/>
      <c r="E4640" s="7"/>
      <c r="F4640" s="7"/>
      <c r="G4640" s="7"/>
      <c r="H4640" s="8"/>
      <c r="I4640" s="8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</row>
    <row r="4641" hidden="1">
      <c r="A4641" s="7"/>
      <c r="B4641" s="7"/>
      <c r="C4641" s="7"/>
      <c r="D4641" s="7"/>
      <c r="E4641" s="7"/>
      <c r="F4641" s="7"/>
      <c r="G4641" s="7"/>
      <c r="H4641" s="8"/>
      <c r="I4641" s="8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</row>
    <row r="4642" hidden="1">
      <c r="A4642" s="7"/>
      <c r="B4642" s="7"/>
      <c r="C4642" s="7"/>
      <c r="D4642" s="7"/>
      <c r="E4642" s="7"/>
      <c r="F4642" s="7"/>
      <c r="G4642" s="7"/>
      <c r="H4642" s="8"/>
      <c r="I4642" s="8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</row>
    <row r="4643" hidden="1">
      <c r="A4643" s="7"/>
      <c r="B4643" s="7"/>
      <c r="C4643" s="7"/>
      <c r="D4643" s="7"/>
      <c r="E4643" s="7"/>
      <c r="F4643" s="7"/>
      <c r="G4643" s="7"/>
      <c r="H4643" s="8"/>
      <c r="I4643" s="8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</row>
    <row r="4644" hidden="1">
      <c r="A4644" s="7"/>
      <c r="B4644" s="7"/>
      <c r="C4644" s="7"/>
      <c r="D4644" s="7"/>
      <c r="E4644" s="7"/>
      <c r="F4644" s="7"/>
      <c r="G4644" s="7"/>
      <c r="H4644" s="8"/>
      <c r="I4644" s="8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</row>
    <row r="4645" hidden="1">
      <c r="A4645" s="7"/>
      <c r="B4645" s="7"/>
      <c r="C4645" s="7"/>
      <c r="D4645" s="7"/>
      <c r="E4645" s="7"/>
      <c r="F4645" s="7"/>
      <c r="G4645" s="7"/>
      <c r="H4645" s="8"/>
      <c r="I4645" s="8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</row>
    <row r="4646" hidden="1">
      <c r="A4646" s="7"/>
      <c r="B4646" s="7"/>
      <c r="C4646" s="7"/>
      <c r="D4646" s="7"/>
      <c r="E4646" s="7"/>
      <c r="F4646" s="7"/>
      <c r="G4646" s="7"/>
      <c r="H4646" s="8"/>
      <c r="I4646" s="8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</row>
    <row r="4647" hidden="1">
      <c r="A4647" s="7"/>
      <c r="B4647" s="7"/>
      <c r="C4647" s="7"/>
      <c r="D4647" s="7"/>
      <c r="E4647" s="7"/>
      <c r="F4647" s="7"/>
      <c r="G4647" s="7"/>
      <c r="H4647" s="8"/>
      <c r="I4647" s="8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</row>
    <row r="4648" hidden="1">
      <c r="A4648" s="7"/>
      <c r="B4648" s="7"/>
      <c r="C4648" s="7"/>
      <c r="D4648" s="7"/>
      <c r="E4648" s="7"/>
      <c r="F4648" s="7"/>
      <c r="G4648" s="7"/>
      <c r="H4648" s="8"/>
      <c r="I4648" s="8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</row>
    <row r="4649" hidden="1">
      <c r="A4649" s="7"/>
      <c r="B4649" s="7"/>
      <c r="C4649" s="7"/>
      <c r="D4649" s="7"/>
      <c r="E4649" s="7"/>
      <c r="F4649" s="7"/>
      <c r="G4649" s="7"/>
      <c r="H4649" s="8"/>
      <c r="I4649" s="8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</row>
    <row r="4650" hidden="1">
      <c r="A4650" s="7"/>
      <c r="B4650" s="7"/>
      <c r="C4650" s="7"/>
      <c r="D4650" s="7"/>
      <c r="E4650" s="7"/>
      <c r="F4650" s="7"/>
      <c r="G4650" s="7"/>
      <c r="H4650" s="8"/>
      <c r="I4650" s="8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</row>
    <row r="4651" hidden="1">
      <c r="A4651" s="7"/>
      <c r="B4651" s="7"/>
      <c r="C4651" s="7"/>
      <c r="D4651" s="7"/>
      <c r="E4651" s="7"/>
      <c r="F4651" s="7"/>
      <c r="G4651" s="7"/>
      <c r="H4651" s="8"/>
      <c r="I4651" s="8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</row>
    <row r="4652" hidden="1">
      <c r="A4652" s="7"/>
      <c r="B4652" s="7"/>
      <c r="C4652" s="7"/>
      <c r="D4652" s="7"/>
      <c r="E4652" s="7"/>
      <c r="F4652" s="7"/>
      <c r="G4652" s="7"/>
      <c r="H4652" s="8"/>
      <c r="I4652" s="8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</row>
    <row r="4653" hidden="1">
      <c r="A4653" s="7"/>
      <c r="B4653" s="7"/>
      <c r="C4653" s="7"/>
      <c r="D4653" s="7"/>
      <c r="E4653" s="7"/>
      <c r="F4653" s="7"/>
      <c r="G4653" s="7"/>
      <c r="H4653" s="8"/>
      <c r="I4653" s="8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</row>
    <row r="4654" hidden="1">
      <c r="A4654" s="7"/>
      <c r="B4654" s="7"/>
      <c r="C4654" s="7"/>
      <c r="D4654" s="7"/>
      <c r="E4654" s="7"/>
      <c r="F4654" s="7"/>
      <c r="G4654" s="7"/>
      <c r="H4654" s="8"/>
      <c r="I4654" s="8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</row>
    <row r="4655" hidden="1">
      <c r="A4655" s="7"/>
      <c r="B4655" s="7"/>
      <c r="C4655" s="7"/>
      <c r="D4655" s="7"/>
      <c r="E4655" s="7"/>
      <c r="F4655" s="7"/>
      <c r="G4655" s="7"/>
      <c r="H4655" s="8"/>
      <c r="I4655" s="8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</row>
    <row r="4656" hidden="1">
      <c r="A4656" s="7"/>
      <c r="B4656" s="7"/>
      <c r="C4656" s="7"/>
      <c r="D4656" s="7"/>
      <c r="E4656" s="7"/>
      <c r="F4656" s="7"/>
      <c r="G4656" s="7"/>
      <c r="H4656" s="8"/>
      <c r="I4656" s="8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</row>
    <row r="4657" hidden="1">
      <c r="A4657" s="7"/>
      <c r="B4657" s="7"/>
      <c r="C4657" s="7"/>
      <c r="D4657" s="7"/>
      <c r="E4657" s="7"/>
      <c r="F4657" s="7"/>
      <c r="G4657" s="7"/>
      <c r="H4657" s="8"/>
      <c r="I4657" s="8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</row>
    <row r="4658" hidden="1">
      <c r="A4658" s="7"/>
      <c r="B4658" s="7"/>
      <c r="C4658" s="7"/>
      <c r="D4658" s="7"/>
      <c r="E4658" s="7"/>
      <c r="F4658" s="7"/>
      <c r="G4658" s="7"/>
      <c r="H4658" s="8"/>
      <c r="I4658" s="8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</row>
    <row r="4659" hidden="1">
      <c r="A4659" s="7"/>
      <c r="B4659" s="7"/>
      <c r="C4659" s="7"/>
      <c r="D4659" s="7"/>
      <c r="E4659" s="7"/>
      <c r="F4659" s="7"/>
      <c r="G4659" s="7"/>
      <c r="H4659" s="8"/>
      <c r="I4659" s="8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</row>
    <row r="4660" hidden="1">
      <c r="A4660" s="7"/>
      <c r="B4660" s="7"/>
      <c r="C4660" s="7"/>
      <c r="D4660" s="7"/>
      <c r="E4660" s="7"/>
      <c r="F4660" s="7"/>
      <c r="G4660" s="7"/>
      <c r="H4660" s="8"/>
      <c r="I4660" s="8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</row>
    <row r="4661" hidden="1">
      <c r="A4661" s="7"/>
      <c r="B4661" s="7"/>
      <c r="C4661" s="7"/>
      <c r="D4661" s="7"/>
      <c r="E4661" s="7"/>
      <c r="F4661" s="7"/>
      <c r="G4661" s="7"/>
      <c r="H4661" s="8"/>
      <c r="I4661" s="8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</row>
    <row r="4662" hidden="1">
      <c r="A4662" s="7"/>
      <c r="B4662" s="7"/>
      <c r="C4662" s="7"/>
      <c r="D4662" s="7"/>
      <c r="E4662" s="7"/>
      <c r="F4662" s="7"/>
      <c r="G4662" s="7"/>
      <c r="H4662" s="8"/>
      <c r="I4662" s="8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</row>
    <row r="4663" hidden="1">
      <c r="A4663" s="7"/>
      <c r="B4663" s="7"/>
      <c r="C4663" s="7"/>
      <c r="D4663" s="7"/>
      <c r="E4663" s="7"/>
      <c r="F4663" s="7"/>
      <c r="G4663" s="7"/>
      <c r="H4663" s="8"/>
      <c r="I4663" s="8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</row>
    <row r="4664" hidden="1">
      <c r="A4664" s="7"/>
      <c r="B4664" s="7"/>
      <c r="C4664" s="7"/>
      <c r="D4664" s="7"/>
      <c r="E4664" s="7"/>
      <c r="F4664" s="7"/>
      <c r="G4664" s="7"/>
      <c r="H4664" s="8"/>
      <c r="I4664" s="8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</row>
    <row r="4665" hidden="1">
      <c r="A4665" s="7"/>
      <c r="B4665" s="7"/>
      <c r="C4665" s="7"/>
      <c r="D4665" s="7"/>
      <c r="E4665" s="7"/>
      <c r="F4665" s="7"/>
      <c r="G4665" s="7"/>
      <c r="H4665" s="8"/>
      <c r="I4665" s="8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</row>
    <row r="4666" hidden="1">
      <c r="A4666" s="7"/>
      <c r="B4666" s="7"/>
      <c r="C4666" s="7"/>
      <c r="D4666" s="7"/>
      <c r="E4666" s="7"/>
      <c r="F4666" s="7"/>
      <c r="G4666" s="7"/>
      <c r="H4666" s="8"/>
      <c r="I4666" s="8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</row>
    <row r="4667" hidden="1">
      <c r="A4667" s="7"/>
      <c r="B4667" s="7"/>
      <c r="C4667" s="7"/>
      <c r="D4667" s="7"/>
      <c r="E4667" s="7"/>
      <c r="F4667" s="7"/>
      <c r="G4667" s="7"/>
      <c r="H4667" s="8"/>
      <c r="I4667" s="8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</row>
    <row r="4668" hidden="1">
      <c r="A4668" s="7"/>
      <c r="B4668" s="7"/>
      <c r="C4668" s="7"/>
      <c r="D4668" s="7"/>
      <c r="E4668" s="7"/>
      <c r="F4668" s="7"/>
      <c r="G4668" s="7"/>
      <c r="H4668" s="8"/>
      <c r="I4668" s="8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</row>
    <row r="4669" hidden="1">
      <c r="A4669" s="7"/>
      <c r="B4669" s="7"/>
      <c r="C4669" s="7"/>
      <c r="D4669" s="7"/>
      <c r="E4669" s="7"/>
      <c r="F4669" s="7"/>
      <c r="G4669" s="7"/>
      <c r="H4669" s="8"/>
      <c r="I4669" s="8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</row>
    <row r="4670" hidden="1">
      <c r="A4670" s="7"/>
      <c r="B4670" s="7"/>
      <c r="C4670" s="7"/>
      <c r="D4670" s="7"/>
      <c r="E4670" s="7"/>
      <c r="F4670" s="7"/>
      <c r="G4670" s="7"/>
      <c r="H4670" s="8"/>
      <c r="I4670" s="8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</row>
    <row r="4671" hidden="1">
      <c r="A4671" s="7"/>
      <c r="B4671" s="7"/>
      <c r="C4671" s="7"/>
      <c r="D4671" s="7"/>
      <c r="E4671" s="7"/>
      <c r="F4671" s="7"/>
      <c r="G4671" s="7"/>
      <c r="H4671" s="8"/>
      <c r="I4671" s="8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</row>
    <row r="4672" hidden="1">
      <c r="A4672" s="7"/>
      <c r="B4672" s="7"/>
      <c r="C4672" s="7"/>
      <c r="D4672" s="7"/>
      <c r="E4672" s="7"/>
      <c r="F4672" s="7"/>
      <c r="G4672" s="7"/>
      <c r="H4672" s="8"/>
      <c r="I4672" s="8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</row>
    <row r="4673" hidden="1">
      <c r="A4673" s="7"/>
      <c r="B4673" s="7"/>
      <c r="C4673" s="7"/>
      <c r="D4673" s="7"/>
      <c r="E4673" s="7"/>
      <c r="F4673" s="7"/>
      <c r="G4673" s="7"/>
      <c r="H4673" s="8"/>
      <c r="I4673" s="8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</row>
    <row r="4674" hidden="1">
      <c r="A4674" s="7"/>
      <c r="B4674" s="7"/>
      <c r="C4674" s="7"/>
      <c r="D4674" s="7"/>
      <c r="E4674" s="7"/>
      <c r="F4674" s="7"/>
      <c r="G4674" s="7"/>
      <c r="H4674" s="8"/>
      <c r="I4674" s="8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</row>
    <row r="4675" hidden="1">
      <c r="A4675" s="7"/>
      <c r="B4675" s="7"/>
      <c r="C4675" s="7"/>
      <c r="D4675" s="7"/>
      <c r="E4675" s="7"/>
      <c r="F4675" s="7"/>
      <c r="G4675" s="7"/>
      <c r="H4675" s="8"/>
      <c r="I4675" s="8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</row>
    <row r="4676" hidden="1">
      <c r="A4676" s="7"/>
      <c r="B4676" s="7"/>
      <c r="C4676" s="7"/>
      <c r="D4676" s="7"/>
      <c r="E4676" s="7"/>
      <c r="F4676" s="7"/>
      <c r="G4676" s="7"/>
      <c r="H4676" s="8"/>
      <c r="I4676" s="8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</row>
    <row r="4677" hidden="1">
      <c r="A4677" s="7"/>
      <c r="B4677" s="7"/>
      <c r="C4677" s="7"/>
      <c r="D4677" s="7"/>
      <c r="E4677" s="7"/>
      <c r="F4677" s="7"/>
      <c r="G4677" s="7"/>
      <c r="H4677" s="8"/>
      <c r="I4677" s="8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</row>
    <row r="4678" hidden="1">
      <c r="A4678" s="7"/>
      <c r="B4678" s="7"/>
      <c r="C4678" s="7"/>
      <c r="D4678" s="7"/>
      <c r="E4678" s="7"/>
      <c r="F4678" s="7"/>
      <c r="G4678" s="7"/>
      <c r="H4678" s="8"/>
      <c r="I4678" s="8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</row>
    <row r="4679" hidden="1">
      <c r="A4679" s="7"/>
      <c r="B4679" s="7"/>
      <c r="C4679" s="7"/>
      <c r="D4679" s="7"/>
      <c r="E4679" s="7"/>
      <c r="F4679" s="7"/>
      <c r="G4679" s="7"/>
      <c r="H4679" s="8"/>
      <c r="I4679" s="8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</row>
    <row r="4680" hidden="1">
      <c r="A4680" s="7"/>
      <c r="B4680" s="7"/>
      <c r="C4680" s="7"/>
      <c r="D4680" s="7"/>
      <c r="E4680" s="7"/>
      <c r="F4680" s="7"/>
      <c r="G4680" s="7"/>
      <c r="H4680" s="8"/>
      <c r="I4680" s="8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</row>
    <row r="4681" hidden="1">
      <c r="A4681" s="7"/>
      <c r="B4681" s="7"/>
      <c r="C4681" s="7"/>
      <c r="D4681" s="7"/>
      <c r="E4681" s="7"/>
      <c r="F4681" s="7"/>
      <c r="G4681" s="7"/>
      <c r="H4681" s="8"/>
      <c r="I4681" s="8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</row>
    <row r="4682" hidden="1">
      <c r="A4682" s="7"/>
      <c r="B4682" s="7"/>
      <c r="C4682" s="7"/>
      <c r="D4682" s="7"/>
      <c r="E4682" s="7"/>
      <c r="F4682" s="7"/>
      <c r="G4682" s="7"/>
      <c r="H4682" s="8"/>
      <c r="I4682" s="8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</row>
    <row r="4683" hidden="1">
      <c r="A4683" s="7"/>
      <c r="B4683" s="7"/>
      <c r="C4683" s="7"/>
      <c r="D4683" s="7"/>
      <c r="E4683" s="7"/>
      <c r="F4683" s="7"/>
      <c r="G4683" s="7"/>
      <c r="H4683" s="8"/>
      <c r="I4683" s="8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</row>
    <row r="4684" hidden="1">
      <c r="A4684" s="7"/>
      <c r="B4684" s="7"/>
      <c r="C4684" s="7"/>
      <c r="D4684" s="7"/>
      <c r="E4684" s="7"/>
      <c r="F4684" s="7"/>
      <c r="G4684" s="7"/>
      <c r="H4684" s="8"/>
      <c r="I4684" s="8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</row>
    <row r="4685" hidden="1">
      <c r="A4685" s="7"/>
      <c r="B4685" s="7"/>
      <c r="C4685" s="7"/>
      <c r="D4685" s="7"/>
      <c r="E4685" s="7"/>
      <c r="F4685" s="7"/>
      <c r="G4685" s="7"/>
      <c r="H4685" s="8"/>
      <c r="I4685" s="8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</row>
    <row r="4686" hidden="1">
      <c r="A4686" s="7"/>
      <c r="B4686" s="7"/>
      <c r="C4686" s="7"/>
      <c r="D4686" s="7"/>
      <c r="E4686" s="7"/>
      <c r="F4686" s="7"/>
      <c r="G4686" s="7"/>
      <c r="H4686" s="8"/>
      <c r="I4686" s="8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</row>
    <row r="4687" hidden="1">
      <c r="A4687" s="7"/>
      <c r="B4687" s="7"/>
      <c r="C4687" s="7"/>
      <c r="D4687" s="7"/>
      <c r="E4687" s="7"/>
      <c r="F4687" s="7"/>
      <c r="G4687" s="7"/>
      <c r="H4687" s="8"/>
      <c r="I4687" s="8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</row>
    <row r="4688" hidden="1">
      <c r="A4688" s="7"/>
      <c r="B4688" s="7"/>
      <c r="C4688" s="7"/>
      <c r="D4688" s="7"/>
      <c r="E4688" s="7"/>
      <c r="F4688" s="7"/>
      <c r="G4688" s="7"/>
      <c r="H4688" s="8"/>
      <c r="I4688" s="8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</row>
    <row r="4689" hidden="1">
      <c r="A4689" s="7"/>
      <c r="B4689" s="7"/>
      <c r="C4689" s="7"/>
      <c r="D4689" s="7"/>
      <c r="E4689" s="7"/>
      <c r="F4689" s="7"/>
      <c r="G4689" s="7"/>
      <c r="H4689" s="8"/>
      <c r="I4689" s="8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</row>
    <row r="4690" hidden="1">
      <c r="A4690" s="7"/>
      <c r="B4690" s="7"/>
      <c r="C4690" s="7"/>
      <c r="D4690" s="7"/>
      <c r="E4690" s="7"/>
      <c r="F4690" s="7"/>
      <c r="G4690" s="7"/>
      <c r="H4690" s="8"/>
      <c r="I4690" s="8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</row>
    <row r="4691" hidden="1">
      <c r="A4691" s="7"/>
      <c r="B4691" s="7"/>
      <c r="C4691" s="7"/>
      <c r="D4691" s="7"/>
      <c r="E4691" s="7"/>
      <c r="F4691" s="7"/>
      <c r="G4691" s="7"/>
      <c r="H4691" s="8"/>
      <c r="I4691" s="8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</row>
    <row r="4692" hidden="1">
      <c r="A4692" s="7"/>
      <c r="B4692" s="7"/>
      <c r="C4692" s="7"/>
      <c r="D4692" s="7"/>
      <c r="E4692" s="7"/>
      <c r="F4692" s="7"/>
      <c r="G4692" s="7"/>
      <c r="H4692" s="8"/>
      <c r="I4692" s="8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</row>
    <row r="4693" hidden="1">
      <c r="A4693" s="7"/>
      <c r="B4693" s="7"/>
      <c r="C4693" s="7"/>
      <c r="D4693" s="7"/>
      <c r="E4693" s="7"/>
      <c r="F4693" s="7"/>
      <c r="G4693" s="7"/>
      <c r="H4693" s="8"/>
      <c r="I4693" s="8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</row>
    <row r="4694" hidden="1">
      <c r="A4694" s="7"/>
      <c r="B4694" s="7"/>
      <c r="C4694" s="7"/>
      <c r="D4694" s="7"/>
      <c r="E4694" s="7"/>
      <c r="F4694" s="7"/>
      <c r="G4694" s="7"/>
      <c r="H4694" s="8"/>
      <c r="I4694" s="8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</row>
    <row r="4695" hidden="1">
      <c r="A4695" s="7"/>
      <c r="B4695" s="7"/>
      <c r="C4695" s="7"/>
      <c r="D4695" s="7"/>
      <c r="E4695" s="7"/>
      <c r="F4695" s="7"/>
      <c r="G4695" s="7"/>
      <c r="H4695" s="8"/>
      <c r="I4695" s="8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</row>
    <row r="4696" hidden="1">
      <c r="A4696" s="7"/>
      <c r="B4696" s="7"/>
      <c r="C4696" s="7"/>
      <c r="D4696" s="7"/>
      <c r="E4696" s="7"/>
      <c r="F4696" s="7"/>
      <c r="G4696" s="7"/>
      <c r="H4696" s="8"/>
      <c r="I4696" s="8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</row>
    <row r="4697" hidden="1">
      <c r="A4697" s="7"/>
      <c r="B4697" s="7"/>
      <c r="C4697" s="7"/>
      <c r="D4697" s="7"/>
      <c r="E4697" s="7"/>
      <c r="F4697" s="7"/>
      <c r="G4697" s="7"/>
      <c r="H4697" s="8"/>
      <c r="I4697" s="8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</row>
    <row r="4698" hidden="1">
      <c r="A4698" s="7"/>
      <c r="B4698" s="7"/>
      <c r="C4698" s="7"/>
      <c r="D4698" s="7"/>
      <c r="E4698" s="7"/>
      <c r="F4698" s="7"/>
      <c r="G4698" s="7"/>
      <c r="H4698" s="8"/>
      <c r="I4698" s="8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</row>
    <row r="4699" hidden="1">
      <c r="A4699" s="7"/>
      <c r="B4699" s="7"/>
      <c r="C4699" s="7"/>
      <c r="D4699" s="7"/>
      <c r="E4699" s="7"/>
      <c r="F4699" s="7"/>
      <c r="G4699" s="7"/>
      <c r="H4699" s="8"/>
      <c r="I4699" s="8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</row>
    <row r="4700" hidden="1">
      <c r="A4700" s="7"/>
      <c r="B4700" s="7"/>
      <c r="C4700" s="7"/>
      <c r="D4700" s="7"/>
      <c r="E4700" s="7"/>
      <c r="F4700" s="7"/>
      <c r="G4700" s="7"/>
      <c r="H4700" s="8"/>
      <c r="I4700" s="8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</row>
    <row r="4701" hidden="1">
      <c r="A4701" s="7"/>
      <c r="B4701" s="7"/>
      <c r="C4701" s="7"/>
      <c r="D4701" s="7"/>
      <c r="E4701" s="7"/>
      <c r="F4701" s="7"/>
      <c r="G4701" s="7"/>
      <c r="H4701" s="8"/>
      <c r="I4701" s="8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</row>
    <row r="4702" hidden="1">
      <c r="A4702" s="7"/>
      <c r="B4702" s="7"/>
      <c r="C4702" s="7"/>
      <c r="D4702" s="7"/>
      <c r="E4702" s="7"/>
      <c r="F4702" s="7"/>
      <c r="G4702" s="7"/>
      <c r="H4702" s="8"/>
      <c r="I4702" s="8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</row>
    <row r="4703" hidden="1">
      <c r="A4703" s="7"/>
      <c r="B4703" s="7"/>
      <c r="C4703" s="7"/>
      <c r="D4703" s="7"/>
      <c r="E4703" s="7"/>
      <c r="F4703" s="7"/>
      <c r="G4703" s="7"/>
      <c r="H4703" s="8"/>
      <c r="I4703" s="8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</row>
    <row r="4704" hidden="1">
      <c r="A4704" s="7"/>
      <c r="B4704" s="7"/>
      <c r="C4704" s="7"/>
      <c r="D4704" s="7"/>
      <c r="E4704" s="7"/>
      <c r="F4704" s="7"/>
      <c r="G4704" s="7"/>
      <c r="H4704" s="8"/>
      <c r="I4704" s="8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</row>
    <row r="4705" hidden="1">
      <c r="A4705" s="7"/>
      <c r="B4705" s="7"/>
      <c r="C4705" s="7"/>
      <c r="D4705" s="7"/>
      <c r="E4705" s="7"/>
      <c r="F4705" s="7"/>
      <c r="G4705" s="7"/>
      <c r="H4705" s="8"/>
      <c r="I4705" s="8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</row>
    <row r="4706" hidden="1">
      <c r="A4706" s="7"/>
      <c r="B4706" s="7"/>
      <c r="C4706" s="7"/>
      <c r="D4706" s="7"/>
      <c r="E4706" s="7"/>
      <c r="F4706" s="7"/>
      <c r="G4706" s="7"/>
      <c r="H4706" s="8"/>
      <c r="I4706" s="8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</row>
    <row r="4707" hidden="1">
      <c r="A4707" s="7"/>
      <c r="B4707" s="7"/>
      <c r="C4707" s="7"/>
      <c r="D4707" s="7"/>
      <c r="E4707" s="7"/>
      <c r="F4707" s="7"/>
      <c r="G4707" s="7"/>
      <c r="H4707" s="8"/>
      <c r="I4707" s="8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</row>
    <row r="4708" hidden="1">
      <c r="A4708" s="7"/>
      <c r="B4708" s="7"/>
      <c r="C4708" s="7"/>
      <c r="D4708" s="7"/>
      <c r="E4708" s="7"/>
      <c r="F4708" s="7"/>
      <c r="G4708" s="7"/>
      <c r="H4708" s="8"/>
      <c r="I4708" s="8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</row>
    <row r="4709" hidden="1">
      <c r="A4709" s="7"/>
      <c r="B4709" s="7"/>
      <c r="C4709" s="7"/>
      <c r="D4709" s="7"/>
      <c r="E4709" s="7"/>
      <c r="F4709" s="7"/>
      <c r="G4709" s="7"/>
      <c r="H4709" s="8"/>
      <c r="I4709" s="8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</row>
    <row r="4710" hidden="1">
      <c r="A4710" s="7"/>
      <c r="B4710" s="7"/>
      <c r="C4710" s="7"/>
      <c r="D4710" s="7"/>
      <c r="E4710" s="7"/>
      <c r="F4710" s="7"/>
      <c r="G4710" s="7"/>
      <c r="H4710" s="8"/>
      <c r="I4710" s="8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</row>
    <row r="4711" hidden="1">
      <c r="A4711" s="7"/>
      <c r="B4711" s="7"/>
      <c r="C4711" s="7"/>
      <c r="D4711" s="7"/>
      <c r="E4711" s="7"/>
      <c r="F4711" s="7"/>
      <c r="G4711" s="7"/>
      <c r="H4711" s="8"/>
      <c r="I4711" s="8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</row>
    <row r="4712" hidden="1">
      <c r="A4712" s="7"/>
      <c r="B4712" s="7"/>
      <c r="C4712" s="7"/>
      <c r="D4712" s="7"/>
      <c r="E4712" s="7"/>
      <c r="F4712" s="7"/>
      <c r="G4712" s="7"/>
      <c r="H4712" s="8"/>
      <c r="I4712" s="8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</row>
    <row r="4713" hidden="1">
      <c r="A4713" s="7"/>
      <c r="B4713" s="7"/>
      <c r="C4713" s="7"/>
      <c r="D4713" s="7"/>
      <c r="E4713" s="7"/>
      <c r="F4713" s="7"/>
      <c r="G4713" s="7"/>
      <c r="H4713" s="8"/>
      <c r="I4713" s="8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</row>
    <row r="4714" hidden="1">
      <c r="A4714" s="7"/>
      <c r="B4714" s="7"/>
      <c r="C4714" s="7"/>
      <c r="D4714" s="7"/>
      <c r="E4714" s="7"/>
      <c r="F4714" s="7"/>
      <c r="G4714" s="7"/>
      <c r="H4714" s="8"/>
      <c r="I4714" s="8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</row>
    <row r="4715" hidden="1">
      <c r="A4715" s="7"/>
      <c r="B4715" s="7"/>
      <c r="C4715" s="7"/>
      <c r="D4715" s="7"/>
      <c r="E4715" s="7"/>
      <c r="F4715" s="7"/>
      <c r="G4715" s="7"/>
      <c r="H4715" s="8"/>
      <c r="I4715" s="8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</row>
    <row r="4716" hidden="1">
      <c r="A4716" s="7"/>
      <c r="B4716" s="7"/>
      <c r="C4716" s="7"/>
      <c r="D4716" s="7"/>
      <c r="E4716" s="7"/>
      <c r="F4716" s="7"/>
      <c r="G4716" s="7"/>
      <c r="H4716" s="8"/>
      <c r="I4716" s="8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</row>
    <row r="4717" hidden="1">
      <c r="A4717" s="7"/>
      <c r="B4717" s="7"/>
      <c r="C4717" s="7"/>
      <c r="D4717" s="7"/>
      <c r="E4717" s="7"/>
      <c r="F4717" s="7"/>
      <c r="G4717" s="7"/>
      <c r="H4717" s="8"/>
      <c r="I4717" s="8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</row>
    <row r="4718" hidden="1">
      <c r="A4718" s="7"/>
      <c r="B4718" s="7"/>
      <c r="C4718" s="7"/>
      <c r="D4718" s="7"/>
      <c r="E4718" s="7"/>
      <c r="F4718" s="7"/>
      <c r="G4718" s="7"/>
      <c r="H4718" s="8"/>
      <c r="I4718" s="8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</row>
    <row r="4719" hidden="1">
      <c r="A4719" s="7"/>
      <c r="B4719" s="7"/>
      <c r="C4719" s="7"/>
      <c r="D4719" s="7"/>
      <c r="E4719" s="7"/>
      <c r="F4719" s="7"/>
      <c r="G4719" s="7"/>
      <c r="H4719" s="8"/>
      <c r="I4719" s="8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</row>
    <row r="4720" hidden="1">
      <c r="A4720" s="7"/>
      <c r="B4720" s="7"/>
      <c r="C4720" s="7"/>
      <c r="D4720" s="7"/>
      <c r="E4720" s="7"/>
      <c r="F4720" s="7"/>
      <c r="G4720" s="7"/>
      <c r="H4720" s="8"/>
      <c r="I4720" s="8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</row>
    <row r="4721" hidden="1">
      <c r="A4721" s="7"/>
      <c r="B4721" s="7"/>
      <c r="C4721" s="7"/>
      <c r="D4721" s="7"/>
      <c r="E4721" s="7"/>
      <c r="F4721" s="7"/>
      <c r="G4721" s="7"/>
      <c r="H4721" s="8"/>
      <c r="I4721" s="8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</row>
    <row r="4722" hidden="1">
      <c r="A4722" s="7"/>
      <c r="B4722" s="7"/>
      <c r="C4722" s="7"/>
      <c r="D4722" s="7"/>
      <c r="E4722" s="7"/>
      <c r="F4722" s="7"/>
      <c r="G4722" s="7"/>
      <c r="H4722" s="8"/>
      <c r="I4722" s="8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</row>
    <row r="4723" hidden="1">
      <c r="A4723" s="7"/>
      <c r="B4723" s="7"/>
      <c r="C4723" s="7"/>
      <c r="D4723" s="7"/>
      <c r="E4723" s="7"/>
      <c r="F4723" s="7"/>
      <c r="G4723" s="7"/>
      <c r="H4723" s="8"/>
      <c r="I4723" s="8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</row>
    <row r="4724" hidden="1">
      <c r="A4724" s="7"/>
      <c r="B4724" s="7"/>
      <c r="C4724" s="7"/>
      <c r="D4724" s="7"/>
      <c r="E4724" s="7"/>
      <c r="F4724" s="7"/>
      <c r="G4724" s="7"/>
      <c r="H4724" s="8"/>
      <c r="I4724" s="8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</row>
    <row r="4725" hidden="1">
      <c r="A4725" s="7"/>
      <c r="B4725" s="7"/>
      <c r="C4725" s="7"/>
      <c r="D4725" s="7"/>
      <c r="E4725" s="7"/>
      <c r="F4725" s="7"/>
      <c r="G4725" s="7"/>
      <c r="H4725" s="8"/>
      <c r="I4725" s="8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</row>
    <row r="4726" hidden="1">
      <c r="A4726" s="7"/>
      <c r="B4726" s="7"/>
      <c r="C4726" s="7"/>
      <c r="D4726" s="7"/>
      <c r="E4726" s="7"/>
      <c r="F4726" s="7"/>
      <c r="G4726" s="7"/>
      <c r="H4726" s="8"/>
      <c r="I4726" s="8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</row>
    <row r="4727" hidden="1">
      <c r="A4727" s="7"/>
      <c r="B4727" s="7"/>
      <c r="C4727" s="7"/>
      <c r="D4727" s="7"/>
      <c r="E4727" s="7"/>
      <c r="F4727" s="7"/>
      <c r="G4727" s="7"/>
      <c r="H4727" s="8"/>
      <c r="I4727" s="8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</row>
    <row r="4728" hidden="1">
      <c r="A4728" s="7"/>
      <c r="B4728" s="7"/>
      <c r="C4728" s="7"/>
      <c r="D4728" s="7"/>
      <c r="E4728" s="7"/>
      <c r="F4728" s="7"/>
      <c r="G4728" s="7"/>
      <c r="H4728" s="8"/>
      <c r="I4728" s="8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</row>
    <row r="4729" hidden="1">
      <c r="A4729" s="7"/>
      <c r="B4729" s="7"/>
      <c r="C4729" s="7"/>
      <c r="D4729" s="7"/>
      <c r="E4729" s="7"/>
      <c r="F4729" s="7"/>
      <c r="G4729" s="7"/>
      <c r="H4729" s="8"/>
      <c r="I4729" s="8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</row>
    <row r="4730" hidden="1">
      <c r="A4730" s="7"/>
      <c r="B4730" s="7"/>
      <c r="C4730" s="7"/>
      <c r="D4730" s="7"/>
      <c r="E4730" s="7"/>
      <c r="F4730" s="7"/>
      <c r="G4730" s="7"/>
      <c r="H4730" s="8"/>
      <c r="I4730" s="8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</row>
    <row r="4731" hidden="1">
      <c r="A4731" s="7"/>
      <c r="B4731" s="7"/>
      <c r="C4731" s="7"/>
      <c r="D4731" s="7"/>
      <c r="E4731" s="7"/>
      <c r="F4731" s="7"/>
      <c r="G4731" s="7"/>
      <c r="H4731" s="8"/>
      <c r="I4731" s="8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</row>
    <row r="4732" hidden="1">
      <c r="A4732" s="7"/>
      <c r="B4732" s="7"/>
      <c r="C4732" s="7"/>
      <c r="D4732" s="7"/>
      <c r="E4732" s="7"/>
      <c r="F4732" s="7"/>
      <c r="G4732" s="7"/>
      <c r="H4732" s="8"/>
      <c r="I4732" s="8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</row>
    <row r="4733" hidden="1">
      <c r="A4733" s="7"/>
      <c r="B4733" s="7"/>
      <c r="C4733" s="7"/>
      <c r="D4733" s="7"/>
      <c r="E4733" s="7"/>
      <c r="F4733" s="7"/>
      <c r="G4733" s="7"/>
      <c r="H4733" s="8"/>
      <c r="I4733" s="8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</row>
    <row r="4734" hidden="1">
      <c r="A4734" s="7"/>
      <c r="B4734" s="7"/>
      <c r="C4734" s="7"/>
      <c r="D4734" s="7"/>
      <c r="E4734" s="7"/>
      <c r="F4734" s="7"/>
      <c r="G4734" s="7"/>
      <c r="H4734" s="8"/>
      <c r="I4734" s="8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</row>
    <row r="4735" hidden="1">
      <c r="A4735" s="7"/>
      <c r="B4735" s="7"/>
      <c r="C4735" s="7"/>
      <c r="D4735" s="7"/>
      <c r="E4735" s="7"/>
      <c r="F4735" s="7"/>
      <c r="G4735" s="7"/>
      <c r="H4735" s="8"/>
      <c r="I4735" s="8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</row>
    <row r="4736" hidden="1">
      <c r="A4736" s="7"/>
      <c r="B4736" s="7"/>
      <c r="C4736" s="7"/>
      <c r="D4736" s="7"/>
      <c r="E4736" s="7"/>
      <c r="F4736" s="7"/>
      <c r="G4736" s="7"/>
      <c r="H4736" s="8"/>
      <c r="I4736" s="8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</row>
    <row r="4737" hidden="1">
      <c r="A4737" s="7"/>
      <c r="B4737" s="7"/>
      <c r="C4737" s="7"/>
      <c r="D4737" s="7"/>
      <c r="E4737" s="7"/>
      <c r="F4737" s="7"/>
      <c r="G4737" s="7"/>
      <c r="H4737" s="8"/>
      <c r="I4737" s="8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</row>
    <row r="4738" hidden="1">
      <c r="A4738" s="7"/>
      <c r="B4738" s="7"/>
      <c r="C4738" s="7"/>
      <c r="D4738" s="7"/>
      <c r="E4738" s="7"/>
      <c r="F4738" s="7"/>
      <c r="G4738" s="7"/>
      <c r="H4738" s="8"/>
      <c r="I4738" s="8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</row>
    <row r="4739" hidden="1">
      <c r="A4739" s="7"/>
      <c r="B4739" s="7"/>
      <c r="C4739" s="7"/>
      <c r="D4739" s="7"/>
      <c r="E4739" s="7"/>
      <c r="F4739" s="7"/>
      <c r="G4739" s="7"/>
      <c r="H4739" s="8"/>
      <c r="I4739" s="8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</row>
    <row r="4740" hidden="1">
      <c r="A4740" s="7"/>
      <c r="B4740" s="7"/>
      <c r="C4740" s="7"/>
      <c r="D4740" s="7"/>
      <c r="E4740" s="7"/>
      <c r="F4740" s="7"/>
      <c r="G4740" s="7"/>
      <c r="H4740" s="8"/>
      <c r="I4740" s="8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</row>
    <row r="4741" hidden="1">
      <c r="A4741" s="7"/>
      <c r="B4741" s="7"/>
      <c r="C4741" s="7"/>
      <c r="D4741" s="7"/>
      <c r="E4741" s="7"/>
      <c r="F4741" s="7"/>
      <c r="G4741" s="7"/>
      <c r="H4741" s="8"/>
      <c r="I4741" s="8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</row>
    <row r="4742" hidden="1">
      <c r="A4742" s="7"/>
      <c r="B4742" s="7"/>
      <c r="C4742" s="7"/>
      <c r="D4742" s="7"/>
      <c r="E4742" s="7"/>
      <c r="F4742" s="7"/>
      <c r="G4742" s="7"/>
      <c r="H4742" s="8"/>
      <c r="I4742" s="8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</row>
    <row r="4743" hidden="1">
      <c r="A4743" s="7"/>
      <c r="B4743" s="7"/>
      <c r="C4743" s="7"/>
      <c r="D4743" s="7"/>
      <c r="E4743" s="7"/>
      <c r="F4743" s="7"/>
      <c r="G4743" s="7"/>
      <c r="H4743" s="8"/>
      <c r="I4743" s="8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</row>
    <row r="4744" hidden="1">
      <c r="A4744" s="7"/>
      <c r="B4744" s="7"/>
      <c r="C4744" s="7"/>
      <c r="D4744" s="7"/>
      <c r="E4744" s="7"/>
      <c r="F4744" s="7"/>
      <c r="G4744" s="7"/>
      <c r="H4744" s="8"/>
      <c r="I4744" s="8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</row>
    <row r="4745" hidden="1">
      <c r="A4745" s="7"/>
      <c r="B4745" s="7"/>
      <c r="C4745" s="7"/>
      <c r="D4745" s="7"/>
      <c r="E4745" s="7"/>
      <c r="F4745" s="7"/>
      <c r="G4745" s="7"/>
      <c r="H4745" s="8"/>
      <c r="I4745" s="8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</row>
    <row r="4746" hidden="1">
      <c r="A4746" s="7"/>
      <c r="B4746" s="7"/>
      <c r="C4746" s="7"/>
      <c r="D4746" s="7"/>
      <c r="E4746" s="7"/>
      <c r="F4746" s="7"/>
      <c r="G4746" s="7"/>
      <c r="H4746" s="8"/>
      <c r="I4746" s="8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</row>
    <row r="4747" hidden="1">
      <c r="A4747" s="7"/>
      <c r="B4747" s="7"/>
      <c r="C4747" s="7"/>
      <c r="D4747" s="7"/>
      <c r="E4747" s="7"/>
      <c r="F4747" s="7"/>
      <c r="G4747" s="7"/>
      <c r="H4747" s="8"/>
      <c r="I4747" s="8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</row>
    <row r="4748" hidden="1">
      <c r="A4748" s="7"/>
      <c r="B4748" s="7"/>
      <c r="C4748" s="7"/>
      <c r="D4748" s="7"/>
      <c r="E4748" s="7"/>
      <c r="F4748" s="7"/>
      <c r="G4748" s="7"/>
      <c r="H4748" s="8"/>
      <c r="I4748" s="8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</row>
    <row r="4749" hidden="1">
      <c r="A4749" s="7"/>
      <c r="B4749" s="7"/>
      <c r="C4749" s="7"/>
      <c r="D4749" s="7"/>
      <c r="E4749" s="7"/>
      <c r="F4749" s="7"/>
      <c r="G4749" s="7"/>
      <c r="H4749" s="8"/>
      <c r="I4749" s="8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</row>
    <row r="4750" hidden="1">
      <c r="A4750" s="7"/>
      <c r="B4750" s="7"/>
      <c r="C4750" s="7"/>
      <c r="D4750" s="7"/>
      <c r="E4750" s="7"/>
      <c r="F4750" s="7"/>
      <c r="G4750" s="7"/>
      <c r="H4750" s="8"/>
      <c r="I4750" s="8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</row>
    <row r="4751" hidden="1">
      <c r="A4751" s="7"/>
      <c r="B4751" s="7"/>
      <c r="C4751" s="7"/>
      <c r="D4751" s="7"/>
      <c r="E4751" s="7"/>
      <c r="F4751" s="7"/>
      <c r="G4751" s="7"/>
      <c r="H4751" s="8"/>
      <c r="I4751" s="8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</row>
    <row r="4752" hidden="1">
      <c r="A4752" s="7"/>
      <c r="B4752" s="7"/>
      <c r="C4752" s="7"/>
      <c r="D4752" s="7"/>
      <c r="E4752" s="7"/>
      <c r="F4752" s="7"/>
      <c r="G4752" s="7"/>
      <c r="H4752" s="8"/>
      <c r="I4752" s="8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</row>
    <row r="4753" hidden="1">
      <c r="A4753" s="7"/>
      <c r="B4753" s="7"/>
      <c r="C4753" s="7"/>
      <c r="D4753" s="7"/>
      <c r="E4753" s="7"/>
      <c r="F4753" s="7"/>
      <c r="G4753" s="7"/>
      <c r="H4753" s="8"/>
      <c r="I4753" s="8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</row>
    <row r="4754" hidden="1">
      <c r="A4754" s="7"/>
      <c r="B4754" s="7"/>
      <c r="C4754" s="7"/>
      <c r="D4754" s="7"/>
      <c r="E4754" s="7"/>
      <c r="F4754" s="7"/>
      <c r="G4754" s="7"/>
      <c r="H4754" s="8"/>
      <c r="I4754" s="8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</row>
    <row r="4755" hidden="1">
      <c r="A4755" s="7"/>
      <c r="B4755" s="7"/>
      <c r="C4755" s="7"/>
      <c r="D4755" s="7"/>
      <c r="E4755" s="7"/>
      <c r="F4755" s="7"/>
      <c r="G4755" s="7"/>
      <c r="H4755" s="8"/>
      <c r="I4755" s="8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</row>
    <row r="4756" hidden="1">
      <c r="A4756" s="7"/>
      <c r="B4756" s="7"/>
      <c r="C4756" s="7"/>
      <c r="D4756" s="7"/>
      <c r="E4756" s="7"/>
      <c r="F4756" s="7"/>
      <c r="G4756" s="7"/>
      <c r="H4756" s="8"/>
      <c r="I4756" s="8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</row>
    <row r="4757" hidden="1">
      <c r="A4757" s="7"/>
      <c r="B4757" s="7"/>
      <c r="C4757" s="7"/>
      <c r="D4757" s="7"/>
      <c r="E4757" s="7"/>
      <c r="F4757" s="7"/>
      <c r="G4757" s="7"/>
      <c r="H4757" s="8"/>
      <c r="I4757" s="8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</row>
    <row r="4758" hidden="1">
      <c r="A4758" s="7"/>
      <c r="B4758" s="7"/>
      <c r="C4758" s="7"/>
      <c r="D4758" s="7"/>
      <c r="E4758" s="7"/>
      <c r="F4758" s="7"/>
      <c r="G4758" s="7"/>
      <c r="H4758" s="8"/>
      <c r="I4758" s="8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</row>
    <row r="4759" hidden="1">
      <c r="A4759" s="7"/>
      <c r="B4759" s="7"/>
      <c r="C4759" s="7"/>
      <c r="D4759" s="7"/>
      <c r="E4759" s="7"/>
      <c r="F4759" s="7"/>
      <c r="G4759" s="7"/>
      <c r="H4759" s="8"/>
      <c r="I4759" s="8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</row>
    <row r="4760" hidden="1">
      <c r="A4760" s="7"/>
      <c r="B4760" s="7"/>
      <c r="C4760" s="7"/>
      <c r="D4760" s="7"/>
      <c r="E4760" s="7"/>
      <c r="F4760" s="7"/>
      <c r="G4760" s="7"/>
      <c r="H4760" s="8"/>
      <c r="I4760" s="8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</row>
    <row r="4761" hidden="1">
      <c r="A4761" s="7"/>
      <c r="B4761" s="7"/>
      <c r="C4761" s="7"/>
      <c r="D4761" s="7"/>
      <c r="E4761" s="7"/>
      <c r="F4761" s="7"/>
      <c r="G4761" s="7"/>
      <c r="H4761" s="8"/>
      <c r="I4761" s="8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</row>
    <row r="4762" hidden="1">
      <c r="A4762" s="7"/>
      <c r="B4762" s="7"/>
      <c r="C4762" s="7"/>
      <c r="D4762" s="7"/>
      <c r="E4762" s="7"/>
      <c r="F4762" s="7"/>
      <c r="G4762" s="7"/>
      <c r="H4762" s="8"/>
      <c r="I4762" s="8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</row>
    <row r="4763" hidden="1">
      <c r="A4763" s="7"/>
      <c r="B4763" s="7"/>
      <c r="C4763" s="7"/>
      <c r="D4763" s="7"/>
      <c r="E4763" s="7"/>
      <c r="F4763" s="7"/>
      <c r="G4763" s="7"/>
      <c r="H4763" s="8"/>
      <c r="I4763" s="8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</row>
    <row r="4764" hidden="1">
      <c r="A4764" s="7"/>
      <c r="B4764" s="7"/>
      <c r="C4764" s="7"/>
      <c r="D4764" s="7"/>
      <c r="E4764" s="7"/>
      <c r="F4764" s="7"/>
      <c r="G4764" s="7"/>
      <c r="H4764" s="8"/>
      <c r="I4764" s="8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</row>
    <row r="4765" hidden="1">
      <c r="A4765" s="7"/>
      <c r="B4765" s="7"/>
      <c r="C4765" s="7"/>
      <c r="D4765" s="7"/>
      <c r="E4765" s="7"/>
      <c r="F4765" s="7"/>
      <c r="G4765" s="7"/>
      <c r="H4765" s="8"/>
      <c r="I4765" s="8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</row>
    <row r="4766" hidden="1">
      <c r="A4766" s="7"/>
      <c r="B4766" s="7"/>
      <c r="C4766" s="7"/>
      <c r="D4766" s="7"/>
      <c r="E4766" s="7"/>
      <c r="F4766" s="7"/>
      <c r="G4766" s="7"/>
      <c r="H4766" s="8"/>
      <c r="I4766" s="8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</row>
    <row r="4767" hidden="1">
      <c r="A4767" s="7"/>
      <c r="B4767" s="7"/>
      <c r="C4767" s="7"/>
      <c r="D4767" s="7"/>
      <c r="E4767" s="7"/>
      <c r="F4767" s="7"/>
      <c r="G4767" s="7"/>
      <c r="H4767" s="8"/>
      <c r="I4767" s="8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</row>
    <row r="4768" hidden="1">
      <c r="A4768" s="7"/>
      <c r="B4768" s="7"/>
      <c r="C4768" s="7"/>
      <c r="D4768" s="7"/>
      <c r="E4768" s="7"/>
      <c r="F4768" s="7"/>
      <c r="G4768" s="7"/>
      <c r="H4768" s="8"/>
      <c r="I4768" s="8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</row>
    <row r="4769" hidden="1">
      <c r="A4769" s="7"/>
      <c r="B4769" s="7"/>
      <c r="C4769" s="7"/>
      <c r="D4769" s="7"/>
      <c r="E4769" s="7"/>
      <c r="F4769" s="7"/>
      <c r="G4769" s="7"/>
      <c r="H4769" s="8"/>
      <c r="I4769" s="8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</row>
    <row r="4770" hidden="1">
      <c r="A4770" s="7"/>
      <c r="B4770" s="7"/>
      <c r="C4770" s="7"/>
      <c r="D4770" s="7"/>
      <c r="E4770" s="7"/>
      <c r="F4770" s="7"/>
      <c r="G4770" s="7"/>
      <c r="H4770" s="8"/>
      <c r="I4770" s="8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</row>
    <row r="4771" hidden="1">
      <c r="A4771" s="7"/>
      <c r="B4771" s="7"/>
      <c r="C4771" s="7"/>
      <c r="D4771" s="7"/>
      <c r="E4771" s="7"/>
      <c r="F4771" s="7"/>
      <c r="G4771" s="7"/>
      <c r="H4771" s="8"/>
      <c r="I4771" s="8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</row>
    <row r="4772" hidden="1">
      <c r="A4772" s="7"/>
      <c r="B4772" s="7"/>
      <c r="C4772" s="7"/>
      <c r="D4772" s="7"/>
      <c r="E4772" s="7"/>
      <c r="F4772" s="7"/>
      <c r="G4772" s="7"/>
      <c r="H4772" s="8"/>
      <c r="I4772" s="8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</row>
    <row r="4773" hidden="1">
      <c r="A4773" s="7"/>
      <c r="B4773" s="7"/>
      <c r="C4773" s="7"/>
      <c r="D4773" s="7"/>
      <c r="E4773" s="7"/>
      <c r="F4773" s="7"/>
      <c r="G4773" s="7"/>
      <c r="H4773" s="8"/>
      <c r="I4773" s="8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</row>
    <row r="4774" hidden="1">
      <c r="A4774" s="7"/>
      <c r="B4774" s="7"/>
      <c r="C4774" s="7"/>
      <c r="D4774" s="7"/>
      <c r="E4774" s="7"/>
      <c r="F4774" s="7"/>
      <c r="G4774" s="7"/>
      <c r="H4774" s="8"/>
      <c r="I4774" s="8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</row>
    <row r="4775" hidden="1">
      <c r="A4775" s="7"/>
      <c r="B4775" s="7"/>
      <c r="C4775" s="7"/>
      <c r="D4775" s="7"/>
      <c r="E4775" s="7"/>
      <c r="F4775" s="7"/>
      <c r="G4775" s="7"/>
      <c r="H4775" s="8"/>
      <c r="I4775" s="8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</row>
    <row r="4776" hidden="1">
      <c r="A4776" s="7"/>
      <c r="B4776" s="7"/>
      <c r="C4776" s="7"/>
      <c r="D4776" s="7"/>
      <c r="E4776" s="7"/>
      <c r="F4776" s="7"/>
      <c r="G4776" s="7"/>
      <c r="H4776" s="8"/>
      <c r="I4776" s="8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</row>
    <row r="4777" hidden="1">
      <c r="A4777" s="7"/>
      <c r="B4777" s="7"/>
      <c r="C4777" s="7"/>
      <c r="D4777" s="7"/>
      <c r="E4777" s="7"/>
      <c r="F4777" s="7"/>
      <c r="G4777" s="7"/>
      <c r="H4777" s="8"/>
      <c r="I4777" s="8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</row>
    <row r="4778" hidden="1">
      <c r="A4778" s="7"/>
      <c r="B4778" s="7"/>
      <c r="C4778" s="7"/>
      <c r="D4778" s="7"/>
      <c r="E4778" s="7"/>
      <c r="F4778" s="7"/>
      <c r="G4778" s="7"/>
      <c r="H4778" s="8"/>
      <c r="I4778" s="8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</row>
    <row r="4779" hidden="1">
      <c r="A4779" s="7"/>
      <c r="B4779" s="7"/>
      <c r="C4779" s="7"/>
      <c r="D4779" s="7"/>
      <c r="E4779" s="7"/>
      <c r="F4779" s="7"/>
      <c r="G4779" s="7"/>
      <c r="H4779" s="8"/>
      <c r="I4779" s="8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</row>
    <row r="4780" hidden="1">
      <c r="A4780" s="7"/>
      <c r="B4780" s="7"/>
      <c r="C4780" s="7"/>
      <c r="D4780" s="7"/>
      <c r="E4780" s="7"/>
      <c r="F4780" s="7"/>
      <c r="G4780" s="7"/>
      <c r="H4780" s="8"/>
      <c r="I4780" s="8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</row>
    <row r="4781" hidden="1">
      <c r="A4781" s="7"/>
      <c r="B4781" s="7"/>
      <c r="C4781" s="7"/>
      <c r="D4781" s="7"/>
      <c r="E4781" s="7"/>
      <c r="F4781" s="7"/>
      <c r="G4781" s="7"/>
      <c r="H4781" s="8"/>
      <c r="I4781" s="8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</row>
    <row r="4782" hidden="1">
      <c r="A4782" s="7"/>
      <c r="B4782" s="7"/>
      <c r="C4782" s="7"/>
      <c r="D4782" s="7"/>
      <c r="E4782" s="7"/>
      <c r="F4782" s="7"/>
      <c r="G4782" s="7"/>
      <c r="H4782" s="8"/>
      <c r="I4782" s="8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</row>
    <row r="4783" hidden="1">
      <c r="A4783" s="7"/>
      <c r="B4783" s="7"/>
      <c r="C4783" s="7"/>
      <c r="D4783" s="7"/>
      <c r="E4783" s="7"/>
      <c r="F4783" s="7"/>
      <c r="G4783" s="7"/>
      <c r="H4783" s="8"/>
      <c r="I4783" s="8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</row>
    <row r="4784" hidden="1">
      <c r="A4784" s="7"/>
      <c r="B4784" s="7"/>
      <c r="C4784" s="7"/>
      <c r="D4784" s="7"/>
      <c r="E4784" s="7"/>
      <c r="F4784" s="7"/>
      <c r="G4784" s="7"/>
      <c r="H4784" s="8"/>
      <c r="I4784" s="8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</row>
    <row r="4785" hidden="1">
      <c r="A4785" s="7"/>
      <c r="B4785" s="7"/>
      <c r="C4785" s="7"/>
      <c r="D4785" s="7"/>
      <c r="E4785" s="7"/>
      <c r="F4785" s="7"/>
      <c r="G4785" s="7"/>
      <c r="H4785" s="8"/>
      <c r="I4785" s="8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</row>
    <row r="4786" hidden="1">
      <c r="A4786" s="7"/>
      <c r="B4786" s="7"/>
      <c r="C4786" s="7"/>
      <c r="D4786" s="7"/>
      <c r="E4786" s="7"/>
      <c r="F4786" s="7"/>
      <c r="G4786" s="7"/>
      <c r="H4786" s="8"/>
      <c r="I4786" s="8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</row>
    <row r="4787" hidden="1">
      <c r="A4787" s="7"/>
      <c r="B4787" s="7"/>
      <c r="C4787" s="7"/>
      <c r="D4787" s="7"/>
      <c r="E4787" s="7"/>
      <c r="F4787" s="7"/>
      <c r="G4787" s="7"/>
      <c r="H4787" s="8"/>
      <c r="I4787" s="8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</row>
    <row r="4788" hidden="1">
      <c r="A4788" s="7"/>
      <c r="B4788" s="7"/>
      <c r="C4788" s="7"/>
      <c r="D4788" s="7"/>
      <c r="E4788" s="7"/>
      <c r="F4788" s="7"/>
      <c r="G4788" s="7"/>
      <c r="H4788" s="8"/>
      <c r="I4788" s="8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</row>
    <row r="4789" hidden="1">
      <c r="A4789" s="7"/>
      <c r="B4789" s="7"/>
      <c r="C4789" s="7"/>
      <c r="D4789" s="7"/>
      <c r="E4789" s="7"/>
      <c r="F4789" s="7"/>
      <c r="G4789" s="7"/>
      <c r="H4789" s="8"/>
      <c r="I4789" s="8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</row>
    <row r="4790" hidden="1">
      <c r="A4790" s="7"/>
      <c r="B4790" s="7"/>
      <c r="C4790" s="7"/>
      <c r="D4790" s="7"/>
      <c r="E4790" s="7"/>
      <c r="F4790" s="7"/>
      <c r="G4790" s="7"/>
      <c r="H4790" s="8"/>
      <c r="I4790" s="8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</row>
    <row r="4791" hidden="1">
      <c r="A4791" s="7"/>
      <c r="B4791" s="7"/>
      <c r="C4791" s="7"/>
      <c r="D4791" s="7"/>
      <c r="E4791" s="7"/>
      <c r="F4791" s="7"/>
      <c r="G4791" s="7"/>
      <c r="H4791" s="8"/>
      <c r="I4791" s="8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</row>
    <row r="4792" hidden="1">
      <c r="A4792" s="7"/>
      <c r="B4792" s="7"/>
      <c r="C4792" s="7"/>
      <c r="D4792" s="7"/>
      <c r="E4792" s="7"/>
      <c r="F4792" s="7"/>
      <c r="G4792" s="7"/>
      <c r="H4792" s="8"/>
      <c r="I4792" s="8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</row>
    <row r="4793" hidden="1">
      <c r="A4793" s="7"/>
      <c r="B4793" s="7"/>
      <c r="C4793" s="7"/>
      <c r="D4793" s="7"/>
      <c r="E4793" s="7"/>
      <c r="F4793" s="7"/>
      <c r="G4793" s="7"/>
      <c r="H4793" s="8"/>
      <c r="I4793" s="8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</row>
    <row r="4794" hidden="1">
      <c r="A4794" s="7"/>
      <c r="B4794" s="7"/>
      <c r="C4794" s="7"/>
      <c r="D4794" s="7"/>
      <c r="E4794" s="7"/>
      <c r="F4794" s="7"/>
      <c r="G4794" s="7"/>
      <c r="H4794" s="8"/>
      <c r="I4794" s="8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</row>
    <row r="4795" hidden="1">
      <c r="A4795" s="7"/>
      <c r="B4795" s="7"/>
      <c r="C4795" s="7"/>
      <c r="D4795" s="7"/>
      <c r="E4795" s="7"/>
      <c r="F4795" s="7"/>
      <c r="G4795" s="7"/>
      <c r="H4795" s="8"/>
      <c r="I4795" s="8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</row>
    <row r="4796" hidden="1">
      <c r="A4796" s="7"/>
      <c r="B4796" s="7"/>
      <c r="C4796" s="7"/>
      <c r="D4796" s="7"/>
      <c r="E4796" s="7"/>
      <c r="F4796" s="7"/>
      <c r="G4796" s="7"/>
      <c r="H4796" s="8"/>
      <c r="I4796" s="8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</row>
    <row r="4797" hidden="1">
      <c r="A4797" s="7"/>
      <c r="B4797" s="7"/>
      <c r="C4797" s="7"/>
      <c r="D4797" s="7"/>
      <c r="E4797" s="7"/>
      <c r="F4797" s="7"/>
      <c r="G4797" s="7"/>
      <c r="H4797" s="8"/>
      <c r="I4797" s="8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</row>
    <row r="4798" hidden="1">
      <c r="A4798" s="7"/>
      <c r="B4798" s="7"/>
      <c r="C4798" s="7"/>
      <c r="D4798" s="7"/>
      <c r="E4798" s="7"/>
      <c r="F4798" s="7"/>
      <c r="G4798" s="7"/>
      <c r="H4798" s="8"/>
      <c r="I4798" s="8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</row>
    <row r="4799" hidden="1">
      <c r="A4799" s="7"/>
      <c r="B4799" s="7"/>
      <c r="C4799" s="7"/>
      <c r="D4799" s="7"/>
      <c r="E4799" s="7"/>
      <c r="F4799" s="7"/>
      <c r="G4799" s="7"/>
      <c r="H4799" s="8"/>
      <c r="I4799" s="8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</row>
    <row r="4800" hidden="1">
      <c r="A4800" s="7"/>
      <c r="B4800" s="7"/>
      <c r="C4800" s="7"/>
      <c r="D4800" s="7"/>
      <c r="E4800" s="7"/>
      <c r="F4800" s="7"/>
      <c r="G4800" s="7"/>
      <c r="H4800" s="8"/>
      <c r="I4800" s="8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</row>
    <row r="4801" hidden="1">
      <c r="A4801" s="7"/>
      <c r="B4801" s="7"/>
      <c r="C4801" s="7"/>
      <c r="D4801" s="7"/>
      <c r="E4801" s="7"/>
      <c r="F4801" s="7"/>
      <c r="G4801" s="7"/>
      <c r="H4801" s="8"/>
      <c r="I4801" s="8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</row>
    <row r="4802" hidden="1">
      <c r="A4802" s="7"/>
      <c r="B4802" s="7"/>
      <c r="C4802" s="7"/>
      <c r="D4802" s="7"/>
      <c r="E4802" s="7"/>
      <c r="F4802" s="7"/>
      <c r="G4802" s="7"/>
      <c r="H4802" s="8"/>
      <c r="I4802" s="8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</row>
    <row r="4803" hidden="1">
      <c r="A4803" s="7"/>
      <c r="B4803" s="7"/>
      <c r="C4803" s="7"/>
      <c r="D4803" s="7"/>
      <c r="E4803" s="7"/>
      <c r="F4803" s="7"/>
      <c r="G4803" s="7"/>
      <c r="H4803" s="8"/>
      <c r="I4803" s="8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</row>
    <row r="4804" hidden="1">
      <c r="A4804" s="7"/>
      <c r="B4804" s="7"/>
      <c r="C4804" s="7"/>
      <c r="D4804" s="7"/>
      <c r="E4804" s="7"/>
      <c r="F4804" s="7"/>
      <c r="G4804" s="7"/>
      <c r="H4804" s="8"/>
      <c r="I4804" s="8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</row>
    <row r="4805" hidden="1">
      <c r="A4805" s="7"/>
      <c r="B4805" s="7"/>
      <c r="C4805" s="7"/>
      <c r="D4805" s="7"/>
      <c r="E4805" s="7"/>
      <c r="F4805" s="7"/>
      <c r="G4805" s="7"/>
      <c r="H4805" s="8"/>
      <c r="I4805" s="8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</row>
    <row r="4806" hidden="1">
      <c r="A4806" s="7"/>
      <c r="B4806" s="7"/>
      <c r="C4806" s="7"/>
      <c r="D4806" s="7"/>
      <c r="E4806" s="7"/>
      <c r="F4806" s="7"/>
      <c r="G4806" s="7"/>
      <c r="H4806" s="8"/>
      <c r="I4806" s="8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</row>
    <row r="4807" hidden="1">
      <c r="A4807" s="7"/>
      <c r="B4807" s="7"/>
      <c r="C4807" s="7"/>
      <c r="D4807" s="7"/>
      <c r="E4807" s="7"/>
      <c r="F4807" s="7"/>
      <c r="G4807" s="7"/>
      <c r="H4807" s="8"/>
      <c r="I4807" s="8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</row>
    <row r="4808" hidden="1">
      <c r="A4808" s="7"/>
      <c r="B4808" s="7"/>
      <c r="C4808" s="7"/>
      <c r="D4808" s="7"/>
      <c r="E4808" s="7"/>
      <c r="F4808" s="7"/>
      <c r="G4808" s="7"/>
      <c r="H4808" s="8"/>
      <c r="I4808" s="8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</row>
    <row r="4809" hidden="1">
      <c r="A4809" s="7"/>
      <c r="B4809" s="7"/>
      <c r="C4809" s="7"/>
      <c r="D4809" s="7"/>
      <c r="E4809" s="7"/>
      <c r="F4809" s="7"/>
      <c r="G4809" s="7"/>
      <c r="H4809" s="8"/>
      <c r="I4809" s="8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</row>
    <row r="4810" hidden="1">
      <c r="A4810" s="7"/>
      <c r="B4810" s="7"/>
      <c r="C4810" s="7"/>
      <c r="D4810" s="7"/>
      <c r="E4810" s="7"/>
      <c r="F4810" s="7"/>
      <c r="G4810" s="7"/>
      <c r="H4810" s="8"/>
      <c r="I4810" s="8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</row>
    <row r="4811" hidden="1">
      <c r="A4811" s="7"/>
      <c r="B4811" s="7"/>
      <c r="C4811" s="7"/>
      <c r="D4811" s="7"/>
      <c r="E4811" s="7"/>
      <c r="F4811" s="7"/>
      <c r="G4811" s="7"/>
      <c r="H4811" s="8"/>
      <c r="I4811" s="8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</row>
    <row r="4812" hidden="1">
      <c r="A4812" s="7"/>
      <c r="B4812" s="7"/>
      <c r="C4812" s="7"/>
      <c r="D4812" s="7"/>
      <c r="E4812" s="7"/>
      <c r="F4812" s="7"/>
      <c r="G4812" s="7"/>
      <c r="H4812" s="8"/>
      <c r="I4812" s="8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</row>
    <row r="4813" hidden="1">
      <c r="A4813" s="7"/>
      <c r="B4813" s="7"/>
      <c r="C4813" s="7"/>
      <c r="D4813" s="7"/>
      <c r="E4813" s="7"/>
      <c r="F4813" s="7"/>
      <c r="G4813" s="7"/>
      <c r="H4813" s="8"/>
      <c r="I4813" s="8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</row>
    <row r="4814" hidden="1">
      <c r="A4814" s="7"/>
      <c r="B4814" s="7"/>
      <c r="C4814" s="7"/>
      <c r="D4814" s="7"/>
      <c r="E4814" s="7"/>
      <c r="F4814" s="7"/>
      <c r="G4814" s="7"/>
      <c r="H4814" s="8"/>
      <c r="I4814" s="8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</row>
    <row r="4815" hidden="1">
      <c r="A4815" s="7"/>
      <c r="B4815" s="7"/>
      <c r="C4815" s="7"/>
      <c r="D4815" s="7"/>
      <c r="E4815" s="7"/>
      <c r="F4815" s="7"/>
      <c r="G4815" s="7"/>
      <c r="H4815" s="8"/>
      <c r="I4815" s="8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</row>
    <row r="4816" hidden="1">
      <c r="A4816" s="7"/>
      <c r="B4816" s="7"/>
      <c r="C4816" s="7"/>
      <c r="D4816" s="7"/>
      <c r="E4816" s="7"/>
      <c r="F4816" s="7"/>
      <c r="G4816" s="7"/>
      <c r="H4816" s="8"/>
      <c r="I4816" s="8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</row>
    <row r="4817" hidden="1">
      <c r="A4817" s="7"/>
      <c r="B4817" s="7"/>
      <c r="C4817" s="7"/>
      <c r="D4817" s="7"/>
      <c r="E4817" s="7"/>
      <c r="F4817" s="7"/>
      <c r="G4817" s="7"/>
      <c r="H4817" s="8"/>
      <c r="I4817" s="8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</row>
    <row r="4818" hidden="1">
      <c r="A4818" s="7"/>
      <c r="B4818" s="7"/>
      <c r="C4818" s="7"/>
      <c r="D4818" s="7"/>
      <c r="E4818" s="7"/>
      <c r="F4818" s="7"/>
      <c r="G4818" s="7"/>
      <c r="H4818" s="8"/>
      <c r="I4818" s="8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</row>
    <row r="4819" hidden="1">
      <c r="A4819" s="7"/>
      <c r="B4819" s="7"/>
      <c r="C4819" s="7"/>
      <c r="D4819" s="7"/>
      <c r="E4819" s="7"/>
      <c r="F4819" s="7"/>
      <c r="G4819" s="7"/>
      <c r="H4819" s="8"/>
      <c r="I4819" s="8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</row>
    <row r="4820" hidden="1">
      <c r="A4820" s="7"/>
      <c r="B4820" s="7"/>
      <c r="C4820" s="7"/>
      <c r="D4820" s="7"/>
      <c r="E4820" s="7"/>
      <c r="F4820" s="7"/>
      <c r="G4820" s="7"/>
      <c r="H4820" s="8"/>
      <c r="I4820" s="8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</row>
    <row r="4821" hidden="1">
      <c r="A4821" s="7"/>
      <c r="B4821" s="7"/>
      <c r="C4821" s="7"/>
      <c r="D4821" s="7"/>
      <c r="E4821" s="7"/>
      <c r="F4821" s="7"/>
      <c r="G4821" s="7"/>
      <c r="H4821" s="8"/>
      <c r="I4821" s="8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</row>
    <row r="4822" hidden="1">
      <c r="A4822" s="7"/>
      <c r="B4822" s="7"/>
      <c r="C4822" s="7"/>
      <c r="D4822" s="7"/>
      <c r="E4822" s="7"/>
      <c r="F4822" s="7"/>
      <c r="G4822" s="7"/>
      <c r="H4822" s="8"/>
      <c r="I4822" s="8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</row>
    <row r="4823" hidden="1">
      <c r="A4823" s="7"/>
      <c r="B4823" s="7"/>
      <c r="C4823" s="7"/>
      <c r="D4823" s="7"/>
      <c r="E4823" s="7"/>
      <c r="F4823" s="7"/>
      <c r="G4823" s="7"/>
      <c r="H4823" s="8"/>
      <c r="I4823" s="8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</row>
    <row r="4824" hidden="1">
      <c r="A4824" s="7"/>
      <c r="B4824" s="7"/>
      <c r="C4824" s="7"/>
      <c r="D4824" s="7"/>
      <c r="E4824" s="7"/>
      <c r="F4824" s="7"/>
      <c r="G4824" s="7"/>
      <c r="H4824" s="8"/>
      <c r="I4824" s="8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</row>
    <row r="4825" hidden="1">
      <c r="A4825" s="7"/>
      <c r="B4825" s="7"/>
      <c r="C4825" s="7"/>
      <c r="D4825" s="7"/>
      <c r="E4825" s="7"/>
      <c r="F4825" s="7"/>
      <c r="G4825" s="7"/>
      <c r="H4825" s="8"/>
      <c r="I4825" s="8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</row>
    <row r="4826" hidden="1">
      <c r="A4826" s="7"/>
      <c r="B4826" s="7"/>
      <c r="C4826" s="7"/>
      <c r="D4826" s="7"/>
      <c r="E4826" s="7"/>
      <c r="F4826" s="7"/>
      <c r="G4826" s="7"/>
      <c r="H4826" s="8"/>
      <c r="I4826" s="8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</row>
    <row r="4827" hidden="1">
      <c r="A4827" s="7"/>
      <c r="B4827" s="7"/>
      <c r="C4827" s="7"/>
      <c r="D4827" s="7"/>
      <c r="E4827" s="7"/>
      <c r="F4827" s="7"/>
      <c r="G4827" s="7"/>
      <c r="H4827" s="8"/>
      <c r="I4827" s="8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</row>
    <row r="4828" hidden="1">
      <c r="A4828" s="7"/>
      <c r="B4828" s="7"/>
      <c r="C4828" s="7"/>
      <c r="D4828" s="7"/>
      <c r="E4828" s="7"/>
      <c r="F4828" s="7"/>
      <c r="G4828" s="7"/>
      <c r="H4828" s="8"/>
      <c r="I4828" s="8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</row>
    <row r="4829" hidden="1">
      <c r="A4829" s="7"/>
      <c r="B4829" s="7"/>
      <c r="C4829" s="7"/>
      <c r="D4829" s="7"/>
      <c r="E4829" s="7"/>
      <c r="F4829" s="7"/>
      <c r="G4829" s="7"/>
      <c r="H4829" s="8"/>
      <c r="I4829" s="8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</row>
    <row r="4830" hidden="1">
      <c r="A4830" s="7"/>
      <c r="B4830" s="7"/>
      <c r="C4830" s="7"/>
      <c r="D4830" s="7"/>
      <c r="E4830" s="7"/>
      <c r="F4830" s="7"/>
      <c r="G4830" s="7"/>
      <c r="H4830" s="8"/>
      <c r="I4830" s="8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</row>
    <row r="4831" hidden="1">
      <c r="A4831" s="7"/>
      <c r="B4831" s="7"/>
      <c r="C4831" s="7"/>
      <c r="D4831" s="7"/>
      <c r="E4831" s="7"/>
      <c r="F4831" s="7"/>
      <c r="G4831" s="7"/>
      <c r="H4831" s="8"/>
      <c r="I4831" s="8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</row>
    <row r="4832" hidden="1">
      <c r="A4832" s="7"/>
      <c r="B4832" s="7"/>
      <c r="C4832" s="7"/>
      <c r="D4832" s="7"/>
      <c r="E4832" s="7"/>
      <c r="F4832" s="7"/>
      <c r="G4832" s="7"/>
      <c r="H4832" s="8"/>
      <c r="I4832" s="8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</row>
    <row r="4833" hidden="1">
      <c r="A4833" s="7"/>
      <c r="B4833" s="7"/>
      <c r="C4833" s="7"/>
      <c r="D4833" s="7"/>
      <c r="E4833" s="7"/>
      <c r="F4833" s="7"/>
      <c r="G4833" s="7"/>
      <c r="H4833" s="8"/>
      <c r="I4833" s="8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</row>
    <row r="4834" hidden="1">
      <c r="A4834" s="7"/>
      <c r="B4834" s="7"/>
      <c r="C4834" s="7"/>
      <c r="D4834" s="7"/>
      <c r="E4834" s="7"/>
      <c r="F4834" s="7"/>
      <c r="G4834" s="7"/>
      <c r="H4834" s="8"/>
      <c r="I4834" s="8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</row>
    <row r="4835" hidden="1">
      <c r="A4835" s="7"/>
      <c r="B4835" s="7"/>
      <c r="C4835" s="7"/>
      <c r="D4835" s="7"/>
      <c r="E4835" s="7"/>
      <c r="F4835" s="7"/>
      <c r="G4835" s="7"/>
      <c r="H4835" s="8"/>
      <c r="I4835" s="8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</row>
    <row r="4836" hidden="1">
      <c r="A4836" s="7"/>
      <c r="B4836" s="7"/>
      <c r="C4836" s="7"/>
      <c r="D4836" s="7"/>
      <c r="E4836" s="7"/>
      <c r="F4836" s="7"/>
      <c r="G4836" s="7"/>
      <c r="H4836" s="8"/>
      <c r="I4836" s="8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</row>
    <row r="4837" hidden="1">
      <c r="A4837" s="7"/>
      <c r="B4837" s="7"/>
      <c r="C4837" s="7"/>
      <c r="D4837" s="7"/>
      <c r="E4837" s="7"/>
      <c r="F4837" s="7"/>
      <c r="G4837" s="7"/>
      <c r="H4837" s="8"/>
      <c r="I4837" s="8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</row>
    <row r="4838" hidden="1">
      <c r="A4838" s="7"/>
      <c r="B4838" s="7"/>
      <c r="C4838" s="7"/>
      <c r="D4838" s="7"/>
      <c r="E4838" s="7"/>
      <c r="F4838" s="7"/>
      <c r="G4838" s="7"/>
      <c r="H4838" s="8"/>
      <c r="I4838" s="8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</row>
    <row r="4839" hidden="1">
      <c r="A4839" s="7"/>
      <c r="B4839" s="7"/>
      <c r="C4839" s="7"/>
      <c r="D4839" s="7"/>
      <c r="E4839" s="7"/>
      <c r="F4839" s="7"/>
      <c r="G4839" s="7"/>
      <c r="H4839" s="8"/>
      <c r="I4839" s="8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</row>
    <row r="4840" hidden="1">
      <c r="A4840" s="7"/>
      <c r="B4840" s="7"/>
      <c r="C4840" s="7"/>
      <c r="D4840" s="7"/>
      <c r="E4840" s="7"/>
      <c r="F4840" s="7"/>
      <c r="G4840" s="7"/>
      <c r="H4840" s="8"/>
      <c r="I4840" s="8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</row>
    <row r="4841" hidden="1">
      <c r="A4841" s="7"/>
      <c r="B4841" s="7"/>
      <c r="C4841" s="7"/>
      <c r="D4841" s="7"/>
      <c r="E4841" s="7"/>
      <c r="F4841" s="7"/>
      <c r="G4841" s="7"/>
      <c r="H4841" s="8"/>
      <c r="I4841" s="8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</row>
    <row r="4842" hidden="1">
      <c r="A4842" s="7"/>
      <c r="B4842" s="7"/>
      <c r="C4842" s="7"/>
      <c r="D4842" s="7"/>
      <c r="E4842" s="7"/>
      <c r="F4842" s="7"/>
      <c r="G4842" s="7"/>
      <c r="H4842" s="8"/>
      <c r="I4842" s="8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</row>
    <row r="4843" hidden="1">
      <c r="A4843" s="7"/>
      <c r="B4843" s="7"/>
      <c r="C4843" s="7"/>
      <c r="D4843" s="7"/>
      <c r="E4843" s="7"/>
      <c r="F4843" s="7"/>
      <c r="G4843" s="7"/>
      <c r="H4843" s="8"/>
      <c r="I4843" s="8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</row>
    <row r="4844" hidden="1">
      <c r="A4844" s="7"/>
      <c r="B4844" s="7"/>
      <c r="C4844" s="7"/>
      <c r="D4844" s="7"/>
      <c r="E4844" s="7"/>
      <c r="F4844" s="7"/>
      <c r="G4844" s="7"/>
      <c r="H4844" s="8"/>
      <c r="I4844" s="8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</row>
    <row r="4845" hidden="1">
      <c r="A4845" s="7"/>
      <c r="B4845" s="7"/>
      <c r="C4845" s="7"/>
      <c r="D4845" s="7"/>
      <c r="E4845" s="7"/>
      <c r="F4845" s="7"/>
      <c r="G4845" s="7"/>
      <c r="H4845" s="8"/>
      <c r="I4845" s="8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</row>
    <row r="4846" hidden="1">
      <c r="A4846" s="7"/>
      <c r="B4846" s="7"/>
      <c r="C4846" s="7"/>
      <c r="D4846" s="7"/>
      <c r="E4846" s="7"/>
      <c r="F4846" s="7"/>
      <c r="G4846" s="7"/>
      <c r="H4846" s="8"/>
      <c r="I4846" s="8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</row>
    <row r="4847" hidden="1">
      <c r="A4847" s="7"/>
      <c r="B4847" s="7"/>
      <c r="C4847" s="7"/>
      <c r="D4847" s="7"/>
      <c r="E4847" s="7"/>
      <c r="F4847" s="7"/>
      <c r="G4847" s="7"/>
      <c r="H4847" s="8"/>
      <c r="I4847" s="8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</row>
    <row r="4848" hidden="1">
      <c r="A4848" s="7"/>
      <c r="B4848" s="7"/>
      <c r="C4848" s="7"/>
      <c r="D4848" s="7"/>
      <c r="E4848" s="7"/>
      <c r="F4848" s="7"/>
      <c r="G4848" s="7"/>
      <c r="H4848" s="8"/>
      <c r="I4848" s="8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</row>
    <row r="4849" hidden="1">
      <c r="A4849" s="7"/>
      <c r="B4849" s="7"/>
      <c r="C4849" s="7"/>
      <c r="D4849" s="7"/>
      <c r="E4849" s="7"/>
      <c r="F4849" s="7"/>
      <c r="G4849" s="7"/>
      <c r="H4849" s="8"/>
      <c r="I4849" s="8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</row>
    <row r="4850" hidden="1">
      <c r="A4850" s="7"/>
      <c r="B4850" s="7"/>
      <c r="C4850" s="7"/>
      <c r="D4850" s="7"/>
      <c r="E4850" s="7"/>
      <c r="F4850" s="7"/>
      <c r="G4850" s="7"/>
      <c r="H4850" s="8"/>
      <c r="I4850" s="8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</row>
    <row r="4851" hidden="1">
      <c r="A4851" s="7"/>
      <c r="B4851" s="7"/>
      <c r="C4851" s="7"/>
      <c r="D4851" s="7"/>
      <c r="E4851" s="7"/>
      <c r="F4851" s="7"/>
      <c r="G4851" s="7"/>
      <c r="H4851" s="8"/>
      <c r="I4851" s="8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</row>
    <row r="4852" hidden="1">
      <c r="A4852" s="7"/>
      <c r="B4852" s="7"/>
      <c r="C4852" s="7"/>
      <c r="D4852" s="7"/>
      <c r="E4852" s="7"/>
      <c r="F4852" s="7"/>
      <c r="G4852" s="7"/>
      <c r="H4852" s="8"/>
      <c r="I4852" s="8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</row>
    <row r="4853" hidden="1">
      <c r="A4853" s="7"/>
      <c r="B4853" s="7"/>
      <c r="C4853" s="7"/>
      <c r="D4853" s="7"/>
      <c r="E4853" s="7"/>
      <c r="F4853" s="7"/>
      <c r="G4853" s="7"/>
      <c r="H4853" s="8"/>
      <c r="I4853" s="8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</row>
    <row r="4854" hidden="1">
      <c r="A4854" s="7"/>
      <c r="B4854" s="7"/>
      <c r="C4854" s="7"/>
      <c r="D4854" s="7"/>
      <c r="E4854" s="7"/>
      <c r="F4854" s="7"/>
      <c r="G4854" s="7"/>
      <c r="H4854" s="8"/>
      <c r="I4854" s="8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</row>
    <row r="4855" hidden="1">
      <c r="A4855" s="7"/>
      <c r="B4855" s="7"/>
      <c r="C4855" s="7"/>
      <c r="D4855" s="7"/>
      <c r="E4855" s="7"/>
      <c r="F4855" s="7"/>
      <c r="G4855" s="7"/>
      <c r="H4855" s="8"/>
      <c r="I4855" s="8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</row>
    <row r="4856" hidden="1">
      <c r="A4856" s="7"/>
      <c r="B4856" s="7"/>
      <c r="C4856" s="7"/>
      <c r="D4856" s="7"/>
      <c r="E4856" s="7"/>
      <c r="F4856" s="7"/>
      <c r="G4856" s="7"/>
      <c r="H4856" s="8"/>
      <c r="I4856" s="8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</row>
    <row r="4857" hidden="1">
      <c r="A4857" s="7"/>
      <c r="B4857" s="7"/>
      <c r="C4857" s="7"/>
      <c r="D4857" s="7"/>
      <c r="E4857" s="7"/>
      <c r="F4857" s="7"/>
      <c r="G4857" s="7"/>
      <c r="H4857" s="8"/>
      <c r="I4857" s="8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</row>
    <row r="4858" hidden="1">
      <c r="A4858" s="7"/>
      <c r="B4858" s="7"/>
      <c r="C4858" s="7"/>
      <c r="D4858" s="7"/>
      <c r="E4858" s="7"/>
      <c r="F4858" s="7"/>
      <c r="G4858" s="7"/>
      <c r="H4858" s="8"/>
      <c r="I4858" s="8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</row>
    <row r="4859" hidden="1">
      <c r="A4859" s="7"/>
      <c r="B4859" s="7"/>
      <c r="C4859" s="7"/>
      <c r="D4859" s="7"/>
      <c r="E4859" s="7"/>
      <c r="F4859" s="7"/>
      <c r="G4859" s="7"/>
      <c r="H4859" s="8"/>
      <c r="I4859" s="8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</row>
    <row r="4860" hidden="1">
      <c r="A4860" s="7"/>
      <c r="B4860" s="7"/>
      <c r="C4860" s="7"/>
      <c r="D4860" s="7"/>
      <c r="E4860" s="7"/>
      <c r="F4860" s="7"/>
      <c r="G4860" s="7"/>
      <c r="H4860" s="8"/>
      <c r="I4860" s="8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</row>
    <row r="4861" hidden="1">
      <c r="A4861" s="7"/>
      <c r="B4861" s="7"/>
      <c r="C4861" s="7"/>
      <c r="D4861" s="7"/>
      <c r="E4861" s="7"/>
      <c r="F4861" s="7"/>
      <c r="G4861" s="7"/>
      <c r="H4861" s="8"/>
      <c r="I4861" s="8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</row>
    <row r="4862" hidden="1">
      <c r="A4862" s="7"/>
      <c r="B4862" s="7"/>
      <c r="C4862" s="7"/>
      <c r="D4862" s="7"/>
      <c r="E4862" s="7"/>
      <c r="F4862" s="7"/>
      <c r="G4862" s="7"/>
      <c r="H4862" s="8"/>
      <c r="I4862" s="8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</row>
    <row r="4863" hidden="1">
      <c r="A4863" s="7"/>
      <c r="B4863" s="7"/>
      <c r="C4863" s="7"/>
      <c r="D4863" s="7"/>
      <c r="E4863" s="7"/>
      <c r="F4863" s="7"/>
      <c r="G4863" s="7"/>
      <c r="H4863" s="8"/>
      <c r="I4863" s="8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</row>
    <row r="4864" hidden="1">
      <c r="A4864" s="7"/>
      <c r="B4864" s="7"/>
      <c r="C4864" s="7"/>
      <c r="D4864" s="7"/>
      <c r="E4864" s="7"/>
      <c r="F4864" s="7"/>
      <c r="G4864" s="7"/>
      <c r="H4864" s="8"/>
      <c r="I4864" s="8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</row>
    <row r="4865" hidden="1">
      <c r="A4865" s="7"/>
      <c r="B4865" s="7"/>
      <c r="C4865" s="7"/>
      <c r="D4865" s="7"/>
      <c r="E4865" s="7"/>
      <c r="F4865" s="7"/>
      <c r="G4865" s="7"/>
      <c r="H4865" s="8"/>
      <c r="I4865" s="8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</row>
    <row r="4866" hidden="1">
      <c r="A4866" s="7"/>
      <c r="B4866" s="7"/>
      <c r="C4866" s="7"/>
      <c r="D4866" s="7"/>
      <c r="E4866" s="7"/>
      <c r="F4866" s="7"/>
      <c r="G4866" s="7"/>
      <c r="H4866" s="8"/>
      <c r="I4866" s="8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</row>
    <row r="4867" hidden="1">
      <c r="A4867" s="7"/>
      <c r="B4867" s="7"/>
      <c r="C4867" s="7"/>
      <c r="D4867" s="7"/>
      <c r="E4867" s="7"/>
      <c r="F4867" s="7"/>
      <c r="G4867" s="7"/>
      <c r="H4867" s="8"/>
      <c r="I4867" s="8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</row>
    <row r="4868" hidden="1">
      <c r="A4868" s="7"/>
      <c r="B4868" s="7"/>
      <c r="C4868" s="7"/>
      <c r="D4868" s="7"/>
      <c r="E4868" s="7"/>
      <c r="F4868" s="7"/>
      <c r="G4868" s="7"/>
      <c r="H4868" s="8"/>
      <c r="I4868" s="8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</row>
    <row r="4869" hidden="1">
      <c r="A4869" s="7"/>
      <c r="B4869" s="7"/>
      <c r="C4869" s="7"/>
      <c r="D4869" s="7"/>
      <c r="E4869" s="7"/>
      <c r="F4869" s="7"/>
      <c r="G4869" s="7"/>
      <c r="H4869" s="8"/>
      <c r="I4869" s="8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</row>
    <row r="4870" hidden="1">
      <c r="A4870" s="7"/>
      <c r="B4870" s="7"/>
      <c r="C4870" s="7"/>
      <c r="D4870" s="7"/>
      <c r="E4870" s="7"/>
      <c r="F4870" s="7"/>
      <c r="G4870" s="7"/>
      <c r="H4870" s="8"/>
      <c r="I4870" s="8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</row>
    <row r="4871" hidden="1">
      <c r="A4871" s="7"/>
      <c r="B4871" s="7"/>
      <c r="C4871" s="7"/>
      <c r="D4871" s="7"/>
      <c r="E4871" s="7"/>
      <c r="F4871" s="7"/>
      <c r="G4871" s="7"/>
      <c r="H4871" s="8"/>
      <c r="I4871" s="8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</row>
    <row r="4872" hidden="1">
      <c r="A4872" s="7"/>
      <c r="B4872" s="7"/>
      <c r="C4872" s="7"/>
      <c r="D4872" s="7"/>
      <c r="E4872" s="7"/>
      <c r="F4872" s="7"/>
      <c r="G4872" s="7"/>
      <c r="H4872" s="8"/>
      <c r="I4872" s="8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</row>
    <row r="4873" hidden="1">
      <c r="A4873" s="7"/>
      <c r="B4873" s="7"/>
      <c r="C4873" s="7"/>
      <c r="D4873" s="7"/>
      <c r="E4873" s="7"/>
      <c r="F4873" s="7"/>
      <c r="G4873" s="7"/>
      <c r="H4873" s="8"/>
      <c r="I4873" s="8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</row>
    <row r="4874" hidden="1">
      <c r="A4874" s="7"/>
      <c r="B4874" s="7"/>
      <c r="C4874" s="7"/>
      <c r="D4874" s="7"/>
      <c r="E4874" s="7"/>
      <c r="F4874" s="7"/>
      <c r="G4874" s="7"/>
      <c r="H4874" s="8"/>
      <c r="I4874" s="8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</row>
    <row r="4875" hidden="1">
      <c r="A4875" s="7"/>
      <c r="B4875" s="7"/>
      <c r="C4875" s="7"/>
      <c r="D4875" s="7"/>
      <c r="E4875" s="7"/>
      <c r="F4875" s="7"/>
      <c r="G4875" s="7"/>
      <c r="H4875" s="8"/>
      <c r="I4875" s="8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</row>
    <row r="4876" hidden="1">
      <c r="A4876" s="7"/>
      <c r="B4876" s="7"/>
      <c r="C4876" s="7"/>
      <c r="D4876" s="7"/>
      <c r="E4876" s="7"/>
      <c r="F4876" s="7"/>
      <c r="G4876" s="7"/>
      <c r="H4876" s="8"/>
      <c r="I4876" s="8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</row>
    <row r="4877" hidden="1">
      <c r="A4877" s="7"/>
      <c r="B4877" s="7"/>
      <c r="C4877" s="7"/>
      <c r="D4877" s="7"/>
      <c r="E4877" s="7"/>
      <c r="F4877" s="7"/>
      <c r="G4877" s="7"/>
      <c r="H4877" s="8"/>
      <c r="I4877" s="8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</row>
    <row r="4878" hidden="1">
      <c r="A4878" s="7"/>
      <c r="B4878" s="7"/>
      <c r="C4878" s="7"/>
      <c r="D4878" s="7"/>
      <c r="E4878" s="7"/>
      <c r="F4878" s="7"/>
      <c r="G4878" s="7"/>
      <c r="H4878" s="8"/>
      <c r="I4878" s="8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</row>
    <row r="4879" hidden="1">
      <c r="A4879" s="7"/>
      <c r="B4879" s="7"/>
      <c r="C4879" s="7"/>
      <c r="D4879" s="7"/>
      <c r="E4879" s="7"/>
      <c r="F4879" s="7"/>
      <c r="G4879" s="7"/>
      <c r="H4879" s="8"/>
      <c r="I4879" s="8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</row>
    <row r="4880" hidden="1">
      <c r="A4880" s="7"/>
      <c r="B4880" s="7"/>
      <c r="C4880" s="7"/>
      <c r="D4880" s="7"/>
      <c r="E4880" s="7"/>
      <c r="F4880" s="7"/>
      <c r="G4880" s="7"/>
      <c r="H4880" s="8"/>
      <c r="I4880" s="8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</row>
    <row r="4881" hidden="1">
      <c r="A4881" s="7"/>
      <c r="B4881" s="7"/>
      <c r="C4881" s="7"/>
      <c r="D4881" s="7"/>
      <c r="E4881" s="7"/>
      <c r="F4881" s="7"/>
      <c r="G4881" s="7"/>
      <c r="H4881" s="8"/>
      <c r="I4881" s="8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</row>
    <row r="4882" hidden="1">
      <c r="A4882" s="7"/>
      <c r="B4882" s="7"/>
      <c r="C4882" s="7"/>
      <c r="D4882" s="7"/>
      <c r="E4882" s="7"/>
      <c r="F4882" s="7"/>
      <c r="G4882" s="7"/>
      <c r="H4882" s="8"/>
      <c r="I4882" s="8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</row>
    <row r="4883" hidden="1">
      <c r="A4883" s="7"/>
      <c r="B4883" s="7"/>
      <c r="C4883" s="7"/>
      <c r="D4883" s="7"/>
      <c r="E4883" s="7"/>
      <c r="F4883" s="7"/>
      <c r="G4883" s="7"/>
      <c r="H4883" s="8"/>
      <c r="I4883" s="8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</row>
    <row r="4884" hidden="1">
      <c r="A4884" s="7"/>
      <c r="B4884" s="7"/>
      <c r="C4884" s="7"/>
      <c r="D4884" s="7"/>
      <c r="E4884" s="7"/>
      <c r="F4884" s="7"/>
      <c r="G4884" s="7"/>
      <c r="H4884" s="8"/>
      <c r="I4884" s="8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</row>
    <row r="4885" hidden="1">
      <c r="A4885" s="7"/>
      <c r="B4885" s="7"/>
      <c r="C4885" s="7"/>
      <c r="D4885" s="7"/>
      <c r="E4885" s="7"/>
      <c r="F4885" s="7"/>
      <c r="G4885" s="7"/>
      <c r="H4885" s="8"/>
      <c r="I4885" s="8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</row>
    <row r="4886" hidden="1">
      <c r="A4886" s="7"/>
      <c r="B4886" s="7"/>
      <c r="C4886" s="7"/>
      <c r="D4886" s="7"/>
      <c r="E4886" s="7"/>
      <c r="F4886" s="7"/>
      <c r="G4886" s="7"/>
      <c r="H4886" s="8"/>
      <c r="I4886" s="8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</row>
    <row r="4887" hidden="1">
      <c r="A4887" s="7"/>
      <c r="B4887" s="7"/>
      <c r="C4887" s="7"/>
      <c r="D4887" s="7"/>
      <c r="E4887" s="7"/>
      <c r="F4887" s="7"/>
      <c r="G4887" s="7"/>
      <c r="H4887" s="8"/>
      <c r="I4887" s="8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</row>
    <row r="4888" hidden="1">
      <c r="A4888" s="7"/>
      <c r="B4888" s="7"/>
      <c r="C4888" s="7"/>
      <c r="D4888" s="7"/>
      <c r="E4888" s="7"/>
      <c r="F4888" s="7"/>
      <c r="G4888" s="7"/>
      <c r="H4888" s="8"/>
      <c r="I4888" s="8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</row>
    <row r="4889" hidden="1">
      <c r="A4889" s="7"/>
      <c r="B4889" s="7"/>
      <c r="C4889" s="7"/>
      <c r="D4889" s="7"/>
      <c r="E4889" s="7"/>
      <c r="F4889" s="7"/>
      <c r="G4889" s="7"/>
      <c r="H4889" s="8"/>
      <c r="I4889" s="8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</row>
    <row r="4890" hidden="1">
      <c r="A4890" s="7"/>
      <c r="B4890" s="7"/>
      <c r="C4890" s="7"/>
      <c r="D4890" s="7"/>
      <c r="E4890" s="7"/>
      <c r="F4890" s="7"/>
      <c r="G4890" s="7"/>
      <c r="H4890" s="8"/>
      <c r="I4890" s="8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</row>
    <row r="4891" hidden="1">
      <c r="A4891" s="7"/>
      <c r="B4891" s="7"/>
      <c r="C4891" s="7"/>
      <c r="D4891" s="7"/>
      <c r="E4891" s="7"/>
      <c r="F4891" s="7"/>
      <c r="G4891" s="7"/>
      <c r="H4891" s="8"/>
      <c r="I4891" s="8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</row>
    <row r="4892" hidden="1">
      <c r="A4892" s="7"/>
      <c r="B4892" s="7"/>
      <c r="C4892" s="7"/>
      <c r="D4892" s="7"/>
      <c r="E4892" s="7"/>
      <c r="F4892" s="7"/>
      <c r="G4892" s="7"/>
      <c r="H4892" s="8"/>
      <c r="I4892" s="8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</row>
    <row r="4893" hidden="1">
      <c r="A4893" s="7"/>
      <c r="B4893" s="7"/>
      <c r="C4893" s="7"/>
      <c r="D4893" s="7"/>
      <c r="E4893" s="7"/>
      <c r="F4893" s="7"/>
      <c r="G4893" s="7"/>
      <c r="H4893" s="8"/>
      <c r="I4893" s="8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</row>
    <row r="4894" hidden="1">
      <c r="A4894" s="7"/>
      <c r="B4894" s="7"/>
      <c r="C4894" s="7"/>
      <c r="D4894" s="7"/>
      <c r="E4894" s="7"/>
      <c r="F4894" s="7"/>
      <c r="G4894" s="7"/>
      <c r="H4894" s="8"/>
      <c r="I4894" s="8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</row>
    <row r="4895" hidden="1">
      <c r="A4895" s="7"/>
      <c r="B4895" s="7"/>
      <c r="C4895" s="7"/>
      <c r="D4895" s="7"/>
      <c r="E4895" s="7"/>
      <c r="F4895" s="7"/>
      <c r="G4895" s="7"/>
      <c r="H4895" s="8"/>
      <c r="I4895" s="8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</row>
    <row r="4896" hidden="1">
      <c r="A4896" s="7"/>
      <c r="B4896" s="7"/>
      <c r="C4896" s="7"/>
      <c r="D4896" s="7"/>
      <c r="E4896" s="7"/>
      <c r="F4896" s="7"/>
      <c r="G4896" s="7"/>
      <c r="H4896" s="8"/>
      <c r="I4896" s="8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</row>
    <row r="4897" hidden="1">
      <c r="A4897" s="7"/>
      <c r="B4897" s="7"/>
      <c r="C4897" s="7"/>
      <c r="D4897" s="7"/>
      <c r="E4897" s="7"/>
      <c r="F4897" s="7"/>
      <c r="G4897" s="7"/>
      <c r="H4897" s="8"/>
      <c r="I4897" s="8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</row>
    <row r="4898" hidden="1">
      <c r="A4898" s="7"/>
      <c r="B4898" s="7"/>
      <c r="C4898" s="7"/>
      <c r="D4898" s="7"/>
      <c r="E4898" s="7"/>
      <c r="F4898" s="7"/>
      <c r="G4898" s="7"/>
      <c r="H4898" s="8"/>
      <c r="I4898" s="8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</row>
    <row r="4899" hidden="1">
      <c r="A4899" s="7"/>
      <c r="B4899" s="7"/>
      <c r="C4899" s="7"/>
      <c r="D4899" s="7"/>
      <c r="E4899" s="7"/>
      <c r="F4899" s="7"/>
      <c r="G4899" s="7"/>
      <c r="H4899" s="8"/>
      <c r="I4899" s="8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</row>
    <row r="4900" hidden="1">
      <c r="A4900" s="7"/>
      <c r="B4900" s="7"/>
      <c r="C4900" s="7"/>
      <c r="D4900" s="7"/>
      <c r="E4900" s="7"/>
      <c r="F4900" s="7"/>
      <c r="G4900" s="7"/>
      <c r="H4900" s="8"/>
      <c r="I4900" s="8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</row>
    <row r="4901" hidden="1">
      <c r="A4901" s="7"/>
      <c r="B4901" s="7"/>
      <c r="C4901" s="7"/>
      <c r="D4901" s="7"/>
      <c r="E4901" s="7"/>
      <c r="F4901" s="7"/>
      <c r="G4901" s="7"/>
      <c r="H4901" s="8"/>
      <c r="I4901" s="8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</row>
    <row r="4902" hidden="1">
      <c r="A4902" s="7"/>
      <c r="B4902" s="7"/>
      <c r="C4902" s="7"/>
      <c r="D4902" s="7"/>
      <c r="E4902" s="7"/>
      <c r="F4902" s="7"/>
      <c r="G4902" s="7"/>
      <c r="H4902" s="8"/>
      <c r="I4902" s="8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</row>
    <row r="4903" hidden="1">
      <c r="A4903" s="7"/>
      <c r="B4903" s="7"/>
      <c r="C4903" s="7"/>
      <c r="D4903" s="7"/>
      <c r="E4903" s="7"/>
      <c r="F4903" s="7"/>
      <c r="G4903" s="7"/>
      <c r="H4903" s="8"/>
      <c r="I4903" s="8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</row>
    <row r="4904" hidden="1">
      <c r="A4904" s="7"/>
      <c r="B4904" s="7"/>
      <c r="C4904" s="7"/>
      <c r="D4904" s="7"/>
      <c r="E4904" s="7"/>
      <c r="F4904" s="7"/>
      <c r="G4904" s="7"/>
      <c r="H4904" s="8"/>
      <c r="I4904" s="8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</row>
    <row r="4905" hidden="1">
      <c r="A4905" s="7"/>
      <c r="B4905" s="7"/>
      <c r="C4905" s="7"/>
      <c r="D4905" s="7"/>
      <c r="E4905" s="7"/>
      <c r="F4905" s="7"/>
      <c r="G4905" s="7"/>
      <c r="H4905" s="8"/>
      <c r="I4905" s="8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</row>
    <row r="4906" hidden="1">
      <c r="A4906" s="7"/>
      <c r="B4906" s="7"/>
      <c r="C4906" s="7"/>
      <c r="D4906" s="7"/>
      <c r="E4906" s="7"/>
      <c r="F4906" s="7"/>
      <c r="G4906" s="7"/>
      <c r="H4906" s="8"/>
      <c r="I4906" s="8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</row>
    <row r="4907" hidden="1">
      <c r="A4907" s="7"/>
      <c r="B4907" s="7"/>
      <c r="C4907" s="7"/>
      <c r="D4907" s="7"/>
      <c r="E4907" s="7"/>
      <c r="F4907" s="7"/>
      <c r="G4907" s="7"/>
      <c r="H4907" s="8"/>
      <c r="I4907" s="8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</row>
    <row r="4908" hidden="1">
      <c r="A4908" s="7"/>
      <c r="B4908" s="7"/>
      <c r="C4908" s="7"/>
      <c r="D4908" s="7"/>
      <c r="E4908" s="7"/>
      <c r="F4908" s="7"/>
      <c r="G4908" s="7"/>
      <c r="H4908" s="8"/>
      <c r="I4908" s="8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</row>
    <row r="4909" hidden="1">
      <c r="A4909" s="7"/>
      <c r="B4909" s="7"/>
      <c r="C4909" s="7"/>
      <c r="D4909" s="7"/>
      <c r="E4909" s="7"/>
      <c r="F4909" s="7"/>
      <c r="G4909" s="7"/>
      <c r="H4909" s="8"/>
      <c r="I4909" s="8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</row>
    <row r="4910" hidden="1">
      <c r="A4910" s="7"/>
      <c r="B4910" s="7"/>
      <c r="C4910" s="7"/>
      <c r="D4910" s="7"/>
      <c r="E4910" s="7"/>
      <c r="F4910" s="7"/>
      <c r="G4910" s="7"/>
      <c r="H4910" s="8"/>
      <c r="I4910" s="8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</row>
    <row r="4911" hidden="1">
      <c r="A4911" s="7"/>
      <c r="B4911" s="7"/>
      <c r="C4911" s="7"/>
      <c r="D4911" s="7"/>
      <c r="E4911" s="7"/>
      <c r="F4911" s="7"/>
      <c r="G4911" s="7"/>
      <c r="H4911" s="8"/>
      <c r="I4911" s="8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</row>
    <row r="4912" hidden="1">
      <c r="A4912" s="7"/>
      <c r="B4912" s="7"/>
      <c r="C4912" s="7"/>
      <c r="D4912" s="7"/>
      <c r="E4912" s="7"/>
      <c r="F4912" s="7"/>
      <c r="G4912" s="7"/>
      <c r="H4912" s="8"/>
      <c r="I4912" s="8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</row>
    <row r="4913" hidden="1">
      <c r="A4913" s="7"/>
      <c r="B4913" s="7"/>
      <c r="C4913" s="7"/>
      <c r="D4913" s="7"/>
      <c r="E4913" s="7"/>
      <c r="F4913" s="7"/>
      <c r="G4913" s="7"/>
      <c r="H4913" s="8"/>
      <c r="I4913" s="8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</row>
    <row r="4914" hidden="1">
      <c r="A4914" s="7"/>
      <c r="B4914" s="7"/>
      <c r="C4914" s="7"/>
      <c r="D4914" s="7"/>
      <c r="E4914" s="7"/>
      <c r="F4914" s="7"/>
      <c r="G4914" s="7"/>
      <c r="H4914" s="8"/>
      <c r="I4914" s="8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</row>
    <row r="4915" hidden="1">
      <c r="A4915" s="7"/>
      <c r="B4915" s="7"/>
      <c r="C4915" s="7"/>
      <c r="D4915" s="7"/>
      <c r="E4915" s="7"/>
      <c r="F4915" s="7"/>
      <c r="G4915" s="7"/>
      <c r="H4915" s="8"/>
      <c r="I4915" s="8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</row>
    <row r="4916" hidden="1">
      <c r="A4916" s="7"/>
      <c r="B4916" s="7"/>
      <c r="C4916" s="7"/>
      <c r="D4916" s="7"/>
      <c r="E4916" s="7"/>
      <c r="F4916" s="7"/>
      <c r="G4916" s="7"/>
      <c r="H4916" s="8"/>
      <c r="I4916" s="8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</row>
    <row r="4917" hidden="1">
      <c r="A4917" s="7"/>
      <c r="B4917" s="7"/>
      <c r="C4917" s="7"/>
      <c r="D4917" s="7"/>
      <c r="E4917" s="7"/>
      <c r="F4917" s="7"/>
      <c r="G4917" s="7"/>
      <c r="H4917" s="8"/>
      <c r="I4917" s="8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</row>
    <row r="4918" hidden="1">
      <c r="A4918" s="7"/>
      <c r="B4918" s="7"/>
      <c r="C4918" s="7"/>
      <c r="D4918" s="7"/>
      <c r="E4918" s="7"/>
      <c r="F4918" s="7"/>
      <c r="G4918" s="7"/>
      <c r="H4918" s="8"/>
      <c r="I4918" s="8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</row>
    <row r="4919" hidden="1">
      <c r="A4919" s="7"/>
      <c r="B4919" s="7"/>
      <c r="C4919" s="7"/>
      <c r="D4919" s="7"/>
      <c r="E4919" s="7"/>
      <c r="F4919" s="7"/>
      <c r="G4919" s="7"/>
      <c r="H4919" s="8"/>
      <c r="I4919" s="8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</row>
    <row r="4920" hidden="1">
      <c r="A4920" s="7"/>
      <c r="B4920" s="7"/>
      <c r="C4920" s="7"/>
      <c r="D4920" s="7"/>
      <c r="E4920" s="7"/>
      <c r="F4920" s="7"/>
      <c r="G4920" s="7"/>
      <c r="H4920" s="8"/>
      <c r="I4920" s="8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</row>
    <row r="4921" hidden="1">
      <c r="A4921" s="7"/>
      <c r="B4921" s="7"/>
      <c r="C4921" s="7"/>
      <c r="D4921" s="7"/>
      <c r="E4921" s="7"/>
      <c r="F4921" s="7"/>
      <c r="G4921" s="7"/>
      <c r="H4921" s="8"/>
      <c r="I4921" s="8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</row>
    <row r="4922" hidden="1">
      <c r="A4922" s="7"/>
      <c r="B4922" s="7"/>
      <c r="C4922" s="7"/>
      <c r="D4922" s="7"/>
      <c r="E4922" s="7"/>
      <c r="F4922" s="7"/>
      <c r="G4922" s="7"/>
      <c r="H4922" s="8"/>
      <c r="I4922" s="8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</row>
    <row r="4923" hidden="1">
      <c r="A4923" s="7"/>
      <c r="B4923" s="7"/>
      <c r="C4923" s="7"/>
      <c r="D4923" s="7"/>
      <c r="E4923" s="7"/>
      <c r="F4923" s="7"/>
      <c r="G4923" s="7"/>
      <c r="H4923" s="8"/>
      <c r="I4923" s="8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</row>
    <row r="4924" hidden="1">
      <c r="A4924" s="7"/>
      <c r="B4924" s="7"/>
      <c r="C4924" s="7"/>
      <c r="D4924" s="7"/>
      <c r="E4924" s="7"/>
      <c r="F4924" s="7"/>
      <c r="G4924" s="7"/>
      <c r="H4924" s="8"/>
      <c r="I4924" s="8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</row>
    <row r="4925" hidden="1">
      <c r="A4925" s="7"/>
      <c r="B4925" s="7"/>
      <c r="C4925" s="7"/>
      <c r="D4925" s="7"/>
      <c r="E4925" s="7"/>
      <c r="F4925" s="7"/>
      <c r="G4925" s="7"/>
      <c r="H4925" s="8"/>
      <c r="I4925" s="8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</row>
    <row r="4926" hidden="1">
      <c r="A4926" s="7"/>
      <c r="B4926" s="7"/>
      <c r="C4926" s="7"/>
      <c r="D4926" s="7"/>
      <c r="E4926" s="7"/>
      <c r="F4926" s="7"/>
      <c r="G4926" s="7"/>
      <c r="H4926" s="8"/>
      <c r="I4926" s="8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</row>
    <row r="4927" hidden="1">
      <c r="A4927" s="7"/>
      <c r="B4927" s="7"/>
      <c r="C4927" s="7"/>
      <c r="D4927" s="7"/>
      <c r="E4927" s="7"/>
      <c r="F4927" s="7"/>
      <c r="G4927" s="7"/>
      <c r="H4927" s="8"/>
      <c r="I4927" s="8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</row>
    <row r="4928" hidden="1">
      <c r="A4928" s="7"/>
      <c r="B4928" s="7"/>
      <c r="C4928" s="7"/>
      <c r="D4928" s="7"/>
      <c r="E4928" s="7"/>
      <c r="F4928" s="7"/>
      <c r="G4928" s="7"/>
      <c r="H4928" s="8"/>
      <c r="I4928" s="8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</row>
    <row r="4929" hidden="1">
      <c r="A4929" s="7"/>
      <c r="B4929" s="7"/>
      <c r="C4929" s="7"/>
      <c r="D4929" s="7"/>
      <c r="E4929" s="7"/>
      <c r="F4929" s="7"/>
      <c r="G4929" s="7"/>
      <c r="H4929" s="8"/>
      <c r="I4929" s="8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</row>
    <row r="4930" hidden="1">
      <c r="A4930" s="7"/>
      <c r="B4930" s="7"/>
      <c r="C4930" s="7"/>
      <c r="D4930" s="7"/>
      <c r="E4930" s="7"/>
      <c r="F4930" s="7"/>
      <c r="G4930" s="7"/>
      <c r="H4930" s="8"/>
      <c r="I4930" s="8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</row>
    <row r="4931" hidden="1">
      <c r="A4931" s="7"/>
      <c r="B4931" s="7"/>
      <c r="C4931" s="7"/>
      <c r="D4931" s="7"/>
      <c r="E4931" s="7"/>
      <c r="F4931" s="7"/>
      <c r="G4931" s="7"/>
      <c r="H4931" s="8"/>
      <c r="I4931" s="8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</row>
    <row r="4932" hidden="1">
      <c r="A4932" s="7"/>
      <c r="B4932" s="7"/>
      <c r="C4932" s="7"/>
      <c r="D4932" s="7"/>
      <c r="E4932" s="7"/>
      <c r="F4932" s="7"/>
      <c r="G4932" s="7"/>
      <c r="H4932" s="8"/>
      <c r="I4932" s="8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</row>
    <row r="4933" hidden="1">
      <c r="A4933" s="7"/>
      <c r="B4933" s="7"/>
      <c r="C4933" s="7"/>
      <c r="D4933" s="7"/>
      <c r="E4933" s="7"/>
      <c r="F4933" s="7"/>
      <c r="G4933" s="7"/>
      <c r="H4933" s="8"/>
      <c r="I4933" s="8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</row>
    <row r="4934" hidden="1">
      <c r="A4934" s="7"/>
      <c r="B4934" s="7"/>
      <c r="C4934" s="7"/>
      <c r="D4934" s="7"/>
      <c r="E4934" s="7"/>
      <c r="F4934" s="7"/>
      <c r="G4934" s="7"/>
      <c r="H4934" s="8"/>
      <c r="I4934" s="8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</row>
    <row r="4935" hidden="1">
      <c r="A4935" s="7"/>
      <c r="B4935" s="7"/>
      <c r="C4935" s="7"/>
      <c r="D4935" s="7"/>
      <c r="E4935" s="7"/>
      <c r="F4935" s="7"/>
      <c r="G4935" s="7"/>
      <c r="H4935" s="8"/>
      <c r="I4935" s="8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</row>
    <row r="4936" hidden="1">
      <c r="A4936" s="7"/>
      <c r="B4936" s="7"/>
      <c r="C4936" s="7"/>
      <c r="D4936" s="7"/>
      <c r="E4936" s="7"/>
      <c r="F4936" s="7"/>
      <c r="G4936" s="7"/>
      <c r="H4936" s="8"/>
      <c r="I4936" s="8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</row>
    <row r="4937" hidden="1">
      <c r="A4937" s="7"/>
      <c r="B4937" s="7"/>
      <c r="C4937" s="7"/>
      <c r="D4937" s="7"/>
      <c r="E4937" s="7"/>
      <c r="F4937" s="7"/>
      <c r="G4937" s="7"/>
      <c r="H4937" s="8"/>
      <c r="I4937" s="8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</row>
    <row r="4938" hidden="1">
      <c r="A4938" s="7"/>
      <c r="B4938" s="7"/>
      <c r="C4938" s="7"/>
      <c r="D4938" s="7"/>
      <c r="E4938" s="7"/>
      <c r="F4938" s="7"/>
      <c r="G4938" s="7"/>
      <c r="H4938" s="8"/>
      <c r="I4938" s="8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</row>
    <row r="4939" hidden="1">
      <c r="A4939" s="7"/>
      <c r="B4939" s="7"/>
      <c r="C4939" s="7"/>
      <c r="D4939" s="7"/>
      <c r="E4939" s="7"/>
      <c r="F4939" s="7"/>
      <c r="G4939" s="7"/>
      <c r="H4939" s="8"/>
      <c r="I4939" s="8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</row>
    <row r="4940" hidden="1">
      <c r="A4940" s="7"/>
      <c r="B4940" s="7"/>
      <c r="C4940" s="7"/>
      <c r="D4940" s="7"/>
      <c r="E4940" s="7"/>
      <c r="F4940" s="7"/>
      <c r="G4940" s="7"/>
      <c r="H4940" s="8"/>
      <c r="I4940" s="8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</row>
    <row r="4941" hidden="1">
      <c r="A4941" s="7"/>
      <c r="B4941" s="7"/>
      <c r="C4941" s="7"/>
      <c r="D4941" s="7"/>
      <c r="E4941" s="7"/>
      <c r="F4941" s="7"/>
      <c r="G4941" s="7"/>
      <c r="H4941" s="8"/>
      <c r="I4941" s="8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</row>
    <row r="4942" hidden="1">
      <c r="A4942" s="7"/>
      <c r="B4942" s="7"/>
      <c r="C4942" s="7"/>
      <c r="D4942" s="7"/>
      <c r="E4942" s="7"/>
      <c r="F4942" s="7"/>
      <c r="G4942" s="7"/>
      <c r="H4942" s="8"/>
      <c r="I4942" s="8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</row>
    <row r="4943" hidden="1">
      <c r="A4943" s="7"/>
      <c r="B4943" s="7"/>
      <c r="C4943" s="7"/>
      <c r="D4943" s="7"/>
      <c r="E4943" s="7"/>
      <c r="F4943" s="7"/>
      <c r="G4943" s="7"/>
      <c r="H4943" s="8"/>
      <c r="I4943" s="8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</row>
    <row r="4944" hidden="1">
      <c r="A4944" s="7"/>
      <c r="B4944" s="7"/>
      <c r="C4944" s="7"/>
      <c r="D4944" s="7"/>
      <c r="E4944" s="7"/>
      <c r="F4944" s="7"/>
      <c r="G4944" s="7"/>
      <c r="H4944" s="8"/>
      <c r="I4944" s="8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</row>
    <row r="4945" hidden="1">
      <c r="A4945" s="7"/>
      <c r="B4945" s="7"/>
      <c r="C4945" s="7"/>
      <c r="D4945" s="7"/>
      <c r="E4945" s="7"/>
      <c r="F4945" s="7"/>
      <c r="G4945" s="7"/>
      <c r="H4945" s="8"/>
      <c r="I4945" s="8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</row>
    <row r="4946" hidden="1">
      <c r="A4946" s="7"/>
      <c r="B4946" s="7"/>
      <c r="C4946" s="7"/>
      <c r="D4946" s="7"/>
      <c r="E4946" s="7"/>
      <c r="F4946" s="7"/>
      <c r="G4946" s="7"/>
      <c r="H4946" s="8"/>
      <c r="I4946" s="8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</row>
    <row r="4947" hidden="1">
      <c r="A4947" s="7"/>
      <c r="B4947" s="7"/>
      <c r="C4947" s="7"/>
      <c r="D4947" s="7"/>
      <c r="E4947" s="7"/>
      <c r="F4947" s="7"/>
      <c r="G4947" s="7"/>
      <c r="H4947" s="8"/>
      <c r="I4947" s="8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</row>
    <row r="4948" hidden="1">
      <c r="A4948" s="7"/>
      <c r="B4948" s="7"/>
      <c r="C4948" s="7"/>
      <c r="D4948" s="7"/>
      <c r="E4948" s="7"/>
      <c r="F4948" s="7"/>
      <c r="G4948" s="7"/>
      <c r="H4948" s="8"/>
      <c r="I4948" s="8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</row>
    <row r="4949" hidden="1">
      <c r="A4949" s="7"/>
      <c r="B4949" s="7"/>
      <c r="C4949" s="7"/>
      <c r="D4949" s="7"/>
      <c r="E4949" s="7"/>
      <c r="F4949" s="7"/>
      <c r="G4949" s="7"/>
      <c r="H4949" s="8"/>
      <c r="I4949" s="8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</row>
    <row r="4950" hidden="1">
      <c r="A4950" s="7"/>
      <c r="B4950" s="7"/>
      <c r="C4950" s="7"/>
      <c r="D4950" s="7"/>
      <c r="E4950" s="7"/>
      <c r="F4950" s="7"/>
      <c r="G4950" s="7"/>
      <c r="H4950" s="8"/>
      <c r="I4950" s="8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</row>
    <row r="4951" hidden="1">
      <c r="A4951" s="7"/>
      <c r="B4951" s="7"/>
      <c r="C4951" s="7"/>
      <c r="D4951" s="7"/>
      <c r="E4951" s="7"/>
      <c r="F4951" s="7"/>
      <c r="G4951" s="7"/>
      <c r="H4951" s="8"/>
      <c r="I4951" s="8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</row>
    <row r="4952" hidden="1">
      <c r="A4952" s="7"/>
      <c r="B4952" s="7"/>
      <c r="C4952" s="7"/>
      <c r="D4952" s="7"/>
      <c r="E4952" s="7"/>
      <c r="F4952" s="7"/>
      <c r="G4952" s="7"/>
      <c r="H4952" s="8"/>
      <c r="I4952" s="8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</row>
    <row r="4953" hidden="1">
      <c r="A4953" s="7"/>
      <c r="B4953" s="7"/>
      <c r="C4953" s="7"/>
      <c r="D4953" s="7"/>
      <c r="E4953" s="7"/>
      <c r="F4953" s="7"/>
      <c r="G4953" s="7"/>
      <c r="H4953" s="8"/>
      <c r="I4953" s="8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</row>
    <row r="4954" hidden="1">
      <c r="A4954" s="7"/>
      <c r="B4954" s="7"/>
      <c r="C4954" s="7"/>
      <c r="D4954" s="7"/>
      <c r="E4954" s="7"/>
      <c r="F4954" s="7"/>
      <c r="G4954" s="7"/>
      <c r="H4954" s="8"/>
      <c r="I4954" s="8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</row>
    <row r="4955" hidden="1">
      <c r="A4955" s="7"/>
      <c r="B4955" s="7"/>
      <c r="C4955" s="7"/>
      <c r="D4955" s="7"/>
      <c r="E4955" s="7"/>
      <c r="F4955" s="7"/>
      <c r="G4955" s="7"/>
      <c r="H4955" s="8"/>
      <c r="I4955" s="8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</row>
    <row r="4956" hidden="1">
      <c r="A4956" s="7"/>
      <c r="B4956" s="7"/>
      <c r="C4956" s="7"/>
      <c r="D4956" s="7"/>
      <c r="E4956" s="7"/>
      <c r="F4956" s="7"/>
      <c r="G4956" s="7"/>
      <c r="H4956" s="8"/>
      <c r="I4956" s="8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</row>
    <row r="4957" hidden="1">
      <c r="A4957" s="7"/>
      <c r="B4957" s="7"/>
      <c r="C4957" s="7"/>
      <c r="D4957" s="7"/>
      <c r="E4957" s="7"/>
      <c r="F4957" s="7"/>
      <c r="G4957" s="7"/>
      <c r="H4957" s="8"/>
      <c r="I4957" s="8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</row>
    <row r="4958" hidden="1">
      <c r="A4958" s="7"/>
      <c r="B4958" s="7"/>
      <c r="C4958" s="7"/>
      <c r="D4958" s="7"/>
      <c r="E4958" s="7"/>
      <c r="F4958" s="7"/>
      <c r="G4958" s="7"/>
      <c r="H4958" s="8"/>
      <c r="I4958" s="8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</row>
    <row r="4959" hidden="1">
      <c r="A4959" s="7"/>
      <c r="B4959" s="7"/>
      <c r="C4959" s="7"/>
      <c r="D4959" s="7"/>
      <c r="E4959" s="7"/>
      <c r="F4959" s="7"/>
      <c r="G4959" s="7"/>
      <c r="H4959" s="8"/>
      <c r="I4959" s="8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</row>
    <row r="4960" hidden="1">
      <c r="A4960" s="7"/>
      <c r="B4960" s="7"/>
      <c r="C4960" s="7"/>
      <c r="D4960" s="7"/>
      <c r="E4960" s="7"/>
      <c r="F4960" s="7"/>
      <c r="G4960" s="7"/>
      <c r="H4960" s="8"/>
      <c r="I4960" s="8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</row>
    <row r="4961" hidden="1">
      <c r="A4961" s="7"/>
      <c r="B4961" s="7"/>
      <c r="C4961" s="7"/>
      <c r="D4961" s="7"/>
      <c r="E4961" s="7"/>
      <c r="F4961" s="7"/>
      <c r="G4961" s="7"/>
      <c r="H4961" s="8"/>
      <c r="I4961" s="8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</row>
    <row r="4962" hidden="1">
      <c r="A4962" s="7"/>
      <c r="B4962" s="7"/>
      <c r="C4962" s="7"/>
      <c r="D4962" s="7"/>
      <c r="E4962" s="7"/>
      <c r="F4962" s="7"/>
      <c r="G4962" s="7"/>
      <c r="H4962" s="8"/>
      <c r="I4962" s="8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</row>
    <row r="4963" hidden="1">
      <c r="A4963" s="7"/>
      <c r="B4963" s="7"/>
      <c r="C4963" s="7"/>
      <c r="D4963" s="7"/>
      <c r="E4963" s="7"/>
      <c r="F4963" s="7"/>
      <c r="G4963" s="7"/>
      <c r="H4963" s="8"/>
      <c r="I4963" s="8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</row>
    <row r="4964" hidden="1">
      <c r="A4964" s="7"/>
      <c r="B4964" s="7"/>
      <c r="C4964" s="7"/>
      <c r="D4964" s="7"/>
      <c r="E4964" s="7"/>
      <c r="F4964" s="7"/>
      <c r="G4964" s="7"/>
      <c r="H4964" s="8"/>
      <c r="I4964" s="8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</row>
    <row r="4965" hidden="1">
      <c r="A4965" s="7"/>
      <c r="B4965" s="7"/>
      <c r="C4965" s="7"/>
      <c r="D4965" s="7"/>
      <c r="E4965" s="7"/>
      <c r="F4965" s="7"/>
      <c r="G4965" s="7"/>
      <c r="H4965" s="8"/>
      <c r="I4965" s="8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</row>
    <row r="4966" hidden="1">
      <c r="A4966" s="7"/>
      <c r="B4966" s="7"/>
      <c r="C4966" s="7"/>
      <c r="D4966" s="7"/>
      <c r="E4966" s="7"/>
      <c r="F4966" s="7"/>
      <c r="G4966" s="7"/>
      <c r="H4966" s="8"/>
      <c r="I4966" s="8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</row>
    <row r="4967" hidden="1">
      <c r="A4967" s="7"/>
      <c r="B4967" s="7"/>
      <c r="C4967" s="7"/>
      <c r="D4967" s="7"/>
      <c r="E4967" s="7"/>
      <c r="F4967" s="7"/>
      <c r="G4967" s="7"/>
      <c r="H4967" s="8"/>
      <c r="I4967" s="8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</row>
    <row r="4968" hidden="1">
      <c r="A4968" s="7"/>
      <c r="B4968" s="7"/>
      <c r="C4968" s="7"/>
      <c r="D4968" s="7"/>
      <c r="E4968" s="7"/>
      <c r="F4968" s="7"/>
      <c r="G4968" s="7"/>
      <c r="H4968" s="8"/>
      <c r="I4968" s="8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</row>
    <row r="4969" hidden="1">
      <c r="A4969" s="7"/>
      <c r="B4969" s="7"/>
      <c r="C4969" s="7"/>
      <c r="D4969" s="7"/>
      <c r="E4969" s="7"/>
      <c r="F4969" s="7"/>
      <c r="G4969" s="7"/>
      <c r="H4969" s="8"/>
      <c r="I4969" s="8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</row>
    <row r="4970" hidden="1">
      <c r="A4970" s="7"/>
      <c r="B4970" s="7"/>
      <c r="C4970" s="7"/>
      <c r="D4970" s="7"/>
      <c r="E4970" s="7"/>
      <c r="F4970" s="7"/>
      <c r="G4970" s="7"/>
      <c r="H4970" s="8"/>
      <c r="I4970" s="8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</row>
    <row r="4971" hidden="1">
      <c r="A4971" s="7"/>
      <c r="B4971" s="7"/>
      <c r="C4971" s="7"/>
      <c r="D4971" s="7"/>
      <c r="E4971" s="7"/>
      <c r="F4971" s="7"/>
      <c r="G4971" s="7"/>
      <c r="H4971" s="8"/>
      <c r="I4971" s="8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</row>
    <row r="4972" hidden="1">
      <c r="A4972" s="7"/>
      <c r="B4972" s="7"/>
      <c r="C4972" s="7"/>
      <c r="D4972" s="7"/>
      <c r="E4972" s="7"/>
      <c r="F4972" s="7"/>
      <c r="G4972" s="7"/>
      <c r="H4972" s="8"/>
      <c r="I4972" s="8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</row>
    <row r="4973" hidden="1">
      <c r="A4973" s="7"/>
      <c r="B4973" s="7"/>
      <c r="C4973" s="7"/>
      <c r="D4973" s="7"/>
      <c r="E4973" s="7"/>
      <c r="F4973" s="7"/>
      <c r="G4973" s="7"/>
      <c r="H4973" s="8"/>
      <c r="I4973" s="8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</row>
    <row r="4974" hidden="1">
      <c r="A4974" s="7"/>
      <c r="B4974" s="7"/>
      <c r="C4974" s="7"/>
      <c r="D4974" s="7"/>
      <c r="E4974" s="7"/>
      <c r="F4974" s="7"/>
      <c r="G4974" s="7"/>
      <c r="H4974" s="8"/>
      <c r="I4974" s="8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</row>
    <row r="4975" hidden="1">
      <c r="A4975" s="7"/>
      <c r="B4975" s="7"/>
      <c r="C4975" s="7"/>
      <c r="D4975" s="7"/>
      <c r="E4975" s="7"/>
      <c r="F4975" s="7"/>
      <c r="G4975" s="7"/>
      <c r="H4975" s="8"/>
      <c r="I4975" s="8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</row>
    <row r="4976" hidden="1">
      <c r="A4976" s="7"/>
      <c r="B4976" s="7"/>
      <c r="C4976" s="7"/>
      <c r="D4976" s="7"/>
      <c r="E4976" s="7"/>
      <c r="F4976" s="7"/>
      <c r="G4976" s="7"/>
      <c r="H4976" s="8"/>
      <c r="I4976" s="8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</row>
    <row r="4977" hidden="1">
      <c r="A4977" s="7"/>
      <c r="B4977" s="7"/>
      <c r="C4977" s="7"/>
      <c r="D4977" s="7"/>
      <c r="E4977" s="7"/>
      <c r="F4977" s="7"/>
      <c r="G4977" s="7"/>
      <c r="H4977" s="8"/>
      <c r="I4977" s="8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</row>
    <row r="4978" hidden="1">
      <c r="A4978" s="7"/>
      <c r="B4978" s="7"/>
      <c r="C4978" s="7"/>
      <c r="D4978" s="7"/>
      <c r="E4978" s="7"/>
      <c r="F4978" s="7"/>
      <c r="G4978" s="7"/>
      <c r="H4978" s="8"/>
      <c r="I4978" s="8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</row>
    <row r="4979" hidden="1">
      <c r="A4979" s="7"/>
      <c r="B4979" s="7"/>
      <c r="C4979" s="7"/>
      <c r="D4979" s="7"/>
      <c r="E4979" s="7"/>
      <c r="F4979" s="7"/>
      <c r="G4979" s="7"/>
      <c r="H4979" s="8"/>
      <c r="I4979" s="8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</row>
    <row r="4980" hidden="1">
      <c r="A4980" s="7"/>
      <c r="B4980" s="7"/>
      <c r="C4980" s="7"/>
      <c r="D4980" s="7"/>
      <c r="E4980" s="7"/>
      <c r="F4980" s="7"/>
      <c r="G4980" s="7"/>
      <c r="H4980" s="8"/>
      <c r="I4980" s="8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</row>
    <row r="4981" hidden="1">
      <c r="A4981" s="7"/>
      <c r="B4981" s="7"/>
      <c r="C4981" s="7"/>
      <c r="D4981" s="7"/>
      <c r="E4981" s="7"/>
      <c r="F4981" s="7"/>
      <c r="G4981" s="7"/>
      <c r="H4981" s="8"/>
      <c r="I4981" s="8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</row>
    <row r="4982" hidden="1">
      <c r="A4982" s="7"/>
      <c r="B4982" s="7"/>
      <c r="C4982" s="7"/>
      <c r="D4982" s="7"/>
      <c r="E4982" s="7"/>
      <c r="F4982" s="7"/>
      <c r="G4982" s="7"/>
      <c r="H4982" s="8"/>
      <c r="I4982" s="8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</row>
    <row r="4983" hidden="1">
      <c r="A4983" s="7"/>
      <c r="B4983" s="7"/>
      <c r="C4983" s="7"/>
      <c r="D4983" s="7"/>
      <c r="E4983" s="7"/>
      <c r="F4983" s="7"/>
      <c r="G4983" s="7"/>
      <c r="H4983" s="8"/>
      <c r="I4983" s="8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</row>
    <row r="4984" hidden="1">
      <c r="A4984" s="7"/>
      <c r="B4984" s="7"/>
      <c r="C4984" s="7"/>
      <c r="D4984" s="7"/>
      <c r="E4984" s="7"/>
      <c r="F4984" s="7"/>
      <c r="G4984" s="7"/>
      <c r="H4984" s="8"/>
      <c r="I4984" s="8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</row>
    <row r="4985" hidden="1">
      <c r="A4985" s="7"/>
      <c r="B4985" s="7"/>
      <c r="C4985" s="7"/>
      <c r="D4985" s="7"/>
      <c r="E4985" s="7"/>
      <c r="F4985" s="7"/>
      <c r="G4985" s="7"/>
      <c r="H4985" s="8"/>
      <c r="I4985" s="8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</row>
    <row r="4986" hidden="1">
      <c r="A4986" s="7"/>
      <c r="B4986" s="7"/>
      <c r="C4986" s="7"/>
      <c r="D4986" s="7"/>
      <c r="E4986" s="7"/>
      <c r="F4986" s="7"/>
      <c r="G4986" s="7"/>
      <c r="H4986" s="8"/>
      <c r="I4986" s="8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</row>
    <row r="4987" hidden="1">
      <c r="A4987" s="7"/>
      <c r="B4987" s="7"/>
      <c r="C4987" s="7"/>
      <c r="D4987" s="7"/>
      <c r="E4987" s="7"/>
      <c r="F4987" s="7"/>
      <c r="G4987" s="7"/>
      <c r="H4987" s="8"/>
      <c r="I4987" s="8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</row>
    <row r="4988" hidden="1">
      <c r="A4988" s="7"/>
      <c r="B4988" s="7"/>
      <c r="C4988" s="7"/>
      <c r="D4988" s="7"/>
      <c r="E4988" s="7"/>
      <c r="F4988" s="7"/>
      <c r="G4988" s="7"/>
      <c r="H4988" s="8"/>
      <c r="I4988" s="8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</row>
    <row r="4989" hidden="1">
      <c r="A4989" s="7"/>
      <c r="B4989" s="7"/>
      <c r="C4989" s="7"/>
      <c r="D4989" s="7"/>
      <c r="E4989" s="7"/>
      <c r="F4989" s="7"/>
      <c r="G4989" s="7"/>
      <c r="H4989" s="8"/>
      <c r="I4989" s="8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</row>
    <row r="4990" hidden="1">
      <c r="A4990" s="7"/>
      <c r="B4990" s="7"/>
      <c r="C4990" s="7"/>
      <c r="D4990" s="7"/>
      <c r="E4990" s="7"/>
      <c r="F4990" s="7"/>
      <c r="G4990" s="7"/>
      <c r="H4990" s="8"/>
      <c r="I4990" s="8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</row>
    <row r="4991" hidden="1">
      <c r="A4991" s="7"/>
      <c r="B4991" s="7"/>
      <c r="C4991" s="7"/>
      <c r="D4991" s="7"/>
      <c r="E4991" s="7"/>
      <c r="F4991" s="7"/>
      <c r="G4991" s="7"/>
      <c r="H4991" s="8"/>
      <c r="I4991" s="8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</row>
    <row r="4992" hidden="1">
      <c r="A4992" s="7"/>
      <c r="B4992" s="7"/>
      <c r="C4992" s="7"/>
      <c r="D4992" s="7"/>
      <c r="E4992" s="7"/>
      <c r="F4992" s="7"/>
      <c r="G4992" s="7"/>
      <c r="H4992" s="8"/>
      <c r="I4992" s="8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</row>
    <row r="4993" hidden="1">
      <c r="A4993" s="7"/>
      <c r="B4993" s="7"/>
      <c r="C4993" s="7"/>
      <c r="D4993" s="7"/>
      <c r="E4993" s="7"/>
      <c r="F4993" s="7"/>
      <c r="G4993" s="7"/>
      <c r="H4993" s="8"/>
      <c r="I4993" s="8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</row>
    <row r="4994" hidden="1">
      <c r="A4994" s="7"/>
      <c r="B4994" s="7"/>
      <c r="C4994" s="7"/>
      <c r="D4994" s="7"/>
      <c r="E4994" s="7"/>
      <c r="F4994" s="7"/>
      <c r="G4994" s="7"/>
      <c r="H4994" s="8"/>
      <c r="I4994" s="8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</row>
    <row r="4995" hidden="1">
      <c r="A4995" s="7"/>
      <c r="B4995" s="7"/>
      <c r="C4995" s="7"/>
      <c r="D4995" s="7"/>
      <c r="E4995" s="7"/>
      <c r="F4995" s="7"/>
      <c r="G4995" s="7"/>
      <c r="H4995" s="8"/>
      <c r="I4995" s="8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</row>
    <row r="4996" hidden="1">
      <c r="A4996" s="7"/>
      <c r="B4996" s="7"/>
      <c r="C4996" s="7"/>
      <c r="D4996" s="7"/>
      <c r="E4996" s="7"/>
      <c r="F4996" s="7"/>
      <c r="G4996" s="7"/>
      <c r="H4996" s="8"/>
      <c r="I4996" s="8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</row>
    <row r="4997" hidden="1">
      <c r="A4997" s="7"/>
      <c r="B4997" s="7"/>
      <c r="C4997" s="7"/>
      <c r="D4997" s="7"/>
      <c r="E4997" s="7"/>
      <c r="F4997" s="7"/>
      <c r="G4997" s="7"/>
      <c r="H4997" s="8"/>
      <c r="I4997" s="8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</row>
    <row r="4998" hidden="1">
      <c r="A4998" s="7"/>
      <c r="B4998" s="7"/>
      <c r="C4998" s="7"/>
      <c r="D4998" s="7"/>
      <c r="E4998" s="7"/>
      <c r="F4998" s="7"/>
      <c r="G4998" s="7"/>
      <c r="H4998" s="8"/>
      <c r="I4998" s="8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</row>
    <row r="4999" hidden="1">
      <c r="A4999" s="7"/>
      <c r="B4999" s="7"/>
      <c r="C4999" s="7"/>
      <c r="D4999" s="7"/>
      <c r="E4999" s="7"/>
      <c r="F4999" s="7"/>
      <c r="G4999" s="7"/>
      <c r="H4999" s="8"/>
      <c r="I4999" s="8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</row>
    <row r="5000" hidden="1">
      <c r="A5000" s="7"/>
      <c r="B5000" s="7"/>
      <c r="C5000" s="7"/>
      <c r="D5000" s="7"/>
      <c r="E5000" s="7"/>
      <c r="F5000" s="7"/>
      <c r="G5000" s="7"/>
      <c r="H5000" s="8"/>
      <c r="I5000" s="8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</row>
    <row r="5001" hidden="1">
      <c r="A5001" s="7"/>
      <c r="B5001" s="7"/>
      <c r="C5001" s="7"/>
      <c r="D5001" s="7"/>
      <c r="E5001" s="7"/>
      <c r="F5001" s="7"/>
      <c r="G5001" s="7"/>
      <c r="H5001" s="8"/>
      <c r="I5001" s="8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</row>
    <row r="5002" hidden="1">
      <c r="A5002" s="7"/>
      <c r="B5002" s="7"/>
      <c r="C5002" s="7"/>
      <c r="D5002" s="7"/>
      <c r="E5002" s="7"/>
      <c r="F5002" s="7"/>
      <c r="G5002" s="7"/>
      <c r="H5002" s="8"/>
      <c r="I5002" s="8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</row>
    <row r="5003" hidden="1">
      <c r="A5003" s="7"/>
      <c r="B5003" s="7"/>
      <c r="C5003" s="7"/>
      <c r="D5003" s="7"/>
      <c r="E5003" s="7"/>
      <c r="F5003" s="7"/>
      <c r="G5003" s="7"/>
      <c r="H5003" s="8"/>
      <c r="I5003" s="8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</row>
    <row r="5004" hidden="1">
      <c r="A5004" s="7"/>
      <c r="B5004" s="7"/>
      <c r="C5004" s="7"/>
      <c r="D5004" s="7"/>
      <c r="E5004" s="7"/>
      <c r="F5004" s="7"/>
      <c r="G5004" s="7"/>
      <c r="H5004" s="8"/>
      <c r="I5004" s="8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</row>
    <row r="5005" hidden="1">
      <c r="A5005" s="7"/>
      <c r="B5005" s="7"/>
      <c r="C5005" s="7"/>
      <c r="D5005" s="7"/>
      <c r="E5005" s="7"/>
      <c r="F5005" s="7"/>
      <c r="G5005" s="7"/>
      <c r="H5005" s="8"/>
      <c r="I5005" s="8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</row>
    <row r="5006" hidden="1">
      <c r="A5006" s="7"/>
      <c r="B5006" s="7"/>
      <c r="C5006" s="7"/>
      <c r="D5006" s="7"/>
      <c r="E5006" s="7"/>
      <c r="F5006" s="7"/>
      <c r="G5006" s="7"/>
      <c r="H5006" s="8"/>
      <c r="I5006" s="8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</row>
    <row r="5007" hidden="1">
      <c r="A5007" s="7"/>
      <c r="B5007" s="7"/>
      <c r="C5007" s="7"/>
      <c r="D5007" s="7"/>
      <c r="E5007" s="7"/>
      <c r="F5007" s="7"/>
      <c r="G5007" s="7"/>
      <c r="H5007" s="8"/>
      <c r="I5007" s="8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</row>
    <row r="5008" hidden="1">
      <c r="A5008" s="7"/>
      <c r="B5008" s="7"/>
      <c r="C5008" s="7"/>
      <c r="D5008" s="7"/>
      <c r="E5008" s="7"/>
      <c r="F5008" s="7"/>
      <c r="G5008" s="7"/>
      <c r="H5008" s="8"/>
      <c r="I5008" s="8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</row>
    <row r="5009" hidden="1">
      <c r="A5009" s="7"/>
      <c r="B5009" s="7"/>
      <c r="C5009" s="7"/>
      <c r="D5009" s="7"/>
      <c r="E5009" s="7"/>
      <c r="F5009" s="7"/>
      <c r="G5009" s="7"/>
      <c r="H5009" s="8"/>
      <c r="I5009" s="8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</row>
    <row r="5010" hidden="1">
      <c r="A5010" s="7"/>
      <c r="B5010" s="7"/>
      <c r="C5010" s="7"/>
      <c r="D5010" s="7"/>
      <c r="E5010" s="7"/>
      <c r="F5010" s="7"/>
      <c r="G5010" s="7"/>
      <c r="H5010" s="8"/>
      <c r="I5010" s="8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</row>
    <row r="5011" hidden="1">
      <c r="A5011" s="7"/>
      <c r="B5011" s="7"/>
      <c r="C5011" s="7"/>
      <c r="D5011" s="7"/>
      <c r="E5011" s="7"/>
      <c r="F5011" s="7"/>
      <c r="G5011" s="7"/>
      <c r="H5011" s="8"/>
      <c r="I5011" s="8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</row>
    <row r="5012" hidden="1">
      <c r="A5012" s="7"/>
      <c r="B5012" s="7"/>
      <c r="C5012" s="7"/>
      <c r="D5012" s="7"/>
      <c r="E5012" s="7"/>
      <c r="F5012" s="7"/>
      <c r="G5012" s="7"/>
      <c r="H5012" s="8"/>
      <c r="I5012" s="8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</row>
    <row r="5013" hidden="1">
      <c r="A5013" s="7"/>
      <c r="B5013" s="7"/>
      <c r="C5013" s="7"/>
      <c r="D5013" s="7"/>
      <c r="E5013" s="7"/>
      <c r="F5013" s="7"/>
      <c r="G5013" s="7"/>
      <c r="H5013" s="8"/>
      <c r="I5013" s="8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</row>
    <row r="5014" hidden="1">
      <c r="A5014" s="7"/>
      <c r="B5014" s="7"/>
      <c r="C5014" s="7"/>
      <c r="D5014" s="7"/>
      <c r="E5014" s="7"/>
      <c r="F5014" s="7"/>
      <c r="G5014" s="7"/>
      <c r="H5014" s="8"/>
      <c r="I5014" s="8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</row>
    <row r="5015" hidden="1">
      <c r="A5015" s="7"/>
      <c r="B5015" s="7"/>
      <c r="C5015" s="7"/>
      <c r="D5015" s="7"/>
      <c r="E5015" s="7"/>
      <c r="F5015" s="7"/>
      <c r="G5015" s="7"/>
      <c r="H5015" s="8"/>
      <c r="I5015" s="8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</row>
    <row r="5016" hidden="1">
      <c r="A5016" s="7"/>
      <c r="B5016" s="7"/>
      <c r="C5016" s="7"/>
      <c r="D5016" s="7"/>
      <c r="E5016" s="7"/>
      <c r="F5016" s="7"/>
      <c r="G5016" s="7"/>
      <c r="H5016" s="8"/>
      <c r="I5016" s="8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</row>
    <row r="5017" hidden="1">
      <c r="A5017" s="7"/>
      <c r="B5017" s="7"/>
      <c r="C5017" s="7"/>
      <c r="D5017" s="7"/>
      <c r="E5017" s="7"/>
      <c r="F5017" s="7"/>
      <c r="G5017" s="7"/>
      <c r="H5017" s="8"/>
      <c r="I5017" s="8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</row>
    <row r="5018" hidden="1">
      <c r="A5018" s="7"/>
      <c r="B5018" s="7"/>
      <c r="C5018" s="7"/>
      <c r="D5018" s="7"/>
      <c r="E5018" s="7"/>
      <c r="F5018" s="7"/>
      <c r="G5018" s="7"/>
      <c r="H5018" s="8"/>
      <c r="I5018" s="8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</row>
    <row r="5019" hidden="1">
      <c r="A5019" s="7"/>
      <c r="B5019" s="7"/>
      <c r="C5019" s="7"/>
      <c r="D5019" s="7"/>
      <c r="E5019" s="7"/>
      <c r="F5019" s="7"/>
      <c r="G5019" s="7"/>
      <c r="H5019" s="8"/>
      <c r="I5019" s="8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</row>
    <row r="5020" hidden="1">
      <c r="A5020" s="7"/>
      <c r="B5020" s="7"/>
      <c r="C5020" s="7"/>
      <c r="D5020" s="7"/>
      <c r="E5020" s="7"/>
      <c r="F5020" s="7"/>
      <c r="G5020" s="7"/>
      <c r="H5020" s="8"/>
      <c r="I5020" s="8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</row>
    <row r="5021" hidden="1">
      <c r="A5021" s="7"/>
      <c r="B5021" s="7"/>
      <c r="C5021" s="7"/>
      <c r="D5021" s="7"/>
      <c r="E5021" s="7"/>
      <c r="F5021" s="7"/>
      <c r="G5021" s="7"/>
      <c r="H5021" s="8"/>
      <c r="I5021" s="8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</row>
    <row r="5022" hidden="1">
      <c r="A5022" s="7"/>
      <c r="B5022" s="7"/>
      <c r="C5022" s="7"/>
      <c r="D5022" s="7"/>
      <c r="E5022" s="7"/>
      <c r="F5022" s="7"/>
      <c r="G5022" s="7"/>
      <c r="H5022" s="8"/>
      <c r="I5022" s="8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</row>
    <row r="5023" hidden="1">
      <c r="A5023" s="7"/>
      <c r="B5023" s="7"/>
      <c r="C5023" s="7"/>
      <c r="D5023" s="7"/>
      <c r="E5023" s="7"/>
      <c r="F5023" s="7"/>
      <c r="G5023" s="7"/>
      <c r="H5023" s="8"/>
      <c r="I5023" s="8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</row>
    <row r="5024" hidden="1">
      <c r="A5024" s="7"/>
      <c r="B5024" s="7"/>
      <c r="C5024" s="7"/>
      <c r="D5024" s="7"/>
      <c r="E5024" s="7"/>
      <c r="F5024" s="7"/>
      <c r="G5024" s="7"/>
      <c r="H5024" s="8"/>
      <c r="I5024" s="8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</row>
    <row r="5025" hidden="1">
      <c r="A5025" s="7"/>
      <c r="B5025" s="7"/>
      <c r="C5025" s="7"/>
      <c r="D5025" s="7"/>
      <c r="E5025" s="7"/>
      <c r="F5025" s="7"/>
      <c r="G5025" s="7"/>
      <c r="H5025" s="8"/>
      <c r="I5025" s="8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</row>
    <row r="5026" hidden="1">
      <c r="A5026" s="7"/>
      <c r="B5026" s="7"/>
      <c r="C5026" s="7"/>
      <c r="D5026" s="7"/>
      <c r="E5026" s="7"/>
      <c r="F5026" s="7"/>
      <c r="G5026" s="7"/>
      <c r="H5026" s="8"/>
      <c r="I5026" s="8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</row>
    <row r="5027" hidden="1">
      <c r="A5027" s="7"/>
      <c r="B5027" s="7"/>
      <c r="C5027" s="7"/>
      <c r="D5027" s="7"/>
      <c r="E5027" s="7"/>
      <c r="F5027" s="7"/>
      <c r="G5027" s="7"/>
      <c r="H5027" s="8"/>
      <c r="I5027" s="8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</row>
    <row r="5028" hidden="1">
      <c r="A5028" s="7"/>
      <c r="B5028" s="7"/>
      <c r="C5028" s="7"/>
      <c r="D5028" s="7"/>
      <c r="E5028" s="7"/>
      <c r="F5028" s="7"/>
      <c r="G5028" s="7"/>
      <c r="H5028" s="8"/>
      <c r="I5028" s="8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</row>
    <row r="5029" hidden="1">
      <c r="A5029" s="7"/>
      <c r="B5029" s="7"/>
      <c r="C5029" s="7"/>
      <c r="D5029" s="7"/>
      <c r="E5029" s="7"/>
      <c r="F5029" s="7"/>
      <c r="G5029" s="7"/>
      <c r="H5029" s="8"/>
      <c r="I5029" s="8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</row>
    <row r="5030" hidden="1">
      <c r="A5030" s="7"/>
      <c r="B5030" s="7"/>
      <c r="C5030" s="7"/>
      <c r="D5030" s="7"/>
      <c r="E5030" s="7"/>
      <c r="F5030" s="7"/>
      <c r="G5030" s="7"/>
      <c r="H5030" s="8"/>
      <c r="I5030" s="8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</row>
    <row r="5031" hidden="1">
      <c r="A5031" s="7"/>
      <c r="B5031" s="7"/>
      <c r="C5031" s="7"/>
      <c r="D5031" s="7"/>
      <c r="E5031" s="7"/>
      <c r="F5031" s="7"/>
      <c r="G5031" s="7"/>
      <c r="H5031" s="8"/>
      <c r="I5031" s="8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</row>
    <row r="5032" hidden="1">
      <c r="A5032" s="7"/>
      <c r="B5032" s="7"/>
      <c r="C5032" s="7"/>
      <c r="D5032" s="7"/>
      <c r="E5032" s="7"/>
      <c r="F5032" s="7"/>
      <c r="G5032" s="7"/>
      <c r="H5032" s="8"/>
      <c r="I5032" s="8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</row>
    <row r="5033" hidden="1">
      <c r="A5033" s="7"/>
      <c r="B5033" s="7"/>
      <c r="C5033" s="7"/>
      <c r="D5033" s="7"/>
      <c r="E5033" s="7"/>
      <c r="F5033" s="7"/>
      <c r="G5033" s="7"/>
      <c r="H5033" s="8"/>
      <c r="I5033" s="8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</row>
    <row r="5034" hidden="1">
      <c r="A5034" s="7"/>
      <c r="B5034" s="7"/>
      <c r="C5034" s="7"/>
      <c r="D5034" s="7"/>
      <c r="E5034" s="7"/>
      <c r="F5034" s="7"/>
      <c r="G5034" s="7"/>
      <c r="H5034" s="8"/>
      <c r="I5034" s="8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</row>
    <row r="5035" hidden="1">
      <c r="A5035" s="7"/>
      <c r="B5035" s="7"/>
      <c r="C5035" s="7"/>
      <c r="D5035" s="7"/>
      <c r="E5035" s="7"/>
      <c r="F5035" s="7"/>
      <c r="G5035" s="7"/>
      <c r="H5035" s="8"/>
      <c r="I5035" s="8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</row>
    <row r="5036" hidden="1">
      <c r="A5036" s="7"/>
      <c r="B5036" s="7"/>
      <c r="C5036" s="7"/>
      <c r="D5036" s="7"/>
      <c r="E5036" s="7"/>
      <c r="F5036" s="7"/>
      <c r="G5036" s="7"/>
      <c r="H5036" s="8"/>
      <c r="I5036" s="8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</row>
    <row r="5037" hidden="1">
      <c r="A5037" s="7"/>
      <c r="B5037" s="7"/>
      <c r="C5037" s="7"/>
      <c r="D5037" s="7"/>
      <c r="E5037" s="7"/>
      <c r="F5037" s="7"/>
      <c r="G5037" s="7"/>
      <c r="H5037" s="8"/>
      <c r="I5037" s="8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</row>
    <row r="5038" hidden="1">
      <c r="A5038" s="7"/>
      <c r="B5038" s="7"/>
      <c r="C5038" s="7"/>
      <c r="D5038" s="7"/>
      <c r="E5038" s="7"/>
      <c r="F5038" s="7"/>
      <c r="G5038" s="7"/>
      <c r="H5038" s="8"/>
      <c r="I5038" s="8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</row>
    <row r="5039" hidden="1">
      <c r="A5039" s="7"/>
      <c r="B5039" s="7"/>
      <c r="C5039" s="7"/>
      <c r="D5039" s="7"/>
      <c r="E5039" s="7"/>
      <c r="F5039" s="7"/>
      <c r="G5039" s="7"/>
      <c r="H5039" s="8"/>
      <c r="I5039" s="8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</row>
    <row r="5040" hidden="1">
      <c r="A5040" s="7"/>
      <c r="B5040" s="7"/>
      <c r="C5040" s="7"/>
      <c r="D5040" s="7"/>
      <c r="E5040" s="7"/>
      <c r="F5040" s="7"/>
      <c r="G5040" s="7"/>
      <c r="H5040" s="8"/>
      <c r="I5040" s="8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</row>
    <row r="5041" hidden="1">
      <c r="A5041" s="7"/>
      <c r="B5041" s="7"/>
      <c r="C5041" s="7"/>
      <c r="D5041" s="7"/>
      <c r="E5041" s="7"/>
      <c r="F5041" s="7"/>
      <c r="G5041" s="7"/>
      <c r="H5041" s="8"/>
      <c r="I5041" s="8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</row>
    <row r="5042" hidden="1">
      <c r="A5042" s="7"/>
      <c r="B5042" s="7"/>
      <c r="C5042" s="7"/>
      <c r="D5042" s="7"/>
      <c r="E5042" s="7"/>
      <c r="F5042" s="7"/>
      <c r="G5042" s="7"/>
      <c r="H5042" s="8"/>
      <c r="I5042" s="8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</row>
    <row r="5043" hidden="1">
      <c r="A5043" s="7"/>
      <c r="B5043" s="7"/>
      <c r="C5043" s="7"/>
      <c r="D5043" s="7"/>
      <c r="E5043" s="7"/>
      <c r="F5043" s="7"/>
      <c r="G5043" s="7"/>
      <c r="H5043" s="8"/>
      <c r="I5043" s="8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</row>
    <row r="5044" hidden="1">
      <c r="A5044" s="7"/>
      <c r="B5044" s="7"/>
      <c r="C5044" s="7"/>
      <c r="D5044" s="7"/>
      <c r="E5044" s="7"/>
      <c r="F5044" s="7"/>
      <c r="G5044" s="7"/>
      <c r="H5044" s="8"/>
      <c r="I5044" s="8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</row>
    <row r="5045" hidden="1">
      <c r="A5045" s="7"/>
      <c r="B5045" s="7"/>
      <c r="C5045" s="7"/>
      <c r="D5045" s="7"/>
      <c r="E5045" s="7"/>
      <c r="F5045" s="7"/>
      <c r="G5045" s="7"/>
      <c r="H5045" s="8"/>
      <c r="I5045" s="8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</row>
    <row r="5046" hidden="1">
      <c r="A5046" s="7"/>
      <c r="B5046" s="7"/>
      <c r="C5046" s="7"/>
      <c r="D5046" s="7"/>
      <c r="E5046" s="7"/>
      <c r="F5046" s="7"/>
      <c r="G5046" s="7"/>
      <c r="H5046" s="8"/>
      <c r="I5046" s="8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</row>
    <row r="5047" hidden="1">
      <c r="A5047" s="7"/>
      <c r="B5047" s="7"/>
      <c r="C5047" s="7"/>
      <c r="D5047" s="7"/>
      <c r="E5047" s="7"/>
      <c r="F5047" s="7"/>
      <c r="G5047" s="7"/>
      <c r="H5047" s="8"/>
      <c r="I5047" s="8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</row>
    <row r="5048" hidden="1">
      <c r="A5048" s="7"/>
      <c r="B5048" s="7"/>
      <c r="C5048" s="7"/>
      <c r="D5048" s="7"/>
      <c r="E5048" s="7"/>
      <c r="F5048" s="7"/>
      <c r="G5048" s="7"/>
      <c r="H5048" s="8"/>
      <c r="I5048" s="8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</row>
    <row r="5049" hidden="1">
      <c r="A5049" s="7"/>
      <c r="B5049" s="7"/>
      <c r="C5049" s="7"/>
      <c r="D5049" s="7"/>
      <c r="E5049" s="7"/>
      <c r="F5049" s="7"/>
      <c r="G5049" s="7"/>
      <c r="H5049" s="8"/>
      <c r="I5049" s="8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</row>
    <row r="5050" hidden="1">
      <c r="A5050" s="7"/>
      <c r="B5050" s="7"/>
      <c r="C5050" s="7"/>
      <c r="D5050" s="7"/>
      <c r="E5050" s="7"/>
      <c r="F5050" s="7"/>
      <c r="G5050" s="7"/>
      <c r="H5050" s="8"/>
      <c r="I5050" s="8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</row>
    <row r="5051" hidden="1">
      <c r="A5051" s="7"/>
      <c r="B5051" s="7"/>
      <c r="C5051" s="7"/>
      <c r="D5051" s="7"/>
      <c r="E5051" s="7"/>
      <c r="F5051" s="7"/>
      <c r="G5051" s="7"/>
      <c r="H5051" s="8"/>
      <c r="I5051" s="8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</row>
    <row r="5052" hidden="1">
      <c r="A5052" s="7"/>
      <c r="B5052" s="7"/>
      <c r="C5052" s="7"/>
      <c r="D5052" s="7"/>
      <c r="E5052" s="7"/>
      <c r="F5052" s="7"/>
      <c r="G5052" s="7"/>
      <c r="H5052" s="8"/>
      <c r="I5052" s="8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</row>
    <row r="5053" hidden="1">
      <c r="A5053" s="7"/>
      <c r="B5053" s="7"/>
      <c r="C5053" s="7"/>
      <c r="D5053" s="7"/>
      <c r="E5053" s="7"/>
      <c r="F5053" s="7"/>
      <c r="G5053" s="7"/>
      <c r="H5053" s="8"/>
      <c r="I5053" s="8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</row>
    <row r="5054" hidden="1">
      <c r="A5054" s="7"/>
      <c r="B5054" s="7"/>
      <c r="C5054" s="7"/>
      <c r="D5054" s="7"/>
      <c r="E5054" s="7"/>
      <c r="F5054" s="7"/>
      <c r="G5054" s="7"/>
      <c r="H5054" s="8"/>
      <c r="I5054" s="8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</row>
    <row r="5055" hidden="1">
      <c r="A5055" s="7"/>
      <c r="B5055" s="7"/>
      <c r="C5055" s="7"/>
      <c r="D5055" s="7"/>
      <c r="E5055" s="7"/>
      <c r="F5055" s="7"/>
      <c r="G5055" s="7"/>
      <c r="H5055" s="8"/>
      <c r="I5055" s="8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</row>
    <row r="5056" hidden="1">
      <c r="A5056" s="7"/>
      <c r="B5056" s="7"/>
      <c r="C5056" s="7"/>
      <c r="D5056" s="7"/>
      <c r="E5056" s="7"/>
      <c r="F5056" s="7"/>
      <c r="G5056" s="7"/>
      <c r="H5056" s="8"/>
      <c r="I5056" s="8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</row>
    <row r="5057" hidden="1">
      <c r="A5057" s="7"/>
      <c r="B5057" s="7"/>
      <c r="C5057" s="7"/>
      <c r="D5057" s="7"/>
      <c r="E5057" s="7"/>
      <c r="F5057" s="7"/>
      <c r="G5057" s="7"/>
      <c r="H5057" s="8"/>
      <c r="I5057" s="8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</row>
    <row r="5058" hidden="1">
      <c r="A5058" s="7"/>
      <c r="B5058" s="7"/>
      <c r="C5058" s="7"/>
      <c r="D5058" s="7"/>
      <c r="E5058" s="7"/>
      <c r="F5058" s="7"/>
      <c r="G5058" s="7"/>
      <c r="H5058" s="8"/>
      <c r="I5058" s="8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</row>
    <row r="5059" hidden="1">
      <c r="A5059" s="7"/>
      <c r="B5059" s="7"/>
      <c r="C5059" s="7"/>
      <c r="D5059" s="7"/>
      <c r="E5059" s="7"/>
      <c r="F5059" s="7"/>
      <c r="G5059" s="7"/>
      <c r="H5059" s="8"/>
      <c r="I5059" s="8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</row>
    <row r="5060" hidden="1">
      <c r="A5060" s="7"/>
      <c r="B5060" s="7"/>
      <c r="C5060" s="7"/>
      <c r="D5060" s="7"/>
      <c r="E5060" s="7"/>
      <c r="F5060" s="7"/>
      <c r="G5060" s="7"/>
      <c r="H5060" s="8"/>
      <c r="I5060" s="8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</row>
    <row r="5061" hidden="1">
      <c r="A5061" s="7"/>
      <c r="B5061" s="7"/>
      <c r="C5061" s="7"/>
      <c r="D5061" s="7"/>
      <c r="E5061" s="7"/>
      <c r="F5061" s="7"/>
      <c r="G5061" s="7"/>
      <c r="H5061" s="8"/>
      <c r="I5061" s="8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</row>
    <row r="5062" hidden="1">
      <c r="A5062" s="7"/>
      <c r="B5062" s="7"/>
      <c r="C5062" s="7"/>
      <c r="D5062" s="7"/>
      <c r="E5062" s="7"/>
      <c r="F5062" s="7"/>
      <c r="G5062" s="7"/>
      <c r="H5062" s="8"/>
      <c r="I5062" s="8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</row>
    <row r="5063" hidden="1">
      <c r="A5063" s="7"/>
      <c r="B5063" s="7"/>
      <c r="C5063" s="7"/>
      <c r="D5063" s="7"/>
      <c r="E5063" s="7"/>
      <c r="F5063" s="7"/>
      <c r="G5063" s="7"/>
      <c r="H5063" s="8"/>
      <c r="I5063" s="8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</row>
    <row r="5064" hidden="1">
      <c r="A5064" s="7"/>
      <c r="B5064" s="7"/>
      <c r="C5064" s="7"/>
      <c r="D5064" s="7"/>
      <c r="E5064" s="7"/>
      <c r="F5064" s="7"/>
      <c r="G5064" s="7"/>
      <c r="H5064" s="8"/>
      <c r="I5064" s="8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</row>
    <row r="5065" hidden="1">
      <c r="A5065" s="7"/>
      <c r="B5065" s="7"/>
      <c r="C5065" s="7"/>
      <c r="D5065" s="7"/>
      <c r="E5065" s="7"/>
      <c r="F5065" s="7"/>
      <c r="G5065" s="7"/>
      <c r="H5065" s="8"/>
      <c r="I5065" s="8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</row>
    <row r="5066" hidden="1">
      <c r="A5066" s="7"/>
      <c r="B5066" s="7"/>
      <c r="C5066" s="7"/>
      <c r="D5066" s="7"/>
      <c r="E5066" s="7"/>
      <c r="F5066" s="7"/>
      <c r="G5066" s="7"/>
      <c r="H5066" s="8"/>
      <c r="I5066" s="8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</row>
    <row r="5067" hidden="1">
      <c r="A5067" s="7"/>
      <c r="B5067" s="7"/>
      <c r="C5067" s="7"/>
      <c r="D5067" s="7"/>
      <c r="E5067" s="7"/>
      <c r="F5067" s="7"/>
      <c r="G5067" s="7"/>
      <c r="H5067" s="8"/>
      <c r="I5067" s="8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</row>
    <row r="5068" hidden="1">
      <c r="A5068" s="7"/>
      <c r="B5068" s="7"/>
      <c r="C5068" s="7"/>
      <c r="D5068" s="7"/>
      <c r="E5068" s="7"/>
      <c r="F5068" s="7"/>
      <c r="G5068" s="7"/>
      <c r="H5068" s="8"/>
      <c r="I5068" s="8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</row>
    <row r="5069" hidden="1">
      <c r="A5069" s="7"/>
      <c r="B5069" s="7"/>
      <c r="C5069" s="7"/>
      <c r="D5069" s="7"/>
      <c r="E5069" s="7"/>
      <c r="F5069" s="7"/>
      <c r="G5069" s="7"/>
      <c r="H5069" s="8"/>
      <c r="I5069" s="8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</row>
    <row r="5070" hidden="1">
      <c r="A5070" s="7"/>
      <c r="B5070" s="7"/>
      <c r="C5070" s="7"/>
      <c r="D5070" s="7"/>
      <c r="E5070" s="7"/>
      <c r="F5070" s="7"/>
      <c r="G5070" s="7"/>
      <c r="H5070" s="8"/>
      <c r="I5070" s="8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</row>
    <row r="5071" hidden="1">
      <c r="A5071" s="7"/>
      <c r="B5071" s="7"/>
      <c r="C5071" s="7"/>
      <c r="D5071" s="7"/>
      <c r="E5071" s="7"/>
      <c r="F5071" s="7"/>
      <c r="G5071" s="7"/>
      <c r="H5071" s="8"/>
      <c r="I5071" s="8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</row>
    <row r="5072" hidden="1">
      <c r="A5072" s="7"/>
      <c r="B5072" s="7"/>
      <c r="C5072" s="7"/>
      <c r="D5072" s="7"/>
      <c r="E5072" s="7"/>
      <c r="F5072" s="7"/>
      <c r="G5072" s="7"/>
      <c r="H5072" s="8"/>
      <c r="I5072" s="8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</row>
    <row r="5073" hidden="1">
      <c r="A5073" s="7"/>
      <c r="B5073" s="7"/>
      <c r="C5073" s="7"/>
      <c r="D5073" s="7"/>
      <c r="E5073" s="7"/>
      <c r="F5073" s="7"/>
      <c r="G5073" s="7"/>
      <c r="H5073" s="8"/>
      <c r="I5073" s="8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</row>
    <row r="5074" hidden="1">
      <c r="A5074" s="7"/>
      <c r="B5074" s="7"/>
      <c r="C5074" s="7"/>
      <c r="D5074" s="7"/>
      <c r="E5074" s="7"/>
      <c r="F5074" s="7"/>
      <c r="G5074" s="7"/>
      <c r="H5074" s="8"/>
      <c r="I5074" s="8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</row>
    <row r="5075" hidden="1">
      <c r="A5075" s="7"/>
      <c r="B5075" s="7"/>
      <c r="C5075" s="7"/>
      <c r="D5075" s="7"/>
      <c r="E5075" s="7"/>
      <c r="F5075" s="7"/>
      <c r="G5075" s="7"/>
      <c r="H5075" s="8"/>
      <c r="I5075" s="8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</row>
    <row r="5076" hidden="1">
      <c r="A5076" s="7"/>
      <c r="B5076" s="7"/>
      <c r="C5076" s="7"/>
      <c r="D5076" s="7"/>
      <c r="E5076" s="7"/>
      <c r="F5076" s="7"/>
      <c r="G5076" s="7"/>
      <c r="H5076" s="8"/>
      <c r="I5076" s="8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</row>
    <row r="5077" hidden="1">
      <c r="A5077" s="7"/>
      <c r="B5077" s="7"/>
      <c r="C5077" s="7"/>
      <c r="D5077" s="7"/>
      <c r="E5077" s="7"/>
      <c r="F5077" s="7"/>
      <c r="G5077" s="7"/>
      <c r="H5077" s="8"/>
      <c r="I5077" s="8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</row>
    <row r="5078" hidden="1">
      <c r="A5078" s="7"/>
      <c r="B5078" s="7"/>
      <c r="C5078" s="7"/>
      <c r="D5078" s="7"/>
      <c r="E5078" s="7"/>
      <c r="F5078" s="7"/>
      <c r="G5078" s="7"/>
      <c r="H5078" s="8"/>
      <c r="I5078" s="8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</row>
    <row r="5079" hidden="1">
      <c r="A5079" s="7"/>
      <c r="B5079" s="7"/>
      <c r="C5079" s="7"/>
      <c r="D5079" s="7"/>
      <c r="E5079" s="7"/>
      <c r="F5079" s="7"/>
      <c r="G5079" s="7"/>
      <c r="H5079" s="8"/>
      <c r="I5079" s="8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</row>
    <row r="5080" hidden="1">
      <c r="A5080" s="7"/>
      <c r="B5080" s="7"/>
      <c r="C5080" s="7"/>
      <c r="D5080" s="7"/>
      <c r="E5080" s="7"/>
      <c r="F5080" s="7"/>
      <c r="G5080" s="7"/>
      <c r="H5080" s="8"/>
      <c r="I5080" s="8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</row>
    <row r="5081" hidden="1">
      <c r="A5081" s="7"/>
      <c r="B5081" s="7"/>
      <c r="C5081" s="7"/>
      <c r="D5081" s="7"/>
      <c r="E5081" s="7"/>
      <c r="F5081" s="7"/>
      <c r="G5081" s="7"/>
      <c r="H5081" s="8"/>
      <c r="I5081" s="8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</row>
    <row r="5082" hidden="1">
      <c r="A5082" s="7"/>
      <c r="B5082" s="7"/>
      <c r="C5082" s="7"/>
      <c r="D5082" s="7"/>
      <c r="E5082" s="7"/>
      <c r="F5082" s="7"/>
      <c r="G5082" s="7"/>
      <c r="H5082" s="8"/>
      <c r="I5082" s="8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</row>
    <row r="5083" hidden="1">
      <c r="A5083" s="7"/>
      <c r="B5083" s="7"/>
      <c r="C5083" s="7"/>
      <c r="D5083" s="7"/>
      <c r="E5083" s="7"/>
      <c r="F5083" s="7"/>
      <c r="G5083" s="7"/>
      <c r="H5083" s="8"/>
      <c r="I5083" s="8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</row>
    <row r="5084" hidden="1">
      <c r="A5084" s="7"/>
      <c r="B5084" s="7"/>
      <c r="C5084" s="7"/>
      <c r="D5084" s="7"/>
      <c r="E5084" s="7"/>
      <c r="F5084" s="7"/>
      <c r="G5084" s="7"/>
      <c r="H5084" s="8"/>
      <c r="I5084" s="8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</row>
    <row r="5085" hidden="1">
      <c r="A5085" s="7"/>
      <c r="B5085" s="7"/>
      <c r="C5085" s="7"/>
      <c r="D5085" s="7"/>
      <c r="E5085" s="7"/>
      <c r="F5085" s="7"/>
      <c r="G5085" s="7"/>
      <c r="H5085" s="8"/>
      <c r="I5085" s="8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</row>
    <row r="5086" hidden="1">
      <c r="A5086" s="7"/>
      <c r="B5086" s="7"/>
      <c r="C5086" s="7"/>
      <c r="D5086" s="7"/>
      <c r="E5086" s="7"/>
      <c r="F5086" s="7"/>
      <c r="G5086" s="7"/>
      <c r="H5086" s="8"/>
      <c r="I5086" s="8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</row>
    <row r="5087" hidden="1">
      <c r="A5087" s="7"/>
      <c r="B5087" s="7"/>
      <c r="C5087" s="7"/>
      <c r="D5087" s="7"/>
      <c r="E5087" s="7"/>
      <c r="F5087" s="7"/>
      <c r="G5087" s="7"/>
      <c r="H5087" s="8"/>
      <c r="I5087" s="8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</row>
    <row r="5088" hidden="1">
      <c r="A5088" s="7"/>
      <c r="B5088" s="7"/>
      <c r="C5088" s="7"/>
      <c r="D5088" s="7"/>
      <c r="E5088" s="7"/>
      <c r="F5088" s="7"/>
      <c r="G5088" s="7"/>
      <c r="H5088" s="8"/>
      <c r="I5088" s="8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</row>
    <row r="5089" hidden="1">
      <c r="A5089" s="7"/>
      <c r="B5089" s="7"/>
      <c r="C5089" s="7"/>
      <c r="D5089" s="7"/>
      <c r="E5089" s="7"/>
      <c r="F5089" s="7"/>
      <c r="G5089" s="7"/>
      <c r="H5089" s="8"/>
      <c r="I5089" s="8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</row>
    <row r="5090" hidden="1">
      <c r="A5090" s="7"/>
      <c r="B5090" s="7"/>
      <c r="C5090" s="7"/>
      <c r="D5090" s="7"/>
      <c r="E5090" s="7"/>
      <c r="F5090" s="7"/>
      <c r="G5090" s="7"/>
      <c r="H5090" s="8"/>
      <c r="I5090" s="8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</row>
    <row r="5091" hidden="1">
      <c r="A5091" s="7"/>
      <c r="B5091" s="7"/>
      <c r="C5091" s="7"/>
      <c r="D5091" s="7"/>
      <c r="E5091" s="7"/>
      <c r="F5091" s="7"/>
      <c r="G5091" s="7"/>
      <c r="H5091" s="8"/>
      <c r="I5091" s="8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</row>
    <row r="5092" hidden="1">
      <c r="A5092" s="7"/>
      <c r="B5092" s="7"/>
      <c r="C5092" s="7"/>
      <c r="D5092" s="7"/>
      <c r="E5092" s="7"/>
      <c r="F5092" s="7"/>
      <c r="G5092" s="7"/>
      <c r="H5092" s="8"/>
      <c r="I5092" s="8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</row>
    <row r="5093" hidden="1">
      <c r="A5093" s="7"/>
      <c r="B5093" s="7"/>
      <c r="C5093" s="7"/>
      <c r="D5093" s="7"/>
      <c r="E5093" s="7"/>
      <c r="F5093" s="7"/>
      <c r="G5093" s="7"/>
      <c r="H5093" s="8"/>
      <c r="I5093" s="8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</row>
    <row r="5094" hidden="1">
      <c r="A5094" s="7"/>
      <c r="B5094" s="7"/>
      <c r="C5094" s="7"/>
      <c r="D5094" s="7"/>
      <c r="E5094" s="7"/>
      <c r="F5094" s="7"/>
      <c r="G5094" s="7"/>
      <c r="H5094" s="8"/>
      <c r="I5094" s="8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</row>
    <row r="5095" hidden="1">
      <c r="A5095" s="7"/>
      <c r="B5095" s="7"/>
      <c r="C5095" s="7"/>
      <c r="D5095" s="7"/>
      <c r="E5095" s="7"/>
      <c r="F5095" s="7"/>
      <c r="G5095" s="7"/>
      <c r="H5095" s="8"/>
      <c r="I5095" s="8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</row>
    <row r="5096" hidden="1">
      <c r="A5096" s="7"/>
      <c r="B5096" s="7"/>
      <c r="C5096" s="7"/>
      <c r="D5096" s="7"/>
      <c r="E5096" s="7"/>
      <c r="F5096" s="7"/>
      <c r="G5096" s="7"/>
      <c r="H5096" s="8"/>
      <c r="I5096" s="8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</row>
    <row r="5097" hidden="1">
      <c r="A5097" s="7"/>
      <c r="B5097" s="7"/>
      <c r="C5097" s="7"/>
      <c r="D5097" s="7"/>
      <c r="E5097" s="7"/>
      <c r="F5097" s="7"/>
      <c r="G5097" s="7"/>
      <c r="H5097" s="8"/>
      <c r="I5097" s="8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</row>
    <row r="5098" hidden="1">
      <c r="A5098" s="7"/>
      <c r="B5098" s="7"/>
      <c r="C5098" s="7"/>
      <c r="D5098" s="7"/>
      <c r="E5098" s="7"/>
      <c r="F5098" s="7"/>
      <c r="G5098" s="7"/>
      <c r="H5098" s="8"/>
      <c r="I5098" s="8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</row>
    <row r="5099" hidden="1">
      <c r="A5099" s="7"/>
      <c r="B5099" s="7"/>
      <c r="C5099" s="7"/>
      <c r="D5099" s="7"/>
      <c r="E5099" s="7"/>
      <c r="F5099" s="7"/>
      <c r="G5099" s="7"/>
      <c r="H5099" s="8"/>
      <c r="I5099" s="8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</row>
    <row r="5100" hidden="1">
      <c r="A5100" s="7"/>
      <c r="B5100" s="7"/>
      <c r="C5100" s="7"/>
      <c r="D5100" s="7"/>
      <c r="E5100" s="7"/>
      <c r="F5100" s="7"/>
      <c r="G5100" s="7"/>
      <c r="H5100" s="8"/>
      <c r="I5100" s="8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</row>
    <row r="5101" hidden="1">
      <c r="A5101" s="7"/>
      <c r="B5101" s="7"/>
      <c r="C5101" s="7"/>
      <c r="D5101" s="7"/>
      <c r="E5101" s="7"/>
      <c r="F5101" s="7"/>
      <c r="G5101" s="7"/>
      <c r="H5101" s="8"/>
      <c r="I5101" s="8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</row>
    <row r="5102" hidden="1">
      <c r="A5102" s="7"/>
      <c r="B5102" s="7"/>
      <c r="C5102" s="7"/>
      <c r="D5102" s="7"/>
      <c r="E5102" s="7"/>
      <c r="F5102" s="7"/>
      <c r="G5102" s="7"/>
      <c r="H5102" s="8"/>
      <c r="I5102" s="8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</row>
    <row r="5103" hidden="1">
      <c r="A5103" s="7"/>
      <c r="B5103" s="7"/>
      <c r="C5103" s="7"/>
      <c r="D5103" s="7"/>
      <c r="E5103" s="7"/>
      <c r="F5103" s="7"/>
      <c r="G5103" s="7"/>
      <c r="H5103" s="8"/>
      <c r="I5103" s="8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</row>
    <row r="5104" hidden="1">
      <c r="A5104" s="7"/>
      <c r="B5104" s="7"/>
      <c r="C5104" s="7"/>
      <c r="D5104" s="7"/>
      <c r="E5104" s="7"/>
      <c r="F5104" s="7"/>
      <c r="G5104" s="7"/>
      <c r="H5104" s="8"/>
      <c r="I5104" s="8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</row>
    <row r="5105" hidden="1">
      <c r="A5105" s="7"/>
      <c r="B5105" s="7"/>
      <c r="C5105" s="7"/>
      <c r="D5105" s="7"/>
      <c r="E5105" s="7"/>
      <c r="F5105" s="7"/>
      <c r="G5105" s="7"/>
      <c r="H5105" s="8"/>
      <c r="I5105" s="8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</row>
    <row r="5106" hidden="1">
      <c r="A5106" s="7"/>
      <c r="B5106" s="7"/>
      <c r="C5106" s="7"/>
      <c r="D5106" s="7"/>
      <c r="E5106" s="7"/>
      <c r="F5106" s="7"/>
      <c r="G5106" s="7"/>
      <c r="H5106" s="8"/>
      <c r="I5106" s="8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</row>
    <row r="5107" hidden="1">
      <c r="A5107" s="7"/>
      <c r="B5107" s="7"/>
      <c r="C5107" s="7"/>
      <c r="D5107" s="7"/>
      <c r="E5107" s="7"/>
      <c r="F5107" s="7"/>
      <c r="G5107" s="7"/>
      <c r="H5107" s="8"/>
      <c r="I5107" s="8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</row>
    <row r="5108" hidden="1">
      <c r="A5108" s="7"/>
      <c r="B5108" s="7"/>
      <c r="C5108" s="7"/>
      <c r="D5108" s="7"/>
      <c r="E5108" s="7"/>
      <c r="F5108" s="7"/>
      <c r="G5108" s="7"/>
      <c r="H5108" s="8"/>
      <c r="I5108" s="8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</row>
    <row r="5109" hidden="1">
      <c r="A5109" s="7"/>
      <c r="B5109" s="7"/>
      <c r="C5109" s="7"/>
      <c r="D5109" s="7"/>
      <c r="E5109" s="7"/>
      <c r="F5109" s="7"/>
      <c r="G5109" s="7"/>
      <c r="H5109" s="8"/>
      <c r="I5109" s="8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</row>
    <row r="5110" hidden="1">
      <c r="A5110" s="7"/>
      <c r="B5110" s="7"/>
      <c r="C5110" s="7"/>
      <c r="D5110" s="7"/>
      <c r="E5110" s="7"/>
      <c r="F5110" s="7"/>
      <c r="G5110" s="7"/>
      <c r="H5110" s="8"/>
      <c r="I5110" s="8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</row>
    <row r="5111" hidden="1">
      <c r="A5111" s="7"/>
      <c r="B5111" s="7"/>
      <c r="C5111" s="7"/>
      <c r="D5111" s="7"/>
      <c r="E5111" s="7"/>
      <c r="F5111" s="7"/>
      <c r="G5111" s="7"/>
      <c r="H5111" s="8"/>
      <c r="I5111" s="8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</row>
    <row r="5112" hidden="1">
      <c r="A5112" s="7"/>
      <c r="B5112" s="7"/>
      <c r="C5112" s="7"/>
      <c r="D5112" s="7"/>
      <c r="E5112" s="7"/>
      <c r="F5112" s="7"/>
      <c r="G5112" s="7"/>
      <c r="H5112" s="8"/>
      <c r="I5112" s="8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</row>
    <row r="5113" hidden="1">
      <c r="A5113" s="7"/>
      <c r="B5113" s="7"/>
      <c r="C5113" s="7"/>
      <c r="D5113" s="7"/>
      <c r="E5113" s="7"/>
      <c r="F5113" s="7"/>
      <c r="G5113" s="7"/>
      <c r="H5113" s="8"/>
      <c r="I5113" s="8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</row>
    <row r="5114" hidden="1">
      <c r="A5114" s="7"/>
      <c r="B5114" s="7"/>
      <c r="C5114" s="7"/>
      <c r="D5114" s="7"/>
      <c r="E5114" s="7"/>
      <c r="F5114" s="7"/>
      <c r="G5114" s="7"/>
      <c r="H5114" s="8"/>
      <c r="I5114" s="8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</row>
    <row r="5115" hidden="1">
      <c r="A5115" s="7"/>
      <c r="B5115" s="7"/>
      <c r="C5115" s="7"/>
      <c r="D5115" s="7"/>
      <c r="E5115" s="7"/>
      <c r="F5115" s="7"/>
      <c r="G5115" s="7"/>
      <c r="H5115" s="8"/>
      <c r="I5115" s="8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</row>
    <row r="5116" hidden="1">
      <c r="A5116" s="7"/>
      <c r="B5116" s="7"/>
      <c r="C5116" s="7"/>
      <c r="D5116" s="7"/>
      <c r="E5116" s="7"/>
      <c r="F5116" s="7"/>
      <c r="G5116" s="7"/>
      <c r="H5116" s="8"/>
      <c r="I5116" s="8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</row>
    <row r="5117" hidden="1">
      <c r="A5117" s="7"/>
      <c r="B5117" s="7"/>
      <c r="C5117" s="7"/>
      <c r="D5117" s="7"/>
      <c r="E5117" s="7"/>
      <c r="F5117" s="7"/>
      <c r="G5117" s="7"/>
      <c r="H5117" s="8"/>
      <c r="I5117" s="8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</row>
    <row r="5118" hidden="1">
      <c r="A5118" s="7"/>
      <c r="B5118" s="7"/>
      <c r="C5118" s="7"/>
      <c r="D5118" s="7"/>
      <c r="E5118" s="7"/>
      <c r="F5118" s="7"/>
      <c r="G5118" s="7"/>
      <c r="H5118" s="8"/>
      <c r="I5118" s="8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</row>
    <row r="5119" hidden="1">
      <c r="A5119" s="7"/>
      <c r="B5119" s="7"/>
      <c r="C5119" s="7"/>
      <c r="D5119" s="7"/>
      <c r="E5119" s="7"/>
      <c r="F5119" s="7"/>
      <c r="G5119" s="7"/>
      <c r="H5119" s="8"/>
      <c r="I5119" s="8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</row>
    <row r="5120" hidden="1">
      <c r="A5120" s="7"/>
      <c r="B5120" s="7"/>
      <c r="C5120" s="7"/>
      <c r="D5120" s="7"/>
      <c r="E5120" s="7"/>
      <c r="F5120" s="7"/>
      <c r="G5120" s="7"/>
      <c r="H5120" s="8"/>
      <c r="I5120" s="8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</row>
    <row r="5121" hidden="1">
      <c r="A5121" s="7"/>
      <c r="B5121" s="7"/>
      <c r="C5121" s="7"/>
      <c r="D5121" s="7"/>
      <c r="E5121" s="7"/>
      <c r="F5121" s="7"/>
      <c r="G5121" s="7"/>
      <c r="H5121" s="8"/>
      <c r="I5121" s="8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</row>
    <row r="5122" hidden="1">
      <c r="A5122" s="7"/>
      <c r="B5122" s="7"/>
      <c r="C5122" s="7"/>
      <c r="D5122" s="7"/>
      <c r="E5122" s="7"/>
      <c r="F5122" s="7"/>
      <c r="G5122" s="7"/>
      <c r="H5122" s="8"/>
      <c r="I5122" s="8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</row>
    <row r="5123" hidden="1">
      <c r="A5123" s="7"/>
      <c r="B5123" s="7"/>
      <c r="C5123" s="7"/>
      <c r="D5123" s="7"/>
      <c r="E5123" s="7"/>
      <c r="F5123" s="7"/>
      <c r="G5123" s="7"/>
      <c r="H5123" s="8"/>
      <c r="I5123" s="8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</row>
    <row r="5124" hidden="1">
      <c r="A5124" s="7"/>
      <c r="B5124" s="7"/>
      <c r="C5124" s="7"/>
      <c r="D5124" s="7"/>
      <c r="E5124" s="7"/>
      <c r="F5124" s="7"/>
      <c r="G5124" s="7"/>
      <c r="H5124" s="8"/>
      <c r="I5124" s="8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</row>
    <row r="5125" hidden="1">
      <c r="A5125" s="7"/>
      <c r="B5125" s="7"/>
      <c r="C5125" s="7"/>
      <c r="D5125" s="7"/>
      <c r="E5125" s="7"/>
      <c r="F5125" s="7"/>
      <c r="G5125" s="7"/>
      <c r="H5125" s="8"/>
      <c r="I5125" s="8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</row>
    <row r="5126" hidden="1">
      <c r="A5126" s="7"/>
      <c r="B5126" s="7"/>
      <c r="C5126" s="7"/>
      <c r="D5126" s="7"/>
      <c r="E5126" s="7"/>
      <c r="F5126" s="7"/>
      <c r="G5126" s="7"/>
      <c r="H5126" s="8"/>
      <c r="I5126" s="8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</row>
    <row r="5127" hidden="1">
      <c r="A5127" s="7"/>
      <c r="B5127" s="7"/>
      <c r="C5127" s="7"/>
      <c r="D5127" s="7"/>
      <c r="E5127" s="7"/>
      <c r="F5127" s="7"/>
      <c r="G5127" s="7"/>
      <c r="H5127" s="8"/>
      <c r="I5127" s="8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</row>
    <row r="5128" hidden="1">
      <c r="A5128" s="7"/>
      <c r="B5128" s="7"/>
      <c r="C5128" s="7"/>
      <c r="D5128" s="7"/>
      <c r="E5128" s="7"/>
      <c r="F5128" s="7"/>
      <c r="G5128" s="7"/>
      <c r="H5128" s="8"/>
      <c r="I5128" s="8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</row>
    <row r="5129" hidden="1">
      <c r="A5129" s="7"/>
      <c r="B5129" s="7"/>
      <c r="C5129" s="7"/>
      <c r="D5129" s="7"/>
      <c r="E5129" s="7"/>
      <c r="F5129" s="7"/>
      <c r="G5129" s="7"/>
      <c r="H5129" s="8"/>
      <c r="I5129" s="8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</row>
    <row r="5130" hidden="1">
      <c r="A5130" s="7"/>
      <c r="B5130" s="7"/>
      <c r="C5130" s="7"/>
      <c r="D5130" s="7"/>
      <c r="E5130" s="7"/>
      <c r="F5130" s="7"/>
      <c r="G5130" s="7"/>
      <c r="H5130" s="8"/>
      <c r="I5130" s="8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</row>
    <row r="5131" hidden="1">
      <c r="A5131" s="7"/>
      <c r="B5131" s="7"/>
      <c r="C5131" s="7"/>
      <c r="D5131" s="7"/>
      <c r="E5131" s="7"/>
      <c r="F5131" s="7"/>
      <c r="G5131" s="7"/>
      <c r="H5131" s="8"/>
      <c r="I5131" s="8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</row>
    <row r="5132" hidden="1">
      <c r="A5132" s="7"/>
      <c r="B5132" s="7"/>
      <c r="C5132" s="7"/>
      <c r="D5132" s="7"/>
      <c r="E5132" s="7"/>
      <c r="F5132" s="7"/>
      <c r="G5132" s="7"/>
      <c r="H5132" s="8"/>
      <c r="I5132" s="8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</row>
    <row r="5133" hidden="1">
      <c r="A5133" s="7"/>
      <c r="B5133" s="7"/>
      <c r="C5133" s="7"/>
      <c r="D5133" s="7"/>
      <c r="E5133" s="7"/>
      <c r="F5133" s="7"/>
      <c r="G5133" s="7"/>
      <c r="H5133" s="8"/>
      <c r="I5133" s="8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</row>
    <row r="5134" hidden="1">
      <c r="A5134" s="7"/>
      <c r="B5134" s="7"/>
      <c r="C5134" s="7"/>
      <c r="D5134" s="7"/>
      <c r="E5134" s="7"/>
      <c r="F5134" s="7"/>
      <c r="G5134" s="7"/>
      <c r="H5134" s="8"/>
      <c r="I5134" s="8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</row>
    <row r="5135" hidden="1">
      <c r="A5135" s="7"/>
      <c r="B5135" s="7"/>
      <c r="C5135" s="7"/>
      <c r="D5135" s="7"/>
      <c r="E5135" s="7"/>
      <c r="F5135" s="7"/>
      <c r="G5135" s="7"/>
      <c r="H5135" s="8"/>
      <c r="I5135" s="8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</row>
    <row r="5136" hidden="1">
      <c r="A5136" s="7"/>
      <c r="B5136" s="7"/>
      <c r="C5136" s="7"/>
      <c r="D5136" s="7"/>
      <c r="E5136" s="7"/>
      <c r="F5136" s="7"/>
      <c r="G5136" s="7"/>
      <c r="H5136" s="8"/>
      <c r="I5136" s="8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</row>
    <row r="5137" hidden="1">
      <c r="A5137" s="7"/>
      <c r="B5137" s="7"/>
      <c r="C5137" s="7"/>
      <c r="D5137" s="7"/>
      <c r="E5137" s="7"/>
      <c r="F5137" s="7"/>
      <c r="G5137" s="7"/>
      <c r="H5137" s="8"/>
      <c r="I5137" s="8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</row>
    <row r="5138" hidden="1">
      <c r="A5138" s="7"/>
      <c r="B5138" s="7"/>
      <c r="C5138" s="7"/>
      <c r="D5138" s="7"/>
      <c r="E5138" s="7"/>
      <c r="F5138" s="7"/>
      <c r="G5138" s="7"/>
      <c r="H5138" s="8"/>
      <c r="I5138" s="8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</row>
    <row r="5139" hidden="1">
      <c r="A5139" s="7"/>
      <c r="B5139" s="7"/>
      <c r="C5139" s="7"/>
      <c r="D5139" s="7"/>
      <c r="E5139" s="7"/>
      <c r="F5139" s="7"/>
      <c r="G5139" s="7"/>
      <c r="H5139" s="8"/>
      <c r="I5139" s="8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</row>
    <row r="5140" hidden="1">
      <c r="A5140" s="7"/>
      <c r="B5140" s="7"/>
      <c r="C5140" s="7"/>
      <c r="D5140" s="7"/>
      <c r="E5140" s="7"/>
      <c r="F5140" s="7"/>
      <c r="G5140" s="7"/>
      <c r="H5140" s="8"/>
      <c r="I5140" s="8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</row>
    <row r="5141" hidden="1">
      <c r="A5141" s="7"/>
      <c r="B5141" s="7"/>
      <c r="C5141" s="7"/>
      <c r="D5141" s="7"/>
      <c r="E5141" s="7"/>
      <c r="F5141" s="7"/>
      <c r="G5141" s="7"/>
      <c r="H5141" s="8"/>
      <c r="I5141" s="8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</row>
    <row r="5142" hidden="1">
      <c r="A5142" s="7"/>
      <c r="B5142" s="7"/>
      <c r="C5142" s="7"/>
      <c r="D5142" s="7"/>
      <c r="E5142" s="7"/>
      <c r="F5142" s="7"/>
      <c r="G5142" s="7"/>
      <c r="H5142" s="8"/>
      <c r="I5142" s="8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</row>
    <row r="5143" hidden="1">
      <c r="A5143" s="7"/>
      <c r="B5143" s="7"/>
      <c r="C5143" s="7"/>
      <c r="D5143" s="7"/>
      <c r="E5143" s="7"/>
      <c r="F5143" s="7"/>
      <c r="G5143" s="7"/>
      <c r="H5143" s="8"/>
      <c r="I5143" s="8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</row>
    <row r="5144" hidden="1">
      <c r="A5144" s="7"/>
      <c r="B5144" s="7"/>
      <c r="C5144" s="7"/>
      <c r="D5144" s="7"/>
      <c r="E5144" s="7"/>
      <c r="F5144" s="7"/>
      <c r="G5144" s="7"/>
      <c r="H5144" s="8"/>
      <c r="I5144" s="8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</row>
    <row r="5145" hidden="1">
      <c r="A5145" s="7"/>
      <c r="B5145" s="7"/>
      <c r="C5145" s="7"/>
      <c r="D5145" s="7"/>
      <c r="E5145" s="7"/>
      <c r="F5145" s="7"/>
      <c r="G5145" s="7"/>
      <c r="H5145" s="8"/>
      <c r="I5145" s="8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</row>
    <row r="5146" hidden="1">
      <c r="A5146" s="7"/>
      <c r="B5146" s="7"/>
      <c r="C5146" s="7"/>
      <c r="D5146" s="7"/>
      <c r="E5146" s="7"/>
      <c r="F5146" s="7"/>
      <c r="G5146" s="7"/>
      <c r="H5146" s="8"/>
      <c r="I5146" s="8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</row>
    <row r="5147" hidden="1">
      <c r="A5147" s="7"/>
      <c r="B5147" s="7"/>
      <c r="C5147" s="7"/>
      <c r="D5147" s="7"/>
      <c r="E5147" s="7"/>
      <c r="F5147" s="7"/>
      <c r="G5147" s="7"/>
      <c r="H5147" s="8"/>
      <c r="I5147" s="8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</row>
    <row r="5148" hidden="1">
      <c r="A5148" s="7"/>
      <c r="B5148" s="7"/>
      <c r="C5148" s="7"/>
      <c r="D5148" s="7"/>
      <c r="E5148" s="7"/>
      <c r="F5148" s="7"/>
      <c r="G5148" s="7"/>
      <c r="H5148" s="8"/>
      <c r="I5148" s="8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</row>
    <row r="5149" hidden="1">
      <c r="A5149" s="7"/>
      <c r="B5149" s="7"/>
      <c r="C5149" s="7"/>
      <c r="D5149" s="7"/>
      <c r="E5149" s="7"/>
      <c r="F5149" s="7"/>
      <c r="G5149" s="7"/>
      <c r="H5149" s="8"/>
      <c r="I5149" s="8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</row>
    <row r="5150" hidden="1">
      <c r="A5150" s="7"/>
      <c r="B5150" s="7"/>
      <c r="C5150" s="7"/>
      <c r="D5150" s="7"/>
      <c r="E5150" s="7"/>
      <c r="F5150" s="7"/>
      <c r="G5150" s="7"/>
      <c r="H5150" s="8"/>
      <c r="I5150" s="8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</row>
    <row r="5151" hidden="1">
      <c r="A5151" s="7"/>
      <c r="B5151" s="7"/>
      <c r="C5151" s="7"/>
      <c r="D5151" s="7"/>
      <c r="E5151" s="7"/>
      <c r="F5151" s="7"/>
      <c r="G5151" s="7"/>
      <c r="H5151" s="8"/>
      <c r="I5151" s="8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</row>
    <row r="5152" hidden="1">
      <c r="A5152" s="7"/>
      <c r="B5152" s="7"/>
      <c r="C5152" s="7"/>
      <c r="D5152" s="7"/>
      <c r="E5152" s="7"/>
      <c r="F5152" s="7"/>
      <c r="G5152" s="7"/>
      <c r="H5152" s="8"/>
      <c r="I5152" s="8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</row>
    <row r="5153" hidden="1">
      <c r="A5153" s="7"/>
      <c r="B5153" s="7"/>
      <c r="C5153" s="7"/>
      <c r="D5153" s="7"/>
      <c r="E5153" s="7"/>
      <c r="F5153" s="7"/>
      <c r="G5153" s="7"/>
      <c r="H5153" s="8"/>
      <c r="I5153" s="8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</row>
    <row r="5154" hidden="1">
      <c r="A5154" s="7"/>
      <c r="B5154" s="7"/>
      <c r="C5154" s="7"/>
      <c r="D5154" s="7"/>
      <c r="E5154" s="7"/>
      <c r="F5154" s="7"/>
      <c r="G5154" s="7"/>
      <c r="H5154" s="8"/>
      <c r="I5154" s="8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</row>
    <row r="5155" hidden="1">
      <c r="A5155" s="7"/>
      <c r="B5155" s="7"/>
      <c r="C5155" s="7"/>
      <c r="D5155" s="7"/>
      <c r="E5155" s="7"/>
      <c r="F5155" s="7"/>
      <c r="G5155" s="7"/>
      <c r="H5155" s="8"/>
      <c r="I5155" s="8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</row>
    <row r="5156" hidden="1">
      <c r="A5156" s="7"/>
      <c r="B5156" s="7"/>
      <c r="C5156" s="7"/>
      <c r="D5156" s="7"/>
      <c r="E5156" s="7"/>
      <c r="F5156" s="7"/>
      <c r="G5156" s="7"/>
      <c r="H5156" s="8"/>
      <c r="I5156" s="8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</row>
    <row r="5157" hidden="1">
      <c r="A5157" s="7"/>
      <c r="B5157" s="7"/>
      <c r="C5157" s="7"/>
      <c r="D5157" s="7"/>
      <c r="E5157" s="7"/>
      <c r="F5157" s="7"/>
      <c r="G5157" s="7"/>
      <c r="H5157" s="8"/>
      <c r="I5157" s="8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</row>
    <row r="5158" hidden="1">
      <c r="A5158" s="7"/>
      <c r="B5158" s="7"/>
      <c r="C5158" s="7"/>
      <c r="D5158" s="7"/>
      <c r="E5158" s="7"/>
      <c r="F5158" s="7"/>
      <c r="G5158" s="7"/>
      <c r="H5158" s="8"/>
      <c r="I5158" s="8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</row>
    <row r="5159" hidden="1">
      <c r="A5159" s="7"/>
      <c r="B5159" s="7"/>
      <c r="C5159" s="7"/>
      <c r="D5159" s="7"/>
      <c r="E5159" s="7"/>
      <c r="F5159" s="7"/>
      <c r="G5159" s="7"/>
      <c r="H5159" s="8"/>
      <c r="I5159" s="8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</row>
    <row r="5160" hidden="1">
      <c r="A5160" s="7"/>
      <c r="B5160" s="7"/>
      <c r="C5160" s="7"/>
      <c r="D5160" s="7"/>
      <c r="E5160" s="7"/>
      <c r="F5160" s="7"/>
      <c r="G5160" s="7"/>
      <c r="H5160" s="8"/>
      <c r="I5160" s="8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</row>
    <row r="5161" hidden="1">
      <c r="A5161" s="7"/>
      <c r="B5161" s="7"/>
      <c r="C5161" s="7"/>
      <c r="D5161" s="7"/>
      <c r="E5161" s="7"/>
      <c r="F5161" s="7"/>
      <c r="G5161" s="7"/>
      <c r="H5161" s="8"/>
      <c r="I5161" s="8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</row>
    <row r="5162" hidden="1">
      <c r="A5162" s="7"/>
      <c r="B5162" s="7"/>
      <c r="C5162" s="7"/>
      <c r="D5162" s="7"/>
      <c r="E5162" s="7"/>
      <c r="F5162" s="7"/>
      <c r="G5162" s="7"/>
      <c r="H5162" s="8"/>
      <c r="I5162" s="8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</row>
    <row r="5163" hidden="1">
      <c r="A5163" s="7"/>
      <c r="B5163" s="7"/>
      <c r="C5163" s="7"/>
      <c r="D5163" s="7"/>
      <c r="E5163" s="7"/>
      <c r="F5163" s="7"/>
      <c r="G5163" s="7"/>
      <c r="H5163" s="8"/>
      <c r="I5163" s="8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</row>
    <row r="5164" hidden="1">
      <c r="A5164" s="7"/>
      <c r="B5164" s="7"/>
      <c r="C5164" s="7"/>
      <c r="D5164" s="7"/>
      <c r="E5164" s="7"/>
      <c r="F5164" s="7"/>
      <c r="G5164" s="7"/>
      <c r="H5164" s="8"/>
      <c r="I5164" s="8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</row>
    <row r="5165" hidden="1">
      <c r="A5165" s="7"/>
      <c r="B5165" s="7"/>
      <c r="C5165" s="7"/>
      <c r="D5165" s="7"/>
      <c r="E5165" s="7"/>
      <c r="F5165" s="7"/>
      <c r="G5165" s="7"/>
      <c r="H5165" s="8"/>
      <c r="I5165" s="8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</row>
    <row r="5166" hidden="1">
      <c r="A5166" s="7"/>
      <c r="B5166" s="7"/>
      <c r="C5166" s="7"/>
      <c r="D5166" s="7"/>
      <c r="E5166" s="7"/>
      <c r="F5166" s="7"/>
      <c r="G5166" s="7"/>
      <c r="H5166" s="8"/>
      <c r="I5166" s="8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</row>
    <row r="5167" hidden="1">
      <c r="A5167" s="7"/>
      <c r="B5167" s="7"/>
      <c r="C5167" s="7"/>
      <c r="D5167" s="7"/>
      <c r="E5167" s="7"/>
      <c r="F5167" s="7"/>
      <c r="G5167" s="7"/>
      <c r="H5167" s="8"/>
      <c r="I5167" s="8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</row>
    <row r="5168" hidden="1">
      <c r="A5168" s="7"/>
      <c r="B5168" s="7"/>
      <c r="C5168" s="7"/>
      <c r="D5168" s="7"/>
      <c r="E5168" s="7"/>
      <c r="F5168" s="7"/>
      <c r="G5168" s="7"/>
      <c r="H5168" s="8"/>
      <c r="I5168" s="8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</row>
    <row r="5169" hidden="1">
      <c r="A5169" s="7"/>
      <c r="B5169" s="7"/>
      <c r="C5169" s="7"/>
      <c r="D5169" s="7"/>
      <c r="E5169" s="7"/>
      <c r="F5169" s="7"/>
      <c r="G5169" s="7"/>
      <c r="H5169" s="8"/>
      <c r="I5169" s="8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</row>
    <row r="5170" hidden="1">
      <c r="A5170" s="7"/>
      <c r="B5170" s="7"/>
      <c r="C5170" s="7"/>
      <c r="D5170" s="7"/>
      <c r="E5170" s="7"/>
      <c r="F5170" s="7"/>
      <c r="G5170" s="7"/>
      <c r="H5170" s="8"/>
      <c r="I5170" s="8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</row>
    <row r="5171" hidden="1">
      <c r="A5171" s="7"/>
      <c r="B5171" s="7"/>
      <c r="C5171" s="7"/>
      <c r="D5171" s="7"/>
      <c r="E5171" s="7"/>
      <c r="F5171" s="7"/>
      <c r="G5171" s="7"/>
      <c r="H5171" s="8"/>
      <c r="I5171" s="8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</row>
    <row r="5172" hidden="1">
      <c r="A5172" s="7"/>
      <c r="B5172" s="7"/>
      <c r="C5172" s="7"/>
      <c r="D5172" s="7"/>
      <c r="E5172" s="7"/>
      <c r="F5172" s="7"/>
      <c r="G5172" s="7"/>
      <c r="H5172" s="8"/>
      <c r="I5172" s="8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</row>
    <row r="5173" hidden="1">
      <c r="A5173" s="7"/>
      <c r="B5173" s="7"/>
      <c r="C5173" s="7"/>
      <c r="D5173" s="7"/>
      <c r="E5173" s="7"/>
      <c r="F5173" s="7"/>
      <c r="G5173" s="7"/>
      <c r="H5173" s="8"/>
      <c r="I5173" s="8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</row>
    <row r="5174" hidden="1">
      <c r="A5174" s="7"/>
      <c r="B5174" s="7"/>
      <c r="C5174" s="7"/>
      <c r="D5174" s="7"/>
      <c r="E5174" s="7"/>
      <c r="F5174" s="7"/>
      <c r="G5174" s="7"/>
      <c r="H5174" s="8"/>
      <c r="I5174" s="8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</row>
    <row r="5175" hidden="1">
      <c r="A5175" s="7"/>
      <c r="B5175" s="7"/>
      <c r="C5175" s="7"/>
      <c r="D5175" s="7"/>
      <c r="E5175" s="7"/>
      <c r="F5175" s="7"/>
      <c r="G5175" s="7"/>
      <c r="H5175" s="8"/>
      <c r="I5175" s="8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</row>
    <row r="5176" hidden="1">
      <c r="A5176" s="7"/>
      <c r="B5176" s="7"/>
      <c r="C5176" s="7"/>
      <c r="D5176" s="7"/>
      <c r="E5176" s="7"/>
      <c r="F5176" s="7"/>
      <c r="G5176" s="7"/>
      <c r="H5176" s="8"/>
      <c r="I5176" s="8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</row>
    <row r="5177" hidden="1">
      <c r="A5177" s="7"/>
      <c r="B5177" s="7"/>
      <c r="C5177" s="7"/>
      <c r="D5177" s="7"/>
      <c r="E5177" s="7"/>
      <c r="F5177" s="7"/>
      <c r="G5177" s="7"/>
      <c r="H5177" s="8"/>
      <c r="I5177" s="8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</row>
    <row r="5178" hidden="1">
      <c r="A5178" s="7"/>
      <c r="B5178" s="7"/>
      <c r="C5178" s="7"/>
      <c r="D5178" s="7"/>
      <c r="E5178" s="7"/>
      <c r="F5178" s="7"/>
      <c r="G5178" s="7"/>
      <c r="H5178" s="8"/>
      <c r="I5178" s="8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</row>
    <row r="5179" hidden="1">
      <c r="A5179" s="7"/>
      <c r="B5179" s="7"/>
      <c r="C5179" s="7"/>
      <c r="D5179" s="7"/>
      <c r="E5179" s="7"/>
      <c r="F5179" s="7"/>
      <c r="G5179" s="7"/>
      <c r="H5179" s="8"/>
      <c r="I5179" s="8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</row>
    <row r="5180" hidden="1">
      <c r="A5180" s="7"/>
      <c r="B5180" s="7"/>
      <c r="C5180" s="7"/>
      <c r="D5180" s="7"/>
      <c r="E5180" s="7"/>
      <c r="F5180" s="7"/>
      <c r="G5180" s="7"/>
      <c r="H5180" s="8"/>
      <c r="I5180" s="8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</row>
    <row r="5181" hidden="1">
      <c r="A5181" s="7"/>
      <c r="B5181" s="7"/>
      <c r="C5181" s="7"/>
      <c r="D5181" s="7"/>
      <c r="E5181" s="7"/>
      <c r="F5181" s="7"/>
      <c r="G5181" s="7"/>
      <c r="H5181" s="8"/>
      <c r="I5181" s="8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</row>
    <row r="5182" hidden="1">
      <c r="A5182" s="7"/>
      <c r="B5182" s="7"/>
      <c r="C5182" s="7"/>
      <c r="D5182" s="7"/>
      <c r="E5182" s="7"/>
      <c r="F5182" s="7"/>
      <c r="G5182" s="7"/>
      <c r="H5182" s="8"/>
      <c r="I5182" s="8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</row>
    <row r="5183" hidden="1">
      <c r="A5183" s="7"/>
      <c r="B5183" s="7"/>
      <c r="C5183" s="7"/>
      <c r="D5183" s="7"/>
      <c r="E5183" s="7"/>
      <c r="F5183" s="7"/>
      <c r="G5183" s="7"/>
      <c r="H5183" s="8"/>
      <c r="I5183" s="8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</row>
    <row r="5184" hidden="1">
      <c r="A5184" s="7"/>
      <c r="B5184" s="7"/>
      <c r="C5184" s="7"/>
      <c r="D5184" s="7"/>
      <c r="E5184" s="7"/>
      <c r="F5184" s="7"/>
      <c r="G5184" s="7"/>
      <c r="H5184" s="8"/>
      <c r="I5184" s="8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</row>
    <row r="5185" hidden="1">
      <c r="A5185" s="7"/>
      <c r="B5185" s="7"/>
      <c r="C5185" s="7"/>
      <c r="D5185" s="7"/>
      <c r="E5185" s="7"/>
      <c r="F5185" s="7"/>
      <c r="G5185" s="7"/>
      <c r="H5185" s="8"/>
      <c r="I5185" s="8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</row>
    <row r="5186" hidden="1">
      <c r="A5186" s="7"/>
      <c r="B5186" s="7"/>
      <c r="C5186" s="7"/>
      <c r="D5186" s="7"/>
      <c r="E5186" s="7"/>
      <c r="F5186" s="7"/>
      <c r="G5186" s="7"/>
      <c r="H5186" s="8"/>
      <c r="I5186" s="8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</row>
    <row r="5187" hidden="1">
      <c r="A5187" s="7"/>
      <c r="B5187" s="7"/>
      <c r="C5187" s="7"/>
      <c r="D5187" s="7"/>
      <c r="E5187" s="7"/>
      <c r="F5187" s="7"/>
      <c r="G5187" s="7"/>
      <c r="H5187" s="8"/>
      <c r="I5187" s="8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</row>
    <row r="5188" hidden="1">
      <c r="A5188" s="7"/>
      <c r="B5188" s="7"/>
      <c r="C5188" s="7"/>
      <c r="D5188" s="7"/>
      <c r="E5188" s="7"/>
      <c r="F5188" s="7"/>
      <c r="G5188" s="7"/>
      <c r="H5188" s="8"/>
      <c r="I5188" s="8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</row>
    <row r="5189" hidden="1">
      <c r="A5189" s="7"/>
      <c r="B5189" s="7"/>
      <c r="C5189" s="7"/>
      <c r="D5189" s="7"/>
      <c r="E5189" s="7"/>
      <c r="F5189" s="7"/>
      <c r="G5189" s="7"/>
      <c r="H5189" s="8"/>
      <c r="I5189" s="8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</row>
    <row r="5190" hidden="1">
      <c r="A5190" s="7"/>
      <c r="B5190" s="7"/>
      <c r="C5190" s="7"/>
      <c r="D5190" s="7"/>
      <c r="E5190" s="7"/>
      <c r="F5190" s="7"/>
      <c r="G5190" s="7"/>
      <c r="H5190" s="8"/>
      <c r="I5190" s="8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</row>
    <row r="5191" hidden="1">
      <c r="A5191" s="7"/>
      <c r="B5191" s="7"/>
      <c r="C5191" s="7"/>
      <c r="D5191" s="7"/>
      <c r="E5191" s="7"/>
      <c r="F5191" s="7"/>
      <c r="G5191" s="7"/>
      <c r="H5191" s="8"/>
      <c r="I5191" s="8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</row>
    <row r="5192" hidden="1">
      <c r="A5192" s="7"/>
      <c r="B5192" s="7"/>
      <c r="C5192" s="7"/>
      <c r="D5192" s="7"/>
      <c r="E5192" s="7"/>
      <c r="F5192" s="7"/>
      <c r="G5192" s="7"/>
      <c r="H5192" s="8"/>
      <c r="I5192" s="8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</row>
    <row r="5193" hidden="1">
      <c r="A5193" s="7"/>
      <c r="B5193" s="7"/>
      <c r="C5193" s="7"/>
      <c r="D5193" s="7"/>
      <c r="E5193" s="7"/>
      <c r="F5193" s="7"/>
      <c r="G5193" s="7"/>
      <c r="H5193" s="8"/>
      <c r="I5193" s="8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</row>
    <row r="5194" hidden="1">
      <c r="A5194" s="7"/>
      <c r="B5194" s="7"/>
      <c r="C5194" s="7"/>
      <c r="D5194" s="7"/>
      <c r="E5194" s="7"/>
      <c r="F5194" s="7"/>
      <c r="G5194" s="7"/>
      <c r="H5194" s="8"/>
      <c r="I5194" s="8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</row>
    <row r="5195" hidden="1">
      <c r="A5195" s="7"/>
      <c r="B5195" s="7"/>
      <c r="C5195" s="7"/>
      <c r="D5195" s="7"/>
      <c r="E5195" s="7"/>
      <c r="F5195" s="7"/>
      <c r="G5195" s="7"/>
      <c r="H5195" s="8"/>
      <c r="I5195" s="8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</row>
    <row r="5196" hidden="1">
      <c r="A5196" s="7"/>
      <c r="B5196" s="7"/>
      <c r="C5196" s="7"/>
      <c r="D5196" s="7"/>
      <c r="E5196" s="7"/>
      <c r="F5196" s="7"/>
      <c r="G5196" s="7"/>
      <c r="H5196" s="8"/>
      <c r="I5196" s="8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</row>
    <row r="5197" hidden="1">
      <c r="A5197" s="7"/>
      <c r="B5197" s="7"/>
      <c r="C5197" s="7"/>
      <c r="D5197" s="7"/>
      <c r="E5197" s="7"/>
      <c r="F5197" s="7"/>
      <c r="G5197" s="7"/>
      <c r="H5197" s="8"/>
      <c r="I5197" s="8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</row>
    <row r="5198" hidden="1">
      <c r="A5198" s="7"/>
      <c r="B5198" s="7"/>
      <c r="C5198" s="7"/>
      <c r="D5198" s="7"/>
      <c r="E5198" s="7"/>
      <c r="F5198" s="7"/>
      <c r="G5198" s="7"/>
      <c r="H5198" s="8"/>
      <c r="I5198" s="8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</row>
    <row r="5199" hidden="1">
      <c r="A5199" s="7"/>
      <c r="B5199" s="7"/>
      <c r="C5199" s="7"/>
      <c r="D5199" s="7"/>
      <c r="E5199" s="7"/>
      <c r="F5199" s="7"/>
      <c r="G5199" s="7"/>
      <c r="H5199" s="8"/>
      <c r="I5199" s="8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</row>
    <row r="5200" hidden="1">
      <c r="A5200" s="7"/>
      <c r="B5200" s="7"/>
      <c r="C5200" s="7"/>
      <c r="D5200" s="7"/>
      <c r="E5200" s="7"/>
      <c r="F5200" s="7"/>
      <c r="G5200" s="7"/>
      <c r="H5200" s="8"/>
      <c r="I5200" s="8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</row>
    <row r="5201" hidden="1">
      <c r="A5201" s="7"/>
      <c r="B5201" s="7"/>
      <c r="C5201" s="7"/>
      <c r="D5201" s="7"/>
      <c r="E5201" s="7"/>
      <c r="F5201" s="7"/>
      <c r="G5201" s="7"/>
      <c r="H5201" s="8"/>
      <c r="I5201" s="8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</row>
    <row r="5202" hidden="1">
      <c r="A5202" s="7"/>
      <c r="B5202" s="7"/>
      <c r="C5202" s="7"/>
      <c r="D5202" s="7"/>
      <c r="E5202" s="7"/>
      <c r="F5202" s="7"/>
      <c r="G5202" s="7"/>
      <c r="H5202" s="8"/>
      <c r="I5202" s="8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</row>
    <row r="5203" hidden="1">
      <c r="A5203" s="7"/>
      <c r="B5203" s="7"/>
      <c r="C5203" s="7"/>
      <c r="D5203" s="7"/>
      <c r="E5203" s="7"/>
      <c r="F5203" s="7"/>
      <c r="G5203" s="7"/>
      <c r="H5203" s="8"/>
      <c r="I5203" s="8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</row>
    <row r="5204" hidden="1">
      <c r="A5204" s="7"/>
      <c r="B5204" s="7"/>
      <c r="C5204" s="7"/>
      <c r="D5204" s="7"/>
      <c r="E5204" s="7"/>
      <c r="F5204" s="7"/>
      <c r="G5204" s="7"/>
      <c r="H5204" s="8"/>
      <c r="I5204" s="8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</row>
    <row r="5205" hidden="1">
      <c r="A5205" s="7"/>
      <c r="B5205" s="7"/>
      <c r="C5205" s="7"/>
      <c r="D5205" s="7"/>
      <c r="E5205" s="7"/>
      <c r="F5205" s="7"/>
      <c r="G5205" s="7"/>
      <c r="H5205" s="8"/>
      <c r="I5205" s="8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</row>
    <row r="5206" hidden="1">
      <c r="A5206" s="7"/>
      <c r="B5206" s="7"/>
      <c r="C5206" s="7"/>
      <c r="D5206" s="7"/>
      <c r="E5206" s="7"/>
      <c r="F5206" s="7"/>
      <c r="G5206" s="7"/>
      <c r="H5206" s="8"/>
      <c r="I5206" s="8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</row>
    <row r="5207" hidden="1">
      <c r="A5207" s="7"/>
      <c r="B5207" s="7"/>
      <c r="C5207" s="7"/>
      <c r="D5207" s="7"/>
      <c r="E5207" s="7"/>
      <c r="F5207" s="7"/>
      <c r="G5207" s="7"/>
      <c r="H5207" s="8"/>
      <c r="I5207" s="8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</row>
    <row r="5208" hidden="1">
      <c r="A5208" s="7"/>
      <c r="B5208" s="7"/>
      <c r="C5208" s="7"/>
      <c r="D5208" s="7"/>
      <c r="E5208" s="7"/>
      <c r="F5208" s="7"/>
      <c r="G5208" s="7"/>
      <c r="H5208" s="8"/>
      <c r="I5208" s="8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</row>
    <row r="5209" hidden="1">
      <c r="A5209" s="7"/>
      <c r="B5209" s="7"/>
      <c r="C5209" s="7"/>
      <c r="D5209" s="7"/>
      <c r="E5209" s="7"/>
      <c r="F5209" s="7"/>
      <c r="G5209" s="7"/>
      <c r="H5209" s="8"/>
      <c r="I5209" s="8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</row>
    <row r="5210" hidden="1">
      <c r="A5210" s="7"/>
      <c r="B5210" s="7"/>
      <c r="C5210" s="7"/>
      <c r="D5210" s="7"/>
      <c r="E5210" s="7"/>
      <c r="F5210" s="7"/>
      <c r="G5210" s="7"/>
      <c r="H5210" s="8"/>
      <c r="I5210" s="8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</row>
    <row r="5211" hidden="1">
      <c r="A5211" s="7"/>
      <c r="B5211" s="7"/>
      <c r="C5211" s="7"/>
      <c r="D5211" s="7"/>
      <c r="E5211" s="7"/>
      <c r="F5211" s="7"/>
      <c r="G5211" s="7"/>
      <c r="H5211" s="8"/>
      <c r="I5211" s="8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</row>
    <row r="5212" hidden="1">
      <c r="A5212" s="7"/>
      <c r="B5212" s="7"/>
      <c r="C5212" s="7"/>
      <c r="D5212" s="7"/>
      <c r="E5212" s="7"/>
      <c r="F5212" s="7"/>
      <c r="G5212" s="7"/>
      <c r="H5212" s="8"/>
      <c r="I5212" s="8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</row>
    <row r="5213" hidden="1">
      <c r="A5213" s="7"/>
      <c r="B5213" s="7"/>
      <c r="C5213" s="7"/>
      <c r="D5213" s="7"/>
      <c r="E5213" s="7"/>
      <c r="F5213" s="7"/>
      <c r="G5213" s="7"/>
      <c r="H5213" s="8"/>
      <c r="I5213" s="8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</row>
    <row r="5214" hidden="1">
      <c r="A5214" s="7"/>
      <c r="B5214" s="7"/>
      <c r="C5214" s="7"/>
      <c r="D5214" s="7"/>
      <c r="E5214" s="7"/>
      <c r="F5214" s="7"/>
      <c r="G5214" s="7"/>
      <c r="H5214" s="8"/>
      <c r="I5214" s="8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</row>
    <row r="5215" hidden="1">
      <c r="A5215" s="7"/>
      <c r="B5215" s="7"/>
      <c r="C5215" s="7"/>
      <c r="D5215" s="7"/>
      <c r="E5215" s="7"/>
      <c r="F5215" s="7"/>
      <c r="G5215" s="7"/>
      <c r="H5215" s="8"/>
      <c r="I5215" s="8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</row>
    <row r="5216" hidden="1">
      <c r="A5216" s="7"/>
      <c r="B5216" s="7"/>
      <c r="C5216" s="7"/>
      <c r="D5216" s="7"/>
      <c r="E5216" s="7"/>
      <c r="F5216" s="7"/>
      <c r="G5216" s="7"/>
      <c r="H5216" s="8"/>
      <c r="I5216" s="8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</row>
    <row r="5217" hidden="1">
      <c r="A5217" s="7"/>
      <c r="B5217" s="7"/>
      <c r="C5217" s="7"/>
      <c r="D5217" s="7"/>
      <c r="E5217" s="7"/>
      <c r="F5217" s="7"/>
      <c r="G5217" s="7"/>
      <c r="H5217" s="8"/>
      <c r="I5217" s="8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</row>
    <row r="5218" hidden="1">
      <c r="A5218" s="7"/>
      <c r="B5218" s="7"/>
      <c r="C5218" s="7"/>
      <c r="D5218" s="7"/>
      <c r="E5218" s="7"/>
      <c r="F5218" s="7"/>
      <c r="G5218" s="7"/>
      <c r="H5218" s="8"/>
      <c r="I5218" s="8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</row>
    <row r="5219" hidden="1">
      <c r="A5219" s="7"/>
      <c r="B5219" s="7"/>
      <c r="C5219" s="7"/>
      <c r="D5219" s="7"/>
      <c r="E5219" s="7"/>
      <c r="F5219" s="7"/>
      <c r="G5219" s="7"/>
      <c r="H5219" s="8"/>
      <c r="I5219" s="8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</row>
    <row r="5220" hidden="1">
      <c r="A5220" s="7"/>
      <c r="B5220" s="7"/>
      <c r="C5220" s="7"/>
      <c r="D5220" s="7"/>
      <c r="E5220" s="7"/>
      <c r="F5220" s="7"/>
      <c r="G5220" s="7"/>
      <c r="H5220" s="8"/>
      <c r="I5220" s="8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</row>
    <row r="5221" hidden="1">
      <c r="A5221" s="7"/>
      <c r="B5221" s="7"/>
      <c r="C5221" s="7"/>
      <c r="D5221" s="7"/>
      <c r="E5221" s="7"/>
      <c r="F5221" s="7"/>
      <c r="G5221" s="7"/>
      <c r="H5221" s="8"/>
      <c r="I5221" s="8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</row>
    <row r="5222" hidden="1">
      <c r="A5222" s="7"/>
      <c r="B5222" s="7"/>
      <c r="C5222" s="7"/>
      <c r="D5222" s="7"/>
      <c r="E5222" s="7"/>
      <c r="F5222" s="7"/>
      <c r="G5222" s="7"/>
      <c r="H5222" s="8"/>
      <c r="I5222" s="8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</row>
    <row r="5223" hidden="1">
      <c r="A5223" s="7"/>
      <c r="B5223" s="7"/>
      <c r="C5223" s="7"/>
      <c r="D5223" s="7"/>
      <c r="E5223" s="7"/>
      <c r="F5223" s="7"/>
      <c r="G5223" s="7"/>
      <c r="H5223" s="8"/>
      <c r="I5223" s="8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</row>
    <row r="5224" hidden="1">
      <c r="A5224" s="7"/>
      <c r="B5224" s="7"/>
      <c r="C5224" s="7"/>
      <c r="D5224" s="7"/>
      <c r="E5224" s="7"/>
      <c r="F5224" s="7"/>
      <c r="G5224" s="7"/>
      <c r="H5224" s="8"/>
      <c r="I5224" s="8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</row>
    <row r="5225" hidden="1">
      <c r="A5225" s="7"/>
      <c r="B5225" s="7"/>
      <c r="C5225" s="7"/>
      <c r="D5225" s="7"/>
      <c r="E5225" s="7"/>
      <c r="F5225" s="7"/>
      <c r="G5225" s="7"/>
      <c r="H5225" s="8"/>
      <c r="I5225" s="8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</row>
    <row r="5226" hidden="1">
      <c r="A5226" s="7"/>
      <c r="B5226" s="7"/>
      <c r="C5226" s="7"/>
      <c r="D5226" s="7"/>
      <c r="E5226" s="7"/>
      <c r="F5226" s="7"/>
      <c r="G5226" s="7"/>
      <c r="H5226" s="8"/>
      <c r="I5226" s="8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</row>
    <row r="5227" hidden="1">
      <c r="A5227" s="7"/>
      <c r="B5227" s="7"/>
      <c r="C5227" s="7"/>
      <c r="D5227" s="7"/>
      <c r="E5227" s="7"/>
      <c r="F5227" s="7"/>
      <c r="G5227" s="7"/>
      <c r="H5227" s="8"/>
      <c r="I5227" s="8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</row>
    <row r="5228" hidden="1">
      <c r="A5228" s="7"/>
      <c r="B5228" s="7"/>
      <c r="C5228" s="7"/>
      <c r="D5228" s="7"/>
      <c r="E5228" s="7"/>
      <c r="F5228" s="7"/>
      <c r="G5228" s="7"/>
      <c r="H5228" s="8"/>
      <c r="I5228" s="8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</row>
    <row r="5229" hidden="1">
      <c r="A5229" s="7"/>
      <c r="B5229" s="7"/>
      <c r="C5229" s="7"/>
      <c r="D5229" s="7"/>
      <c r="E5229" s="7"/>
      <c r="F5229" s="7"/>
      <c r="G5229" s="7"/>
      <c r="H5229" s="8"/>
      <c r="I5229" s="8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</row>
    <row r="5230" hidden="1">
      <c r="A5230" s="7"/>
      <c r="B5230" s="7"/>
      <c r="C5230" s="7"/>
      <c r="D5230" s="7"/>
      <c r="E5230" s="7"/>
      <c r="F5230" s="7"/>
      <c r="G5230" s="7"/>
      <c r="H5230" s="8"/>
      <c r="I5230" s="8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</row>
    <row r="5231" hidden="1">
      <c r="A5231" s="7"/>
      <c r="B5231" s="7"/>
      <c r="C5231" s="7"/>
      <c r="D5231" s="7"/>
      <c r="E5231" s="7"/>
      <c r="F5231" s="7"/>
      <c r="G5231" s="7"/>
      <c r="H5231" s="8"/>
      <c r="I5231" s="8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</row>
    <row r="5232" hidden="1">
      <c r="A5232" s="7"/>
      <c r="B5232" s="7"/>
      <c r="C5232" s="7"/>
      <c r="D5232" s="7"/>
      <c r="E5232" s="7"/>
      <c r="F5232" s="7"/>
      <c r="G5232" s="7"/>
      <c r="H5232" s="8"/>
      <c r="I5232" s="8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</row>
    <row r="5233" hidden="1">
      <c r="A5233" s="7"/>
      <c r="B5233" s="7"/>
      <c r="C5233" s="7"/>
      <c r="D5233" s="7"/>
      <c r="E5233" s="7"/>
      <c r="F5233" s="7"/>
      <c r="G5233" s="7"/>
      <c r="H5233" s="8"/>
      <c r="I5233" s="8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</row>
    <row r="5234" hidden="1">
      <c r="A5234" s="7"/>
      <c r="B5234" s="7"/>
      <c r="C5234" s="7"/>
      <c r="D5234" s="7"/>
      <c r="E5234" s="7"/>
      <c r="F5234" s="7"/>
      <c r="G5234" s="7"/>
      <c r="H5234" s="8"/>
      <c r="I5234" s="8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</row>
    <row r="5235" hidden="1">
      <c r="A5235" s="7"/>
      <c r="B5235" s="7"/>
      <c r="C5235" s="7"/>
      <c r="D5235" s="7"/>
      <c r="E5235" s="7"/>
      <c r="F5235" s="7"/>
      <c r="G5235" s="7"/>
      <c r="H5235" s="8"/>
      <c r="I5235" s="8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</row>
    <row r="5236" hidden="1">
      <c r="A5236" s="7"/>
      <c r="B5236" s="7"/>
      <c r="C5236" s="7"/>
      <c r="D5236" s="7"/>
      <c r="E5236" s="7"/>
      <c r="F5236" s="7"/>
      <c r="G5236" s="7"/>
      <c r="H5236" s="8"/>
      <c r="I5236" s="8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</row>
    <row r="5237" hidden="1">
      <c r="A5237" s="7"/>
      <c r="B5237" s="7"/>
      <c r="C5237" s="7"/>
      <c r="D5237" s="7"/>
      <c r="E5237" s="7"/>
      <c r="F5237" s="7"/>
      <c r="G5237" s="7"/>
      <c r="H5237" s="8"/>
      <c r="I5237" s="8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</row>
    <row r="5238" hidden="1">
      <c r="A5238" s="7"/>
      <c r="B5238" s="7"/>
      <c r="C5238" s="7"/>
      <c r="D5238" s="7"/>
      <c r="E5238" s="7"/>
      <c r="F5238" s="7"/>
      <c r="G5238" s="7"/>
      <c r="H5238" s="8"/>
      <c r="I5238" s="8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</row>
    <row r="5239" hidden="1">
      <c r="A5239" s="7"/>
      <c r="B5239" s="7"/>
      <c r="C5239" s="7"/>
      <c r="D5239" s="7"/>
      <c r="E5239" s="7"/>
      <c r="F5239" s="7"/>
      <c r="G5239" s="7"/>
      <c r="H5239" s="8"/>
      <c r="I5239" s="8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</row>
    <row r="5240" hidden="1">
      <c r="A5240" s="7"/>
      <c r="B5240" s="7"/>
      <c r="C5240" s="7"/>
      <c r="D5240" s="7"/>
      <c r="E5240" s="7"/>
      <c r="F5240" s="7"/>
      <c r="G5240" s="7"/>
      <c r="H5240" s="8"/>
      <c r="I5240" s="8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</row>
    <row r="5241" hidden="1">
      <c r="A5241" s="7"/>
      <c r="B5241" s="7"/>
      <c r="C5241" s="7"/>
      <c r="D5241" s="7"/>
      <c r="E5241" s="7"/>
      <c r="F5241" s="7"/>
      <c r="G5241" s="7"/>
      <c r="H5241" s="8"/>
      <c r="I5241" s="8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</row>
    <row r="5242" hidden="1">
      <c r="A5242" s="7"/>
      <c r="B5242" s="7"/>
      <c r="C5242" s="7"/>
      <c r="D5242" s="7"/>
      <c r="E5242" s="7"/>
      <c r="F5242" s="7"/>
      <c r="G5242" s="7"/>
      <c r="H5242" s="8"/>
      <c r="I5242" s="8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</row>
    <row r="5243" hidden="1">
      <c r="A5243" s="7"/>
      <c r="B5243" s="7"/>
      <c r="C5243" s="7"/>
      <c r="D5243" s="7"/>
      <c r="E5243" s="7"/>
      <c r="F5243" s="7"/>
      <c r="G5243" s="7"/>
      <c r="H5243" s="8"/>
      <c r="I5243" s="8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</row>
    <row r="5244" hidden="1">
      <c r="A5244" s="7"/>
      <c r="B5244" s="7"/>
      <c r="C5244" s="7"/>
      <c r="D5244" s="7"/>
      <c r="E5244" s="7"/>
      <c r="F5244" s="7"/>
      <c r="G5244" s="7"/>
      <c r="H5244" s="8"/>
      <c r="I5244" s="8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</row>
    <row r="5245" hidden="1">
      <c r="A5245" s="7"/>
      <c r="B5245" s="7"/>
      <c r="C5245" s="7"/>
      <c r="D5245" s="7"/>
      <c r="E5245" s="7"/>
      <c r="F5245" s="7"/>
      <c r="G5245" s="7"/>
      <c r="H5245" s="8"/>
      <c r="I5245" s="8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</row>
    <row r="5246" hidden="1">
      <c r="A5246" s="7"/>
      <c r="B5246" s="7"/>
      <c r="C5246" s="7"/>
      <c r="D5246" s="7"/>
      <c r="E5246" s="7"/>
      <c r="F5246" s="7"/>
      <c r="G5246" s="7"/>
      <c r="H5246" s="8"/>
      <c r="I5246" s="8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</row>
    <row r="5247" hidden="1">
      <c r="A5247" s="7"/>
      <c r="B5247" s="7"/>
      <c r="C5247" s="7"/>
      <c r="D5247" s="7"/>
      <c r="E5247" s="7"/>
      <c r="F5247" s="7"/>
      <c r="G5247" s="7"/>
      <c r="H5247" s="8"/>
      <c r="I5247" s="8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</row>
    <row r="5248" hidden="1">
      <c r="A5248" s="7"/>
      <c r="B5248" s="7"/>
      <c r="C5248" s="7"/>
      <c r="D5248" s="7"/>
      <c r="E5248" s="7"/>
      <c r="F5248" s="7"/>
      <c r="G5248" s="7"/>
      <c r="H5248" s="8"/>
      <c r="I5248" s="8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</row>
    <row r="5249" hidden="1">
      <c r="A5249" s="7"/>
      <c r="B5249" s="7"/>
      <c r="C5249" s="7"/>
      <c r="D5249" s="7"/>
      <c r="E5249" s="7"/>
      <c r="F5249" s="7"/>
      <c r="G5249" s="7"/>
      <c r="H5249" s="8"/>
      <c r="I5249" s="8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</row>
    <row r="5250" hidden="1">
      <c r="A5250" s="7"/>
      <c r="B5250" s="7"/>
      <c r="C5250" s="7"/>
      <c r="D5250" s="7"/>
      <c r="E5250" s="7"/>
      <c r="F5250" s="7"/>
      <c r="G5250" s="7"/>
      <c r="H5250" s="8"/>
      <c r="I5250" s="8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</row>
    <row r="5251" hidden="1">
      <c r="A5251" s="7"/>
      <c r="B5251" s="7"/>
      <c r="C5251" s="7"/>
      <c r="D5251" s="7"/>
      <c r="E5251" s="7"/>
      <c r="F5251" s="7"/>
      <c r="G5251" s="7"/>
      <c r="H5251" s="8"/>
      <c r="I5251" s="8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</row>
    <row r="5252" hidden="1">
      <c r="A5252" s="7"/>
      <c r="B5252" s="7"/>
      <c r="C5252" s="7"/>
      <c r="D5252" s="7"/>
      <c r="E5252" s="7"/>
      <c r="F5252" s="7"/>
      <c r="G5252" s="7"/>
      <c r="H5252" s="8"/>
      <c r="I5252" s="8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</row>
    <row r="5253" hidden="1">
      <c r="A5253" s="7"/>
      <c r="B5253" s="7"/>
      <c r="C5253" s="7"/>
      <c r="D5253" s="7"/>
      <c r="E5253" s="7"/>
      <c r="F5253" s="7"/>
      <c r="G5253" s="7"/>
      <c r="H5253" s="8"/>
      <c r="I5253" s="8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</row>
    <row r="5254" hidden="1">
      <c r="A5254" s="7"/>
      <c r="B5254" s="7"/>
      <c r="C5254" s="7"/>
      <c r="D5254" s="7"/>
      <c r="E5254" s="7"/>
      <c r="F5254" s="7"/>
      <c r="G5254" s="7"/>
      <c r="H5254" s="8"/>
      <c r="I5254" s="8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</row>
    <row r="5255" hidden="1">
      <c r="A5255" s="7"/>
      <c r="B5255" s="7"/>
      <c r="C5255" s="7"/>
      <c r="D5255" s="7"/>
      <c r="E5255" s="7"/>
      <c r="F5255" s="7"/>
      <c r="G5255" s="7"/>
      <c r="H5255" s="8"/>
      <c r="I5255" s="8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</row>
    <row r="5256" hidden="1">
      <c r="A5256" s="7"/>
      <c r="B5256" s="7"/>
      <c r="C5256" s="7"/>
      <c r="D5256" s="7"/>
      <c r="E5256" s="7"/>
      <c r="F5256" s="7"/>
      <c r="G5256" s="7"/>
      <c r="H5256" s="8"/>
      <c r="I5256" s="8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</row>
    <row r="5257" hidden="1">
      <c r="A5257" s="7"/>
      <c r="B5257" s="7"/>
      <c r="C5257" s="7"/>
      <c r="D5257" s="7"/>
      <c r="E5257" s="7"/>
      <c r="F5257" s="7"/>
      <c r="G5257" s="7"/>
      <c r="H5257" s="8"/>
      <c r="I5257" s="8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</row>
    <row r="5258" hidden="1">
      <c r="A5258" s="7"/>
      <c r="B5258" s="7"/>
      <c r="C5258" s="7"/>
      <c r="D5258" s="7"/>
      <c r="E5258" s="7"/>
      <c r="F5258" s="7"/>
      <c r="G5258" s="7"/>
      <c r="H5258" s="8"/>
      <c r="I5258" s="8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</row>
    <row r="5259" hidden="1">
      <c r="A5259" s="7"/>
      <c r="B5259" s="7"/>
      <c r="C5259" s="7"/>
      <c r="D5259" s="7"/>
      <c r="E5259" s="7"/>
      <c r="F5259" s="7"/>
      <c r="G5259" s="7"/>
      <c r="H5259" s="8"/>
      <c r="I5259" s="8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</row>
    <row r="5260" hidden="1">
      <c r="A5260" s="7"/>
      <c r="B5260" s="7"/>
      <c r="C5260" s="7"/>
      <c r="D5260" s="7"/>
      <c r="E5260" s="7"/>
      <c r="F5260" s="7"/>
      <c r="G5260" s="7"/>
      <c r="H5260" s="8"/>
      <c r="I5260" s="8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</row>
    <row r="5261" hidden="1">
      <c r="A5261" s="7"/>
      <c r="B5261" s="7"/>
      <c r="C5261" s="7"/>
      <c r="D5261" s="7"/>
      <c r="E5261" s="7"/>
      <c r="F5261" s="7"/>
      <c r="G5261" s="7"/>
      <c r="H5261" s="8"/>
      <c r="I5261" s="8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</row>
    <row r="5262" hidden="1">
      <c r="A5262" s="7"/>
      <c r="B5262" s="7"/>
      <c r="C5262" s="7"/>
      <c r="D5262" s="7"/>
      <c r="E5262" s="7"/>
      <c r="F5262" s="7"/>
      <c r="G5262" s="7"/>
      <c r="H5262" s="8"/>
      <c r="I5262" s="8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</row>
    <row r="5263" hidden="1">
      <c r="A5263" s="7"/>
      <c r="B5263" s="7"/>
      <c r="C5263" s="7"/>
      <c r="D5263" s="7"/>
      <c r="E5263" s="7"/>
      <c r="F5263" s="7"/>
      <c r="G5263" s="7"/>
      <c r="H5263" s="8"/>
      <c r="I5263" s="8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</row>
    <row r="5264" hidden="1">
      <c r="A5264" s="7"/>
      <c r="B5264" s="7"/>
      <c r="C5264" s="7"/>
      <c r="D5264" s="7"/>
      <c r="E5264" s="7"/>
      <c r="F5264" s="7"/>
      <c r="G5264" s="7"/>
      <c r="H5264" s="8"/>
      <c r="I5264" s="8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</row>
    <row r="5265" hidden="1">
      <c r="A5265" s="7"/>
      <c r="B5265" s="7"/>
      <c r="C5265" s="7"/>
      <c r="D5265" s="7"/>
      <c r="E5265" s="7"/>
      <c r="F5265" s="7"/>
      <c r="G5265" s="7"/>
      <c r="H5265" s="8"/>
      <c r="I5265" s="8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</row>
    <row r="5266" hidden="1">
      <c r="A5266" s="7"/>
      <c r="B5266" s="7"/>
      <c r="C5266" s="7"/>
      <c r="D5266" s="7"/>
      <c r="E5266" s="7"/>
      <c r="F5266" s="7"/>
      <c r="G5266" s="7"/>
      <c r="H5266" s="8"/>
      <c r="I5266" s="8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</row>
    <row r="5267" hidden="1">
      <c r="A5267" s="7"/>
      <c r="B5267" s="7"/>
      <c r="C5267" s="7"/>
      <c r="D5267" s="7"/>
      <c r="E5267" s="7"/>
      <c r="F5267" s="7"/>
      <c r="G5267" s="7"/>
      <c r="H5267" s="8"/>
      <c r="I5267" s="8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</row>
    <row r="5268" hidden="1">
      <c r="A5268" s="7"/>
      <c r="B5268" s="7"/>
      <c r="C5268" s="7"/>
      <c r="D5268" s="7"/>
      <c r="E5268" s="7"/>
      <c r="F5268" s="7"/>
      <c r="G5268" s="7"/>
      <c r="H5268" s="8"/>
      <c r="I5268" s="8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</row>
    <row r="5269" hidden="1">
      <c r="A5269" s="7"/>
      <c r="B5269" s="7"/>
      <c r="C5269" s="7"/>
      <c r="D5269" s="7"/>
      <c r="E5269" s="7"/>
      <c r="F5269" s="7"/>
      <c r="G5269" s="7"/>
      <c r="H5269" s="8"/>
      <c r="I5269" s="8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</row>
    <row r="5270" hidden="1">
      <c r="A5270" s="7"/>
      <c r="B5270" s="7"/>
      <c r="C5270" s="7"/>
      <c r="D5270" s="7"/>
      <c r="E5270" s="7"/>
      <c r="F5270" s="7"/>
      <c r="G5270" s="7"/>
      <c r="H5270" s="8"/>
      <c r="I5270" s="8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</row>
    <row r="5271" hidden="1">
      <c r="A5271" s="7"/>
      <c r="B5271" s="7"/>
      <c r="C5271" s="7"/>
      <c r="D5271" s="7"/>
      <c r="E5271" s="7"/>
      <c r="F5271" s="7"/>
      <c r="G5271" s="7"/>
      <c r="H5271" s="8"/>
      <c r="I5271" s="8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</row>
    <row r="5272" hidden="1">
      <c r="A5272" s="7"/>
      <c r="B5272" s="7"/>
      <c r="C5272" s="7"/>
      <c r="D5272" s="7"/>
      <c r="E5272" s="7"/>
      <c r="F5272" s="7"/>
      <c r="G5272" s="7"/>
      <c r="H5272" s="8"/>
      <c r="I5272" s="8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</row>
    <row r="5273" hidden="1">
      <c r="A5273" s="7"/>
      <c r="B5273" s="7"/>
      <c r="C5273" s="7"/>
      <c r="D5273" s="7"/>
      <c r="E5273" s="7"/>
      <c r="F5273" s="7"/>
      <c r="G5273" s="7"/>
      <c r="H5273" s="8"/>
      <c r="I5273" s="8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</row>
    <row r="5274" hidden="1">
      <c r="A5274" s="7"/>
      <c r="B5274" s="7"/>
      <c r="C5274" s="7"/>
      <c r="D5274" s="7"/>
      <c r="E5274" s="7"/>
      <c r="F5274" s="7"/>
      <c r="G5274" s="7"/>
      <c r="H5274" s="8"/>
      <c r="I5274" s="8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</row>
    <row r="5275" hidden="1">
      <c r="A5275" s="7"/>
      <c r="B5275" s="7"/>
      <c r="C5275" s="7"/>
      <c r="D5275" s="7"/>
      <c r="E5275" s="7"/>
      <c r="F5275" s="7"/>
      <c r="G5275" s="7"/>
      <c r="H5275" s="8"/>
      <c r="I5275" s="8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</row>
    <row r="5276" hidden="1">
      <c r="A5276" s="7"/>
      <c r="B5276" s="7"/>
      <c r="C5276" s="7"/>
      <c r="D5276" s="7"/>
      <c r="E5276" s="7"/>
      <c r="F5276" s="7"/>
      <c r="G5276" s="7"/>
      <c r="H5276" s="8"/>
      <c r="I5276" s="8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</row>
    <row r="5277" hidden="1">
      <c r="A5277" s="7"/>
      <c r="B5277" s="7"/>
      <c r="C5277" s="7"/>
      <c r="D5277" s="7"/>
      <c r="E5277" s="7"/>
      <c r="F5277" s="7"/>
      <c r="G5277" s="7"/>
      <c r="H5277" s="8"/>
      <c r="I5277" s="8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</row>
    <row r="5278" hidden="1">
      <c r="A5278" s="7"/>
      <c r="B5278" s="7"/>
      <c r="C5278" s="7"/>
      <c r="D5278" s="7"/>
      <c r="E5278" s="7"/>
      <c r="F5278" s="7"/>
      <c r="G5278" s="7"/>
      <c r="H5278" s="8"/>
      <c r="I5278" s="8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</row>
    <row r="5279" hidden="1">
      <c r="A5279" s="7"/>
      <c r="B5279" s="7"/>
      <c r="C5279" s="7"/>
      <c r="D5279" s="7"/>
      <c r="E5279" s="7"/>
      <c r="F5279" s="7"/>
      <c r="G5279" s="7"/>
      <c r="H5279" s="8"/>
      <c r="I5279" s="8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</row>
    <row r="5280" hidden="1">
      <c r="A5280" s="7"/>
      <c r="B5280" s="7"/>
      <c r="C5280" s="7"/>
      <c r="D5280" s="7"/>
      <c r="E5280" s="7"/>
      <c r="F5280" s="7"/>
      <c r="G5280" s="7"/>
      <c r="H5280" s="8"/>
      <c r="I5280" s="8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</row>
    <row r="5281" hidden="1">
      <c r="A5281" s="7"/>
      <c r="B5281" s="7"/>
      <c r="C5281" s="7"/>
      <c r="D5281" s="7"/>
      <c r="E5281" s="7"/>
      <c r="F5281" s="7"/>
      <c r="G5281" s="7"/>
      <c r="H5281" s="8"/>
      <c r="I5281" s="8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</row>
    <row r="5282" hidden="1">
      <c r="A5282" s="7"/>
      <c r="B5282" s="7"/>
      <c r="C5282" s="7"/>
      <c r="D5282" s="7"/>
      <c r="E5282" s="7"/>
      <c r="F5282" s="7"/>
      <c r="G5282" s="7"/>
      <c r="H5282" s="8"/>
      <c r="I5282" s="8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</row>
    <row r="5283" hidden="1">
      <c r="A5283" s="7"/>
      <c r="B5283" s="7"/>
      <c r="C5283" s="7"/>
      <c r="D5283" s="7"/>
      <c r="E5283" s="7"/>
      <c r="F5283" s="7"/>
      <c r="G5283" s="7"/>
      <c r="H5283" s="8"/>
      <c r="I5283" s="8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</row>
    <row r="5284" hidden="1">
      <c r="A5284" s="7"/>
      <c r="B5284" s="7"/>
      <c r="C5284" s="7"/>
      <c r="D5284" s="7"/>
      <c r="E5284" s="7"/>
      <c r="F5284" s="7"/>
      <c r="G5284" s="7"/>
      <c r="H5284" s="8"/>
      <c r="I5284" s="8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</row>
    <row r="5285" hidden="1">
      <c r="A5285" s="7"/>
      <c r="B5285" s="7"/>
      <c r="C5285" s="7"/>
      <c r="D5285" s="7"/>
      <c r="E5285" s="7"/>
      <c r="F5285" s="7"/>
      <c r="G5285" s="7"/>
      <c r="H5285" s="8"/>
      <c r="I5285" s="8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</row>
    <row r="5286" hidden="1">
      <c r="A5286" s="7"/>
      <c r="B5286" s="7"/>
      <c r="C5286" s="7"/>
      <c r="D5286" s="7"/>
      <c r="E5286" s="7"/>
      <c r="F5286" s="7"/>
      <c r="G5286" s="7"/>
      <c r="H5286" s="8"/>
      <c r="I5286" s="8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</row>
    <row r="5287" hidden="1">
      <c r="A5287" s="7"/>
      <c r="B5287" s="7"/>
      <c r="C5287" s="7"/>
      <c r="D5287" s="7"/>
      <c r="E5287" s="7"/>
      <c r="F5287" s="7"/>
      <c r="G5287" s="7"/>
      <c r="H5287" s="8"/>
      <c r="I5287" s="8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</row>
    <row r="5288" hidden="1">
      <c r="A5288" s="7"/>
      <c r="B5288" s="7"/>
      <c r="C5288" s="7"/>
      <c r="D5288" s="7"/>
      <c r="E5288" s="7"/>
      <c r="F5288" s="7"/>
      <c r="G5288" s="7"/>
      <c r="H5288" s="8"/>
      <c r="I5288" s="8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</row>
    <row r="5289" hidden="1">
      <c r="A5289" s="7"/>
      <c r="B5289" s="7"/>
      <c r="C5289" s="7"/>
      <c r="D5289" s="7"/>
      <c r="E5289" s="7"/>
      <c r="F5289" s="7"/>
      <c r="G5289" s="7"/>
      <c r="H5289" s="8"/>
      <c r="I5289" s="8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</row>
    <row r="5290" hidden="1">
      <c r="A5290" s="7"/>
      <c r="B5290" s="7"/>
      <c r="C5290" s="7"/>
      <c r="D5290" s="7"/>
      <c r="E5290" s="7"/>
      <c r="F5290" s="7"/>
      <c r="G5290" s="7"/>
      <c r="H5290" s="8"/>
      <c r="I5290" s="8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</row>
    <row r="5291" hidden="1">
      <c r="A5291" s="7"/>
      <c r="B5291" s="7"/>
      <c r="C5291" s="7"/>
      <c r="D5291" s="7"/>
      <c r="E5291" s="7"/>
      <c r="F5291" s="7"/>
      <c r="G5291" s="7"/>
      <c r="H5291" s="8"/>
      <c r="I5291" s="8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</row>
    <row r="5292" hidden="1">
      <c r="A5292" s="7"/>
      <c r="B5292" s="7"/>
      <c r="C5292" s="7"/>
      <c r="D5292" s="7"/>
      <c r="E5292" s="7"/>
      <c r="F5292" s="7"/>
      <c r="G5292" s="7"/>
      <c r="H5292" s="8"/>
      <c r="I5292" s="8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</row>
    <row r="5293" hidden="1">
      <c r="A5293" s="7"/>
      <c r="B5293" s="7"/>
      <c r="C5293" s="7"/>
      <c r="D5293" s="7"/>
      <c r="E5293" s="7"/>
      <c r="F5293" s="7"/>
      <c r="G5293" s="7"/>
      <c r="H5293" s="8"/>
      <c r="I5293" s="8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</row>
    <row r="5294" hidden="1">
      <c r="A5294" s="7"/>
      <c r="B5294" s="7"/>
      <c r="C5294" s="7"/>
      <c r="D5294" s="7"/>
      <c r="E5294" s="7"/>
      <c r="F5294" s="7"/>
      <c r="G5294" s="7"/>
      <c r="H5294" s="8"/>
      <c r="I5294" s="8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</row>
    <row r="5295" hidden="1">
      <c r="A5295" s="7"/>
      <c r="B5295" s="7"/>
      <c r="C5295" s="7"/>
      <c r="D5295" s="7"/>
      <c r="E5295" s="7"/>
      <c r="F5295" s="7"/>
      <c r="G5295" s="7"/>
      <c r="H5295" s="8"/>
      <c r="I5295" s="8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</row>
    <row r="5296" hidden="1">
      <c r="A5296" s="7"/>
      <c r="B5296" s="7"/>
      <c r="C5296" s="7"/>
      <c r="D5296" s="7"/>
      <c r="E5296" s="7"/>
      <c r="F5296" s="7"/>
      <c r="G5296" s="7"/>
      <c r="H5296" s="8"/>
      <c r="I5296" s="8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</row>
    <row r="5297" hidden="1">
      <c r="A5297" s="7"/>
      <c r="B5297" s="7"/>
      <c r="C5297" s="7"/>
      <c r="D5297" s="7"/>
      <c r="E5297" s="7"/>
      <c r="F5297" s="7"/>
      <c r="G5297" s="7"/>
      <c r="H5297" s="8"/>
      <c r="I5297" s="8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</row>
    <row r="5298" hidden="1">
      <c r="A5298" s="7"/>
      <c r="B5298" s="7"/>
      <c r="C5298" s="7"/>
      <c r="D5298" s="7"/>
      <c r="E5298" s="7"/>
      <c r="F5298" s="7"/>
      <c r="G5298" s="7"/>
      <c r="H5298" s="8"/>
      <c r="I5298" s="8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</row>
    <row r="5299" hidden="1">
      <c r="A5299" s="7"/>
      <c r="B5299" s="7"/>
      <c r="C5299" s="7"/>
      <c r="D5299" s="7"/>
      <c r="E5299" s="7"/>
      <c r="F5299" s="7"/>
      <c r="G5299" s="7"/>
      <c r="H5299" s="8"/>
      <c r="I5299" s="8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</row>
    <row r="5300" hidden="1">
      <c r="A5300" s="7"/>
      <c r="B5300" s="7"/>
      <c r="C5300" s="7"/>
      <c r="D5300" s="7"/>
      <c r="E5300" s="7"/>
      <c r="F5300" s="7"/>
      <c r="G5300" s="7"/>
      <c r="H5300" s="8"/>
      <c r="I5300" s="8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</row>
    <row r="5301" hidden="1">
      <c r="A5301" s="7"/>
      <c r="B5301" s="7"/>
      <c r="C5301" s="7"/>
      <c r="D5301" s="7"/>
      <c r="E5301" s="7"/>
      <c r="F5301" s="7"/>
      <c r="G5301" s="7"/>
      <c r="H5301" s="8"/>
      <c r="I5301" s="8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</row>
    <row r="5302" hidden="1">
      <c r="A5302" s="7"/>
      <c r="B5302" s="7"/>
      <c r="C5302" s="7"/>
      <c r="D5302" s="7"/>
      <c r="E5302" s="7"/>
      <c r="F5302" s="7"/>
      <c r="G5302" s="7"/>
      <c r="H5302" s="8"/>
      <c r="I5302" s="8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</row>
    <row r="5303" hidden="1">
      <c r="A5303" s="7"/>
      <c r="B5303" s="7"/>
      <c r="C5303" s="7"/>
      <c r="D5303" s="7"/>
      <c r="E5303" s="7"/>
      <c r="F5303" s="7"/>
      <c r="G5303" s="7"/>
      <c r="H5303" s="8"/>
      <c r="I5303" s="8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</row>
    <row r="5304" hidden="1">
      <c r="A5304" s="7"/>
      <c r="B5304" s="7"/>
      <c r="C5304" s="7"/>
      <c r="D5304" s="7"/>
      <c r="E5304" s="7"/>
      <c r="F5304" s="7"/>
      <c r="G5304" s="7"/>
      <c r="H5304" s="8"/>
      <c r="I5304" s="8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</row>
    <row r="5305" hidden="1">
      <c r="A5305" s="7"/>
      <c r="B5305" s="7"/>
      <c r="C5305" s="7"/>
      <c r="D5305" s="7"/>
      <c r="E5305" s="7"/>
      <c r="F5305" s="7"/>
      <c r="G5305" s="7"/>
      <c r="H5305" s="8"/>
      <c r="I5305" s="8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</row>
    <row r="5306" hidden="1">
      <c r="A5306" s="7"/>
      <c r="B5306" s="7"/>
      <c r="C5306" s="7"/>
      <c r="D5306" s="7"/>
      <c r="E5306" s="7"/>
      <c r="F5306" s="7"/>
      <c r="G5306" s="7"/>
      <c r="H5306" s="8"/>
      <c r="I5306" s="8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</row>
    <row r="5307" hidden="1">
      <c r="A5307" s="7"/>
      <c r="B5307" s="7"/>
      <c r="C5307" s="7"/>
      <c r="D5307" s="7"/>
      <c r="E5307" s="7"/>
      <c r="F5307" s="7"/>
      <c r="G5307" s="7"/>
      <c r="H5307" s="8"/>
      <c r="I5307" s="8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</row>
    <row r="5308" hidden="1">
      <c r="A5308" s="7"/>
      <c r="B5308" s="7"/>
      <c r="C5308" s="7"/>
      <c r="D5308" s="7"/>
      <c r="E5308" s="7"/>
      <c r="F5308" s="7"/>
      <c r="G5308" s="7"/>
      <c r="H5308" s="8"/>
      <c r="I5308" s="8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</row>
    <row r="5309" hidden="1">
      <c r="A5309" s="7"/>
      <c r="B5309" s="7"/>
      <c r="C5309" s="7"/>
      <c r="D5309" s="7"/>
      <c r="E5309" s="7"/>
      <c r="F5309" s="7"/>
      <c r="G5309" s="7"/>
      <c r="H5309" s="8"/>
      <c r="I5309" s="8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</row>
    <row r="5310" hidden="1">
      <c r="A5310" s="7"/>
      <c r="B5310" s="7"/>
      <c r="C5310" s="7"/>
      <c r="D5310" s="7"/>
      <c r="E5310" s="7"/>
      <c r="F5310" s="7"/>
      <c r="G5310" s="7"/>
      <c r="H5310" s="8"/>
      <c r="I5310" s="8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</row>
    <row r="5311" hidden="1">
      <c r="A5311" s="7"/>
      <c r="B5311" s="7"/>
      <c r="C5311" s="7"/>
      <c r="D5311" s="7"/>
      <c r="E5311" s="7"/>
      <c r="F5311" s="7"/>
      <c r="G5311" s="7"/>
      <c r="H5311" s="8"/>
      <c r="I5311" s="8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</row>
    <row r="5312" hidden="1">
      <c r="A5312" s="7"/>
      <c r="B5312" s="7"/>
      <c r="C5312" s="7"/>
      <c r="D5312" s="7"/>
      <c r="E5312" s="7"/>
      <c r="F5312" s="7"/>
      <c r="G5312" s="7"/>
      <c r="H5312" s="8"/>
      <c r="I5312" s="8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</row>
    <row r="5313" hidden="1">
      <c r="A5313" s="7"/>
      <c r="B5313" s="7"/>
      <c r="C5313" s="7"/>
      <c r="D5313" s="7"/>
      <c r="E5313" s="7"/>
      <c r="F5313" s="7"/>
      <c r="G5313" s="7"/>
      <c r="H5313" s="8"/>
      <c r="I5313" s="8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</row>
    <row r="5314" hidden="1">
      <c r="A5314" s="7"/>
      <c r="B5314" s="7"/>
      <c r="C5314" s="7"/>
      <c r="D5314" s="7"/>
      <c r="E5314" s="7"/>
      <c r="F5314" s="7"/>
      <c r="G5314" s="7"/>
      <c r="H5314" s="8"/>
      <c r="I5314" s="8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</row>
    <row r="5315" hidden="1">
      <c r="A5315" s="7"/>
      <c r="B5315" s="7"/>
      <c r="C5315" s="7"/>
      <c r="D5315" s="7"/>
      <c r="E5315" s="7"/>
      <c r="F5315" s="7"/>
      <c r="G5315" s="7"/>
      <c r="H5315" s="8"/>
      <c r="I5315" s="8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</row>
    <row r="5316" hidden="1">
      <c r="A5316" s="7"/>
      <c r="B5316" s="7"/>
      <c r="C5316" s="7"/>
      <c r="D5316" s="7"/>
      <c r="E5316" s="7"/>
      <c r="F5316" s="7"/>
      <c r="G5316" s="7"/>
      <c r="H5316" s="8"/>
      <c r="I5316" s="8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</row>
    <row r="5317" hidden="1">
      <c r="A5317" s="7"/>
      <c r="B5317" s="7"/>
      <c r="C5317" s="7"/>
      <c r="D5317" s="7"/>
      <c r="E5317" s="7"/>
      <c r="F5317" s="7"/>
      <c r="G5317" s="7"/>
      <c r="H5317" s="8"/>
      <c r="I5317" s="8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</row>
    <row r="5318" hidden="1">
      <c r="A5318" s="7"/>
      <c r="B5318" s="7"/>
      <c r="C5318" s="7"/>
      <c r="D5318" s="7"/>
      <c r="E5318" s="7"/>
      <c r="F5318" s="7"/>
      <c r="G5318" s="7"/>
      <c r="H5318" s="8"/>
      <c r="I5318" s="8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</row>
    <row r="5319" hidden="1">
      <c r="A5319" s="7"/>
      <c r="B5319" s="7"/>
      <c r="C5319" s="7"/>
      <c r="D5319" s="7"/>
      <c r="E5319" s="7"/>
      <c r="F5319" s="7"/>
      <c r="G5319" s="7"/>
      <c r="H5319" s="8"/>
      <c r="I5319" s="8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</row>
    <row r="5320" hidden="1">
      <c r="A5320" s="7"/>
      <c r="B5320" s="7"/>
      <c r="C5320" s="7"/>
      <c r="D5320" s="7"/>
      <c r="E5320" s="7"/>
      <c r="F5320" s="7"/>
      <c r="G5320" s="7"/>
      <c r="H5320" s="8"/>
      <c r="I5320" s="8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</row>
    <row r="5321" hidden="1">
      <c r="A5321" s="7"/>
      <c r="B5321" s="7"/>
      <c r="C5321" s="7"/>
      <c r="D5321" s="7"/>
      <c r="E5321" s="7"/>
      <c r="F5321" s="7"/>
      <c r="G5321" s="7"/>
      <c r="H5321" s="8"/>
      <c r="I5321" s="8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</row>
    <row r="5322" hidden="1">
      <c r="A5322" s="7"/>
      <c r="B5322" s="7"/>
      <c r="C5322" s="7"/>
      <c r="D5322" s="7"/>
      <c r="E5322" s="7"/>
      <c r="F5322" s="7"/>
      <c r="G5322" s="7"/>
      <c r="H5322" s="8"/>
      <c r="I5322" s="8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</row>
    <row r="5323" hidden="1">
      <c r="A5323" s="7"/>
      <c r="B5323" s="7"/>
      <c r="C5323" s="7"/>
      <c r="D5323" s="7"/>
      <c r="E5323" s="7"/>
      <c r="F5323" s="7"/>
      <c r="G5323" s="7"/>
      <c r="H5323" s="8"/>
      <c r="I5323" s="8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</row>
    <row r="5324" hidden="1">
      <c r="A5324" s="7"/>
      <c r="B5324" s="7"/>
      <c r="C5324" s="7"/>
      <c r="D5324" s="7"/>
      <c r="E5324" s="7"/>
      <c r="F5324" s="7"/>
      <c r="G5324" s="7"/>
      <c r="H5324" s="8"/>
      <c r="I5324" s="8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</row>
    <row r="5325" hidden="1">
      <c r="A5325" s="7"/>
      <c r="B5325" s="7"/>
      <c r="C5325" s="7"/>
      <c r="D5325" s="7"/>
      <c r="E5325" s="7"/>
      <c r="F5325" s="7"/>
      <c r="G5325" s="7"/>
      <c r="H5325" s="8"/>
      <c r="I5325" s="8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</row>
    <row r="5326" hidden="1">
      <c r="A5326" s="7"/>
      <c r="B5326" s="7"/>
      <c r="C5326" s="7"/>
      <c r="D5326" s="7"/>
      <c r="E5326" s="7"/>
      <c r="F5326" s="7"/>
      <c r="G5326" s="7"/>
      <c r="H5326" s="8"/>
      <c r="I5326" s="8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</row>
    <row r="5327" hidden="1">
      <c r="A5327" s="7"/>
      <c r="B5327" s="7"/>
      <c r="C5327" s="7"/>
      <c r="D5327" s="7"/>
      <c r="E5327" s="7"/>
      <c r="F5327" s="7"/>
      <c r="G5327" s="7"/>
      <c r="H5327" s="8"/>
      <c r="I5327" s="8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</row>
    <row r="5328" hidden="1">
      <c r="A5328" s="7"/>
      <c r="B5328" s="7"/>
      <c r="C5328" s="7"/>
      <c r="D5328" s="7"/>
      <c r="E5328" s="7"/>
      <c r="F5328" s="7"/>
      <c r="G5328" s="7"/>
      <c r="H5328" s="8"/>
      <c r="I5328" s="8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</row>
    <row r="5329" hidden="1">
      <c r="A5329" s="7"/>
      <c r="B5329" s="7"/>
      <c r="C5329" s="7"/>
      <c r="D5329" s="7"/>
      <c r="E5329" s="7"/>
      <c r="F5329" s="7"/>
      <c r="G5329" s="7"/>
      <c r="H5329" s="8"/>
      <c r="I5329" s="8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</row>
    <row r="5330" hidden="1">
      <c r="A5330" s="7"/>
      <c r="B5330" s="7"/>
      <c r="C5330" s="7"/>
      <c r="D5330" s="7"/>
      <c r="E5330" s="7"/>
      <c r="F5330" s="7"/>
      <c r="G5330" s="7"/>
      <c r="H5330" s="8"/>
      <c r="I5330" s="8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</row>
    <row r="5331" hidden="1">
      <c r="A5331" s="7"/>
      <c r="B5331" s="7"/>
      <c r="C5331" s="7"/>
      <c r="D5331" s="7"/>
      <c r="E5331" s="7"/>
      <c r="F5331" s="7"/>
      <c r="G5331" s="7"/>
      <c r="H5331" s="8"/>
      <c r="I5331" s="8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</row>
    <row r="5332" hidden="1">
      <c r="A5332" s="7"/>
      <c r="B5332" s="7"/>
      <c r="C5332" s="7"/>
      <c r="D5332" s="7"/>
      <c r="E5332" s="7"/>
      <c r="F5332" s="7"/>
      <c r="G5332" s="7"/>
      <c r="H5332" s="8"/>
      <c r="I5332" s="8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</row>
    <row r="5333" hidden="1">
      <c r="A5333" s="7"/>
      <c r="B5333" s="7"/>
      <c r="C5333" s="7"/>
      <c r="D5333" s="7"/>
      <c r="E5333" s="7"/>
      <c r="F5333" s="7"/>
      <c r="G5333" s="7"/>
      <c r="H5333" s="8"/>
      <c r="I5333" s="8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</row>
    <row r="5334" hidden="1">
      <c r="A5334" s="7"/>
      <c r="B5334" s="7"/>
      <c r="C5334" s="7"/>
      <c r="D5334" s="7"/>
      <c r="E5334" s="7"/>
      <c r="F5334" s="7"/>
      <c r="G5334" s="7"/>
      <c r="H5334" s="8"/>
      <c r="I5334" s="8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</row>
    <row r="5335" hidden="1">
      <c r="A5335" s="7"/>
      <c r="B5335" s="7"/>
      <c r="C5335" s="7"/>
      <c r="D5335" s="7"/>
      <c r="E5335" s="7"/>
      <c r="F5335" s="7"/>
      <c r="G5335" s="7"/>
      <c r="H5335" s="8"/>
      <c r="I5335" s="8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</row>
    <row r="5336" hidden="1">
      <c r="A5336" s="7"/>
      <c r="B5336" s="7"/>
      <c r="C5336" s="7"/>
      <c r="D5336" s="7"/>
      <c r="E5336" s="7"/>
      <c r="F5336" s="7"/>
      <c r="G5336" s="7"/>
      <c r="H5336" s="8"/>
      <c r="I5336" s="8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</row>
    <row r="5337" hidden="1">
      <c r="A5337" s="7"/>
      <c r="B5337" s="7"/>
      <c r="C5337" s="7"/>
      <c r="D5337" s="7"/>
      <c r="E5337" s="7"/>
      <c r="F5337" s="7"/>
      <c r="G5337" s="7"/>
      <c r="H5337" s="8"/>
      <c r="I5337" s="8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</row>
    <row r="5338" hidden="1">
      <c r="A5338" s="7"/>
      <c r="B5338" s="7"/>
      <c r="C5338" s="7"/>
      <c r="D5338" s="7"/>
      <c r="E5338" s="7"/>
      <c r="F5338" s="7"/>
      <c r="G5338" s="7"/>
      <c r="H5338" s="8"/>
      <c r="I5338" s="8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</row>
    <row r="5339" hidden="1">
      <c r="A5339" s="7"/>
      <c r="B5339" s="7"/>
      <c r="C5339" s="7"/>
      <c r="D5339" s="7"/>
      <c r="E5339" s="7"/>
      <c r="F5339" s="7"/>
      <c r="G5339" s="7"/>
      <c r="H5339" s="8"/>
      <c r="I5339" s="8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</row>
    <row r="5340" hidden="1">
      <c r="A5340" s="7"/>
      <c r="B5340" s="7"/>
      <c r="C5340" s="7"/>
      <c r="D5340" s="7"/>
      <c r="E5340" s="7"/>
      <c r="F5340" s="7"/>
      <c r="G5340" s="7"/>
      <c r="H5340" s="8"/>
      <c r="I5340" s="8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</row>
    <row r="5341" hidden="1">
      <c r="A5341" s="7"/>
      <c r="B5341" s="7"/>
      <c r="C5341" s="7"/>
      <c r="D5341" s="7"/>
      <c r="E5341" s="7"/>
      <c r="F5341" s="7"/>
      <c r="G5341" s="7"/>
      <c r="H5341" s="8"/>
      <c r="I5341" s="8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</row>
    <row r="5342" hidden="1">
      <c r="A5342" s="7"/>
      <c r="B5342" s="7"/>
      <c r="C5342" s="7"/>
      <c r="D5342" s="7"/>
      <c r="E5342" s="7"/>
      <c r="F5342" s="7"/>
      <c r="G5342" s="7"/>
      <c r="H5342" s="8"/>
      <c r="I5342" s="8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</row>
    <row r="5343" hidden="1">
      <c r="A5343" s="7"/>
      <c r="B5343" s="7"/>
      <c r="C5343" s="7"/>
      <c r="D5343" s="7"/>
      <c r="E5343" s="7"/>
      <c r="F5343" s="7"/>
      <c r="G5343" s="7"/>
      <c r="H5343" s="8"/>
      <c r="I5343" s="8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</row>
    <row r="5344" hidden="1">
      <c r="A5344" s="7"/>
      <c r="B5344" s="7"/>
      <c r="C5344" s="7"/>
      <c r="D5344" s="7"/>
      <c r="E5344" s="7"/>
      <c r="F5344" s="7"/>
      <c r="G5344" s="7"/>
      <c r="H5344" s="8"/>
      <c r="I5344" s="8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</row>
    <row r="5345" hidden="1">
      <c r="A5345" s="7"/>
      <c r="B5345" s="7"/>
      <c r="C5345" s="7"/>
      <c r="D5345" s="7"/>
      <c r="E5345" s="7"/>
      <c r="F5345" s="7"/>
      <c r="G5345" s="7"/>
      <c r="H5345" s="8"/>
      <c r="I5345" s="8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</row>
    <row r="5346" hidden="1">
      <c r="A5346" s="7"/>
      <c r="B5346" s="7"/>
      <c r="C5346" s="7"/>
      <c r="D5346" s="7"/>
      <c r="E5346" s="7"/>
      <c r="F5346" s="7"/>
      <c r="G5346" s="7"/>
      <c r="H5346" s="8"/>
      <c r="I5346" s="8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</row>
    <row r="5347" hidden="1">
      <c r="A5347" s="7"/>
      <c r="B5347" s="7"/>
      <c r="C5347" s="7"/>
      <c r="D5347" s="7"/>
      <c r="E5347" s="7"/>
      <c r="F5347" s="7"/>
      <c r="G5347" s="7"/>
      <c r="H5347" s="8"/>
      <c r="I5347" s="8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</row>
    <row r="5348" hidden="1">
      <c r="A5348" s="7"/>
      <c r="B5348" s="7"/>
      <c r="C5348" s="7"/>
      <c r="D5348" s="7"/>
      <c r="E5348" s="7"/>
      <c r="F5348" s="7"/>
      <c r="G5348" s="7"/>
      <c r="H5348" s="8"/>
      <c r="I5348" s="8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</row>
    <row r="5349" hidden="1">
      <c r="A5349" s="7"/>
      <c r="B5349" s="7"/>
      <c r="C5349" s="7"/>
      <c r="D5349" s="7"/>
      <c r="E5349" s="7"/>
      <c r="F5349" s="7"/>
      <c r="G5349" s="7"/>
      <c r="H5349" s="8"/>
      <c r="I5349" s="8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</row>
    <row r="5350" hidden="1">
      <c r="A5350" s="7"/>
      <c r="B5350" s="7"/>
      <c r="C5350" s="7"/>
      <c r="D5350" s="7"/>
      <c r="E5350" s="7"/>
      <c r="F5350" s="7"/>
      <c r="G5350" s="7"/>
      <c r="H5350" s="8"/>
      <c r="I5350" s="8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</row>
    <row r="5351" hidden="1">
      <c r="A5351" s="7"/>
      <c r="B5351" s="7"/>
      <c r="C5351" s="7"/>
      <c r="D5351" s="7"/>
      <c r="E5351" s="7"/>
      <c r="F5351" s="7"/>
      <c r="G5351" s="7"/>
      <c r="H5351" s="8"/>
      <c r="I5351" s="8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</row>
    <row r="5352" hidden="1">
      <c r="A5352" s="7"/>
      <c r="B5352" s="7"/>
      <c r="C5352" s="7"/>
      <c r="D5352" s="7"/>
      <c r="E5352" s="7"/>
      <c r="F5352" s="7"/>
      <c r="G5352" s="7"/>
      <c r="H5352" s="8"/>
      <c r="I5352" s="8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</row>
    <row r="5353" hidden="1">
      <c r="A5353" s="7"/>
      <c r="B5353" s="7"/>
      <c r="C5353" s="7"/>
      <c r="D5353" s="7"/>
      <c r="E5353" s="7"/>
      <c r="F5353" s="7"/>
      <c r="G5353" s="7"/>
      <c r="H5353" s="8"/>
      <c r="I5353" s="8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</row>
    <row r="5354" hidden="1">
      <c r="A5354" s="7"/>
      <c r="B5354" s="7"/>
      <c r="C5354" s="7"/>
      <c r="D5354" s="7"/>
      <c r="E5354" s="7"/>
      <c r="F5354" s="7"/>
      <c r="G5354" s="7"/>
      <c r="H5354" s="8"/>
      <c r="I5354" s="8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</row>
    <row r="5355" hidden="1">
      <c r="A5355" s="7"/>
      <c r="B5355" s="7"/>
      <c r="C5355" s="7"/>
      <c r="D5355" s="7"/>
      <c r="E5355" s="7"/>
      <c r="F5355" s="7"/>
      <c r="G5355" s="7"/>
      <c r="H5355" s="8"/>
      <c r="I5355" s="8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</row>
    <row r="5356" hidden="1">
      <c r="A5356" s="7"/>
      <c r="B5356" s="7"/>
      <c r="C5356" s="7"/>
      <c r="D5356" s="7"/>
      <c r="E5356" s="7"/>
      <c r="F5356" s="7"/>
      <c r="G5356" s="7"/>
      <c r="H5356" s="8"/>
      <c r="I5356" s="8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</row>
    <row r="5357" hidden="1">
      <c r="A5357" s="7"/>
      <c r="B5357" s="7"/>
      <c r="C5357" s="7"/>
      <c r="D5357" s="7"/>
      <c r="E5357" s="7"/>
      <c r="F5357" s="7"/>
      <c r="G5357" s="7"/>
      <c r="H5357" s="8"/>
      <c r="I5357" s="8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</row>
    <row r="5358" hidden="1">
      <c r="A5358" s="7"/>
      <c r="B5358" s="7"/>
      <c r="C5358" s="7"/>
      <c r="D5358" s="7"/>
      <c r="E5358" s="7"/>
      <c r="F5358" s="7"/>
      <c r="G5358" s="7"/>
      <c r="H5358" s="8"/>
      <c r="I5358" s="8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</row>
    <row r="5359" hidden="1">
      <c r="A5359" s="7"/>
      <c r="B5359" s="7"/>
      <c r="C5359" s="7"/>
      <c r="D5359" s="7"/>
      <c r="E5359" s="7"/>
      <c r="F5359" s="7"/>
      <c r="G5359" s="7"/>
      <c r="H5359" s="8"/>
      <c r="I5359" s="8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</row>
    <row r="5360" hidden="1">
      <c r="A5360" s="7"/>
      <c r="B5360" s="7"/>
      <c r="C5360" s="7"/>
      <c r="D5360" s="7"/>
      <c r="E5360" s="7"/>
      <c r="F5360" s="7"/>
      <c r="G5360" s="7"/>
      <c r="H5360" s="8"/>
      <c r="I5360" s="8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</row>
    <row r="5361" hidden="1">
      <c r="A5361" s="7"/>
      <c r="B5361" s="7"/>
      <c r="C5361" s="7"/>
      <c r="D5361" s="7"/>
      <c r="E5361" s="7"/>
      <c r="F5361" s="7"/>
      <c r="G5361" s="7"/>
      <c r="H5361" s="8"/>
      <c r="I5361" s="8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</row>
    <row r="5362" hidden="1">
      <c r="A5362" s="7"/>
      <c r="B5362" s="7"/>
      <c r="C5362" s="7"/>
      <c r="D5362" s="7"/>
      <c r="E5362" s="7"/>
      <c r="F5362" s="7"/>
      <c r="G5362" s="7"/>
      <c r="H5362" s="8"/>
      <c r="I5362" s="8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</row>
    <row r="5363" hidden="1">
      <c r="A5363" s="7"/>
      <c r="B5363" s="7"/>
      <c r="C5363" s="7"/>
      <c r="D5363" s="7"/>
      <c r="E5363" s="7"/>
      <c r="F5363" s="7"/>
      <c r="G5363" s="7"/>
      <c r="H5363" s="8"/>
      <c r="I5363" s="8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</row>
    <row r="5364" hidden="1">
      <c r="A5364" s="7"/>
      <c r="B5364" s="7"/>
      <c r="C5364" s="7"/>
      <c r="D5364" s="7"/>
      <c r="E5364" s="7"/>
      <c r="F5364" s="7"/>
      <c r="G5364" s="7"/>
      <c r="H5364" s="8"/>
      <c r="I5364" s="8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</row>
    <row r="5365" hidden="1">
      <c r="A5365" s="7"/>
      <c r="B5365" s="7"/>
      <c r="C5365" s="7"/>
      <c r="D5365" s="7"/>
      <c r="E5365" s="7"/>
      <c r="F5365" s="7"/>
      <c r="G5365" s="7"/>
      <c r="H5365" s="8"/>
      <c r="I5365" s="8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</row>
    <row r="5366" hidden="1">
      <c r="A5366" s="7"/>
      <c r="B5366" s="7"/>
      <c r="C5366" s="7"/>
      <c r="D5366" s="7"/>
      <c r="E5366" s="7"/>
      <c r="F5366" s="7"/>
      <c r="G5366" s="7"/>
      <c r="H5366" s="8"/>
      <c r="I5366" s="8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</row>
    <row r="5367" hidden="1">
      <c r="A5367" s="7"/>
      <c r="B5367" s="7"/>
      <c r="C5367" s="7"/>
      <c r="D5367" s="7"/>
      <c r="E5367" s="7"/>
      <c r="F5367" s="7"/>
      <c r="G5367" s="7"/>
      <c r="H5367" s="8"/>
      <c r="I5367" s="8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</row>
    <row r="5368" hidden="1">
      <c r="A5368" s="7"/>
      <c r="B5368" s="7"/>
      <c r="C5368" s="7"/>
      <c r="D5368" s="7"/>
      <c r="E5368" s="7"/>
      <c r="F5368" s="7"/>
      <c r="G5368" s="7"/>
      <c r="H5368" s="8"/>
      <c r="I5368" s="8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</row>
    <row r="5369" hidden="1">
      <c r="A5369" s="7"/>
      <c r="B5369" s="7"/>
      <c r="C5369" s="7"/>
      <c r="D5369" s="7"/>
      <c r="E5369" s="7"/>
      <c r="F5369" s="7"/>
      <c r="G5369" s="7"/>
      <c r="H5369" s="8"/>
      <c r="I5369" s="8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</row>
    <row r="5370" hidden="1">
      <c r="A5370" s="7"/>
      <c r="B5370" s="7"/>
      <c r="C5370" s="7"/>
      <c r="D5370" s="7"/>
      <c r="E5370" s="7"/>
      <c r="F5370" s="7"/>
      <c r="G5370" s="7"/>
      <c r="H5370" s="8"/>
      <c r="I5370" s="8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</row>
    <row r="5371" hidden="1">
      <c r="A5371" s="7"/>
      <c r="B5371" s="7"/>
      <c r="C5371" s="7"/>
      <c r="D5371" s="7"/>
      <c r="E5371" s="7"/>
      <c r="F5371" s="7"/>
      <c r="G5371" s="7"/>
      <c r="H5371" s="8"/>
      <c r="I5371" s="8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</row>
    <row r="5372" hidden="1">
      <c r="A5372" s="7"/>
      <c r="B5372" s="7"/>
      <c r="C5372" s="7"/>
      <c r="D5372" s="7"/>
      <c r="E5372" s="7"/>
      <c r="F5372" s="7"/>
      <c r="G5372" s="7"/>
      <c r="H5372" s="8"/>
      <c r="I5372" s="8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</row>
    <row r="5373" hidden="1">
      <c r="A5373" s="7"/>
      <c r="B5373" s="7"/>
      <c r="C5373" s="7"/>
      <c r="D5373" s="7"/>
      <c r="E5373" s="7"/>
      <c r="F5373" s="7"/>
      <c r="G5373" s="7"/>
      <c r="H5373" s="8"/>
      <c r="I5373" s="8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</row>
    <row r="5374" hidden="1">
      <c r="A5374" s="7"/>
      <c r="B5374" s="7"/>
      <c r="C5374" s="7"/>
      <c r="D5374" s="7"/>
      <c r="E5374" s="7"/>
      <c r="F5374" s="7"/>
      <c r="G5374" s="7"/>
      <c r="H5374" s="8"/>
      <c r="I5374" s="8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</row>
    <row r="5375" hidden="1">
      <c r="A5375" s="7"/>
      <c r="B5375" s="7"/>
      <c r="C5375" s="7"/>
      <c r="D5375" s="7"/>
      <c r="E5375" s="7"/>
      <c r="F5375" s="7"/>
      <c r="G5375" s="7"/>
      <c r="H5375" s="8"/>
      <c r="I5375" s="8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</row>
    <row r="5376" hidden="1">
      <c r="A5376" s="7"/>
      <c r="B5376" s="7"/>
      <c r="C5376" s="7"/>
      <c r="D5376" s="7"/>
      <c r="E5376" s="7"/>
      <c r="F5376" s="7"/>
      <c r="G5376" s="7"/>
      <c r="H5376" s="8"/>
      <c r="I5376" s="8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</row>
    <row r="5377" hidden="1">
      <c r="A5377" s="7"/>
      <c r="B5377" s="7"/>
      <c r="C5377" s="7"/>
      <c r="D5377" s="7"/>
      <c r="E5377" s="7"/>
      <c r="F5377" s="7"/>
      <c r="G5377" s="7"/>
      <c r="H5377" s="8"/>
      <c r="I5377" s="8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</row>
    <row r="5378" hidden="1">
      <c r="A5378" s="7"/>
      <c r="B5378" s="7"/>
      <c r="C5378" s="7"/>
      <c r="D5378" s="7"/>
      <c r="E5378" s="7"/>
      <c r="F5378" s="7"/>
      <c r="G5378" s="7"/>
      <c r="H5378" s="8"/>
      <c r="I5378" s="8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</row>
    <row r="5379" hidden="1">
      <c r="A5379" s="7"/>
      <c r="B5379" s="7"/>
      <c r="C5379" s="7"/>
      <c r="D5379" s="7"/>
      <c r="E5379" s="7"/>
      <c r="F5379" s="7"/>
      <c r="G5379" s="7"/>
      <c r="H5379" s="8"/>
      <c r="I5379" s="8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</row>
    <row r="5380" hidden="1">
      <c r="A5380" s="7"/>
      <c r="B5380" s="7"/>
      <c r="C5380" s="7"/>
      <c r="D5380" s="7"/>
      <c r="E5380" s="7"/>
      <c r="F5380" s="7"/>
      <c r="G5380" s="7"/>
      <c r="H5380" s="8"/>
      <c r="I5380" s="8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</row>
    <row r="5381" hidden="1">
      <c r="A5381" s="7"/>
      <c r="B5381" s="7"/>
      <c r="C5381" s="7"/>
      <c r="D5381" s="7"/>
      <c r="E5381" s="7"/>
      <c r="F5381" s="7"/>
      <c r="G5381" s="7"/>
      <c r="H5381" s="8"/>
      <c r="I5381" s="8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</row>
    <row r="5382" hidden="1">
      <c r="A5382" s="7"/>
      <c r="B5382" s="7"/>
      <c r="C5382" s="7"/>
      <c r="D5382" s="7"/>
      <c r="E5382" s="7"/>
      <c r="F5382" s="7"/>
      <c r="G5382" s="7"/>
      <c r="H5382" s="8"/>
      <c r="I5382" s="8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</row>
    <row r="5383" hidden="1">
      <c r="A5383" s="7"/>
      <c r="B5383" s="7"/>
      <c r="C5383" s="7"/>
      <c r="D5383" s="7"/>
      <c r="E5383" s="7"/>
      <c r="F5383" s="7"/>
      <c r="G5383" s="7"/>
      <c r="H5383" s="8"/>
      <c r="I5383" s="8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</row>
    <row r="5384" hidden="1">
      <c r="A5384" s="7"/>
      <c r="B5384" s="7"/>
      <c r="C5384" s="7"/>
      <c r="D5384" s="7"/>
      <c r="E5384" s="7"/>
      <c r="F5384" s="7"/>
      <c r="G5384" s="7"/>
      <c r="H5384" s="8"/>
      <c r="I5384" s="8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</row>
    <row r="5385" hidden="1">
      <c r="A5385" s="7"/>
      <c r="B5385" s="7"/>
      <c r="C5385" s="7"/>
      <c r="D5385" s="7"/>
      <c r="E5385" s="7"/>
      <c r="F5385" s="7"/>
      <c r="G5385" s="7"/>
      <c r="H5385" s="8"/>
      <c r="I5385" s="8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</row>
    <row r="5386" hidden="1">
      <c r="A5386" s="7"/>
      <c r="B5386" s="7"/>
      <c r="C5386" s="7"/>
      <c r="D5386" s="7"/>
      <c r="E5386" s="7"/>
      <c r="F5386" s="7"/>
      <c r="G5386" s="7"/>
      <c r="H5386" s="8"/>
      <c r="I5386" s="8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</row>
    <row r="5387" hidden="1">
      <c r="A5387" s="7"/>
      <c r="B5387" s="7"/>
      <c r="C5387" s="7"/>
      <c r="D5387" s="7"/>
      <c r="E5387" s="7"/>
      <c r="F5387" s="7"/>
      <c r="G5387" s="7"/>
      <c r="H5387" s="8"/>
      <c r="I5387" s="8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</row>
    <row r="5388" hidden="1">
      <c r="A5388" s="7"/>
      <c r="B5388" s="7"/>
      <c r="C5388" s="7"/>
      <c r="D5388" s="7"/>
      <c r="E5388" s="7"/>
      <c r="F5388" s="7"/>
      <c r="G5388" s="7"/>
      <c r="H5388" s="8"/>
      <c r="I5388" s="8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</row>
    <row r="5389" hidden="1">
      <c r="A5389" s="7"/>
      <c r="B5389" s="7"/>
      <c r="C5389" s="7"/>
      <c r="D5389" s="7"/>
      <c r="E5389" s="7"/>
      <c r="F5389" s="7"/>
      <c r="G5389" s="7"/>
      <c r="H5389" s="8"/>
      <c r="I5389" s="8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</row>
    <row r="5390" hidden="1">
      <c r="A5390" s="7"/>
      <c r="B5390" s="7"/>
      <c r="C5390" s="7"/>
      <c r="D5390" s="7"/>
      <c r="E5390" s="7"/>
      <c r="F5390" s="7"/>
      <c r="G5390" s="7"/>
      <c r="H5390" s="8"/>
      <c r="I5390" s="8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</row>
    <row r="5391" hidden="1">
      <c r="A5391" s="7"/>
      <c r="B5391" s="7"/>
      <c r="C5391" s="7"/>
      <c r="D5391" s="7"/>
      <c r="E5391" s="7"/>
      <c r="F5391" s="7"/>
      <c r="G5391" s="7"/>
      <c r="H5391" s="8"/>
      <c r="I5391" s="8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</row>
    <row r="5392" hidden="1">
      <c r="A5392" s="7"/>
      <c r="B5392" s="7"/>
      <c r="C5392" s="7"/>
      <c r="D5392" s="7"/>
      <c r="E5392" s="7"/>
      <c r="F5392" s="7"/>
      <c r="G5392" s="7"/>
      <c r="H5392" s="8"/>
      <c r="I5392" s="8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</row>
    <row r="5393" hidden="1">
      <c r="A5393" s="7"/>
      <c r="B5393" s="7"/>
      <c r="C5393" s="7"/>
      <c r="D5393" s="7"/>
      <c r="E5393" s="7"/>
      <c r="F5393" s="7"/>
      <c r="G5393" s="7"/>
      <c r="H5393" s="8"/>
      <c r="I5393" s="8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</row>
    <row r="5394" hidden="1">
      <c r="A5394" s="7"/>
      <c r="B5394" s="7"/>
      <c r="C5394" s="7"/>
      <c r="D5394" s="7"/>
      <c r="E5394" s="7"/>
      <c r="F5394" s="7"/>
      <c r="G5394" s="7"/>
      <c r="H5394" s="8"/>
      <c r="I5394" s="8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</row>
    <row r="5395" hidden="1">
      <c r="A5395" s="7"/>
      <c r="B5395" s="7"/>
      <c r="C5395" s="7"/>
      <c r="D5395" s="7"/>
      <c r="E5395" s="7"/>
      <c r="F5395" s="7"/>
      <c r="G5395" s="7"/>
      <c r="H5395" s="8"/>
      <c r="I5395" s="8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</row>
    <row r="5396" hidden="1">
      <c r="A5396" s="7"/>
      <c r="B5396" s="7"/>
      <c r="C5396" s="7"/>
      <c r="D5396" s="7"/>
      <c r="E5396" s="7"/>
      <c r="F5396" s="7"/>
      <c r="G5396" s="7"/>
      <c r="H5396" s="8"/>
      <c r="I5396" s="8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</row>
    <row r="5397" hidden="1">
      <c r="A5397" s="7"/>
      <c r="B5397" s="7"/>
      <c r="C5397" s="7"/>
      <c r="D5397" s="7"/>
      <c r="E5397" s="7"/>
      <c r="F5397" s="7"/>
      <c r="G5397" s="7"/>
      <c r="H5397" s="8"/>
      <c r="I5397" s="8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</row>
    <row r="5398" hidden="1">
      <c r="A5398" s="7"/>
      <c r="B5398" s="7"/>
      <c r="C5398" s="7"/>
      <c r="D5398" s="7"/>
      <c r="E5398" s="7"/>
      <c r="F5398" s="7"/>
      <c r="G5398" s="7"/>
      <c r="H5398" s="8"/>
      <c r="I5398" s="8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</row>
    <row r="5399" hidden="1">
      <c r="A5399" s="7"/>
      <c r="B5399" s="7"/>
      <c r="C5399" s="7"/>
      <c r="D5399" s="7"/>
      <c r="E5399" s="7"/>
      <c r="F5399" s="7"/>
      <c r="G5399" s="7"/>
      <c r="H5399" s="8"/>
      <c r="I5399" s="8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</row>
    <row r="5400" hidden="1">
      <c r="A5400" s="7"/>
      <c r="B5400" s="7"/>
      <c r="C5400" s="7"/>
      <c r="D5400" s="7"/>
      <c r="E5400" s="7"/>
      <c r="F5400" s="7"/>
      <c r="G5400" s="7"/>
      <c r="H5400" s="8"/>
      <c r="I5400" s="8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</row>
    <row r="5401" hidden="1">
      <c r="A5401" s="7"/>
      <c r="B5401" s="7"/>
      <c r="C5401" s="7"/>
      <c r="D5401" s="7"/>
      <c r="E5401" s="7"/>
      <c r="F5401" s="7"/>
      <c r="G5401" s="7"/>
      <c r="H5401" s="8"/>
      <c r="I5401" s="8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</row>
    <row r="5402" hidden="1">
      <c r="A5402" s="7"/>
      <c r="B5402" s="7"/>
      <c r="C5402" s="7"/>
      <c r="D5402" s="7"/>
      <c r="E5402" s="7"/>
      <c r="F5402" s="7"/>
      <c r="G5402" s="7"/>
      <c r="H5402" s="8"/>
      <c r="I5402" s="8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</row>
    <row r="5403" hidden="1">
      <c r="A5403" s="7"/>
      <c r="B5403" s="7"/>
      <c r="C5403" s="7"/>
      <c r="D5403" s="7"/>
      <c r="E5403" s="7"/>
      <c r="F5403" s="7"/>
      <c r="G5403" s="7"/>
      <c r="H5403" s="8"/>
      <c r="I5403" s="8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</row>
    <row r="5404" hidden="1">
      <c r="A5404" s="7"/>
      <c r="B5404" s="7"/>
      <c r="C5404" s="7"/>
      <c r="D5404" s="7"/>
      <c r="E5404" s="7"/>
      <c r="F5404" s="7"/>
      <c r="G5404" s="7"/>
      <c r="H5404" s="8"/>
      <c r="I5404" s="8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</row>
    <row r="5405" hidden="1">
      <c r="A5405" s="7"/>
      <c r="B5405" s="7"/>
      <c r="C5405" s="7"/>
      <c r="D5405" s="7"/>
      <c r="E5405" s="7"/>
      <c r="F5405" s="7"/>
      <c r="G5405" s="7"/>
      <c r="H5405" s="8"/>
      <c r="I5405" s="8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</row>
    <row r="5406" hidden="1">
      <c r="A5406" s="7"/>
      <c r="B5406" s="7"/>
      <c r="C5406" s="7"/>
      <c r="D5406" s="7"/>
      <c r="E5406" s="7"/>
      <c r="F5406" s="7"/>
      <c r="G5406" s="7"/>
      <c r="H5406" s="8"/>
      <c r="I5406" s="8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</row>
    <row r="5407" hidden="1">
      <c r="A5407" s="7"/>
      <c r="B5407" s="7"/>
      <c r="C5407" s="7"/>
      <c r="D5407" s="7"/>
      <c r="E5407" s="7"/>
      <c r="F5407" s="7"/>
      <c r="G5407" s="7"/>
      <c r="H5407" s="8"/>
      <c r="I5407" s="8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</row>
    <row r="5408" hidden="1">
      <c r="A5408" s="7"/>
      <c r="B5408" s="7"/>
      <c r="C5408" s="7"/>
      <c r="D5408" s="7"/>
      <c r="E5408" s="7"/>
      <c r="F5408" s="7"/>
      <c r="G5408" s="7"/>
      <c r="H5408" s="8"/>
      <c r="I5408" s="8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</row>
    <row r="5409" hidden="1">
      <c r="A5409" s="7"/>
      <c r="B5409" s="7"/>
      <c r="C5409" s="7"/>
      <c r="D5409" s="7"/>
      <c r="E5409" s="7"/>
      <c r="F5409" s="7"/>
      <c r="G5409" s="7"/>
      <c r="H5409" s="8"/>
      <c r="I5409" s="8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</row>
    <row r="5410" hidden="1">
      <c r="A5410" s="7"/>
      <c r="B5410" s="7"/>
      <c r="C5410" s="7"/>
      <c r="D5410" s="7"/>
      <c r="E5410" s="7"/>
      <c r="F5410" s="7"/>
      <c r="G5410" s="7"/>
      <c r="H5410" s="8"/>
      <c r="I5410" s="8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</row>
    <row r="5411" hidden="1">
      <c r="A5411" s="7"/>
      <c r="B5411" s="7"/>
      <c r="C5411" s="7"/>
      <c r="D5411" s="7"/>
      <c r="E5411" s="7"/>
      <c r="F5411" s="7"/>
      <c r="G5411" s="7"/>
      <c r="H5411" s="8"/>
      <c r="I5411" s="8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</row>
    <row r="5412" hidden="1">
      <c r="A5412" s="7"/>
      <c r="B5412" s="7"/>
      <c r="C5412" s="7"/>
      <c r="D5412" s="7"/>
      <c r="E5412" s="7"/>
      <c r="F5412" s="7"/>
      <c r="G5412" s="7"/>
      <c r="H5412" s="8"/>
      <c r="I5412" s="8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</row>
    <row r="5413" hidden="1">
      <c r="A5413" s="7"/>
      <c r="B5413" s="7"/>
      <c r="C5413" s="7"/>
      <c r="D5413" s="7"/>
      <c r="E5413" s="7"/>
      <c r="F5413" s="7"/>
      <c r="G5413" s="7"/>
      <c r="H5413" s="8"/>
      <c r="I5413" s="8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</row>
    <row r="5414" hidden="1">
      <c r="A5414" s="7"/>
      <c r="B5414" s="7"/>
      <c r="C5414" s="7"/>
      <c r="D5414" s="7"/>
      <c r="E5414" s="7"/>
      <c r="F5414" s="7"/>
      <c r="G5414" s="7"/>
      <c r="H5414" s="8"/>
      <c r="I5414" s="8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</row>
    <row r="5415" hidden="1">
      <c r="A5415" s="7"/>
      <c r="B5415" s="7"/>
      <c r="C5415" s="7"/>
      <c r="D5415" s="7"/>
      <c r="E5415" s="7"/>
      <c r="F5415" s="7"/>
      <c r="G5415" s="7"/>
      <c r="H5415" s="8"/>
      <c r="I5415" s="8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</row>
    <row r="5416" hidden="1">
      <c r="A5416" s="7"/>
      <c r="B5416" s="7"/>
      <c r="C5416" s="7"/>
      <c r="D5416" s="7"/>
      <c r="E5416" s="7"/>
      <c r="F5416" s="7"/>
      <c r="G5416" s="7"/>
      <c r="H5416" s="8"/>
      <c r="I5416" s="8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</row>
    <row r="5417" hidden="1">
      <c r="A5417" s="7"/>
      <c r="B5417" s="7"/>
      <c r="C5417" s="7"/>
      <c r="D5417" s="7"/>
      <c r="E5417" s="7"/>
      <c r="F5417" s="7"/>
      <c r="G5417" s="7"/>
      <c r="H5417" s="8"/>
      <c r="I5417" s="8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</row>
    <row r="5418" hidden="1">
      <c r="A5418" s="7"/>
      <c r="B5418" s="7"/>
      <c r="C5418" s="7"/>
      <c r="D5418" s="7"/>
      <c r="E5418" s="7"/>
      <c r="F5418" s="7"/>
      <c r="G5418" s="7"/>
      <c r="H5418" s="8"/>
      <c r="I5418" s="8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</row>
    <row r="5419" hidden="1">
      <c r="A5419" s="7"/>
      <c r="B5419" s="7"/>
      <c r="C5419" s="7"/>
      <c r="D5419" s="7"/>
      <c r="E5419" s="7"/>
      <c r="F5419" s="7"/>
      <c r="G5419" s="7"/>
      <c r="H5419" s="8"/>
      <c r="I5419" s="8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</row>
    <row r="5420" hidden="1">
      <c r="A5420" s="7"/>
      <c r="B5420" s="7"/>
      <c r="C5420" s="7"/>
      <c r="D5420" s="7"/>
      <c r="E5420" s="7"/>
      <c r="F5420" s="7"/>
      <c r="G5420" s="7"/>
      <c r="H5420" s="8"/>
      <c r="I5420" s="8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</row>
    <row r="5421" hidden="1">
      <c r="A5421" s="7"/>
      <c r="B5421" s="7"/>
      <c r="C5421" s="7"/>
      <c r="D5421" s="7"/>
      <c r="E5421" s="7"/>
      <c r="F5421" s="7"/>
      <c r="G5421" s="7"/>
      <c r="H5421" s="8"/>
      <c r="I5421" s="8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</row>
    <row r="5422" hidden="1">
      <c r="A5422" s="7"/>
      <c r="B5422" s="7"/>
      <c r="C5422" s="7"/>
      <c r="D5422" s="7"/>
      <c r="E5422" s="7"/>
      <c r="F5422" s="7"/>
      <c r="G5422" s="7"/>
      <c r="H5422" s="8"/>
      <c r="I5422" s="8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</row>
    <row r="5423" hidden="1">
      <c r="A5423" s="7"/>
      <c r="B5423" s="7"/>
      <c r="C5423" s="7"/>
      <c r="D5423" s="7"/>
      <c r="E5423" s="7"/>
      <c r="F5423" s="7"/>
      <c r="G5423" s="7"/>
      <c r="H5423" s="8"/>
      <c r="I5423" s="8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</row>
    <row r="5424" hidden="1">
      <c r="A5424" s="7"/>
      <c r="B5424" s="7"/>
      <c r="C5424" s="7"/>
      <c r="D5424" s="7"/>
      <c r="E5424" s="7"/>
      <c r="F5424" s="7"/>
      <c r="G5424" s="7"/>
      <c r="H5424" s="8"/>
      <c r="I5424" s="8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</row>
    <row r="5425" hidden="1">
      <c r="A5425" s="7"/>
      <c r="B5425" s="7"/>
      <c r="C5425" s="7"/>
      <c r="D5425" s="7"/>
      <c r="E5425" s="7"/>
      <c r="F5425" s="7"/>
      <c r="G5425" s="7"/>
      <c r="H5425" s="8"/>
      <c r="I5425" s="8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</row>
    <row r="5426" hidden="1">
      <c r="A5426" s="7"/>
      <c r="B5426" s="7"/>
      <c r="C5426" s="7"/>
      <c r="D5426" s="7"/>
      <c r="E5426" s="7"/>
      <c r="F5426" s="7"/>
      <c r="G5426" s="7"/>
      <c r="H5426" s="8"/>
      <c r="I5426" s="8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</row>
    <row r="5427" hidden="1">
      <c r="A5427" s="7"/>
      <c r="B5427" s="7"/>
      <c r="C5427" s="7"/>
      <c r="D5427" s="7"/>
      <c r="E5427" s="7"/>
      <c r="F5427" s="7"/>
      <c r="G5427" s="7"/>
      <c r="H5427" s="8"/>
      <c r="I5427" s="8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</row>
    <row r="5428" hidden="1">
      <c r="A5428" s="7"/>
      <c r="B5428" s="7"/>
      <c r="C5428" s="7"/>
      <c r="D5428" s="7"/>
      <c r="E5428" s="7"/>
      <c r="F5428" s="7"/>
      <c r="G5428" s="7"/>
      <c r="H5428" s="8"/>
      <c r="I5428" s="8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</row>
    <row r="5429" hidden="1">
      <c r="A5429" s="7"/>
      <c r="B5429" s="7"/>
      <c r="C5429" s="7"/>
      <c r="D5429" s="7"/>
      <c r="E5429" s="7"/>
      <c r="F5429" s="7"/>
      <c r="G5429" s="7"/>
      <c r="H5429" s="8"/>
      <c r="I5429" s="8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</row>
    <row r="5430" hidden="1">
      <c r="A5430" s="7"/>
      <c r="B5430" s="7"/>
      <c r="C5430" s="7"/>
      <c r="D5430" s="7"/>
      <c r="E5430" s="7"/>
      <c r="F5430" s="7"/>
      <c r="G5430" s="7"/>
      <c r="H5430" s="8"/>
      <c r="I5430" s="8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</row>
    <row r="5431" hidden="1">
      <c r="A5431" s="7"/>
      <c r="B5431" s="7"/>
      <c r="C5431" s="7"/>
      <c r="D5431" s="7"/>
      <c r="E5431" s="7"/>
      <c r="F5431" s="7"/>
      <c r="G5431" s="7"/>
      <c r="H5431" s="8"/>
      <c r="I5431" s="8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</row>
    <row r="5432" hidden="1">
      <c r="A5432" s="7"/>
      <c r="B5432" s="7"/>
      <c r="C5432" s="7"/>
      <c r="D5432" s="7"/>
      <c r="E5432" s="7"/>
      <c r="F5432" s="7"/>
      <c r="G5432" s="7"/>
      <c r="H5432" s="8"/>
      <c r="I5432" s="8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</row>
    <row r="5433" hidden="1">
      <c r="A5433" s="7"/>
      <c r="B5433" s="7"/>
      <c r="C5433" s="7"/>
      <c r="D5433" s="7"/>
      <c r="E5433" s="7"/>
      <c r="F5433" s="7"/>
      <c r="G5433" s="7"/>
      <c r="H5433" s="8"/>
      <c r="I5433" s="8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</row>
    <row r="5434" hidden="1">
      <c r="A5434" s="7"/>
      <c r="B5434" s="7"/>
      <c r="C5434" s="7"/>
      <c r="D5434" s="7"/>
      <c r="E5434" s="7"/>
      <c r="F5434" s="7"/>
      <c r="G5434" s="7"/>
      <c r="H5434" s="8"/>
      <c r="I5434" s="8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</row>
    <row r="5435" hidden="1">
      <c r="A5435" s="7"/>
      <c r="B5435" s="7"/>
      <c r="C5435" s="7"/>
      <c r="D5435" s="7"/>
      <c r="E5435" s="7"/>
      <c r="F5435" s="7"/>
      <c r="G5435" s="7"/>
      <c r="H5435" s="8"/>
      <c r="I5435" s="8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</row>
    <row r="5436" hidden="1">
      <c r="A5436" s="7"/>
      <c r="B5436" s="7"/>
      <c r="C5436" s="7"/>
      <c r="D5436" s="7"/>
      <c r="E5436" s="7"/>
      <c r="F5436" s="7"/>
      <c r="G5436" s="7"/>
      <c r="H5436" s="8"/>
      <c r="I5436" s="8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</row>
    <row r="5437" hidden="1">
      <c r="A5437" s="7"/>
      <c r="B5437" s="7"/>
      <c r="C5437" s="7"/>
      <c r="D5437" s="7"/>
      <c r="E5437" s="7"/>
      <c r="F5437" s="7"/>
      <c r="G5437" s="7"/>
      <c r="H5437" s="8"/>
      <c r="I5437" s="8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</row>
    <row r="5438" hidden="1">
      <c r="A5438" s="7"/>
      <c r="B5438" s="7"/>
      <c r="C5438" s="7"/>
      <c r="D5438" s="7"/>
      <c r="E5438" s="7"/>
      <c r="F5438" s="7"/>
      <c r="G5438" s="7"/>
      <c r="H5438" s="8"/>
      <c r="I5438" s="8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</row>
    <row r="5439" hidden="1">
      <c r="A5439" s="7"/>
      <c r="B5439" s="7"/>
      <c r="C5439" s="7"/>
      <c r="D5439" s="7"/>
      <c r="E5439" s="7"/>
      <c r="F5439" s="7"/>
      <c r="G5439" s="7"/>
      <c r="H5439" s="8"/>
      <c r="I5439" s="8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</row>
    <row r="5440" hidden="1">
      <c r="A5440" s="7"/>
      <c r="B5440" s="7"/>
      <c r="C5440" s="7"/>
      <c r="D5440" s="7"/>
      <c r="E5440" s="7"/>
      <c r="F5440" s="7"/>
      <c r="G5440" s="7"/>
      <c r="H5440" s="8"/>
      <c r="I5440" s="8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</row>
    <row r="5441" hidden="1">
      <c r="A5441" s="7"/>
      <c r="B5441" s="7"/>
      <c r="C5441" s="7"/>
      <c r="D5441" s="7"/>
      <c r="E5441" s="7"/>
      <c r="F5441" s="7"/>
      <c r="G5441" s="7"/>
      <c r="H5441" s="8"/>
      <c r="I5441" s="8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</row>
    <row r="5442" hidden="1">
      <c r="A5442" s="7"/>
      <c r="B5442" s="7"/>
      <c r="C5442" s="7"/>
      <c r="D5442" s="7"/>
      <c r="E5442" s="7"/>
      <c r="F5442" s="7"/>
      <c r="G5442" s="7"/>
      <c r="H5442" s="8"/>
      <c r="I5442" s="8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</row>
    <row r="5443" hidden="1">
      <c r="A5443" s="7"/>
      <c r="B5443" s="7"/>
      <c r="C5443" s="7"/>
      <c r="D5443" s="7"/>
      <c r="E5443" s="7"/>
      <c r="F5443" s="7"/>
      <c r="G5443" s="7"/>
      <c r="H5443" s="8"/>
      <c r="I5443" s="8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</row>
    <row r="5444" hidden="1">
      <c r="A5444" s="7"/>
      <c r="B5444" s="7"/>
      <c r="C5444" s="7"/>
      <c r="D5444" s="7"/>
      <c r="E5444" s="7"/>
      <c r="F5444" s="7"/>
      <c r="G5444" s="7"/>
      <c r="H5444" s="8"/>
      <c r="I5444" s="8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</row>
    <row r="5445" hidden="1">
      <c r="A5445" s="7"/>
      <c r="B5445" s="7"/>
      <c r="C5445" s="7"/>
      <c r="D5445" s="7"/>
      <c r="E5445" s="7"/>
      <c r="F5445" s="7"/>
      <c r="G5445" s="7"/>
      <c r="H5445" s="8"/>
      <c r="I5445" s="8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</row>
    <row r="5446" hidden="1">
      <c r="A5446" s="7"/>
      <c r="B5446" s="7"/>
      <c r="C5446" s="7"/>
      <c r="D5446" s="7"/>
      <c r="E5446" s="7"/>
      <c r="F5446" s="7"/>
      <c r="G5446" s="7"/>
      <c r="H5446" s="8"/>
      <c r="I5446" s="8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</row>
    <row r="5447" hidden="1">
      <c r="A5447" s="7"/>
      <c r="B5447" s="7"/>
      <c r="C5447" s="7"/>
      <c r="D5447" s="7"/>
      <c r="E5447" s="7"/>
      <c r="F5447" s="7"/>
      <c r="G5447" s="7"/>
      <c r="H5447" s="8"/>
      <c r="I5447" s="8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</row>
    <row r="5448" hidden="1">
      <c r="A5448" s="7"/>
      <c r="B5448" s="7"/>
      <c r="C5448" s="7"/>
      <c r="D5448" s="7"/>
      <c r="E5448" s="7"/>
      <c r="F5448" s="7"/>
      <c r="G5448" s="7"/>
      <c r="H5448" s="8"/>
      <c r="I5448" s="8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</row>
    <row r="5449" hidden="1">
      <c r="A5449" s="7"/>
      <c r="B5449" s="7"/>
      <c r="C5449" s="7"/>
      <c r="D5449" s="7"/>
      <c r="E5449" s="7"/>
      <c r="F5449" s="7"/>
      <c r="G5449" s="7"/>
      <c r="H5449" s="8"/>
      <c r="I5449" s="8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</row>
    <row r="5450" hidden="1">
      <c r="A5450" s="7"/>
      <c r="B5450" s="7"/>
      <c r="C5450" s="7"/>
      <c r="D5450" s="7"/>
      <c r="E5450" s="7"/>
      <c r="F5450" s="7"/>
      <c r="G5450" s="7"/>
      <c r="H5450" s="8"/>
      <c r="I5450" s="8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</row>
    <row r="5451" hidden="1">
      <c r="A5451" s="7"/>
      <c r="B5451" s="7"/>
      <c r="C5451" s="7"/>
      <c r="D5451" s="7"/>
      <c r="E5451" s="7"/>
      <c r="F5451" s="7"/>
      <c r="G5451" s="7"/>
      <c r="H5451" s="8"/>
      <c r="I5451" s="8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</row>
    <row r="5452" hidden="1">
      <c r="A5452" s="7"/>
      <c r="B5452" s="7"/>
      <c r="C5452" s="7"/>
      <c r="D5452" s="7"/>
      <c r="E5452" s="7"/>
      <c r="F5452" s="7"/>
      <c r="G5452" s="7"/>
      <c r="H5452" s="8"/>
      <c r="I5452" s="8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</row>
    <row r="5453" hidden="1">
      <c r="A5453" s="7"/>
      <c r="B5453" s="7"/>
      <c r="C5453" s="7"/>
      <c r="D5453" s="7"/>
      <c r="E5453" s="7"/>
      <c r="F5453" s="7"/>
      <c r="G5453" s="7"/>
      <c r="H5453" s="8"/>
      <c r="I5453" s="8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</row>
    <row r="5454" hidden="1">
      <c r="A5454" s="7"/>
      <c r="B5454" s="7"/>
      <c r="C5454" s="7"/>
      <c r="D5454" s="7"/>
      <c r="E5454" s="7"/>
      <c r="F5454" s="7"/>
      <c r="G5454" s="7"/>
      <c r="H5454" s="8"/>
      <c r="I5454" s="8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</row>
    <row r="5455" hidden="1">
      <c r="A5455" s="7"/>
      <c r="B5455" s="7"/>
      <c r="C5455" s="7"/>
      <c r="D5455" s="7"/>
      <c r="E5455" s="7"/>
      <c r="F5455" s="7"/>
      <c r="G5455" s="7"/>
      <c r="H5455" s="8"/>
      <c r="I5455" s="8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</row>
    <row r="5456" hidden="1">
      <c r="A5456" s="7"/>
      <c r="B5456" s="7"/>
      <c r="C5456" s="7"/>
      <c r="D5456" s="7"/>
      <c r="E5456" s="7"/>
      <c r="F5456" s="7"/>
      <c r="G5456" s="7"/>
      <c r="H5456" s="8"/>
      <c r="I5456" s="8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</row>
    <row r="5457" hidden="1">
      <c r="A5457" s="7"/>
      <c r="B5457" s="7"/>
      <c r="C5457" s="7"/>
      <c r="D5457" s="7"/>
      <c r="E5457" s="7"/>
      <c r="F5457" s="7"/>
      <c r="G5457" s="7"/>
      <c r="H5457" s="8"/>
      <c r="I5457" s="8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</row>
    <row r="5458" hidden="1">
      <c r="A5458" s="7"/>
      <c r="B5458" s="7"/>
      <c r="C5458" s="7"/>
      <c r="D5458" s="7"/>
      <c r="E5458" s="7"/>
      <c r="F5458" s="7"/>
      <c r="G5458" s="7"/>
      <c r="H5458" s="8"/>
      <c r="I5458" s="8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</row>
    <row r="5459" hidden="1">
      <c r="A5459" s="7"/>
      <c r="B5459" s="7"/>
      <c r="C5459" s="7"/>
      <c r="D5459" s="7"/>
      <c r="E5459" s="7"/>
      <c r="F5459" s="7"/>
      <c r="G5459" s="7"/>
      <c r="H5459" s="8"/>
      <c r="I5459" s="8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</row>
    <row r="5460" hidden="1">
      <c r="A5460" s="7"/>
      <c r="B5460" s="7"/>
      <c r="C5460" s="7"/>
      <c r="D5460" s="7"/>
      <c r="E5460" s="7"/>
      <c r="F5460" s="7"/>
      <c r="G5460" s="7"/>
      <c r="H5460" s="8"/>
      <c r="I5460" s="8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</row>
    <row r="5461" hidden="1">
      <c r="A5461" s="7"/>
      <c r="B5461" s="7"/>
      <c r="C5461" s="7"/>
      <c r="D5461" s="7"/>
      <c r="E5461" s="7"/>
      <c r="F5461" s="7"/>
      <c r="G5461" s="7"/>
      <c r="H5461" s="8"/>
      <c r="I5461" s="8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</row>
    <row r="5462" hidden="1">
      <c r="A5462" s="7"/>
      <c r="B5462" s="7"/>
      <c r="C5462" s="7"/>
      <c r="D5462" s="7"/>
      <c r="E5462" s="7"/>
      <c r="F5462" s="7"/>
      <c r="G5462" s="7"/>
      <c r="H5462" s="8"/>
      <c r="I5462" s="8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</row>
    <row r="5463" hidden="1">
      <c r="A5463" s="7"/>
      <c r="B5463" s="7"/>
      <c r="C5463" s="7"/>
      <c r="D5463" s="7"/>
      <c r="E5463" s="7"/>
      <c r="F5463" s="7"/>
      <c r="G5463" s="7"/>
      <c r="H5463" s="8"/>
      <c r="I5463" s="8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</row>
    <row r="5464" hidden="1">
      <c r="A5464" s="7"/>
      <c r="B5464" s="7"/>
      <c r="C5464" s="7"/>
      <c r="D5464" s="7"/>
      <c r="E5464" s="7"/>
      <c r="F5464" s="7"/>
      <c r="G5464" s="7"/>
      <c r="H5464" s="8"/>
      <c r="I5464" s="8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</row>
    <row r="5465" hidden="1">
      <c r="A5465" s="7"/>
      <c r="B5465" s="7"/>
      <c r="C5465" s="7"/>
      <c r="D5465" s="7"/>
      <c r="E5465" s="7"/>
      <c r="F5465" s="7"/>
      <c r="G5465" s="7"/>
      <c r="H5465" s="8"/>
      <c r="I5465" s="8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</row>
    <row r="5466" hidden="1">
      <c r="A5466" s="7"/>
      <c r="B5466" s="7"/>
      <c r="C5466" s="7"/>
      <c r="D5466" s="7"/>
      <c r="E5466" s="7"/>
      <c r="F5466" s="7"/>
      <c r="G5466" s="7"/>
      <c r="H5466" s="8"/>
      <c r="I5466" s="8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</row>
    <row r="5467" hidden="1">
      <c r="A5467" s="7"/>
      <c r="B5467" s="7"/>
      <c r="C5467" s="7"/>
      <c r="D5467" s="7"/>
      <c r="E5467" s="7"/>
      <c r="F5467" s="7"/>
      <c r="G5467" s="7"/>
      <c r="H5467" s="8"/>
      <c r="I5467" s="8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</row>
    <row r="5468" hidden="1">
      <c r="A5468" s="7"/>
      <c r="B5468" s="7"/>
      <c r="C5468" s="7"/>
      <c r="D5468" s="7"/>
      <c r="E5468" s="7"/>
      <c r="F5468" s="7"/>
      <c r="G5468" s="7"/>
      <c r="H5468" s="8"/>
      <c r="I5468" s="8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</row>
    <row r="5469" hidden="1">
      <c r="A5469" s="7"/>
      <c r="B5469" s="7"/>
      <c r="C5469" s="7"/>
      <c r="D5469" s="7"/>
      <c r="E5469" s="7"/>
      <c r="F5469" s="7"/>
      <c r="G5469" s="7"/>
      <c r="H5469" s="8"/>
      <c r="I5469" s="8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</row>
    <row r="5470" hidden="1">
      <c r="A5470" s="7"/>
      <c r="B5470" s="7"/>
      <c r="C5470" s="7"/>
      <c r="D5470" s="7"/>
      <c r="E5470" s="7"/>
      <c r="F5470" s="7"/>
      <c r="G5470" s="7"/>
      <c r="H5470" s="8"/>
      <c r="I5470" s="8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</row>
    <row r="5471" hidden="1">
      <c r="A5471" s="7"/>
      <c r="B5471" s="7"/>
      <c r="C5471" s="7"/>
      <c r="D5471" s="7"/>
      <c r="E5471" s="7"/>
      <c r="F5471" s="7"/>
      <c r="G5471" s="7"/>
      <c r="H5471" s="8"/>
      <c r="I5471" s="8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</row>
    <row r="5472" hidden="1">
      <c r="A5472" s="7"/>
      <c r="B5472" s="7"/>
      <c r="C5472" s="7"/>
      <c r="D5472" s="7"/>
      <c r="E5472" s="7"/>
      <c r="F5472" s="7"/>
      <c r="G5472" s="7"/>
      <c r="H5472" s="8"/>
      <c r="I5472" s="8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</row>
    <row r="5473" hidden="1">
      <c r="A5473" s="7"/>
      <c r="B5473" s="7"/>
      <c r="C5473" s="7"/>
      <c r="D5473" s="7"/>
      <c r="E5473" s="7"/>
      <c r="F5473" s="7"/>
      <c r="G5473" s="7"/>
      <c r="H5473" s="8"/>
      <c r="I5473" s="8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</row>
    <row r="5474" hidden="1">
      <c r="A5474" s="7"/>
      <c r="B5474" s="7"/>
      <c r="C5474" s="7"/>
      <c r="D5474" s="7"/>
      <c r="E5474" s="7"/>
      <c r="F5474" s="7"/>
      <c r="G5474" s="7"/>
      <c r="H5474" s="8"/>
      <c r="I5474" s="8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</row>
    <row r="5475" hidden="1">
      <c r="A5475" s="7"/>
      <c r="B5475" s="7"/>
      <c r="C5475" s="7"/>
      <c r="D5475" s="7"/>
      <c r="E5475" s="7"/>
      <c r="F5475" s="7"/>
      <c r="G5475" s="7"/>
      <c r="H5475" s="8"/>
      <c r="I5475" s="8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</row>
    <row r="5476" hidden="1">
      <c r="A5476" s="7"/>
      <c r="B5476" s="7"/>
      <c r="C5476" s="7"/>
      <c r="D5476" s="7"/>
      <c r="E5476" s="7"/>
      <c r="F5476" s="7"/>
      <c r="G5476" s="7"/>
      <c r="H5476" s="8"/>
      <c r="I5476" s="8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</row>
    <row r="5477" hidden="1">
      <c r="A5477" s="7"/>
      <c r="B5477" s="7"/>
      <c r="C5477" s="7"/>
      <c r="D5477" s="7"/>
      <c r="E5477" s="7"/>
      <c r="F5477" s="7"/>
      <c r="G5477" s="7"/>
      <c r="H5477" s="8"/>
      <c r="I5477" s="8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</row>
    <row r="5478" hidden="1">
      <c r="A5478" s="7"/>
      <c r="B5478" s="7"/>
      <c r="C5478" s="7"/>
      <c r="D5478" s="7"/>
      <c r="E5478" s="7"/>
      <c r="F5478" s="7"/>
      <c r="G5478" s="7"/>
      <c r="H5478" s="8"/>
      <c r="I5478" s="8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</row>
    <row r="5479" hidden="1">
      <c r="A5479" s="7"/>
      <c r="B5479" s="7"/>
      <c r="C5479" s="7"/>
      <c r="D5479" s="7"/>
      <c r="E5479" s="7"/>
      <c r="F5479" s="7"/>
      <c r="G5479" s="7"/>
      <c r="H5479" s="8"/>
      <c r="I5479" s="8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</row>
    <row r="5480" hidden="1">
      <c r="A5480" s="7"/>
      <c r="B5480" s="7"/>
      <c r="C5480" s="7"/>
      <c r="D5480" s="7"/>
      <c r="E5480" s="7"/>
      <c r="F5480" s="7"/>
      <c r="G5480" s="7"/>
      <c r="H5480" s="8"/>
      <c r="I5480" s="8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</row>
    <row r="5481" hidden="1">
      <c r="A5481" s="7"/>
      <c r="B5481" s="7"/>
      <c r="C5481" s="7"/>
      <c r="D5481" s="7"/>
      <c r="E5481" s="7"/>
      <c r="F5481" s="7"/>
      <c r="G5481" s="7"/>
      <c r="H5481" s="8"/>
      <c r="I5481" s="8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</row>
    <row r="5482" hidden="1">
      <c r="A5482" s="7"/>
      <c r="B5482" s="7"/>
      <c r="C5482" s="7"/>
      <c r="D5482" s="7"/>
      <c r="E5482" s="7"/>
      <c r="F5482" s="7"/>
      <c r="G5482" s="7"/>
      <c r="H5482" s="8"/>
      <c r="I5482" s="8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</row>
    <row r="5483" hidden="1">
      <c r="A5483" s="7"/>
      <c r="B5483" s="7"/>
      <c r="C5483" s="7"/>
      <c r="D5483" s="7"/>
      <c r="E5483" s="7"/>
      <c r="F5483" s="7"/>
      <c r="G5483" s="7"/>
      <c r="H5483" s="8"/>
      <c r="I5483" s="8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</row>
    <row r="5484" hidden="1">
      <c r="A5484" s="7"/>
      <c r="B5484" s="7"/>
      <c r="C5484" s="7"/>
      <c r="D5484" s="7"/>
      <c r="E5484" s="7"/>
      <c r="F5484" s="7"/>
      <c r="G5484" s="7"/>
      <c r="H5484" s="8"/>
      <c r="I5484" s="8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</row>
    <row r="5485" hidden="1">
      <c r="A5485" s="7"/>
      <c r="B5485" s="7"/>
      <c r="C5485" s="7"/>
      <c r="D5485" s="7"/>
      <c r="E5485" s="7"/>
      <c r="F5485" s="7"/>
      <c r="G5485" s="7"/>
      <c r="H5485" s="8"/>
      <c r="I5485" s="8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</row>
    <row r="5486" hidden="1">
      <c r="A5486" s="7"/>
      <c r="B5486" s="7"/>
      <c r="C5486" s="7"/>
      <c r="D5486" s="7"/>
      <c r="E5486" s="7"/>
      <c r="F5486" s="7"/>
      <c r="G5486" s="7"/>
      <c r="H5486" s="8"/>
      <c r="I5486" s="8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</row>
    <row r="5487" hidden="1">
      <c r="A5487" s="7"/>
      <c r="B5487" s="7"/>
      <c r="C5487" s="7"/>
      <c r="D5487" s="7"/>
      <c r="E5487" s="7"/>
      <c r="F5487" s="7"/>
      <c r="G5487" s="7"/>
      <c r="H5487" s="8"/>
      <c r="I5487" s="8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</row>
    <row r="5488" hidden="1">
      <c r="A5488" s="7"/>
      <c r="B5488" s="7"/>
      <c r="C5488" s="7"/>
      <c r="D5488" s="7"/>
      <c r="E5488" s="7"/>
      <c r="F5488" s="7"/>
      <c r="G5488" s="7"/>
      <c r="H5488" s="8"/>
      <c r="I5488" s="8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</row>
    <row r="5489" hidden="1">
      <c r="A5489" s="7"/>
      <c r="B5489" s="7"/>
      <c r="C5489" s="7"/>
      <c r="D5489" s="7"/>
      <c r="E5489" s="7"/>
      <c r="F5489" s="7"/>
      <c r="G5489" s="7"/>
      <c r="H5489" s="8"/>
      <c r="I5489" s="8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</row>
    <row r="5490" hidden="1">
      <c r="A5490" s="7"/>
      <c r="B5490" s="7"/>
      <c r="C5490" s="7"/>
      <c r="D5490" s="7"/>
      <c r="E5490" s="7"/>
      <c r="F5490" s="7"/>
      <c r="G5490" s="7"/>
      <c r="H5490" s="8"/>
      <c r="I5490" s="8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</row>
    <row r="5491" hidden="1">
      <c r="A5491" s="7"/>
      <c r="B5491" s="7"/>
      <c r="C5491" s="7"/>
      <c r="D5491" s="7"/>
      <c r="E5491" s="7"/>
      <c r="F5491" s="7"/>
      <c r="G5491" s="7"/>
      <c r="H5491" s="8"/>
      <c r="I5491" s="8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</row>
    <row r="5492" hidden="1">
      <c r="A5492" s="7"/>
      <c r="B5492" s="7"/>
      <c r="C5492" s="7"/>
      <c r="D5492" s="7"/>
      <c r="E5492" s="7"/>
      <c r="F5492" s="7"/>
      <c r="G5492" s="7"/>
      <c r="H5492" s="8"/>
      <c r="I5492" s="8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</row>
    <row r="5493" hidden="1">
      <c r="A5493" s="7"/>
      <c r="B5493" s="7"/>
      <c r="C5493" s="7"/>
      <c r="D5493" s="7"/>
      <c r="E5493" s="7"/>
      <c r="F5493" s="7"/>
      <c r="G5493" s="7"/>
      <c r="H5493" s="8"/>
      <c r="I5493" s="8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</row>
    <row r="5494" hidden="1">
      <c r="A5494" s="7"/>
      <c r="B5494" s="7"/>
      <c r="C5494" s="7"/>
      <c r="D5494" s="7"/>
      <c r="E5494" s="7"/>
      <c r="F5494" s="7"/>
      <c r="G5494" s="7"/>
      <c r="H5494" s="8"/>
      <c r="I5494" s="8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</row>
    <row r="5495" hidden="1">
      <c r="A5495" s="7"/>
      <c r="B5495" s="7"/>
      <c r="C5495" s="7"/>
      <c r="D5495" s="7"/>
      <c r="E5495" s="7"/>
      <c r="F5495" s="7"/>
      <c r="G5495" s="7"/>
      <c r="H5495" s="8"/>
      <c r="I5495" s="8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</row>
    <row r="5496" hidden="1">
      <c r="A5496" s="7"/>
      <c r="B5496" s="7"/>
      <c r="C5496" s="7"/>
      <c r="D5496" s="7"/>
      <c r="E5496" s="7"/>
      <c r="F5496" s="7"/>
      <c r="G5496" s="7"/>
      <c r="H5496" s="8"/>
      <c r="I5496" s="8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</row>
    <row r="5497" hidden="1">
      <c r="A5497" s="7"/>
      <c r="B5497" s="7"/>
      <c r="C5497" s="7"/>
      <c r="D5497" s="7"/>
      <c r="E5497" s="7"/>
      <c r="F5497" s="7"/>
      <c r="G5497" s="7"/>
      <c r="H5497" s="8"/>
      <c r="I5497" s="8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</row>
    <row r="5498" hidden="1">
      <c r="A5498" s="7"/>
      <c r="B5498" s="7"/>
      <c r="C5498" s="7"/>
      <c r="D5498" s="7"/>
      <c r="E5498" s="7"/>
      <c r="F5498" s="7"/>
      <c r="G5498" s="7"/>
      <c r="H5498" s="8"/>
      <c r="I5498" s="8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</row>
    <row r="5499" hidden="1">
      <c r="A5499" s="7"/>
      <c r="B5499" s="7"/>
      <c r="C5499" s="7"/>
      <c r="D5499" s="7"/>
      <c r="E5499" s="7"/>
      <c r="F5499" s="7"/>
      <c r="G5499" s="7"/>
      <c r="H5499" s="8"/>
      <c r="I5499" s="8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</row>
    <row r="5500" hidden="1">
      <c r="A5500" s="7"/>
      <c r="B5500" s="7"/>
      <c r="C5500" s="7"/>
      <c r="D5500" s="7"/>
      <c r="E5500" s="7"/>
      <c r="F5500" s="7"/>
      <c r="G5500" s="7"/>
      <c r="H5500" s="8"/>
      <c r="I5500" s="8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</row>
    <row r="5501" hidden="1">
      <c r="A5501" s="7"/>
      <c r="B5501" s="7"/>
      <c r="C5501" s="7"/>
      <c r="D5501" s="7"/>
      <c r="E5501" s="7"/>
      <c r="F5501" s="7"/>
      <c r="G5501" s="7"/>
      <c r="H5501" s="8"/>
      <c r="I5501" s="8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</row>
    <row r="5502" hidden="1">
      <c r="A5502" s="7"/>
      <c r="B5502" s="7"/>
      <c r="C5502" s="7"/>
      <c r="D5502" s="7"/>
      <c r="E5502" s="7"/>
      <c r="F5502" s="7"/>
      <c r="G5502" s="7"/>
      <c r="H5502" s="8"/>
      <c r="I5502" s="8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</row>
    <row r="5503" hidden="1">
      <c r="A5503" s="7"/>
      <c r="B5503" s="7"/>
      <c r="C5503" s="7"/>
      <c r="D5503" s="7"/>
      <c r="E5503" s="7"/>
      <c r="F5503" s="7"/>
      <c r="G5503" s="7"/>
      <c r="H5503" s="8"/>
      <c r="I5503" s="8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</row>
    <row r="5504" hidden="1">
      <c r="A5504" s="7"/>
      <c r="B5504" s="7"/>
      <c r="C5504" s="7"/>
      <c r="D5504" s="7"/>
      <c r="E5504" s="7"/>
      <c r="F5504" s="7"/>
      <c r="G5504" s="7"/>
      <c r="H5504" s="8"/>
      <c r="I5504" s="8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</row>
    <row r="5505" hidden="1">
      <c r="A5505" s="7"/>
      <c r="B5505" s="7"/>
      <c r="C5505" s="7"/>
      <c r="D5505" s="7"/>
      <c r="E5505" s="7"/>
      <c r="F5505" s="7"/>
      <c r="G5505" s="7"/>
      <c r="H5505" s="8"/>
      <c r="I5505" s="8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</row>
    <row r="5506" hidden="1">
      <c r="A5506" s="7"/>
      <c r="B5506" s="7"/>
      <c r="C5506" s="7"/>
      <c r="D5506" s="7"/>
      <c r="E5506" s="7"/>
      <c r="F5506" s="7"/>
      <c r="G5506" s="7"/>
      <c r="H5506" s="8"/>
      <c r="I5506" s="8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</row>
    <row r="5507" hidden="1">
      <c r="A5507" s="7"/>
      <c r="B5507" s="7"/>
      <c r="C5507" s="7"/>
      <c r="D5507" s="7"/>
      <c r="E5507" s="7"/>
      <c r="F5507" s="7"/>
      <c r="G5507" s="7"/>
      <c r="H5507" s="8"/>
      <c r="I5507" s="8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</row>
    <row r="5508" hidden="1">
      <c r="A5508" s="7"/>
      <c r="B5508" s="7"/>
      <c r="C5508" s="7"/>
      <c r="D5508" s="7"/>
      <c r="E5508" s="7"/>
      <c r="F5508" s="7"/>
      <c r="G5508" s="7"/>
      <c r="H5508" s="8"/>
      <c r="I5508" s="8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</row>
    <row r="5509" hidden="1">
      <c r="A5509" s="7"/>
      <c r="B5509" s="7"/>
      <c r="C5509" s="7"/>
      <c r="D5509" s="7"/>
      <c r="E5509" s="7"/>
      <c r="F5509" s="7"/>
      <c r="G5509" s="7"/>
      <c r="H5509" s="8"/>
      <c r="I5509" s="8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</row>
    <row r="5510" hidden="1">
      <c r="A5510" s="7"/>
      <c r="B5510" s="7"/>
      <c r="C5510" s="7"/>
      <c r="D5510" s="7"/>
      <c r="E5510" s="7"/>
      <c r="F5510" s="7"/>
      <c r="G5510" s="7"/>
      <c r="H5510" s="8"/>
      <c r="I5510" s="8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</row>
    <row r="5511" hidden="1">
      <c r="A5511" s="7"/>
      <c r="B5511" s="7"/>
      <c r="C5511" s="7"/>
      <c r="D5511" s="7"/>
      <c r="E5511" s="7"/>
      <c r="F5511" s="7"/>
      <c r="G5511" s="7"/>
      <c r="H5511" s="8"/>
      <c r="I5511" s="8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</row>
    <row r="5512" hidden="1">
      <c r="A5512" s="7"/>
      <c r="B5512" s="7"/>
      <c r="C5512" s="7"/>
      <c r="D5512" s="7"/>
      <c r="E5512" s="7"/>
      <c r="F5512" s="7"/>
      <c r="G5512" s="7"/>
      <c r="H5512" s="8"/>
      <c r="I5512" s="8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</row>
    <row r="5513" hidden="1">
      <c r="A5513" s="7"/>
      <c r="B5513" s="7"/>
      <c r="C5513" s="7"/>
      <c r="D5513" s="7"/>
      <c r="E5513" s="7"/>
      <c r="F5513" s="7"/>
      <c r="G5513" s="7"/>
      <c r="H5513" s="8"/>
      <c r="I5513" s="8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</row>
    <row r="5514" hidden="1">
      <c r="A5514" s="7"/>
      <c r="B5514" s="7"/>
      <c r="C5514" s="7"/>
      <c r="D5514" s="7"/>
      <c r="E5514" s="7"/>
      <c r="F5514" s="7"/>
      <c r="G5514" s="7"/>
      <c r="H5514" s="8"/>
      <c r="I5514" s="8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</row>
    <row r="5515" hidden="1">
      <c r="A5515" s="7"/>
      <c r="B5515" s="7"/>
      <c r="C5515" s="7"/>
      <c r="D5515" s="7"/>
      <c r="E5515" s="7"/>
      <c r="F5515" s="7"/>
      <c r="G5515" s="7"/>
      <c r="H5515" s="8"/>
      <c r="I5515" s="8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</row>
    <row r="5516" hidden="1">
      <c r="A5516" s="7"/>
      <c r="B5516" s="7"/>
      <c r="C5516" s="7"/>
      <c r="D5516" s="7"/>
      <c r="E5516" s="7"/>
      <c r="F5516" s="7"/>
      <c r="G5516" s="7"/>
      <c r="H5516" s="8"/>
      <c r="I5516" s="8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</row>
    <row r="5517" hidden="1">
      <c r="A5517" s="7"/>
      <c r="B5517" s="7"/>
      <c r="C5517" s="7"/>
      <c r="D5517" s="7"/>
      <c r="E5517" s="7"/>
      <c r="F5517" s="7"/>
      <c r="G5517" s="7"/>
      <c r="H5517" s="8"/>
      <c r="I5517" s="8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</row>
    <row r="5518" hidden="1">
      <c r="A5518" s="7"/>
      <c r="B5518" s="7"/>
      <c r="C5518" s="7"/>
      <c r="D5518" s="7"/>
      <c r="E5518" s="7"/>
      <c r="F5518" s="7"/>
      <c r="G5518" s="7"/>
      <c r="H5518" s="8"/>
      <c r="I5518" s="8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</row>
    <row r="5519" hidden="1">
      <c r="A5519" s="7"/>
      <c r="B5519" s="7"/>
      <c r="C5519" s="7"/>
      <c r="D5519" s="7"/>
      <c r="E5519" s="7"/>
      <c r="F5519" s="7"/>
      <c r="G5519" s="7"/>
      <c r="H5519" s="8"/>
      <c r="I5519" s="8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</row>
    <row r="5520" hidden="1">
      <c r="A5520" s="7"/>
      <c r="B5520" s="7"/>
      <c r="C5520" s="7"/>
      <c r="D5520" s="7"/>
      <c r="E5520" s="7"/>
      <c r="F5520" s="7"/>
      <c r="G5520" s="7"/>
      <c r="H5520" s="8"/>
      <c r="I5520" s="8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</row>
    <row r="5521" hidden="1">
      <c r="A5521" s="7"/>
      <c r="B5521" s="7"/>
      <c r="C5521" s="7"/>
      <c r="D5521" s="7"/>
      <c r="E5521" s="7"/>
      <c r="F5521" s="7"/>
      <c r="G5521" s="7"/>
      <c r="H5521" s="8"/>
      <c r="I5521" s="8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</row>
    <row r="5522" hidden="1">
      <c r="A5522" s="7"/>
      <c r="B5522" s="7"/>
      <c r="C5522" s="7"/>
      <c r="D5522" s="7"/>
      <c r="E5522" s="7"/>
      <c r="F5522" s="7"/>
      <c r="G5522" s="7"/>
      <c r="H5522" s="8"/>
      <c r="I5522" s="8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</row>
    <row r="5523" hidden="1">
      <c r="A5523" s="7"/>
      <c r="B5523" s="7"/>
      <c r="C5523" s="7"/>
      <c r="D5523" s="7"/>
      <c r="E5523" s="7"/>
      <c r="F5523" s="7"/>
      <c r="G5523" s="7"/>
      <c r="H5523" s="8"/>
      <c r="I5523" s="8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</row>
    <row r="5524" hidden="1">
      <c r="A5524" s="7"/>
      <c r="B5524" s="7"/>
      <c r="C5524" s="7"/>
      <c r="D5524" s="7"/>
      <c r="E5524" s="7"/>
      <c r="F5524" s="7"/>
      <c r="G5524" s="7"/>
      <c r="H5524" s="8"/>
      <c r="I5524" s="8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</row>
    <row r="5525" hidden="1">
      <c r="A5525" s="7"/>
      <c r="B5525" s="7"/>
      <c r="C5525" s="7"/>
      <c r="D5525" s="7"/>
      <c r="E5525" s="7"/>
      <c r="F5525" s="7"/>
      <c r="G5525" s="7"/>
      <c r="H5525" s="8"/>
      <c r="I5525" s="8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</row>
    <row r="5526" hidden="1">
      <c r="A5526" s="7"/>
      <c r="B5526" s="7"/>
      <c r="C5526" s="7"/>
      <c r="D5526" s="7"/>
      <c r="E5526" s="7"/>
      <c r="F5526" s="7"/>
      <c r="G5526" s="7"/>
      <c r="H5526" s="8"/>
      <c r="I5526" s="8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</row>
    <row r="5527" hidden="1">
      <c r="A5527" s="7"/>
      <c r="B5527" s="7"/>
      <c r="C5527" s="7"/>
      <c r="D5527" s="7"/>
      <c r="E5527" s="7"/>
      <c r="F5527" s="7"/>
      <c r="G5527" s="7"/>
      <c r="H5527" s="8"/>
      <c r="I5527" s="8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</row>
    <row r="5528" hidden="1">
      <c r="A5528" s="7"/>
      <c r="B5528" s="7"/>
      <c r="C5528" s="7"/>
      <c r="D5528" s="7"/>
      <c r="E5528" s="7"/>
      <c r="F5528" s="7"/>
      <c r="G5528" s="7"/>
      <c r="H5528" s="8"/>
      <c r="I5528" s="8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</row>
    <row r="5529" hidden="1">
      <c r="A5529" s="7"/>
      <c r="B5529" s="7"/>
      <c r="C5529" s="7"/>
      <c r="D5529" s="7"/>
      <c r="E5529" s="7"/>
      <c r="F5529" s="7"/>
      <c r="G5529" s="7"/>
      <c r="H5529" s="8"/>
      <c r="I5529" s="8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</row>
    <row r="5530" hidden="1">
      <c r="A5530" s="7"/>
      <c r="B5530" s="7"/>
      <c r="C5530" s="7"/>
      <c r="D5530" s="7"/>
      <c r="E5530" s="7"/>
      <c r="F5530" s="7"/>
      <c r="G5530" s="7"/>
      <c r="H5530" s="8"/>
      <c r="I5530" s="8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</row>
    <row r="5531" hidden="1">
      <c r="A5531" s="7"/>
      <c r="B5531" s="7"/>
      <c r="C5531" s="7"/>
      <c r="D5531" s="7"/>
      <c r="E5531" s="7"/>
      <c r="F5531" s="7"/>
      <c r="G5531" s="7"/>
      <c r="H5531" s="8"/>
      <c r="I5531" s="8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</row>
    <row r="5532" hidden="1">
      <c r="A5532" s="7"/>
      <c r="B5532" s="7"/>
      <c r="C5532" s="7"/>
      <c r="D5532" s="7"/>
      <c r="E5532" s="7"/>
      <c r="F5532" s="7"/>
      <c r="G5532" s="7"/>
      <c r="H5532" s="8"/>
      <c r="I5532" s="8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</row>
    <row r="5533" hidden="1">
      <c r="A5533" s="7"/>
      <c r="B5533" s="7"/>
      <c r="C5533" s="7"/>
      <c r="D5533" s="7"/>
      <c r="E5533" s="7"/>
      <c r="F5533" s="7"/>
      <c r="G5533" s="7"/>
      <c r="H5533" s="8"/>
      <c r="I5533" s="8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</row>
    <row r="5534" hidden="1">
      <c r="A5534" s="7"/>
      <c r="B5534" s="7"/>
      <c r="C5534" s="7"/>
      <c r="D5534" s="7"/>
      <c r="E5534" s="7"/>
      <c r="F5534" s="7"/>
      <c r="G5534" s="7"/>
      <c r="H5534" s="8"/>
      <c r="I5534" s="8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</row>
    <row r="5535" hidden="1">
      <c r="A5535" s="7"/>
      <c r="B5535" s="7"/>
      <c r="C5535" s="7"/>
      <c r="D5535" s="7"/>
      <c r="E5535" s="7"/>
      <c r="F5535" s="7"/>
      <c r="G5535" s="7"/>
      <c r="H5535" s="8"/>
      <c r="I5535" s="8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</row>
    <row r="5536" hidden="1">
      <c r="A5536" s="7"/>
      <c r="B5536" s="7"/>
      <c r="C5536" s="7"/>
      <c r="D5536" s="7"/>
      <c r="E5536" s="7"/>
      <c r="F5536" s="7"/>
      <c r="G5536" s="7"/>
      <c r="H5536" s="8"/>
      <c r="I5536" s="8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</row>
    <row r="5537" hidden="1">
      <c r="A5537" s="7"/>
      <c r="B5537" s="7"/>
      <c r="C5537" s="7"/>
      <c r="D5537" s="7"/>
      <c r="E5537" s="7"/>
      <c r="F5537" s="7"/>
      <c r="G5537" s="7"/>
      <c r="H5537" s="8"/>
      <c r="I5537" s="8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</row>
    <row r="5538" hidden="1">
      <c r="A5538" s="7"/>
      <c r="B5538" s="7"/>
      <c r="C5538" s="7"/>
      <c r="D5538" s="7"/>
      <c r="E5538" s="7"/>
      <c r="F5538" s="7"/>
      <c r="G5538" s="7"/>
      <c r="H5538" s="8"/>
      <c r="I5538" s="8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</row>
    <row r="5539" hidden="1">
      <c r="A5539" s="7"/>
      <c r="B5539" s="7"/>
      <c r="C5539" s="7"/>
      <c r="D5539" s="7"/>
      <c r="E5539" s="7"/>
      <c r="F5539" s="7"/>
      <c r="G5539" s="7"/>
      <c r="H5539" s="8"/>
      <c r="I5539" s="8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</row>
    <row r="5540" hidden="1">
      <c r="A5540" s="7"/>
      <c r="B5540" s="7"/>
      <c r="C5540" s="7"/>
      <c r="D5540" s="7"/>
      <c r="E5540" s="7"/>
      <c r="F5540" s="7"/>
      <c r="G5540" s="7"/>
      <c r="H5540" s="8"/>
      <c r="I5540" s="8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</row>
    <row r="5541" hidden="1">
      <c r="A5541" s="7"/>
      <c r="B5541" s="7"/>
      <c r="C5541" s="7"/>
      <c r="D5541" s="7"/>
      <c r="E5541" s="7"/>
      <c r="F5541" s="7"/>
      <c r="G5541" s="7"/>
      <c r="H5541" s="8"/>
      <c r="I5541" s="8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</row>
    <row r="5542" hidden="1">
      <c r="A5542" s="7"/>
      <c r="B5542" s="7"/>
      <c r="C5542" s="7"/>
      <c r="D5542" s="7"/>
      <c r="E5542" s="7"/>
      <c r="F5542" s="7"/>
      <c r="G5542" s="7"/>
      <c r="H5542" s="8"/>
      <c r="I5542" s="8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</row>
    <row r="5543" hidden="1">
      <c r="A5543" s="7"/>
      <c r="B5543" s="7"/>
      <c r="C5543" s="7"/>
      <c r="D5543" s="7"/>
      <c r="E5543" s="7"/>
      <c r="F5543" s="7"/>
      <c r="G5543" s="7"/>
      <c r="H5543" s="8"/>
      <c r="I5543" s="8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</row>
    <row r="5544" hidden="1">
      <c r="A5544" s="7"/>
      <c r="B5544" s="7"/>
      <c r="C5544" s="7"/>
      <c r="D5544" s="7"/>
      <c r="E5544" s="7"/>
      <c r="F5544" s="7"/>
      <c r="G5544" s="7"/>
      <c r="H5544" s="8"/>
      <c r="I5544" s="8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</row>
    <row r="5545" hidden="1">
      <c r="A5545" s="7"/>
      <c r="B5545" s="7"/>
      <c r="C5545" s="7"/>
      <c r="D5545" s="7"/>
      <c r="E5545" s="7"/>
      <c r="F5545" s="7"/>
      <c r="G5545" s="7"/>
      <c r="H5545" s="8"/>
      <c r="I5545" s="8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</row>
    <row r="5546" hidden="1">
      <c r="A5546" s="7"/>
      <c r="B5546" s="7"/>
      <c r="C5546" s="7"/>
      <c r="D5546" s="7"/>
      <c r="E5546" s="7"/>
      <c r="F5546" s="7"/>
      <c r="G5546" s="7"/>
      <c r="H5546" s="8"/>
      <c r="I5546" s="8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</row>
    <row r="5547" hidden="1">
      <c r="A5547" s="7"/>
      <c r="B5547" s="7"/>
      <c r="C5547" s="7"/>
      <c r="D5547" s="7"/>
      <c r="E5547" s="7"/>
      <c r="F5547" s="7"/>
      <c r="G5547" s="7"/>
      <c r="H5547" s="8"/>
      <c r="I5547" s="8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</row>
    <row r="5548" hidden="1">
      <c r="A5548" s="7"/>
      <c r="B5548" s="7"/>
      <c r="C5548" s="7"/>
      <c r="D5548" s="7"/>
      <c r="E5548" s="7"/>
      <c r="F5548" s="7"/>
      <c r="G5548" s="7"/>
      <c r="H5548" s="8"/>
      <c r="I5548" s="8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</row>
    <row r="5549" hidden="1">
      <c r="A5549" s="7"/>
      <c r="B5549" s="7"/>
      <c r="C5549" s="7"/>
      <c r="D5549" s="7"/>
      <c r="E5549" s="7"/>
      <c r="F5549" s="7"/>
      <c r="G5549" s="7"/>
      <c r="H5549" s="8"/>
      <c r="I5549" s="8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</row>
    <row r="5550" hidden="1">
      <c r="A5550" s="7"/>
      <c r="B5550" s="7"/>
      <c r="C5550" s="7"/>
      <c r="D5550" s="7"/>
      <c r="E5550" s="7"/>
      <c r="F5550" s="7"/>
      <c r="G5550" s="7"/>
      <c r="H5550" s="8"/>
      <c r="I5550" s="8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</row>
    <row r="5551" hidden="1">
      <c r="A5551" s="7"/>
      <c r="B5551" s="7"/>
      <c r="C5551" s="7"/>
      <c r="D5551" s="7"/>
      <c r="E5551" s="7"/>
      <c r="F5551" s="7"/>
      <c r="G5551" s="7"/>
      <c r="H5551" s="8"/>
      <c r="I5551" s="8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</row>
    <row r="5552" hidden="1">
      <c r="A5552" s="7"/>
      <c r="B5552" s="7"/>
      <c r="C5552" s="7"/>
      <c r="D5552" s="7"/>
      <c r="E5552" s="7"/>
      <c r="F5552" s="7"/>
      <c r="G5552" s="7"/>
      <c r="H5552" s="8"/>
      <c r="I5552" s="8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</row>
    <row r="5553" hidden="1">
      <c r="A5553" s="7"/>
      <c r="B5553" s="7"/>
      <c r="C5553" s="7"/>
      <c r="D5553" s="7"/>
      <c r="E5553" s="7"/>
      <c r="F5553" s="7"/>
      <c r="G5553" s="7"/>
      <c r="H5553" s="8"/>
      <c r="I5553" s="8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</row>
    <row r="5554" hidden="1">
      <c r="A5554" s="7"/>
      <c r="B5554" s="7"/>
      <c r="C5554" s="7"/>
      <c r="D5554" s="7"/>
      <c r="E5554" s="7"/>
      <c r="F5554" s="7"/>
      <c r="G5554" s="7"/>
      <c r="H5554" s="8"/>
      <c r="I5554" s="8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</row>
    <row r="5555" hidden="1">
      <c r="A5555" s="7"/>
      <c r="B5555" s="7"/>
      <c r="C5555" s="7"/>
      <c r="D5555" s="7"/>
      <c r="E5555" s="7"/>
      <c r="F5555" s="7"/>
      <c r="G5555" s="7"/>
      <c r="H5555" s="8"/>
      <c r="I5555" s="8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</row>
    <row r="5556" hidden="1">
      <c r="A5556" s="7"/>
      <c r="B5556" s="7"/>
      <c r="C5556" s="7"/>
      <c r="D5556" s="7"/>
      <c r="E5556" s="7"/>
      <c r="F5556" s="7"/>
      <c r="G5556" s="7"/>
      <c r="H5556" s="8"/>
      <c r="I5556" s="8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</row>
    <row r="5557" hidden="1">
      <c r="A5557" s="7"/>
      <c r="B5557" s="7"/>
      <c r="C5557" s="7"/>
      <c r="D5557" s="7"/>
      <c r="E5557" s="7"/>
      <c r="F5557" s="7"/>
      <c r="G5557" s="7"/>
      <c r="H5557" s="8"/>
      <c r="I5557" s="8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</row>
    <row r="5558" hidden="1">
      <c r="A5558" s="7"/>
      <c r="B5558" s="7"/>
      <c r="C5558" s="7"/>
      <c r="D5558" s="7"/>
      <c r="E5558" s="7"/>
      <c r="F5558" s="7"/>
      <c r="G5558" s="7"/>
      <c r="H5558" s="8"/>
      <c r="I5558" s="8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</row>
    <row r="5559" hidden="1">
      <c r="A5559" s="7"/>
      <c r="B5559" s="7"/>
      <c r="C5559" s="7"/>
      <c r="D5559" s="7"/>
      <c r="E5559" s="7"/>
      <c r="F5559" s="7"/>
      <c r="G5559" s="7"/>
      <c r="H5559" s="8"/>
      <c r="I5559" s="8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</row>
    <row r="5560" hidden="1">
      <c r="A5560" s="7"/>
      <c r="B5560" s="7"/>
      <c r="C5560" s="7"/>
      <c r="D5560" s="7"/>
      <c r="E5560" s="7"/>
      <c r="F5560" s="7"/>
      <c r="G5560" s="7"/>
      <c r="H5560" s="8"/>
      <c r="I5560" s="8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</row>
    <row r="5561" hidden="1">
      <c r="A5561" s="7"/>
      <c r="B5561" s="7"/>
      <c r="C5561" s="7"/>
      <c r="D5561" s="7"/>
      <c r="E5561" s="7"/>
      <c r="F5561" s="7"/>
      <c r="G5561" s="7"/>
      <c r="H5561" s="8"/>
      <c r="I5561" s="8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</row>
    <row r="5562" hidden="1">
      <c r="A5562" s="7"/>
      <c r="B5562" s="7"/>
      <c r="C5562" s="7"/>
      <c r="D5562" s="7"/>
      <c r="E5562" s="7"/>
      <c r="F5562" s="7"/>
      <c r="G5562" s="7"/>
      <c r="H5562" s="8"/>
      <c r="I5562" s="8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</row>
    <row r="5563" hidden="1">
      <c r="A5563" s="7"/>
      <c r="B5563" s="7"/>
      <c r="C5563" s="7"/>
      <c r="D5563" s="7"/>
      <c r="E5563" s="7"/>
      <c r="F5563" s="7"/>
      <c r="G5563" s="7"/>
      <c r="H5563" s="8"/>
      <c r="I5563" s="8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</row>
    <row r="5564" hidden="1">
      <c r="A5564" s="7"/>
      <c r="B5564" s="7"/>
      <c r="C5564" s="7"/>
      <c r="D5564" s="7"/>
      <c r="E5564" s="7"/>
      <c r="F5564" s="7"/>
      <c r="G5564" s="7"/>
      <c r="H5564" s="8"/>
      <c r="I5564" s="8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</row>
    <row r="5565" hidden="1">
      <c r="A5565" s="7"/>
      <c r="B5565" s="7"/>
      <c r="C5565" s="7"/>
      <c r="D5565" s="7"/>
      <c r="E5565" s="7"/>
      <c r="F5565" s="7"/>
      <c r="G5565" s="7"/>
      <c r="H5565" s="8"/>
      <c r="I5565" s="8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</row>
    <row r="5566" hidden="1">
      <c r="A5566" s="7"/>
      <c r="B5566" s="7"/>
      <c r="C5566" s="7"/>
      <c r="D5566" s="7"/>
      <c r="E5566" s="7"/>
      <c r="F5566" s="7"/>
      <c r="G5566" s="7"/>
      <c r="H5566" s="8"/>
      <c r="I5566" s="8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</row>
    <row r="5567" hidden="1">
      <c r="A5567" s="7"/>
      <c r="B5567" s="7"/>
      <c r="C5567" s="7"/>
      <c r="D5567" s="7"/>
      <c r="E5567" s="7"/>
      <c r="F5567" s="7"/>
      <c r="G5567" s="7"/>
      <c r="H5567" s="8"/>
      <c r="I5567" s="8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</row>
    <row r="5568" hidden="1">
      <c r="A5568" s="7"/>
      <c r="B5568" s="7"/>
      <c r="C5568" s="7"/>
      <c r="D5568" s="7"/>
      <c r="E5568" s="7"/>
      <c r="F5568" s="7"/>
      <c r="G5568" s="7"/>
      <c r="H5568" s="8"/>
      <c r="I5568" s="8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</row>
    <row r="5569" hidden="1">
      <c r="A5569" s="7"/>
      <c r="B5569" s="7"/>
      <c r="C5569" s="7"/>
      <c r="D5569" s="7"/>
      <c r="E5569" s="7"/>
      <c r="F5569" s="7"/>
      <c r="G5569" s="7"/>
      <c r="H5569" s="8"/>
      <c r="I5569" s="8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</row>
    <row r="5570" hidden="1">
      <c r="A5570" s="7"/>
      <c r="B5570" s="7"/>
      <c r="C5570" s="7"/>
      <c r="D5570" s="7"/>
      <c r="E5570" s="7"/>
      <c r="F5570" s="7"/>
      <c r="G5570" s="7"/>
      <c r="H5570" s="8"/>
      <c r="I5570" s="8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</row>
    <row r="5571" hidden="1">
      <c r="A5571" s="7"/>
      <c r="B5571" s="7"/>
      <c r="C5571" s="7"/>
      <c r="D5571" s="7"/>
      <c r="E5571" s="7"/>
      <c r="F5571" s="7"/>
      <c r="G5571" s="7"/>
      <c r="H5571" s="8"/>
      <c r="I5571" s="8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</row>
    <row r="5572" hidden="1">
      <c r="A5572" s="7"/>
      <c r="B5572" s="7"/>
      <c r="C5572" s="7"/>
      <c r="D5572" s="7"/>
      <c r="E5572" s="7"/>
      <c r="F5572" s="7"/>
      <c r="G5572" s="7"/>
      <c r="H5572" s="8"/>
      <c r="I5572" s="8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</row>
    <row r="5573" hidden="1">
      <c r="A5573" s="7"/>
      <c r="B5573" s="7"/>
      <c r="C5573" s="7"/>
      <c r="D5573" s="7"/>
      <c r="E5573" s="7"/>
      <c r="F5573" s="7"/>
      <c r="G5573" s="7"/>
      <c r="H5573" s="8"/>
      <c r="I5573" s="8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</row>
    <row r="5574" hidden="1">
      <c r="A5574" s="7"/>
      <c r="B5574" s="7"/>
      <c r="C5574" s="7"/>
      <c r="D5574" s="7"/>
      <c r="E5574" s="7"/>
      <c r="F5574" s="7"/>
      <c r="G5574" s="7"/>
      <c r="H5574" s="8"/>
      <c r="I5574" s="8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</row>
    <row r="5575" hidden="1">
      <c r="A5575" s="7"/>
      <c r="B5575" s="7"/>
      <c r="C5575" s="7"/>
      <c r="D5575" s="7"/>
      <c r="E5575" s="7"/>
      <c r="F5575" s="7"/>
      <c r="G5575" s="7"/>
      <c r="H5575" s="8"/>
      <c r="I5575" s="8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</row>
    <row r="5576" hidden="1">
      <c r="A5576" s="7"/>
      <c r="B5576" s="7"/>
      <c r="C5576" s="7"/>
      <c r="D5576" s="7"/>
      <c r="E5576" s="7"/>
      <c r="F5576" s="7"/>
      <c r="G5576" s="7"/>
      <c r="H5576" s="8"/>
      <c r="I5576" s="8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</row>
    <row r="5577" hidden="1">
      <c r="A5577" s="7"/>
      <c r="B5577" s="7"/>
      <c r="C5577" s="7"/>
      <c r="D5577" s="7"/>
      <c r="E5577" s="7"/>
      <c r="F5577" s="7"/>
      <c r="G5577" s="7"/>
      <c r="H5577" s="8"/>
      <c r="I5577" s="8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</row>
    <row r="5578" hidden="1">
      <c r="A5578" s="7"/>
      <c r="B5578" s="7"/>
      <c r="C5578" s="7"/>
      <c r="D5578" s="7"/>
      <c r="E5578" s="7"/>
      <c r="F5578" s="7"/>
      <c r="G5578" s="7"/>
      <c r="H5578" s="8"/>
      <c r="I5578" s="8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</row>
    <row r="5579" hidden="1">
      <c r="A5579" s="7"/>
      <c r="B5579" s="7"/>
      <c r="C5579" s="7"/>
      <c r="D5579" s="7"/>
      <c r="E5579" s="7"/>
      <c r="F5579" s="7"/>
      <c r="G5579" s="7"/>
      <c r="H5579" s="8"/>
      <c r="I5579" s="8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</row>
    <row r="5580" hidden="1">
      <c r="A5580" s="7"/>
      <c r="B5580" s="7"/>
      <c r="C5580" s="7"/>
      <c r="D5580" s="7"/>
      <c r="E5580" s="7"/>
      <c r="F5580" s="7"/>
      <c r="G5580" s="7"/>
      <c r="H5580" s="8"/>
      <c r="I5580" s="8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</row>
    <row r="5581" hidden="1">
      <c r="A5581" s="7"/>
      <c r="B5581" s="7"/>
      <c r="C5581" s="7"/>
      <c r="D5581" s="7"/>
      <c r="E5581" s="7"/>
      <c r="F5581" s="7"/>
      <c r="G5581" s="7"/>
      <c r="H5581" s="8"/>
      <c r="I5581" s="8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</row>
    <row r="5582" hidden="1">
      <c r="A5582" s="7"/>
      <c r="B5582" s="7"/>
      <c r="C5582" s="7"/>
      <c r="D5582" s="7"/>
      <c r="E5582" s="7"/>
      <c r="F5582" s="7"/>
      <c r="G5582" s="7"/>
      <c r="H5582" s="8"/>
      <c r="I5582" s="8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</row>
    <row r="5583" hidden="1">
      <c r="A5583" s="7"/>
      <c r="B5583" s="7"/>
      <c r="C5583" s="7"/>
      <c r="D5583" s="7"/>
      <c r="E5583" s="7"/>
      <c r="F5583" s="7"/>
      <c r="G5583" s="7"/>
      <c r="H5583" s="8"/>
      <c r="I5583" s="8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</row>
    <row r="5584" hidden="1">
      <c r="A5584" s="7"/>
      <c r="B5584" s="7"/>
      <c r="C5584" s="7"/>
      <c r="D5584" s="7"/>
      <c r="E5584" s="7"/>
      <c r="F5584" s="7"/>
      <c r="G5584" s="7"/>
      <c r="H5584" s="8"/>
      <c r="I5584" s="8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</row>
    <row r="5585" hidden="1">
      <c r="A5585" s="7"/>
      <c r="B5585" s="7"/>
      <c r="C5585" s="7"/>
      <c r="D5585" s="7"/>
      <c r="E5585" s="7"/>
      <c r="F5585" s="7"/>
      <c r="G5585" s="7"/>
      <c r="H5585" s="8"/>
      <c r="I5585" s="8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</row>
    <row r="5586" hidden="1">
      <c r="A5586" s="7"/>
      <c r="B5586" s="7"/>
      <c r="C5586" s="7"/>
      <c r="D5586" s="7"/>
      <c r="E5586" s="7"/>
      <c r="F5586" s="7"/>
      <c r="G5586" s="7"/>
      <c r="H5586" s="8"/>
      <c r="I5586" s="8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</row>
    <row r="5587" hidden="1">
      <c r="A5587" s="7"/>
      <c r="B5587" s="7"/>
      <c r="C5587" s="7"/>
      <c r="D5587" s="7"/>
      <c r="E5587" s="7"/>
      <c r="F5587" s="7"/>
      <c r="G5587" s="7"/>
      <c r="H5587" s="8"/>
      <c r="I5587" s="8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</row>
    <row r="5588" hidden="1">
      <c r="A5588" s="7"/>
      <c r="B5588" s="7"/>
      <c r="C5588" s="7"/>
      <c r="D5588" s="7"/>
      <c r="E5588" s="7"/>
      <c r="F5588" s="7"/>
      <c r="G5588" s="7"/>
      <c r="H5588" s="8"/>
      <c r="I5588" s="8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</row>
    <row r="5589" hidden="1">
      <c r="A5589" s="7"/>
      <c r="B5589" s="7"/>
      <c r="C5589" s="7"/>
      <c r="D5589" s="7"/>
      <c r="E5589" s="7"/>
      <c r="F5589" s="7"/>
      <c r="G5589" s="7"/>
      <c r="H5589" s="8"/>
      <c r="I5589" s="8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</row>
    <row r="5590" hidden="1">
      <c r="A5590" s="7"/>
      <c r="B5590" s="7"/>
      <c r="C5590" s="7"/>
      <c r="D5590" s="7"/>
      <c r="E5590" s="7"/>
      <c r="F5590" s="7"/>
      <c r="G5590" s="7"/>
      <c r="H5590" s="8"/>
      <c r="I5590" s="8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</row>
    <row r="5591" hidden="1">
      <c r="A5591" s="7"/>
      <c r="B5591" s="7"/>
      <c r="C5591" s="7"/>
      <c r="D5591" s="7"/>
      <c r="E5591" s="7"/>
      <c r="F5591" s="7"/>
      <c r="G5591" s="7"/>
      <c r="H5591" s="8"/>
      <c r="I5591" s="8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</row>
    <row r="5592" hidden="1">
      <c r="A5592" s="7"/>
      <c r="B5592" s="7"/>
      <c r="C5592" s="7"/>
      <c r="D5592" s="7"/>
      <c r="E5592" s="7"/>
      <c r="F5592" s="7"/>
      <c r="G5592" s="7"/>
      <c r="H5592" s="8"/>
      <c r="I5592" s="8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</row>
    <row r="5593" hidden="1">
      <c r="A5593" s="7"/>
      <c r="B5593" s="7"/>
      <c r="C5593" s="7"/>
      <c r="D5593" s="7"/>
      <c r="E5593" s="7"/>
      <c r="F5593" s="7"/>
      <c r="G5593" s="7"/>
      <c r="H5593" s="8"/>
      <c r="I5593" s="8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</row>
    <row r="5594" hidden="1">
      <c r="A5594" s="7"/>
      <c r="B5594" s="7"/>
      <c r="C5594" s="7"/>
      <c r="D5594" s="7"/>
      <c r="E5594" s="7"/>
      <c r="F5594" s="7"/>
      <c r="G5594" s="7"/>
      <c r="H5594" s="8"/>
      <c r="I5594" s="8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</row>
    <row r="5595" hidden="1">
      <c r="A5595" s="7"/>
      <c r="B5595" s="7"/>
      <c r="C5595" s="7"/>
      <c r="D5595" s="7"/>
      <c r="E5595" s="7"/>
      <c r="F5595" s="7"/>
      <c r="G5595" s="7"/>
      <c r="H5595" s="8"/>
      <c r="I5595" s="8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</row>
    <row r="5596" hidden="1">
      <c r="A5596" s="7"/>
      <c r="B5596" s="7"/>
      <c r="C5596" s="7"/>
      <c r="D5596" s="7"/>
      <c r="E5596" s="7"/>
      <c r="F5596" s="7"/>
      <c r="G5596" s="7"/>
      <c r="H5596" s="8"/>
      <c r="I5596" s="8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</row>
    <row r="5597" hidden="1">
      <c r="A5597" s="7"/>
      <c r="B5597" s="7"/>
      <c r="C5597" s="7"/>
      <c r="D5597" s="7"/>
      <c r="E5597" s="7"/>
      <c r="F5597" s="7"/>
      <c r="G5597" s="7"/>
      <c r="H5597" s="8"/>
      <c r="I5597" s="8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</row>
    <row r="5598" hidden="1">
      <c r="A5598" s="7"/>
      <c r="B5598" s="7"/>
      <c r="C5598" s="7"/>
      <c r="D5598" s="7"/>
      <c r="E5598" s="7"/>
      <c r="F5598" s="7"/>
      <c r="G5598" s="7"/>
      <c r="H5598" s="8"/>
      <c r="I5598" s="8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</row>
    <row r="5599" hidden="1">
      <c r="A5599" s="7"/>
      <c r="B5599" s="7"/>
      <c r="C5599" s="7"/>
      <c r="D5599" s="7"/>
      <c r="E5599" s="7"/>
      <c r="F5599" s="7"/>
      <c r="G5599" s="7"/>
      <c r="H5599" s="8"/>
      <c r="I5599" s="8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</row>
    <row r="5600" hidden="1">
      <c r="A5600" s="7"/>
      <c r="B5600" s="7"/>
      <c r="C5600" s="7"/>
      <c r="D5600" s="7"/>
      <c r="E5600" s="7"/>
      <c r="F5600" s="7"/>
      <c r="G5600" s="7"/>
      <c r="H5600" s="8"/>
      <c r="I5600" s="8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</row>
    <row r="5601" hidden="1">
      <c r="A5601" s="7"/>
      <c r="B5601" s="7"/>
      <c r="C5601" s="7"/>
      <c r="D5601" s="7"/>
      <c r="E5601" s="7"/>
      <c r="F5601" s="7"/>
      <c r="G5601" s="7"/>
      <c r="H5601" s="8"/>
      <c r="I5601" s="8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</row>
    <row r="5602" hidden="1">
      <c r="A5602" s="7"/>
      <c r="B5602" s="7"/>
      <c r="C5602" s="7"/>
      <c r="D5602" s="7"/>
      <c r="E5602" s="7"/>
      <c r="F5602" s="7"/>
      <c r="G5602" s="7"/>
      <c r="H5602" s="8"/>
      <c r="I5602" s="8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</row>
    <row r="5603" hidden="1">
      <c r="A5603" s="7"/>
      <c r="B5603" s="7"/>
      <c r="C5603" s="7"/>
      <c r="D5603" s="7"/>
      <c r="E5603" s="7"/>
      <c r="F5603" s="7"/>
      <c r="G5603" s="7"/>
      <c r="H5603" s="8"/>
      <c r="I5603" s="8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</row>
    <row r="5604" hidden="1">
      <c r="A5604" s="7"/>
      <c r="B5604" s="7"/>
      <c r="C5604" s="7"/>
      <c r="D5604" s="7"/>
      <c r="E5604" s="7"/>
      <c r="F5604" s="7"/>
      <c r="G5604" s="7"/>
      <c r="H5604" s="8"/>
      <c r="I5604" s="8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</row>
    <row r="5605" hidden="1">
      <c r="A5605" s="7"/>
      <c r="B5605" s="7"/>
      <c r="C5605" s="7"/>
      <c r="D5605" s="7"/>
      <c r="E5605" s="7"/>
      <c r="F5605" s="7"/>
      <c r="G5605" s="7"/>
      <c r="H5605" s="8"/>
      <c r="I5605" s="8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</row>
    <row r="5606" hidden="1">
      <c r="A5606" s="7"/>
      <c r="B5606" s="7"/>
      <c r="C5606" s="7"/>
      <c r="D5606" s="7"/>
      <c r="E5606" s="7"/>
      <c r="F5606" s="7"/>
      <c r="G5606" s="7"/>
      <c r="H5606" s="8"/>
      <c r="I5606" s="8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</row>
    <row r="5607" hidden="1">
      <c r="A5607" s="7"/>
      <c r="B5607" s="7"/>
      <c r="C5607" s="7"/>
      <c r="D5607" s="7"/>
      <c r="E5607" s="7"/>
      <c r="F5607" s="7"/>
      <c r="G5607" s="7"/>
      <c r="H5607" s="8"/>
      <c r="I5607" s="8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</row>
    <row r="5608" hidden="1">
      <c r="A5608" s="7"/>
      <c r="B5608" s="7"/>
      <c r="C5608" s="7"/>
      <c r="D5608" s="7"/>
      <c r="E5608" s="7"/>
      <c r="F5608" s="7"/>
      <c r="G5608" s="7"/>
      <c r="H5608" s="8"/>
      <c r="I5608" s="8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</row>
    <row r="5609" hidden="1">
      <c r="A5609" s="7"/>
      <c r="B5609" s="7"/>
      <c r="C5609" s="7"/>
      <c r="D5609" s="7"/>
      <c r="E5609" s="7"/>
      <c r="F5609" s="7"/>
      <c r="G5609" s="7"/>
      <c r="H5609" s="8"/>
      <c r="I5609" s="8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</row>
    <row r="5610" hidden="1">
      <c r="A5610" s="7"/>
      <c r="B5610" s="7"/>
      <c r="C5610" s="7"/>
      <c r="D5610" s="7"/>
      <c r="E5610" s="7"/>
      <c r="F5610" s="7"/>
      <c r="G5610" s="7"/>
      <c r="H5610" s="8"/>
      <c r="I5610" s="8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</row>
    <row r="5611" hidden="1">
      <c r="A5611" s="7"/>
      <c r="B5611" s="7"/>
      <c r="C5611" s="7"/>
      <c r="D5611" s="7"/>
      <c r="E5611" s="7"/>
      <c r="F5611" s="7"/>
      <c r="G5611" s="7"/>
      <c r="H5611" s="8"/>
      <c r="I5611" s="8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</row>
    <row r="5612" hidden="1">
      <c r="A5612" s="7"/>
      <c r="B5612" s="7"/>
      <c r="C5612" s="7"/>
      <c r="D5612" s="7"/>
      <c r="E5612" s="7"/>
      <c r="F5612" s="7"/>
      <c r="G5612" s="7"/>
      <c r="H5612" s="8"/>
      <c r="I5612" s="8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</row>
    <row r="5613" hidden="1">
      <c r="A5613" s="7"/>
      <c r="B5613" s="7"/>
      <c r="C5613" s="7"/>
      <c r="D5613" s="7"/>
      <c r="E5613" s="7"/>
      <c r="F5613" s="7"/>
      <c r="G5613" s="7"/>
      <c r="H5613" s="8"/>
      <c r="I5613" s="8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</row>
    <row r="5614" hidden="1">
      <c r="A5614" s="7"/>
      <c r="B5614" s="7"/>
      <c r="C5614" s="7"/>
      <c r="D5614" s="7"/>
      <c r="E5614" s="7"/>
      <c r="F5614" s="7"/>
      <c r="G5614" s="7"/>
      <c r="H5614" s="8"/>
      <c r="I5614" s="8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</row>
    <row r="5615" hidden="1">
      <c r="A5615" s="7"/>
      <c r="B5615" s="7"/>
      <c r="C5615" s="7"/>
      <c r="D5615" s="7"/>
      <c r="E5615" s="7"/>
      <c r="F5615" s="7"/>
      <c r="G5615" s="7"/>
      <c r="H5615" s="8"/>
      <c r="I5615" s="8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</row>
    <row r="5616" hidden="1">
      <c r="A5616" s="7"/>
      <c r="B5616" s="7"/>
      <c r="C5616" s="7"/>
      <c r="D5616" s="7"/>
      <c r="E5616" s="7"/>
      <c r="F5616" s="7"/>
      <c r="G5616" s="7"/>
      <c r="H5616" s="8"/>
      <c r="I5616" s="8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</row>
    <row r="5617" hidden="1">
      <c r="A5617" s="7"/>
      <c r="B5617" s="7"/>
      <c r="C5617" s="7"/>
      <c r="D5617" s="7"/>
      <c r="E5617" s="7"/>
      <c r="F5617" s="7"/>
      <c r="G5617" s="7"/>
      <c r="H5617" s="8"/>
      <c r="I5617" s="8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</row>
    <row r="5618" hidden="1">
      <c r="A5618" s="7"/>
      <c r="B5618" s="7"/>
      <c r="C5618" s="7"/>
      <c r="D5618" s="7"/>
      <c r="E5618" s="7"/>
      <c r="F5618" s="7"/>
      <c r="G5618" s="7"/>
      <c r="H5618" s="8"/>
      <c r="I5618" s="8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</row>
    <row r="5619" hidden="1">
      <c r="A5619" s="7"/>
      <c r="B5619" s="7"/>
      <c r="C5619" s="7"/>
      <c r="D5619" s="7"/>
      <c r="E5619" s="7"/>
      <c r="F5619" s="7"/>
      <c r="G5619" s="7"/>
      <c r="H5619" s="8"/>
      <c r="I5619" s="8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</row>
    <row r="5620" hidden="1">
      <c r="A5620" s="7"/>
      <c r="B5620" s="7"/>
      <c r="C5620" s="7"/>
      <c r="D5620" s="7"/>
      <c r="E5620" s="7"/>
      <c r="F5620" s="7"/>
      <c r="G5620" s="7"/>
      <c r="H5620" s="8"/>
      <c r="I5620" s="8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</row>
    <row r="5621" hidden="1">
      <c r="A5621" s="7"/>
      <c r="B5621" s="7"/>
      <c r="C5621" s="7"/>
      <c r="D5621" s="7"/>
      <c r="E5621" s="7"/>
      <c r="F5621" s="7"/>
      <c r="G5621" s="7"/>
      <c r="H5621" s="8"/>
      <c r="I5621" s="8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</row>
    <row r="5622" hidden="1">
      <c r="A5622" s="7"/>
      <c r="B5622" s="7"/>
      <c r="C5622" s="7"/>
      <c r="D5622" s="7"/>
      <c r="E5622" s="7"/>
      <c r="F5622" s="7"/>
      <c r="G5622" s="7"/>
      <c r="H5622" s="8"/>
      <c r="I5622" s="8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</row>
    <row r="5623" hidden="1">
      <c r="A5623" s="7"/>
      <c r="B5623" s="7"/>
      <c r="C5623" s="7"/>
      <c r="D5623" s="7"/>
      <c r="E5623" s="7"/>
      <c r="F5623" s="7"/>
      <c r="G5623" s="7"/>
      <c r="H5623" s="8"/>
      <c r="I5623" s="8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</row>
    <row r="5624" hidden="1">
      <c r="A5624" s="7"/>
      <c r="B5624" s="7"/>
      <c r="C5624" s="7"/>
      <c r="D5624" s="7"/>
      <c r="E5624" s="7"/>
      <c r="F5624" s="7"/>
      <c r="G5624" s="7"/>
      <c r="H5624" s="8"/>
      <c r="I5624" s="8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</row>
    <row r="5625" hidden="1">
      <c r="A5625" s="7"/>
      <c r="B5625" s="7"/>
      <c r="C5625" s="7"/>
      <c r="D5625" s="7"/>
      <c r="E5625" s="7"/>
      <c r="F5625" s="7"/>
      <c r="G5625" s="7"/>
      <c r="H5625" s="8"/>
      <c r="I5625" s="8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</row>
    <row r="5626" hidden="1">
      <c r="A5626" s="7"/>
      <c r="B5626" s="7"/>
      <c r="C5626" s="7"/>
      <c r="D5626" s="7"/>
      <c r="E5626" s="7"/>
      <c r="F5626" s="7"/>
      <c r="G5626" s="7"/>
      <c r="H5626" s="8"/>
      <c r="I5626" s="8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</row>
    <row r="5627" hidden="1">
      <c r="A5627" s="7"/>
      <c r="B5627" s="7"/>
      <c r="C5627" s="7"/>
      <c r="D5627" s="7"/>
      <c r="E5627" s="7"/>
      <c r="F5627" s="7"/>
      <c r="G5627" s="7"/>
      <c r="H5627" s="8"/>
      <c r="I5627" s="8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</row>
    <row r="5628" hidden="1">
      <c r="A5628" s="7"/>
      <c r="B5628" s="7"/>
      <c r="C5628" s="7"/>
      <c r="D5628" s="7"/>
      <c r="E5628" s="7"/>
      <c r="F5628" s="7"/>
      <c r="G5628" s="7"/>
      <c r="H5628" s="8"/>
      <c r="I5628" s="8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</row>
    <row r="5629" hidden="1">
      <c r="A5629" s="7"/>
      <c r="B5629" s="7"/>
      <c r="C5629" s="7"/>
      <c r="D5629" s="7"/>
      <c r="E5629" s="7"/>
      <c r="F5629" s="7"/>
      <c r="G5629" s="7"/>
      <c r="H5629" s="8"/>
      <c r="I5629" s="8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</row>
    <row r="5630" hidden="1">
      <c r="A5630" s="7"/>
      <c r="B5630" s="7"/>
      <c r="C5630" s="7"/>
      <c r="D5630" s="7"/>
      <c r="E5630" s="7"/>
      <c r="F5630" s="7"/>
      <c r="G5630" s="7"/>
      <c r="H5630" s="8"/>
      <c r="I5630" s="8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</row>
    <row r="5631" hidden="1">
      <c r="A5631" s="7"/>
      <c r="B5631" s="7"/>
      <c r="C5631" s="7"/>
      <c r="D5631" s="7"/>
      <c r="E5631" s="7"/>
      <c r="F5631" s="7"/>
      <c r="G5631" s="7"/>
      <c r="H5631" s="8"/>
      <c r="I5631" s="8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</row>
    <row r="5632" hidden="1">
      <c r="A5632" s="7"/>
      <c r="B5632" s="7"/>
      <c r="C5632" s="7"/>
      <c r="D5632" s="7"/>
      <c r="E5632" s="7"/>
      <c r="F5632" s="7"/>
      <c r="G5632" s="7"/>
      <c r="H5632" s="8"/>
      <c r="I5632" s="8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</row>
    <row r="5633" hidden="1">
      <c r="A5633" s="7"/>
      <c r="B5633" s="7"/>
      <c r="C5633" s="7"/>
      <c r="D5633" s="7"/>
      <c r="E5633" s="7"/>
      <c r="F5633" s="7"/>
      <c r="G5633" s="7"/>
      <c r="H5633" s="8"/>
      <c r="I5633" s="8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</row>
    <row r="5634" hidden="1">
      <c r="A5634" s="7"/>
      <c r="B5634" s="7"/>
      <c r="C5634" s="7"/>
      <c r="D5634" s="7"/>
      <c r="E5634" s="7"/>
      <c r="F5634" s="7"/>
      <c r="G5634" s="7"/>
      <c r="H5634" s="8"/>
      <c r="I5634" s="8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</row>
    <row r="5635" hidden="1">
      <c r="A5635" s="7"/>
      <c r="B5635" s="7"/>
      <c r="C5635" s="7"/>
      <c r="D5635" s="7"/>
      <c r="E5635" s="7"/>
      <c r="F5635" s="7"/>
      <c r="G5635" s="7"/>
      <c r="H5635" s="8"/>
      <c r="I5635" s="8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</row>
    <row r="5636" hidden="1">
      <c r="A5636" s="7"/>
      <c r="B5636" s="7"/>
      <c r="C5636" s="7"/>
      <c r="D5636" s="7"/>
      <c r="E5636" s="7"/>
      <c r="F5636" s="7"/>
      <c r="G5636" s="7"/>
      <c r="H5636" s="8"/>
      <c r="I5636" s="8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</row>
    <row r="5637" hidden="1">
      <c r="A5637" s="7"/>
      <c r="B5637" s="7"/>
      <c r="C5637" s="7"/>
      <c r="D5637" s="7"/>
      <c r="E5637" s="7"/>
      <c r="F5637" s="7"/>
      <c r="G5637" s="7"/>
      <c r="H5637" s="8"/>
      <c r="I5637" s="8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</row>
    <row r="5638" hidden="1">
      <c r="A5638" s="7"/>
      <c r="B5638" s="7"/>
      <c r="C5638" s="7"/>
      <c r="D5638" s="7"/>
      <c r="E5638" s="7"/>
      <c r="F5638" s="7"/>
      <c r="G5638" s="7"/>
      <c r="H5638" s="8"/>
      <c r="I5638" s="8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</row>
    <row r="5639" hidden="1">
      <c r="A5639" s="7"/>
      <c r="B5639" s="7"/>
      <c r="C5639" s="7"/>
      <c r="D5639" s="7"/>
      <c r="E5639" s="7"/>
      <c r="F5639" s="7"/>
      <c r="G5639" s="7"/>
      <c r="H5639" s="8"/>
      <c r="I5639" s="8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</row>
    <row r="5640" hidden="1">
      <c r="A5640" s="7"/>
      <c r="B5640" s="7"/>
      <c r="C5640" s="7"/>
      <c r="D5640" s="7"/>
      <c r="E5640" s="7"/>
      <c r="F5640" s="7"/>
      <c r="G5640" s="7"/>
      <c r="H5640" s="8"/>
      <c r="I5640" s="8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</row>
    <row r="5641" hidden="1">
      <c r="A5641" s="7"/>
      <c r="B5641" s="7"/>
      <c r="C5641" s="7"/>
      <c r="D5641" s="7"/>
      <c r="E5641" s="7"/>
      <c r="F5641" s="7"/>
      <c r="G5641" s="7"/>
      <c r="H5641" s="8"/>
      <c r="I5641" s="8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</row>
    <row r="5642" hidden="1">
      <c r="A5642" s="7"/>
      <c r="B5642" s="7"/>
      <c r="C5642" s="7"/>
      <c r="D5642" s="7"/>
      <c r="E5642" s="7"/>
      <c r="F5642" s="7"/>
      <c r="G5642" s="7"/>
      <c r="H5642" s="8"/>
      <c r="I5642" s="8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</row>
    <row r="5643" hidden="1">
      <c r="A5643" s="7"/>
      <c r="B5643" s="7"/>
      <c r="C5643" s="7"/>
      <c r="D5643" s="7"/>
      <c r="E5643" s="7"/>
      <c r="F5643" s="7"/>
      <c r="G5643" s="7"/>
      <c r="H5643" s="8"/>
      <c r="I5643" s="8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</row>
    <row r="5644" hidden="1">
      <c r="A5644" s="7"/>
      <c r="B5644" s="7"/>
      <c r="C5644" s="7"/>
      <c r="D5644" s="7"/>
      <c r="E5644" s="7"/>
      <c r="F5644" s="7"/>
      <c r="G5644" s="7"/>
      <c r="H5644" s="8"/>
      <c r="I5644" s="8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</row>
    <row r="5645" hidden="1">
      <c r="A5645" s="7"/>
      <c r="B5645" s="7"/>
      <c r="C5645" s="7"/>
      <c r="D5645" s="7"/>
      <c r="E5645" s="7"/>
      <c r="F5645" s="7"/>
      <c r="G5645" s="7"/>
      <c r="H5645" s="8"/>
      <c r="I5645" s="8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</row>
    <row r="5646" hidden="1">
      <c r="A5646" s="7"/>
      <c r="B5646" s="7"/>
      <c r="C5646" s="7"/>
      <c r="D5646" s="7"/>
      <c r="E5646" s="7"/>
      <c r="F5646" s="7"/>
      <c r="G5646" s="7"/>
      <c r="H5646" s="8"/>
      <c r="I5646" s="8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</row>
    <row r="5647" hidden="1">
      <c r="A5647" s="7"/>
      <c r="B5647" s="7"/>
      <c r="C5647" s="7"/>
      <c r="D5647" s="7"/>
      <c r="E5647" s="7"/>
      <c r="F5647" s="7"/>
      <c r="G5647" s="7"/>
      <c r="H5647" s="8"/>
      <c r="I5647" s="8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</row>
    <row r="5648" hidden="1">
      <c r="A5648" s="7"/>
      <c r="B5648" s="7"/>
      <c r="C5648" s="7"/>
      <c r="D5648" s="7"/>
      <c r="E5648" s="7"/>
      <c r="F5648" s="7"/>
      <c r="G5648" s="7"/>
      <c r="H5648" s="8"/>
      <c r="I5648" s="8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</row>
    <row r="5649" hidden="1">
      <c r="A5649" s="7"/>
      <c r="B5649" s="7"/>
      <c r="C5649" s="7"/>
      <c r="D5649" s="7"/>
      <c r="E5649" s="7"/>
      <c r="F5649" s="7"/>
      <c r="G5649" s="7"/>
      <c r="H5649" s="8"/>
      <c r="I5649" s="8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</row>
    <row r="5650" hidden="1">
      <c r="A5650" s="7"/>
      <c r="B5650" s="7"/>
      <c r="C5650" s="7"/>
      <c r="D5650" s="7"/>
      <c r="E5650" s="7"/>
      <c r="F5650" s="7"/>
      <c r="G5650" s="7"/>
      <c r="H5650" s="8"/>
      <c r="I5650" s="8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</row>
    <row r="5651" hidden="1">
      <c r="A5651" s="7"/>
      <c r="B5651" s="7"/>
      <c r="C5651" s="7"/>
      <c r="D5651" s="7"/>
      <c r="E5651" s="7"/>
      <c r="F5651" s="7"/>
      <c r="G5651" s="7"/>
      <c r="H5651" s="8"/>
      <c r="I5651" s="8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</row>
    <row r="5652" hidden="1">
      <c r="A5652" s="7"/>
      <c r="B5652" s="7"/>
      <c r="C5652" s="7"/>
      <c r="D5652" s="7"/>
      <c r="E5652" s="7"/>
      <c r="F5652" s="7"/>
      <c r="G5652" s="7"/>
      <c r="H5652" s="8"/>
      <c r="I5652" s="8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</row>
    <row r="5653" hidden="1">
      <c r="A5653" s="7"/>
      <c r="B5653" s="7"/>
      <c r="C5653" s="7"/>
      <c r="D5653" s="7"/>
      <c r="E5653" s="7"/>
      <c r="F5653" s="7"/>
      <c r="G5653" s="7"/>
      <c r="H5653" s="8"/>
      <c r="I5653" s="8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</row>
    <row r="5654" hidden="1">
      <c r="A5654" s="7"/>
      <c r="B5654" s="7"/>
      <c r="C5654" s="7"/>
      <c r="D5654" s="7"/>
      <c r="E5654" s="7"/>
      <c r="F5654" s="7"/>
      <c r="G5654" s="7"/>
      <c r="H5654" s="8"/>
      <c r="I5654" s="8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</row>
    <row r="5655" hidden="1">
      <c r="A5655" s="7"/>
      <c r="B5655" s="7"/>
      <c r="C5655" s="7"/>
      <c r="D5655" s="7"/>
      <c r="E5655" s="7"/>
      <c r="F5655" s="7"/>
      <c r="G5655" s="7"/>
      <c r="H5655" s="8"/>
      <c r="I5655" s="8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</row>
    <row r="5656" hidden="1">
      <c r="A5656" s="7"/>
      <c r="B5656" s="7"/>
      <c r="C5656" s="7"/>
      <c r="D5656" s="7"/>
      <c r="E5656" s="7"/>
      <c r="F5656" s="7"/>
      <c r="G5656" s="7"/>
      <c r="H5656" s="8"/>
      <c r="I5656" s="8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</row>
    <row r="5657" hidden="1">
      <c r="A5657" s="7"/>
      <c r="B5657" s="7"/>
      <c r="C5657" s="7"/>
      <c r="D5657" s="7"/>
      <c r="E5657" s="7"/>
      <c r="F5657" s="7"/>
      <c r="G5657" s="7"/>
      <c r="H5657" s="8"/>
      <c r="I5657" s="8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</row>
    <row r="5658" hidden="1">
      <c r="A5658" s="7"/>
      <c r="B5658" s="7"/>
      <c r="C5658" s="7"/>
      <c r="D5658" s="7"/>
      <c r="E5658" s="7"/>
      <c r="F5658" s="7"/>
      <c r="G5658" s="7"/>
      <c r="H5658" s="8"/>
      <c r="I5658" s="8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</row>
    <row r="5659" hidden="1">
      <c r="A5659" s="7"/>
      <c r="B5659" s="7"/>
      <c r="C5659" s="7"/>
      <c r="D5659" s="7"/>
      <c r="E5659" s="7"/>
      <c r="F5659" s="7"/>
      <c r="G5659" s="7"/>
      <c r="H5659" s="8"/>
      <c r="I5659" s="8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</row>
    <row r="5660" hidden="1">
      <c r="A5660" s="7"/>
      <c r="B5660" s="7"/>
      <c r="C5660" s="7"/>
      <c r="D5660" s="7"/>
      <c r="E5660" s="7"/>
      <c r="F5660" s="7"/>
      <c r="G5660" s="7"/>
      <c r="H5660" s="8"/>
      <c r="I5660" s="8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</row>
    <row r="5661" hidden="1">
      <c r="A5661" s="7"/>
      <c r="B5661" s="7"/>
      <c r="C5661" s="7"/>
      <c r="D5661" s="7"/>
      <c r="E5661" s="7"/>
      <c r="F5661" s="7"/>
      <c r="G5661" s="7"/>
      <c r="H5661" s="8"/>
      <c r="I5661" s="8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</row>
    <row r="5662" hidden="1">
      <c r="A5662" s="7"/>
      <c r="B5662" s="7"/>
      <c r="C5662" s="7"/>
      <c r="D5662" s="7"/>
      <c r="E5662" s="7"/>
      <c r="F5662" s="7"/>
      <c r="G5662" s="7"/>
      <c r="H5662" s="8"/>
      <c r="I5662" s="8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</row>
    <row r="5663" hidden="1">
      <c r="A5663" s="7"/>
      <c r="B5663" s="7"/>
      <c r="C5663" s="7"/>
      <c r="D5663" s="7"/>
      <c r="E5663" s="7"/>
      <c r="F5663" s="7"/>
      <c r="G5663" s="7"/>
      <c r="H5663" s="8"/>
      <c r="I5663" s="8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</row>
    <row r="5664" hidden="1">
      <c r="A5664" s="7"/>
      <c r="B5664" s="7"/>
      <c r="C5664" s="7"/>
      <c r="D5664" s="7"/>
      <c r="E5664" s="7"/>
      <c r="F5664" s="7"/>
      <c r="G5664" s="7"/>
      <c r="H5664" s="8"/>
      <c r="I5664" s="8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</row>
    <row r="5665" hidden="1">
      <c r="A5665" s="7"/>
      <c r="B5665" s="7"/>
      <c r="C5665" s="7"/>
      <c r="D5665" s="7"/>
      <c r="E5665" s="7"/>
      <c r="F5665" s="7"/>
      <c r="G5665" s="7"/>
      <c r="H5665" s="8"/>
      <c r="I5665" s="8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</row>
    <row r="5666" hidden="1">
      <c r="A5666" s="7"/>
      <c r="B5666" s="7"/>
      <c r="C5666" s="7"/>
      <c r="D5666" s="7"/>
      <c r="E5666" s="7"/>
      <c r="F5666" s="7"/>
      <c r="G5666" s="7"/>
      <c r="H5666" s="8"/>
      <c r="I5666" s="8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</row>
    <row r="5667" hidden="1">
      <c r="A5667" s="7"/>
      <c r="B5667" s="7"/>
      <c r="C5667" s="7"/>
      <c r="D5667" s="7"/>
      <c r="E5667" s="7"/>
      <c r="F5667" s="7"/>
      <c r="G5667" s="7"/>
      <c r="H5667" s="8"/>
      <c r="I5667" s="8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</row>
    <row r="5668" hidden="1">
      <c r="A5668" s="7"/>
      <c r="B5668" s="7"/>
      <c r="C5668" s="7"/>
      <c r="D5668" s="7"/>
      <c r="E5668" s="7"/>
      <c r="F5668" s="7"/>
      <c r="G5668" s="7"/>
      <c r="H5668" s="8"/>
      <c r="I5668" s="8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</row>
    <row r="5669" hidden="1">
      <c r="A5669" s="7"/>
      <c r="B5669" s="7"/>
      <c r="C5669" s="7"/>
      <c r="D5669" s="7"/>
      <c r="E5669" s="7"/>
      <c r="F5669" s="7"/>
      <c r="G5669" s="7"/>
      <c r="H5669" s="8"/>
      <c r="I5669" s="8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</row>
    <row r="5670" hidden="1">
      <c r="A5670" s="7"/>
      <c r="B5670" s="7"/>
      <c r="C5670" s="7"/>
      <c r="D5670" s="7"/>
      <c r="E5670" s="7"/>
      <c r="F5670" s="7"/>
      <c r="G5670" s="7"/>
      <c r="H5670" s="8"/>
      <c r="I5670" s="8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</row>
    <row r="5671" hidden="1">
      <c r="A5671" s="7"/>
      <c r="B5671" s="7"/>
      <c r="C5671" s="7"/>
      <c r="D5671" s="7"/>
      <c r="E5671" s="7"/>
      <c r="F5671" s="7"/>
      <c r="G5671" s="7"/>
      <c r="H5671" s="8"/>
      <c r="I5671" s="8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</row>
    <row r="5672" hidden="1">
      <c r="A5672" s="7"/>
      <c r="B5672" s="7"/>
      <c r="C5672" s="7"/>
      <c r="D5672" s="7"/>
      <c r="E5672" s="7"/>
      <c r="F5672" s="7"/>
      <c r="G5672" s="7"/>
      <c r="H5672" s="8"/>
      <c r="I5672" s="8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</row>
    <row r="5673" hidden="1">
      <c r="A5673" s="7"/>
      <c r="B5673" s="7"/>
      <c r="C5673" s="7"/>
      <c r="D5673" s="7"/>
      <c r="E5673" s="7"/>
      <c r="F5673" s="7"/>
      <c r="G5673" s="7"/>
      <c r="H5673" s="8"/>
      <c r="I5673" s="8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</row>
    <row r="5674" hidden="1">
      <c r="A5674" s="7"/>
      <c r="B5674" s="7"/>
      <c r="C5674" s="7"/>
      <c r="D5674" s="7"/>
      <c r="E5674" s="7"/>
      <c r="F5674" s="7"/>
      <c r="G5674" s="7"/>
      <c r="H5674" s="8"/>
      <c r="I5674" s="8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</row>
    <row r="5675" hidden="1">
      <c r="A5675" s="7"/>
      <c r="B5675" s="7"/>
      <c r="C5675" s="7"/>
      <c r="D5675" s="7"/>
      <c r="E5675" s="7"/>
      <c r="F5675" s="7"/>
      <c r="G5675" s="7"/>
      <c r="H5675" s="8"/>
      <c r="I5675" s="8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</row>
    <row r="5676" hidden="1">
      <c r="A5676" s="7"/>
      <c r="B5676" s="7"/>
      <c r="C5676" s="7"/>
      <c r="D5676" s="7"/>
      <c r="E5676" s="7"/>
      <c r="F5676" s="7"/>
      <c r="G5676" s="7"/>
      <c r="H5676" s="8"/>
      <c r="I5676" s="8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</row>
    <row r="5677" hidden="1">
      <c r="A5677" s="7"/>
      <c r="B5677" s="7"/>
      <c r="C5677" s="7"/>
      <c r="D5677" s="7"/>
      <c r="E5677" s="7"/>
      <c r="F5677" s="7"/>
      <c r="G5677" s="7"/>
      <c r="H5677" s="8"/>
      <c r="I5677" s="8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</row>
    <row r="5678" hidden="1">
      <c r="A5678" s="7"/>
      <c r="B5678" s="7"/>
      <c r="C5678" s="7"/>
      <c r="D5678" s="7"/>
      <c r="E5678" s="7"/>
      <c r="F5678" s="7"/>
      <c r="G5678" s="7"/>
      <c r="H5678" s="8"/>
      <c r="I5678" s="8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</row>
    <row r="5679" hidden="1">
      <c r="A5679" s="7"/>
      <c r="B5679" s="7"/>
      <c r="C5679" s="7"/>
      <c r="D5679" s="7"/>
      <c r="E5679" s="7"/>
      <c r="F5679" s="7"/>
      <c r="G5679" s="7"/>
      <c r="H5679" s="8"/>
      <c r="I5679" s="8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</row>
    <row r="5680" hidden="1">
      <c r="A5680" s="7"/>
      <c r="B5680" s="7"/>
      <c r="C5680" s="7"/>
      <c r="D5680" s="7"/>
      <c r="E5680" s="7"/>
      <c r="F5680" s="7"/>
      <c r="G5680" s="7"/>
      <c r="H5680" s="8"/>
      <c r="I5680" s="8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</row>
    <row r="5681" hidden="1">
      <c r="A5681" s="7"/>
      <c r="B5681" s="7"/>
      <c r="C5681" s="7"/>
      <c r="D5681" s="7"/>
      <c r="E5681" s="7"/>
      <c r="F5681" s="7"/>
      <c r="G5681" s="7"/>
      <c r="H5681" s="8"/>
      <c r="I5681" s="8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7"/>
      <c r="Z5681" s="7"/>
    </row>
    <row r="5682" hidden="1">
      <c r="A5682" s="7"/>
      <c r="B5682" s="7"/>
      <c r="C5682" s="7"/>
      <c r="D5682" s="7"/>
      <c r="E5682" s="7"/>
      <c r="F5682" s="7"/>
      <c r="G5682" s="7"/>
      <c r="H5682" s="8"/>
      <c r="I5682" s="8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</row>
    <row r="5683" hidden="1">
      <c r="A5683" s="7"/>
      <c r="B5683" s="7"/>
      <c r="C5683" s="7"/>
      <c r="D5683" s="7"/>
      <c r="E5683" s="7"/>
      <c r="F5683" s="7"/>
      <c r="G5683" s="7"/>
      <c r="H5683" s="8"/>
      <c r="I5683" s="8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</row>
    <row r="5684" hidden="1">
      <c r="A5684" s="7"/>
      <c r="B5684" s="7"/>
      <c r="C5684" s="7"/>
      <c r="D5684" s="7"/>
      <c r="E5684" s="7"/>
      <c r="F5684" s="7"/>
      <c r="G5684" s="7"/>
      <c r="H5684" s="8"/>
      <c r="I5684" s="8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</row>
    <row r="5685" hidden="1">
      <c r="A5685" s="7"/>
      <c r="B5685" s="7"/>
      <c r="C5685" s="7"/>
      <c r="D5685" s="7"/>
      <c r="E5685" s="7"/>
      <c r="F5685" s="7"/>
      <c r="G5685" s="7"/>
      <c r="H5685" s="8"/>
      <c r="I5685" s="8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7"/>
      <c r="Z5685" s="7"/>
    </row>
    <row r="5686" hidden="1">
      <c r="A5686" s="7"/>
      <c r="B5686" s="7"/>
      <c r="C5686" s="7"/>
      <c r="D5686" s="7"/>
      <c r="E5686" s="7"/>
      <c r="F5686" s="7"/>
      <c r="G5686" s="7"/>
      <c r="H5686" s="8"/>
      <c r="I5686" s="8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</row>
    <row r="5687" hidden="1">
      <c r="A5687" s="7"/>
      <c r="B5687" s="7"/>
      <c r="C5687" s="7"/>
      <c r="D5687" s="7"/>
      <c r="E5687" s="7"/>
      <c r="F5687" s="7"/>
      <c r="G5687" s="7"/>
      <c r="H5687" s="8"/>
      <c r="I5687" s="8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</row>
    <row r="5688" hidden="1">
      <c r="A5688" s="7"/>
      <c r="B5688" s="7"/>
      <c r="C5688" s="7"/>
      <c r="D5688" s="7"/>
      <c r="E5688" s="7"/>
      <c r="F5688" s="7"/>
      <c r="G5688" s="7"/>
      <c r="H5688" s="8"/>
      <c r="I5688" s="8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</row>
    <row r="5689" hidden="1">
      <c r="A5689" s="7"/>
      <c r="B5689" s="7"/>
      <c r="C5689" s="7"/>
      <c r="D5689" s="7"/>
      <c r="E5689" s="7"/>
      <c r="F5689" s="7"/>
      <c r="G5689" s="7"/>
      <c r="H5689" s="8"/>
      <c r="I5689" s="8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</row>
    <row r="5690" hidden="1">
      <c r="A5690" s="7"/>
      <c r="B5690" s="7"/>
      <c r="C5690" s="7"/>
      <c r="D5690" s="7"/>
      <c r="E5690" s="7"/>
      <c r="F5690" s="7"/>
      <c r="G5690" s="7"/>
      <c r="H5690" s="8"/>
      <c r="I5690" s="8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</row>
    <row r="5691" hidden="1">
      <c r="A5691" s="7"/>
      <c r="B5691" s="7"/>
      <c r="C5691" s="7"/>
      <c r="D5691" s="7"/>
      <c r="E5691" s="7"/>
      <c r="F5691" s="7"/>
      <c r="G5691" s="7"/>
      <c r="H5691" s="8"/>
      <c r="I5691" s="8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</row>
    <row r="5692" hidden="1">
      <c r="A5692" s="7"/>
      <c r="B5692" s="7"/>
      <c r="C5692" s="7"/>
      <c r="D5692" s="7"/>
      <c r="E5692" s="7"/>
      <c r="F5692" s="7"/>
      <c r="G5692" s="7"/>
      <c r="H5692" s="8"/>
      <c r="I5692" s="8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</row>
    <row r="5693" hidden="1">
      <c r="A5693" s="7"/>
      <c r="B5693" s="7"/>
      <c r="C5693" s="7"/>
      <c r="D5693" s="7"/>
      <c r="E5693" s="7"/>
      <c r="F5693" s="7"/>
      <c r="G5693" s="7"/>
      <c r="H5693" s="8"/>
      <c r="I5693" s="8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7"/>
      <c r="Z5693" s="7"/>
    </row>
    <row r="5694" hidden="1">
      <c r="A5694" s="7"/>
      <c r="B5694" s="7"/>
      <c r="C5694" s="7"/>
      <c r="D5694" s="7"/>
      <c r="E5694" s="7"/>
      <c r="F5694" s="7"/>
      <c r="G5694" s="7"/>
      <c r="H5694" s="8"/>
      <c r="I5694" s="8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</row>
    <row r="5695" hidden="1">
      <c r="A5695" s="7"/>
      <c r="B5695" s="7"/>
      <c r="C5695" s="7"/>
      <c r="D5695" s="7"/>
      <c r="E5695" s="7"/>
      <c r="F5695" s="7"/>
      <c r="G5695" s="7"/>
      <c r="H5695" s="8"/>
      <c r="I5695" s="8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7"/>
      <c r="Z5695" s="7"/>
    </row>
    <row r="5696" hidden="1">
      <c r="A5696" s="7"/>
      <c r="B5696" s="7"/>
      <c r="C5696" s="7"/>
      <c r="D5696" s="7"/>
      <c r="E5696" s="7"/>
      <c r="F5696" s="7"/>
      <c r="G5696" s="7"/>
      <c r="H5696" s="8"/>
      <c r="I5696" s="8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</row>
    <row r="5697" hidden="1">
      <c r="A5697" s="7"/>
      <c r="B5697" s="7"/>
      <c r="C5697" s="7"/>
      <c r="D5697" s="7"/>
      <c r="E5697" s="7"/>
      <c r="F5697" s="7"/>
      <c r="G5697" s="7"/>
      <c r="H5697" s="8"/>
      <c r="I5697" s="8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7"/>
      <c r="Z5697" s="7"/>
    </row>
    <row r="5698" hidden="1">
      <c r="A5698" s="7"/>
      <c r="B5698" s="7"/>
      <c r="C5698" s="7"/>
      <c r="D5698" s="7"/>
      <c r="E5698" s="7"/>
      <c r="F5698" s="7"/>
      <c r="G5698" s="7"/>
      <c r="H5698" s="8"/>
      <c r="I5698" s="8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</row>
    <row r="5699" hidden="1">
      <c r="A5699" s="7"/>
      <c r="B5699" s="7"/>
      <c r="C5699" s="7"/>
      <c r="D5699" s="7"/>
      <c r="E5699" s="7"/>
      <c r="F5699" s="7"/>
      <c r="G5699" s="7"/>
      <c r="H5699" s="8"/>
      <c r="I5699" s="8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</row>
    <row r="5700" hidden="1">
      <c r="A5700" s="7"/>
      <c r="B5700" s="7"/>
      <c r="C5700" s="7"/>
      <c r="D5700" s="7"/>
      <c r="E5700" s="7"/>
      <c r="F5700" s="7"/>
      <c r="G5700" s="7"/>
      <c r="H5700" s="8"/>
      <c r="I5700" s="8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</row>
    <row r="5701" hidden="1">
      <c r="A5701" s="7"/>
      <c r="B5701" s="7"/>
      <c r="C5701" s="7"/>
      <c r="D5701" s="7"/>
      <c r="E5701" s="7"/>
      <c r="F5701" s="7"/>
      <c r="G5701" s="7"/>
      <c r="H5701" s="8"/>
      <c r="I5701" s="8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</row>
    <row r="5702" hidden="1">
      <c r="A5702" s="7"/>
      <c r="B5702" s="7"/>
      <c r="C5702" s="7"/>
      <c r="D5702" s="7"/>
      <c r="E5702" s="7"/>
      <c r="F5702" s="7"/>
      <c r="G5702" s="7"/>
      <c r="H5702" s="8"/>
      <c r="I5702" s="8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</row>
    <row r="5703" hidden="1">
      <c r="A5703" s="7"/>
      <c r="B5703" s="7"/>
      <c r="C5703" s="7"/>
      <c r="D5703" s="7"/>
      <c r="E5703" s="7"/>
      <c r="F5703" s="7"/>
      <c r="G5703" s="7"/>
      <c r="H5703" s="8"/>
      <c r="I5703" s="8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</row>
    <row r="5704" hidden="1">
      <c r="A5704" s="7"/>
      <c r="B5704" s="7"/>
      <c r="C5704" s="7"/>
      <c r="D5704" s="7"/>
      <c r="E5704" s="7"/>
      <c r="F5704" s="7"/>
      <c r="G5704" s="7"/>
      <c r="H5704" s="8"/>
      <c r="I5704" s="8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</row>
    <row r="5705" hidden="1">
      <c r="A5705" s="7"/>
      <c r="B5705" s="7"/>
      <c r="C5705" s="7"/>
      <c r="D5705" s="7"/>
      <c r="E5705" s="7"/>
      <c r="F5705" s="7"/>
      <c r="G5705" s="7"/>
      <c r="H5705" s="8"/>
      <c r="I5705" s="8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</row>
    <row r="5706" hidden="1">
      <c r="A5706" s="7"/>
      <c r="B5706" s="7"/>
      <c r="C5706" s="7"/>
      <c r="D5706" s="7"/>
      <c r="E5706" s="7"/>
      <c r="F5706" s="7"/>
      <c r="G5706" s="7"/>
      <c r="H5706" s="8"/>
      <c r="I5706" s="8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</row>
    <row r="5707" hidden="1">
      <c r="A5707" s="7"/>
      <c r="B5707" s="7"/>
      <c r="C5707" s="7"/>
      <c r="D5707" s="7"/>
      <c r="E5707" s="7"/>
      <c r="F5707" s="7"/>
      <c r="G5707" s="7"/>
      <c r="H5707" s="8"/>
      <c r="I5707" s="8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</row>
    <row r="5708" hidden="1">
      <c r="A5708" s="7"/>
      <c r="B5708" s="7"/>
      <c r="C5708" s="7"/>
      <c r="D5708" s="7"/>
      <c r="E5708" s="7"/>
      <c r="F5708" s="7"/>
      <c r="G5708" s="7"/>
      <c r="H5708" s="8"/>
      <c r="I5708" s="8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</row>
    <row r="5709" hidden="1">
      <c r="A5709" s="7"/>
      <c r="B5709" s="7"/>
      <c r="C5709" s="7"/>
      <c r="D5709" s="7"/>
      <c r="E5709" s="7"/>
      <c r="F5709" s="7"/>
      <c r="G5709" s="7"/>
      <c r="H5709" s="8"/>
      <c r="I5709" s="8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</row>
    <row r="5710" hidden="1">
      <c r="A5710" s="7"/>
      <c r="B5710" s="7"/>
      <c r="C5710" s="7"/>
      <c r="D5710" s="7"/>
      <c r="E5710" s="7"/>
      <c r="F5710" s="7"/>
      <c r="G5710" s="7"/>
      <c r="H5710" s="8"/>
      <c r="I5710" s="8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</row>
    <row r="5711" hidden="1">
      <c r="A5711" s="7"/>
      <c r="B5711" s="7"/>
      <c r="C5711" s="7"/>
      <c r="D5711" s="7"/>
      <c r="E5711" s="7"/>
      <c r="F5711" s="7"/>
      <c r="G5711" s="7"/>
      <c r="H5711" s="8"/>
      <c r="I5711" s="8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</row>
    <row r="5712" hidden="1">
      <c r="A5712" s="7"/>
      <c r="B5712" s="7"/>
      <c r="C5712" s="7"/>
      <c r="D5712" s="7"/>
      <c r="E5712" s="7"/>
      <c r="F5712" s="7"/>
      <c r="G5712" s="7"/>
      <c r="H5712" s="8"/>
      <c r="I5712" s="8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</row>
    <row r="5713" hidden="1">
      <c r="A5713" s="7"/>
      <c r="B5713" s="7"/>
      <c r="C5713" s="7"/>
      <c r="D5713" s="7"/>
      <c r="E5713" s="7"/>
      <c r="F5713" s="7"/>
      <c r="G5713" s="7"/>
      <c r="H5713" s="8"/>
      <c r="I5713" s="8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</row>
    <row r="5714" hidden="1">
      <c r="A5714" s="7"/>
      <c r="B5714" s="7"/>
      <c r="C5714" s="7"/>
      <c r="D5714" s="7"/>
      <c r="E5714" s="7"/>
      <c r="F5714" s="7"/>
      <c r="G5714" s="7"/>
      <c r="H5714" s="8"/>
      <c r="I5714" s="8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</row>
    <row r="5715" hidden="1">
      <c r="A5715" s="7"/>
      <c r="B5715" s="7"/>
      <c r="C5715" s="7"/>
      <c r="D5715" s="7"/>
      <c r="E5715" s="7"/>
      <c r="F5715" s="7"/>
      <c r="G5715" s="7"/>
      <c r="H5715" s="8"/>
      <c r="I5715" s="8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</row>
    <row r="5716" hidden="1">
      <c r="A5716" s="7"/>
      <c r="B5716" s="7"/>
      <c r="C5716" s="7"/>
      <c r="D5716" s="7"/>
      <c r="E5716" s="7"/>
      <c r="F5716" s="7"/>
      <c r="G5716" s="7"/>
      <c r="H5716" s="8"/>
      <c r="I5716" s="8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</row>
    <row r="5717" hidden="1">
      <c r="A5717" s="7"/>
      <c r="B5717" s="7"/>
      <c r="C5717" s="7"/>
      <c r="D5717" s="7"/>
      <c r="E5717" s="7"/>
      <c r="F5717" s="7"/>
      <c r="G5717" s="7"/>
      <c r="H5717" s="8"/>
      <c r="I5717" s="8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</row>
    <row r="5718" hidden="1">
      <c r="A5718" s="7"/>
      <c r="B5718" s="7"/>
      <c r="C5718" s="7"/>
      <c r="D5718" s="7"/>
      <c r="E5718" s="7"/>
      <c r="F5718" s="7"/>
      <c r="G5718" s="7"/>
      <c r="H5718" s="8"/>
      <c r="I5718" s="8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</row>
    <row r="5719" hidden="1">
      <c r="A5719" s="7"/>
      <c r="B5719" s="7"/>
      <c r="C5719" s="7"/>
      <c r="D5719" s="7"/>
      <c r="E5719" s="7"/>
      <c r="F5719" s="7"/>
      <c r="G5719" s="7"/>
      <c r="H5719" s="8"/>
      <c r="I5719" s="8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</row>
    <row r="5720" hidden="1">
      <c r="A5720" s="7"/>
      <c r="B5720" s="7"/>
      <c r="C5720" s="7"/>
      <c r="D5720" s="7"/>
      <c r="E5720" s="7"/>
      <c r="F5720" s="7"/>
      <c r="G5720" s="7"/>
      <c r="H5720" s="8"/>
      <c r="I5720" s="8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</row>
    <row r="5721" hidden="1">
      <c r="A5721" s="7"/>
      <c r="B5721" s="7"/>
      <c r="C5721" s="7"/>
      <c r="D5721" s="7"/>
      <c r="E5721" s="7"/>
      <c r="F5721" s="7"/>
      <c r="G5721" s="7"/>
      <c r="H5721" s="8"/>
      <c r="I5721" s="8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</row>
    <row r="5722" hidden="1">
      <c r="A5722" s="7"/>
      <c r="B5722" s="7"/>
      <c r="C5722" s="7"/>
      <c r="D5722" s="7"/>
      <c r="E5722" s="7"/>
      <c r="F5722" s="7"/>
      <c r="G5722" s="7"/>
      <c r="H5722" s="8"/>
      <c r="I5722" s="8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</row>
    <row r="5723" hidden="1">
      <c r="A5723" s="7"/>
      <c r="B5723" s="7"/>
      <c r="C5723" s="7"/>
      <c r="D5723" s="7"/>
      <c r="E5723" s="7"/>
      <c r="F5723" s="7"/>
      <c r="G5723" s="7"/>
      <c r="H5723" s="8"/>
      <c r="I5723" s="8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  <c r="Z5723" s="7"/>
    </row>
    <row r="5724" hidden="1">
      <c r="A5724" s="7"/>
      <c r="B5724" s="7"/>
      <c r="C5724" s="7"/>
      <c r="D5724" s="7"/>
      <c r="E5724" s="7"/>
      <c r="F5724" s="7"/>
      <c r="G5724" s="7"/>
      <c r="H5724" s="8"/>
      <c r="I5724" s="8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</row>
    <row r="5725" hidden="1">
      <c r="A5725" s="7"/>
      <c r="B5725" s="7"/>
      <c r="C5725" s="7"/>
      <c r="D5725" s="7"/>
      <c r="E5725" s="7"/>
      <c r="F5725" s="7"/>
      <c r="G5725" s="7"/>
      <c r="H5725" s="8"/>
      <c r="I5725" s="8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</row>
    <row r="5726" hidden="1">
      <c r="A5726" s="7"/>
      <c r="B5726" s="7"/>
      <c r="C5726" s="7"/>
      <c r="D5726" s="7"/>
      <c r="E5726" s="7"/>
      <c r="F5726" s="7"/>
      <c r="G5726" s="7"/>
      <c r="H5726" s="8"/>
      <c r="I5726" s="8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</row>
    <row r="5727" hidden="1">
      <c r="A5727" s="7"/>
      <c r="B5727" s="7"/>
      <c r="C5727" s="7"/>
      <c r="D5727" s="7"/>
      <c r="E5727" s="7"/>
      <c r="F5727" s="7"/>
      <c r="G5727" s="7"/>
      <c r="H5727" s="8"/>
      <c r="I5727" s="8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</row>
    <row r="5728" hidden="1">
      <c r="A5728" s="7"/>
      <c r="B5728" s="7"/>
      <c r="C5728" s="7"/>
      <c r="D5728" s="7"/>
      <c r="E5728" s="7"/>
      <c r="F5728" s="7"/>
      <c r="G5728" s="7"/>
      <c r="H5728" s="8"/>
      <c r="I5728" s="8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</row>
    <row r="5729" hidden="1">
      <c r="A5729" s="7"/>
      <c r="B5729" s="7"/>
      <c r="C5729" s="7"/>
      <c r="D5729" s="7"/>
      <c r="E5729" s="7"/>
      <c r="F5729" s="7"/>
      <c r="G5729" s="7"/>
      <c r="H5729" s="8"/>
      <c r="I5729" s="8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</row>
    <row r="5730" hidden="1">
      <c r="A5730" s="7"/>
      <c r="B5730" s="7"/>
      <c r="C5730" s="7"/>
      <c r="D5730" s="7"/>
      <c r="E5730" s="7"/>
      <c r="F5730" s="7"/>
      <c r="G5730" s="7"/>
      <c r="H5730" s="8"/>
      <c r="I5730" s="8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</row>
    <row r="5731" hidden="1">
      <c r="A5731" s="7"/>
      <c r="B5731" s="7"/>
      <c r="C5731" s="7"/>
      <c r="D5731" s="7"/>
      <c r="E5731" s="7"/>
      <c r="F5731" s="7"/>
      <c r="G5731" s="7"/>
      <c r="H5731" s="8"/>
      <c r="I5731" s="8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</row>
    <row r="5732" hidden="1">
      <c r="A5732" s="7"/>
      <c r="B5732" s="7"/>
      <c r="C5732" s="7"/>
      <c r="D5732" s="7"/>
      <c r="E5732" s="7"/>
      <c r="F5732" s="7"/>
      <c r="G5732" s="7"/>
      <c r="H5732" s="8"/>
      <c r="I5732" s="8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</row>
    <row r="5733" hidden="1">
      <c r="A5733" s="7"/>
      <c r="B5733" s="7"/>
      <c r="C5733" s="7"/>
      <c r="D5733" s="7"/>
      <c r="E5733" s="7"/>
      <c r="F5733" s="7"/>
      <c r="G5733" s="7"/>
      <c r="H5733" s="8"/>
      <c r="I5733" s="8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</row>
    <row r="5734" hidden="1">
      <c r="A5734" s="7"/>
      <c r="B5734" s="7"/>
      <c r="C5734" s="7"/>
      <c r="D5734" s="7"/>
      <c r="E5734" s="7"/>
      <c r="F5734" s="7"/>
      <c r="G5734" s="7"/>
      <c r="H5734" s="8"/>
      <c r="I5734" s="8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</row>
    <row r="5735" hidden="1">
      <c r="A5735" s="7"/>
      <c r="B5735" s="7"/>
      <c r="C5735" s="7"/>
      <c r="D5735" s="7"/>
      <c r="E5735" s="7"/>
      <c r="F5735" s="7"/>
      <c r="G5735" s="7"/>
      <c r="H5735" s="8"/>
      <c r="I5735" s="8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</row>
    <row r="5736" hidden="1">
      <c r="A5736" s="7"/>
      <c r="B5736" s="7"/>
      <c r="C5736" s="7"/>
      <c r="D5736" s="7"/>
      <c r="E5736" s="7"/>
      <c r="F5736" s="7"/>
      <c r="G5736" s="7"/>
      <c r="H5736" s="8"/>
      <c r="I5736" s="8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</row>
    <row r="5737" hidden="1">
      <c r="A5737" s="7"/>
      <c r="B5737" s="7"/>
      <c r="C5737" s="7"/>
      <c r="D5737" s="7"/>
      <c r="E5737" s="7"/>
      <c r="F5737" s="7"/>
      <c r="G5737" s="7"/>
      <c r="H5737" s="8"/>
      <c r="I5737" s="8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</row>
    <row r="5738" hidden="1">
      <c r="A5738" s="7"/>
      <c r="B5738" s="7"/>
      <c r="C5738" s="7"/>
      <c r="D5738" s="7"/>
      <c r="E5738" s="7"/>
      <c r="F5738" s="7"/>
      <c r="G5738" s="7"/>
      <c r="H5738" s="8"/>
      <c r="I5738" s="8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</row>
    <row r="5739" hidden="1">
      <c r="A5739" s="7"/>
      <c r="B5739" s="7"/>
      <c r="C5739" s="7"/>
      <c r="D5739" s="7"/>
      <c r="E5739" s="7"/>
      <c r="F5739" s="7"/>
      <c r="G5739" s="7"/>
      <c r="H5739" s="8"/>
      <c r="I5739" s="8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</row>
    <row r="5740" hidden="1">
      <c r="A5740" s="7"/>
      <c r="B5740" s="7"/>
      <c r="C5740" s="7"/>
      <c r="D5740" s="7"/>
      <c r="E5740" s="7"/>
      <c r="F5740" s="7"/>
      <c r="G5740" s="7"/>
      <c r="H5740" s="8"/>
      <c r="I5740" s="8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</row>
    <row r="5741" hidden="1">
      <c r="A5741" s="7"/>
      <c r="B5741" s="7"/>
      <c r="C5741" s="7"/>
      <c r="D5741" s="7"/>
      <c r="E5741" s="7"/>
      <c r="F5741" s="7"/>
      <c r="G5741" s="7"/>
      <c r="H5741" s="8"/>
      <c r="I5741" s="8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7"/>
      <c r="Z5741" s="7"/>
    </row>
    <row r="5742" hidden="1">
      <c r="A5742" s="7"/>
      <c r="B5742" s="7"/>
      <c r="C5742" s="7"/>
      <c r="D5742" s="7"/>
      <c r="E5742" s="7"/>
      <c r="F5742" s="7"/>
      <c r="G5742" s="7"/>
      <c r="H5742" s="8"/>
      <c r="I5742" s="8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7"/>
      <c r="Z5742" s="7"/>
    </row>
    <row r="5743" hidden="1">
      <c r="A5743" s="7"/>
      <c r="B5743" s="7"/>
      <c r="C5743" s="7"/>
      <c r="D5743" s="7"/>
      <c r="E5743" s="7"/>
      <c r="F5743" s="7"/>
      <c r="G5743" s="7"/>
      <c r="H5743" s="8"/>
      <c r="I5743" s="8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</row>
    <row r="5744" hidden="1">
      <c r="A5744" s="7"/>
      <c r="B5744" s="7"/>
      <c r="C5744" s="7"/>
      <c r="D5744" s="7"/>
      <c r="E5744" s="7"/>
      <c r="F5744" s="7"/>
      <c r="G5744" s="7"/>
      <c r="H5744" s="8"/>
      <c r="I5744" s="8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</row>
    <row r="5745" hidden="1">
      <c r="A5745" s="7"/>
      <c r="B5745" s="7"/>
      <c r="C5745" s="7"/>
      <c r="D5745" s="7"/>
      <c r="E5745" s="7"/>
      <c r="F5745" s="7"/>
      <c r="G5745" s="7"/>
      <c r="H5745" s="8"/>
      <c r="I5745" s="8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</row>
    <row r="5746" hidden="1">
      <c r="A5746" s="7"/>
      <c r="B5746" s="7"/>
      <c r="C5746" s="7"/>
      <c r="D5746" s="7"/>
      <c r="E5746" s="7"/>
      <c r="F5746" s="7"/>
      <c r="G5746" s="7"/>
      <c r="H5746" s="8"/>
      <c r="I5746" s="8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</row>
    <row r="5747" hidden="1">
      <c r="A5747" s="7"/>
      <c r="B5747" s="7"/>
      <c r="C5747" s="7"/>
      <c r="D5747" s="7"/>
      <c r="E5747" s="7"/>
      <c r="F5747" s="7"/>
      <c r="G5747" s="7"/>
      <c r="H5747" s="8"/>
      <c r="I5747" s="8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</row>
    <row r="5748" hidden="1">
      <c r="A5748" s="7"/>
      <c r="B5748" s="7"/>
      <c r="C5748" s="7"/>
      <c r="D5748" s="7"/>
      <c r="E5748" s="7"/>
      <c r="F5748" s="7"/>
      <c r="G5748" s="7"/>
      <c r="H5748" s="8"/>
      <c r="I5748" s="8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</row>
    <row r="5749" hidden="1">
      <c r="A5749" s="7"/>
      <c r="B5749" s="7"/>
      <c r="C5749" s="7"/>
      <c r="D5749" s="7"/>
      <c r="E5749" s="7"/>
      <c r="F5749" s="7"/>
      <c r="G5749" s="7"/>
      <c r="H5749" s="8"/>
      <c r="I5749" s="8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</row>
    <row r="5750" hidden="1">
      <c r="A5750" s="7"/>
      <c r="B5750" s="7"/>
      <c r="C5750" s="7"/>
      <c r="D5750" s="7"/>
      <c r="E5750" s="7"/>
      <c r="F5750" s="7"/>
      <c r="G5750" s="7"/>
      <c r="H5750" s="8"/>
      <c r="I5750" s="8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</row>
    <row r="5751" hidden="1">
      <c r="A5751" s="7"/>
      <c r="B5751" s="7"/>
      <c r="C5751" s="7"/>
      <c r="D5751" s="7"/>
      <c r="E5751" s="7"/>
      <c r="F5751" s="7"/>
      <c r="G5751" s="7"/>
      <c r="H5751" s="8"/>
      <c r="I5751" s="8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</row>
    <row r="5752" hidden="1">
      <c r="A5752" s="7"/>
      <c r="B5752" s="7"/>
      <c r="C5752" s="7"/>
      <c r="D5752" s="7"/>
      <c r="E5752" s="7"/>
      <c r="F5752" s="7"/>
      <c r="G5752" s="7"/>
      <c r="H5752" s="8"/>
      <c r="I5752" s="8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</row>
    <row r="5753" hidden="1">
      <c r="A5753" s="7"/>
      <c r="B5753" s="7"/>
      <c r="C5753" s="7"/>
      <c r="D5753" s="7"/>
      <c r="E5753" s="7"/>
      <c r="F5753" s="7"/>
      <c r="G5753" s="7"/>
      <c r="H5753" s="8"/>
      <c r="I5753" s="8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</row>
    <row r="5754" hidden="1">
      <c r="A5754" s="7"/>
      <c r="B5754" s="7"/>
      <c r="C5754" s="7"/>
      <c r="D5754" s="7"/>
      <c r="E5754" s="7"/>
      <c r="F5754" s="7"/>
      <c r="G5754" s="7"/>
      <c r="H5754" s="8"/>
      <c r="I5754" s="8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</row>
    <row r="5755" hidden="1">
      <c r="A5755" s="7"/>
      <c r="B5755" s="7"/>
      <c r="C5755" s="7"/>
      <c r="D5755" s="7"/>
      <c r="E5755" s="7"/>
      <c r="F5755" s="7"/>
      <c r="G5755" s="7"/>
      <c r="H5755" s="8"/>
      <c r="I5755" s="8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</row>
    <row r="5756" hidden="1">
      <c r="A5756" s="7"/>
      <c r="B5756" s="7"/>
      <c r="C5756" s="7"/>
      <c r="D5756" s="7"/>
      <c r="E5756" s="7"/>
      <c r="F5756" s="7"/>
      <c r="G5756" s="7"/>
      <c r="H5756" s="8"/>
      <c r="I5756" s="8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</row>
    <row r="5757" hidden="1">
      <c r="A5757" s="7"/>
      <c r="B5757" s="7"/>
      <c r="C5757" s="7"/>
      <c r="D5757" s="7"/>
      <c r="E5757" s="7"/>
      <c r="F5757" s="7"/>
      <c r="G5757" s="7"/>
      <c r="H5757" s="8"/>
      <c r="I5757" s="8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</row>
    <row r="5758" hidden="1">
      <c r="A5758" s="7"/>
      <c r="B5758" s="7"/>
      <c r="C5758" s="7"/>
      <c r="D5758" s="7"/>
      <c r="E5758" s="7"/>
      <c r="F5758" s="7"/>
      <c r="G5758" s="7"/>
      <c r="H5758" s="8"/>
      <c r="I5758" s="8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</row>
    <row r="5759" hidden="1">
      <c r="A5759" s="7"/>
      <c r="B5759" s="7"/>
      <c r="C5759" s="7"/>
      <c r="D5759" s="7"/>
      <c r="E5759" s="7"/>
      <c r="F5759" s="7"/>
      <c r="G5759" s="7"/>
      <c r="H5759" s="8"/>
      <c r="I5759" s="8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</row>
    <row r="5760" hidden="1">
      <c r="A5760" s="7"/>
      <c r="B5760" s="7"/>
      <c r="C5760" s="7"/>
      <c r="D5760" s="7"/>
      <c r="E5760" s="7"/>
      <c r="F5760" s="7"/>
      <c r="G5760" s="7"/>
      <c r="H5760" s="8"/>
      <c r="I5760" s="8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</row>
    <row r="5761" hidden="1">
      <c r="A5761" s="7"/>
      <c r="B5761" s="7"/>
      <c r="C5761" s="7"/>
      <c r="D5761" s="7"/>
      <c r="E5761" s="7"/>
      <c r="F5761" s="7"/>
      <c r="G5761" s="7"/>
      <c r="H5761" s="8"/>
      <c r="I5761" s="8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</row>
    <row r="5762" hidden="1">
      <c r="A5762" s="7"/>
      <c r="B5762" s="7"/>
      <c r="C5762" s="7"/>
      <c r="D5762" s="7"/>
      <c r="E5762" s="7"/>
      <c r="F5762" s="7"/>
      <c r="G5762" s="7"/>
      <c r="H5762" s="8"/>
      <c r="I5762" s="8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</row>
    <row r="5763" hidden="1">
      <c r="A5763" s="7"/>
      <c r="B5763" s="7"/>
      <c r="C5763" s="7"/>
      <c r="D5763" s="7"/>
      <c r="E5763" s="7"/>
      <c r="F5763" s="7"/>
      <c r="G5763" s="7"/>
      <c r="H5763" s="8"/>
      <c r="I5763" s="8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</row>
    <row r="5764" hidden="1">
      <c r="A5764" s="7"/>
      <c r="B5764" s="7"/>
      <c r="C5764" s="7"/>
      <c r="D5764" s="7"/>
      <c r="E5764" s="7"/>
      <c r="F5764" s="7"/>
      <c r="G5764" s="7"/>
      <c r="H5764" s="8"/>
      <c r="I5764" s="8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</row>
    <row r="5765" hidden="1">
      <c r="A5765" s="7"/>
      <c r="B5765" s="7"/>
      <c r="C5765" s="7"/>
      <c r="D5765" s="7"/>
      <c r="E5765" s="7"/>
      <c r="F5765" s="7"/>
      <c r="G5765" s="7"/>
      <c r="H5765" s="8"/>
      <c r="I5765" s="8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7"/>
      <c r="Z5765" s="7"/>
    </row>
    <row r="5766" hidden="1">
      <c r="A5766" s="7"/>
      <c r="B5766" s="7"/>
      <c r="C5766" s="7"/>
      <c r="D5766" s="7"/>
      <c r="E5766" s="7"/>
      <c r="F5766" s="7"/>
      <c r="G5766" s="7"/>
      <c r="H5766" s="8"/>
      <c r="I5766" s="8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</row>
    <row r="5767" hidden="1">
      <c r="A5767" s="7"/>
      <c r="B5767" s="7"/>
      <c r="C5767" s="7"/>
      <c r="D5767" s="7"/>
      <c r="E5767" s="7"/>
      <c r="F5767" s="7"/>
      <c r="G5767" s="7"/>
      <c r="H5767" s="8"/>
      <c r="I5767" s="8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</row>
    <row r="5768" hidden="1">
      <c r="A5768" s="7"/>
      <c r="B5768" s="7"/>
      <c r="C5768" s="7"/>
      <c r="D5768" s="7"/>
      <c r="E5768" s="7"/>
      <c r="F5768" s="7"/>
      <c r="G5768" s="7"/>
      <c r="H5768" s="8"/>
      <c r="I5768" s="8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</row>
    <row r="5769" hidden="1">
      <c r="A5769" s="7"/>
      <c r="B5769" s="7"/>
      <c r="C5769" s="7"/>
      <c r="D5769" s="7"/>
      <c r="E5769" s="7"/>
      <c r="F5769" s="7"/>
      <c r="G5769" s="7"/>
      <c r="H5769" s="8"/>
      <c r="I5769" s="8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</row>
    <row r="5770" hidden="1">
      <c r="A5770" s="7"/>
      <c r="B5770" s="7"/>
      <c r="C5770" s="7"/>
      <c r="D5770" s="7"/>
      <c r="E5770" s="7"/>
      <c r="F5770" s="7"/>
      <c r="G5770" s="7"/>
      <c r="H5770" s="8"/>
      <c r="I5770" s="8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</row>
    <row r="5771" hidden="1">
      <c r="A5771" s="7"/>
      <c r="B5771" s="7"/>
      <c r="C5771" s="7"/>
      <c r="D5771" s="7"/>
      <c r="E5771" s="7"/>
      <c r="F5771" s="7"/>
      <c r="G5771" s="7"/>
      <c r="H5771" s="8"/>
      <c r="I5771" s="8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</row>
    <row r="5772" hidden="1">
      <c r="A5772" s="7"/>
      <c r="B5772" s="7"/>
      <c r="C5772" s="7"/>
      <c r="D5772" s="7"/>
      <c r="E5772" s="7"/>
      <c r="F5772" s="7"/>
      <c r="G5772" s="7"/>
      <c r="H5772" s="8"/>
      <c r="I5772" s="8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</row>
    <row r="5773" hidden="1">
      <c r="A5773" s="7"/>
      <c r="B5773" s="7"/>
      <c r="C5773" s="7"/>
      <c r="D5773" s="7"/>
      <c r="E5773" s="7"/>
      <c r="F5773" s="7"/>
      <c r="G5773" s="7"/>
      <c r="H5773" s="8"/>
      <c r="I5773" s="8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</row>
    <row r="5774" hidden="1">
      <c r="A5774" s="7"/>
      <c r="B5774" s="7"/>
      <c r="C5774" s="7"/>
      <c r="D5774" s="7"/>
      <c r="E5774" s="7"/>
      <c r="F5774" s="7"/>
      <c r="G5774" s="7"/>
      <c r="H5774" s="8"/>
      <c r="I5774" s="8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</row>
    <row r="5775" hidden="1">
      <c r="A5775" s="7"/>
      <c r="B5775" s="7"/>
      <c r="C5775" s="7"/>
      <c r="D5775" s="7"/>
      <c r="E5775" s="7"/>
      <c r="F5775" s="7"/>
      <c r="G5775" s="7"/>
      <c r="H5775" s="8"/>
      <c r="I5775" s="8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7"/>
      <c r="Z5775" s="7"/>
    </row>
    <row r="5776" hidden="1">
      <c r="A5776" s="7"/>
      <c r="B5776" s="7"/>
      <c r="C5776" s="7"/>
      <c r="D5776" s="7"/>
      <c r="E5776" s="7"/>
      <c r="F5776" s="7"/>
      <c r="G5776" s="7"/>
      <c r="H5776" s="8"/>
      <c r="I5776" s="8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</row>
    <row r="5777" hidden="1">
      <c r="A5777" s="7"/>
      <c r="B5777" s="7"/>
      <c r="C5777" s="7"/>
      <c r="D5777" s="7"/>
      <c r="E5777" s="7"/>
      <c r="F5777" s="7"/>
      <c r="G5777" s="7"/>
      <c r="H5777" s="8"/>
      <c r="I5777" s="8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</row>
    <row r="5778" hidden="1">
      <c r="A5778" s="7"/>
      <c r="B5778" s="7"/>
      <c r="C5778" s="7"/>
      <c r="D5778" s="7"/>
      <c r="E5778" s="7"/>
      <c r="F5778" s="7"/>
      <c r="G5778" s="7"/>
      <c r="H5778" s="8"/>
      <c r="I5778" s="8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</row>
    <row r="5779" hidden="1">
      <c r="A5779" s="7"/>
      <c r="B5779" s="7"/>
      <c r="C5779" s="7"/>
      <c r="D5779" s="7"/>
      <c r="E5779" s="7"/>
      <c r="F5779" s="7"/>
      <c r="G5779" s="7"/>
      <c r="H5779" s="8"/>
      <c r="I5779" s="8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</row>
    <row r="5780" hidden="1">
      <c r="A5780" s="7"/>
      <c r="B5780" s="7"/>
      <c r="C5780" s="7"/>
      <c r="D5780" s="7"/>
      <c r="E5780" s="7"/>
      <c r="F5780" s="7"/>
      <c r="G5780" s="7"/>
      <c r="H5780" s="8"/>
      <c r="I5780" s="8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7"/>
      <c r="Z5780" s="7"/>
    </row>
    <row r="5781" hidden="1">
      <c r="A5781" s="7"/>
      <c r="B5781" s="7"/>
      <c r="C5781" s="7"/>
      <c r="D5781" s="7"/>
      <c r="E5781" s="7"/>
      <c r="F5781" s="7"/>
      <c r="G5781" s="7"/>
      <c r="H5781" s="8"/>
      <c r="I5781" s="8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</row>
    <row r="5782" hidden="1">
      <c r="A5782" s="7"/>
      <c r="B5782" s="7"/>
      <c r="C5782" s="7"/>
      <c r="D5782" s="7"/>
      <c r="E5782" s="7"/>
      <c r="F5782" s="7"/>
      <c r="G5782" s="7"/>
      <c r="H5782" s="8"/>
      <c r="I5782" s="8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</row>
    <row r="5783" hidden="1">
      <c r="A5783" s="7"/>
      <c r="B5783" s="7"/>
      <c r="C5783" s="7"/>
      <c r="D5783" s="7"/>
      <c r="E5783" s="7"/>
      <c r="F5783" s="7"/>
      <c r="G5783" s="7"/>
      <c r="H5783" s="8"/>
      <c r="I5783" s="8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</row>
    <row r="5784" hidden="1">
      <c r="A5784" s="7"/>
      <c r="B5784" s="7"/>
      <c r="C5784" s="7"/>
      <c r="D5784" s="7"/>
      <c r="E5784" s="7"/>
      <c r="F5784" s="7"/>
      <c r="G5784" s="7"/>
      <c r="H5784" s="8"/>
      <c r="I5784" s="8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</row>
    <row r="5785" hidden="1">
      <c r="A5785" s="7"/>
      <c r="B5785" s="7"/>
      <c r="C5785" s="7"/>
      <c r="D5785" s="7"/>
      <c r="E5785" s="7"/>
      <c r="F5785" s="7"/>
      <c r="G5785" s="7"/>
      <c r="H5785" s="8"/>
      <c r="I5785" s="8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7"/>
      <c r="Z5785" s="7"/>
    </row>
    <row r="5786" hidden="1">
      <c r="A5786" s="7"/>
      <c r="B5786" s="7"/>
      <c r="C5786" s="7"/>
      <c r="D5786" s="7"/>
      <c r="E5786" s="7"/>
      <c r="F5786" s="7"/>
      <c r="G5786" s="7"/>
      <c r="H5786" s="8"/>
      <c r="I5786" s="8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</row>
    <row r="5787" hidden="1">
      <c r="A5787" s="7"/>
      <c r="B5787" s="7"/>
      <c r="C5787" s="7"/>
      <c r="D5787" s="7"/>
      <c r="E5787" s="7"/>
      <c r="F5787" s="7"/>
      <c r="G5787" s="7"/>
      <c r="H5787" s="8"/>
      <c r="I5787" s="8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7"/>
      <c r="Z5787" s="7"/>
    </row>
    <row r="5788" hidden="1">
      <c r="A5788" s="7"/>
      <c r="B5788" s="7"/>
      <c r="C5788" s="7"/>
      <c r="D5788" s="7"/>
      <c r="E5788" s="7"/>
      <c r="F5788" s="7"/>
      <c r="G5788" s="7"/>
      <c r="H5788" s="8"/>
      <c r="I5788" s="8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</row>
    <row r="5789" hidden="1">
      <c r="A5789" s="7"/>
      <c r="B5789" s="7"/>
      <c r="C5789" s="7"/>
      <c r="D5789" s="7"/>
      <c r="E5789" s="7"/>
      <c r="F5789" s="7"/>
      <c r="G5789" s="7"/>
      <c r="H5789" s="8"/>
      <c r="I5789" s="8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</row>
    <row r="5790" hidden="1">
      <c r="A5790" s="7"/>
      <c r="B5790" s="7"/>
      <c r="C5790" s="7"/>
      <c r="D5790" s="7"/>
      <c r="E5790" s="7"/>
      <c r="F5790" s="7"/>
      <c r="G5790" s="7"/>
      <c r="H5790" s="8"/>
      <c r="I5790" s="8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</row>
    <row r="5791" hidden="1">
      <c r="A5791" s="7"/>
      <c r="B5791" s="7"/>
      <c r="C5791" s="7"/>
      <c r="D5791" s="7"/>
      <c r="E5791" s="7"/>
      <c r="F5791" s="7"/>
      <c r="G5791" s="7"/>
      <c r="H5791" s="8"/>
      <c r="I5791" s="8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</row>
    <row r="5792" hidden="1">
      <c r="A5792" s="7"/>
      <c r="B5792" s="7"/>
      <c r="C5792" s="7"/>
      <c r="D5792" s="7"/>
      <c r="E5792" s="7"/>
      <c r="F5792" s="7"/>
      <c r="G5792" s="7"/>
      <c r="H5792" s="8"/>
      <c r="I5792" s="8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</row>
    <row r="5793" hidden="1">
      <c r="A5793" s="7"/>
      <c r="B5793" s="7"/>
      <c r="C5793" s="7"/>
      <c r="D5793" s="7"/>
      <c r="E5793" s="7"/>
      <c r="F5793" s="7"/>
      <c r="G5793" s="7"/>
      <c r="H5793" s="8"/>
      <c r="I5793" s="8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</row>
    <row r="5794" hidden="1">
      <c r="A5794" s="7"/>
      <c r="B5794" s="7"/>
      <c r="C5794" s="7"/>
      <c r="D5794" s="7"/>
      <c r="E5794" s="7"/>
      <c r="F5794" s="7"/>
      <c r="G5794" s="7"/>
      <c r="H5794" s="8"/>
      <c r="I5794" s="8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</row>
    <row r="5795" hidden="1">
      <c r="A5795" s="7"/>
      <c r="B5795" s="7"/>
      <c r="C5795" s="7"/>
      <c r="D5795" s="7"/>
      <c r="E5795" s="7"/>
      <c r="F5795" s="7"/>
      <c r="G5795" s="7"/>
      <c r="H5795" s="8"/>
      <c r="I5795" s="8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7"/>
      <c r="Z5795" s="7"/>
    </row>
    <row r="5796" hidden="1">
      <c r="A5796" s="7"/>
      <c r="B5796" s="7"/>
      <c r="C5796" s="7"/>
      <c r="D5796" s="7"/>
      <c r="E5796" s="7"/>
      <c r="F5796" s="7"/>
      <c r="G5796" s="7"/>
      <c r="H5796" s="8"/>
      <c r="I5796" s="8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</row>
    <row r="5797" hidden="1">
      <c r="A5797" s="7"/>
      <c r="B5797" s="7"/>
      <c r="C5797" s="7"/>
      <c r="D5797" s="7"/>
      <c r="E5797" s="7"/>
      <c r="F5797" s="7"/>
      <c r="G5797" s="7"/>
      <c r="H5797" s="8"/>
      <c r="I5797" s="8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</row>
    <row r="5798" hidden="1">
      <c r="A5798" s="7"/>
      <c r="B5798" s="7"/>
      <c r="C5798" s="7"/>
      <c r="D5798" s="7"/>
      <c r="E5798" s="7"/>
      <c r="F5798" s="7"/>
      <c r="G5798" s="7"/>
      <c r="H5798" s="8"/>
      <c r="I5798" s="8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</row>
    <row r="5799" hidden="1">
      <c r="A5799" s="7"/>
      <c r="B5799" s="7"/>
      <c r="C5799" s="7"/>
      <c r="D5799" s="7"/>
      <c r="E5799" s="7"/>
      <c r="F5799" s="7"/>
      <c r="G5799" s="7"/>
      <c r="H5799" s="8"/>
      <c r="I5799" s="8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</row>
    <row r="5800" hidden="1">
      <c r="A5800" s="7"/>
      <c r="B5800" s="7"/>
      <c r="C5800" s="7"/>
      <c r="D5800" s="7"/>
      <c r="E5800" s="7"/>
      <c r="F5800" s="7"/>
      <c r="G5800" s="7"/>
      <c r="H5800" s="8"/>
      <c r="I5800" s="8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</row>
    <row r="5801" hidden="1">
      <c r="A5801" s="7"/>
      <c r="B5801" s="7"/>
      <c r="C5801" s="7"/>
      <c r="D5801" s="7"/>
      <c r="E5801" s="7"/>
      <c r="F5801" s="7"/>
      <c r="G5801" s="7"/>
      <c r="H5801" s="8"/>
      <c r="I5801" s="8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</row>
    <row r="5802" hidden="1">
      <c r="A5802" s="7"/>
      <c r="B5802" s="7"/>
      <c r="C5802" s="7"/>
      <c r="D5802" s="7"/>
      <c r="E5802" s="7"/>
      <c r="F5802" s="7"/>
      <c r="G5802" s="7"/>
      <c r="H5802" s="8"/>
      <c r="I5802" s="8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</row>
    <row r="5803" hidden="1">
      <c r="A5803" s="7"/>
      <c r="B5803" s="7"/>
      <c r="C5803" s="7"/>
      <c r="D5803" s="7"/>
      <c r="E5803" s="7"/>
      <c r="F5803" s="7"/>
      <c r="G5803" s="7"/>
      <c r="H5803" s="8"/>
      <c r="I5803" s="8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</row>
    <row r="5804" hidden="1">
      <c r="A5804" s="7"/>
      <c r="B5804" s="7"/>
      <c r="C5804" s="7"/>
      <c r="D5804" s="7"/>
      <c r="E5804" s="7"/>
      <c r="F5804" s="7"/>
      <c r="G5804" s="7"/>
      <c r="H5804" s="8"/>
      <c r="I5804" s="8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</row>
    <row r="5805" hidden="1">
      <c r="A5805" s="7"/>
      <c r="B5805" s="7"/>
      <c r="C5805" s="7"/>
      <c r="D5805" s="7"/>
      <c r="E5805" s="7"/>
      <c r="F5805" s="7"/>
      <c r="G5805" s="7"/>
      <c r="H5805" s="8"/>
      <c r="I5805" s="8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</row>
    <row r="5806" hidden="1">
      <c r="A5806" s="7"/>
      <c r="B5806" s="7"/>
      <c r="C5806" s="7"/>
      <c r="D5806" s="7"/>
      <c r="E5806" s="7"/>
      <c r="F5806" s="7"/>
      <c r="G5806" s="7"/>
      <c r="H5806" s="8"/>
      <c r="I5806" s="8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</row>
    <row r="5807" hidden="1">
      <c r="A5807" s="7"/>
      <c r="B5807" s="7"/>
      <c r="C5807" s="7"/>
      <c r="D5807" s="7"/>
      <c r="E5807" s="7"/>
      <c r="F5807" s="7"/>
      <c r="G5807" s="7"/>
      <c r="H5807" s="8"/>
      <c r="I5807" s="8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</row>
    <row r="5808" hidden="1">
      <c r="A5808" s="7"/>
      <c r="B5808" s="7"/>
      <c r="C5808" s="7"/>
      <c r="D5808" s="7"/>
      <c r="E5808" s="7"/>
      <c r="F5808" s="7"/>
      <c r="G5808" s="7"/>
      <c r="H5808" s="8"/>
      <c r="I5808" s="8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</row>
    <row r="5809" hidden="1">
      <c r="A5809" s="7"/>
      <c r="B5809" s="7"/>
      <c r="C5809" s="7"/>
      <c r="D5809" s="7"/>
      <c r="E5809" s="7"/>
      <c r="F5809" s="7"/>
      <c r="G5809" s="7"/>
      <c r="H5809" s="8"/>
      <c r="I5809" s="8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</row>
    <row r="5810" hidden="1">
      <c r="A5810" s="7"/>
      <c r="B5810" s="7"/>
      <c r="C5810" s="7"/>
      <c r="D5810" s="7"/>
      <c r="E5810" s="7"/>
      <c r="F5810" s="7"/>
      <c r="G5810" s="7"/>
      <c r="H5810" s="8"/>
      <c r="I5810" s="8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</row>
    <row r="5811" hidden="1">
      <c r="A5811" s="7"/>
      <c r="B5811" s="7"/>
      <c r="C5811" s="7"/>
      <c r="D5811" s="7"/>
      <c r="E5811" s="7"/>
      <c r="F5811" s="7"/>
      <c r="G5811" s="7"/>
      <c r="H5811" s="8"/>
      <c r="I5811" s="8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</row>
    <row r="5812" hidden="1">
      <c r="A5812" s="7"/>
      <c r="B5812" s="7"/>
      <c r="C5812" s="7"/>
      <c r="D5812" s="7"/>
      <c r="E5812" s="7"/>
      <c r="F5812" s="7"/>
      <c r="G5812" s="7"/>
      <c r="H5812" s="8"/>
      <c r="I5812" s="8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</row>
    <row r="5813" hidden="1">
      <c r="A5813" s="7"/>
      <c r="B5813" s="7"/>
      <c r="C5813" s="7"/>
      <c r="D5813" s="7"/>
      <c r="E5813" s="7"/>
      <c r="F5813" s="7"/>
      <c r="G5813" s="7"/>
      <c r="H5813" s="8"/>
      <c r="I5813" s="8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</row>
    <row r="5814" hidden="1">
      <c r="A5814" s="7"/>
      <c r="B5814" s="7"/>
      <c r="C5814" s="7"/>
      <c r="D5814" s="7"/>
      <c r="E5814" s="7"/>
      <c r="F5814" s="7"/>
      <c r="G5814" s="7"/>
      <c r="H5814" s="8"/>
      <c r="I5814" s="8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</row>
    <row r="5815" hidden="1">
      <c r="A5815" s="7"/>
      <c r="B5815" s="7"/>
      <c r="C5815" s="7"/>
      <c r="D5815" s="7"/>
      <c r="E5815" s="7"/>
      <c r="F5815" s="7"/>
      <c r="G5815" s="7"/>
      <c r="H5815" s="8"/>
      <c r="I5815" s="8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</row>
    <row r="5816" hidden="1">
      <c r="A5816" s="7"/>
      <c r="B5816" s="7"/>
      <c r="C5816" s="7"/>
      <c r="D5816" s="7"/>
      <c r="E5816" s="7"/>
      <c r="F5816" s="7"/>
      <c r="G5816" s="7"/>
      <c r="H5816" s="8"/>
      <c r="I5816" s="8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</row>
    <row r="5817" hidden="1">
      <c r="A5817" s="7"/>
      <c r="B5817" s="7"/>
      <c r="C5817" s="7"/>
      <c r="D5817" s="7"/>
      <c r="E5817" s="7"/>
      <c r="F5817" s="7"/>
      <c r="G5817" s="7"/>
      <c r="H5817" s="8"/>
      <c r="I5817" s="8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</row>
    <row r="5818" hidden="1">
      <c r="A5818" s="7"/>
      <c r="B5818" s="7"/>
      <c r="C5818" s="7"/>
      <c r="D5818" s="7"/>
      <c r="E5818" s="7"/>
      <c r="F5818" s="7"/>
      <c r="G5818" s="7"/>
      <c r="H5818" s="8"/>
      <c r="I5818" s="8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</row>
    <row r="5819" hidden="1">
      <c r="A5819" s="7"/>
      <c r="B5819" s="7"/>
      <c r="C5819" s="7"/>
      <c r="D5819" s="7"/>
      <c r="E5819" s="7"/>
      <c r="F5819" s="7"/>
      <c r="G5819" s="7"/>
      <c r="H5819" s="8"/>
      <c r="I5819" s="8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</row>
    <row r="5820" hidden="1">
      <c r="A5820" s="7"/>
      <c r="B5820" s="7"/>
      <c r="C5820" s="7"/>
      <c r="D5820" s="7"/>
      <c r="E5820" s="7"/>
      <c r="F5820" s="7"/>
      <c r="G5820" s="7"/>
      <c r="H5820" s="8"/>
      <c r="I5820" s="8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</row>
    <row r="5821" hidden="1">
      <c r="A5821" s="7"/>
      <c r="B5821" s="7"/>
      <c r="C5821" s="7"/>
      <c r="D5821" s="7"/>
      <c r="E5821" s="7"/>
      <c r="F5821" s="7"/>
      <c r="G5821" s="7"/>
      <c r="H5821" s="8"/>
      <c r="I5821" s="8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7"/>
      <c r="Z5821" s="7"/>
    </row>
    <row r="5822" hidden="1">
      <c r="A5822" s="7"/>
      <c r="B5822" s="7"/>
      <c r="C5822" s="7"/>
      <c r="D5822" s="7"/>
      <c r="E5822" s="7"/>
      <c r="F5822" s="7"/>
      <c r="G5822" s="7"/>
      <c r="H5822" s="8"/>
      <c r="I5822" s="8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</row>
    <row r="5823" hidden="1">
      <c r="A5823" s="7"/>
      <c r="B5823" s="7"/>
      <c r="C5823" s="7"/>
      <c r="D5823" s="7"/>
      <c r="E5823" s="7"/>
      <c r="F5823" s="7"/>
      <c r="G5823" s="7"/>
      <c r="H5823" s="8"/>
      <c r="I5823" s="8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</row>
    <row r="5824" hidden="1">
      <c r="A5824" s="7"/>
      <c r="B5824" s="7"/>
      <c r="C5824" s="7"/>
      <c r="D5824" s="7"/>
      <c r="E5824" s="7"/>
      <c r="F5824" s="7"/>
      <c r="G5824" s="7"/>
      <c r="H5824" s="8"/>
      <c r="I5824" s="8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</row>
    <row r="5825" hidden="1">
      <c r="A5825" s="7"/>
      <c r="B5825" s="7"/>
      <c r="C5825" s="7"/>
      <c r="D5825" s="7"/>
      <c r="E5825" s="7"/>
      <c r="F5825" s="7"/>
      <c r="G5825" s="7"/>
      <c r="H5825" s="8"/>
      <c r="I5825" s="8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</row>
    <row r="5826" hidden="1">
      <c r="A5826" s="7"/>
      <c r="B5826" s="7"/>
      <c r="C5826" s="7"/>
      <c r="D5826" s="7"/>
      <c r="E5826" s="7"/>
      <c r="F5826" s="7"/>
      <c r="G5826" s="7"/>
      <c r="H5826" s="8"/>
      <c r="I5826" s="8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</row>
    <row r="5827" hidden="1">
      <c r="A5827" s="7"/>
      <c r="B5827" s="7"/>
      <c r="C5827" s="7"/>
      <c r="D5827" s="7"/>
      <c r="E5827" s="7"/>
      <c r="F5827" s="7"/>
      <c r="G5827" s="7"/>
      <c r="H5827" s="8"/>
      <c r="I5827" s="8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</row>
    <row r="5828" hidden="1">
      <c r="A5828" s="7"/>
      <c r="B5828" s="7"/>
      <c r="C5828" s="7"/>
      <c r="D5828" s="7"/>
      <c r="E5828" s="7"/>
      <c r="F5828" s="7"/>
      <c r="G5828" s="7"/>
      <c r="H5828" s="8"/>
      <c r="I5828" s="8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</row>
    <row r="5829" hidden="1">
      <c r="A5829" s="7"/>
      <c r="B5829" s="7"/>
      <c r="C5829" s="7"/>
      <c r="D5829" s="7"/>
      <c r="E5829" s="7"/>
      <c r="F5829" s="7"/>
      <c r="G5829" s="7"/>
      <c r="H5829" s="8"/>
      <c r="I5829" s="8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</row>
    <row r="5830" hidden="1">
      <c r="A5830" s="7"/>
      <c r="B5830" s="7"/>
      <c r="C5830" s="7"/>
      <c r="D5830" s="7"/>
      <c r="E5830" s="7"/>
      <c r="F5830" s="7"/>
      <c r="G5830" s="7"/>
      <c r="H5830" s="8"/>
      <c r="I5830" s="8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</row>
    <row r="5831" hidden="1">
      <c r="A5831" s="7"/>
      <c r="B5831" s="7"/>
      <c r="C5831" s="7"/>
      <c r="D5831" s="7"/>
      <c r="E5831" s="7"/>
      <c r="F5831" s="7"/>
      <c r="G5831" s="7"/>
      <c r="H5831" s="8"/>
      <c r="I5831" s="8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</row>
    <row r="5832" hidden="1">
      <c r="A5832" s="7"/>
      <c r="B5832" s="7"/>
      <c r="C5832" s="7"/>
      <c r="D5832" s="7"/>
      <c r="E5832" s="7"/>
      <c r="F5832" s="7"/>
      <c r="G5832" s="7"/>
      <c r="H5832" s="8"/>
      <c r="I5832" s="8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</row>
    <row r="5833" hidden="1">
      <c r="A5833" s="7"/>
      <c r="B5833" s="7"/>
      <c r="C5833" s="7"/>
      <c r="D5833" s="7"/>
      <c r="E5833" s="7"/>
      <c r="F5833" s="7"/>
      <c r="G5833" s="7"/>
      <c r="H5833" s="8"/>
      <c r="I5833" s="8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</row>
    <row r="5834" hidden="1">
      <c r="A5834" s="7"/>
      <c r="B5834" s="7"/>
      <c r="C5834" s="7"/>
      <c r="D5834" s="7"/>
      <c r="E5834" s="7"/>
      <c r="F5834" s="7"/>
      <c r="G5834" s="7"/>
      <c r="H5834" s="8"/>
      <c r="I5834" s="8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</row>
    <row r="5835" hidden="1">
      <c r="A5835" s="7"/>
      <c r="B5835" s="7"/>
      <c r="C5835" s="7"/>
      <c r="D5835" s="7"/>
      <c r="E5835" s="7"/>
      <c r="F5835" s="7"/>
      <c r="G5835" s="7"/>
      <c r="H5835" s="8"/>
      <c r="I5835" s="8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</row>
    <row r="5836" hidden="1">
      <c r="A5836" s="7"/>
      <c r="B5836" s="7"/>
      <c r="C5836" s="7"/>
      <c r="D5836" s="7"/>
      <c r="E5836" s="7"/>
      <c r="F5836" s="7"/>
      <c r="G5836" s="7"/>
      <c r="H5836" s="8"/>
      <c r="I5836" s="8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</row>
    <row r="5837" hidden="1">
      <c r="A5837" s="7"/>
      <c r="B5837" s="7"/>
      <c r="C5837" s="7"/>
      <c r="D5837" s="7"/>
      <c r="E5837" s="7"/>
      <c r="F5837" s="7"/>
      <c r="G5837" s="7"/>
      <c r="H5837" s="8"/>
      <c r="I5837" s="8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</row>
    <row r="5838" hidden="1">
      <c r="A5838" s="7"/>
      <c r="B5838" s="7"/>
      <c r="C5838" s="7"/>
      <c r="D5838" s="7"/>
      <c r="E5838" s="7"/>
      <c r="F5838" s="7"/>
      <c r="G5838" s="7"/>
      <c r="H5838" s="8"/>
      <c r="I5838" s="8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</row>
    <row r="5839" hidden="1">
      <c r="A5839" s="7"/>
      <c r="B5839" s="7"/>
      <c r="C5839" s="7"/>
      <c r="D5839" s="7"/>
      <c r="E5839" s="7"/>
      <c r="F5839" s="7"/>
      <c r="G5839" s="7"/>
      <c r="H5839" s="8"/>
      <c r="I5839" s="8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</row>
    <row r="5840" hidden="1">
      <c r="A5840" s="7"/>
      <c r="B5840" s="7"/>
      <c r="C5840" s="7"/>
      <c r="D5840" s="7"/>
      <c r="E5840" s="7"/>
      <c r="F5840" s="7"/>
      <c r="G5840" s="7"/>
      <c r="H5840" s="8"/>
      <c r="I5840" s="8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</row>
    <row r="5841" hidden="1">
      <c r="A5841" s="7"/>
      <c r="B5841" s="7"/>
      <c r="C5841" s="7"/>
      <c r="D5841" s="7"/>
      <c r="E5841" s="7"/>
      <c r="F5841" s="7"/>
      <c r="G5841" s="7"/>
      <c r="H5841" s="8"/>
      <c r="I5841" s="8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</row>
    <row r="5842" hidden="1">
      <c r="A5842" s="7"/>
      <c r="B5842" s="7"/>
      <c r="C5842" s="7"/>
      <c r="D5842" s="7"/>
      <c r="E5842" s="7"/>
      <c r="F5842" s="7"/>
      <c r="G5842" s="7"/>
      <c r="H5842" s="8"/>
      <c r="I5842" s="8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</row>
    <row r="5843" hidden="1">
      <c r="A5843" s="7"/>
      <c r="B5843" s="7"/>
      <c r="C5843" s="7"/>
      <c r="D5843" s="7"/>
      <c r="E5843" s="7"/>
      <c r="F5843" s="7"/>
      <c r="G5843" s="7"/>
      <c r="H5843" s="8"/>
      <c r="I5843" s="8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</row>
    <row r="5844" hidden="1">
      <c r="A5844" s="7"/>
      <c r="B5844" s="7"/>
      <c r="C5844" s="7"/>
      <c r="D5844" s="7"/>
      <c r="E5844" s="7"/>
      <c r="F5844" s="7"/>
      <c r="G5844" s="7"/>
      <c r="H5844" s="8"/>
      <c r="I5844" s="8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</row>
    <row r="5845" hidden="1">
      <c r="A5845" s="7"/>
      <c r="B5845" s="7"/>
      <c r="C5845" s="7"/>
      <c r="D5845" s="7"/>
      <c r="E5845" s="7"/>
      <c r="F5845" s="7"/>
      <c r="G5845" s="7"/>
      <c r="H5845" s="8"/>
      <c r="I5845" s="8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7"/>
      <c r="Z5845" s="7"/>
    </row>
    <row r="5846" hidden="1">
      <c r="A5846" s="7"/>
      <c r="B5846" s="7"/>
      <c r="C5846" s="7"/>
      <c r="D5846" s="7"/>
      <c r="E5846" s="7"/>
      <c r="F5846" s="7"/>
      <c r="G5846" s="7"/>
      <c r="H5846" s="8"/>
      <c r="I5846" s="8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</row>
    <row r="5847" hidden="1">
      <c r="A5847" s="7"/>
      <c r="B5847" s="7"/>
      <c r="C5847" s="7"/>
      <c r="D5847" s="7"/>
      <c r="E5847" s="7"/>
      <c r="F5847" s="7"/>
      <c r="G5847" s="7"/>
      <c r="H5847" s="8"/>
      <c r="I5847" s="8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7"/>
      <c r="Z5847" s="7"/>
    </row>
    <row r="5848" hidden="1">
      <c r="A5848" s="7"/>
      <c r="B5848" s="7"/>
      <c r="C5848" s="7"/>
      <c r="D5848" s="7"/>
      <c r="E5848" s="7"/>
      <c r="F5848" s="7"/>
      <c r="G5848" s="7"/>
      <c r="H5848" s="8"/>
      <c r="I5848" s="8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</row>
    <row r="5849" hidden="1">
      <c r="A5849" s="7"/>
      <c r="B5849" s="7"/>
      <c r="C5849" s="7"/>
      <c r="D5849" s="7"/>
      <c r="E5849" s="7"/>
      <c r="F5849" s="7"/>
      <c r="G5849" s="7"/>
      <c r="H5849" s="8"/>
      <c r="I5849" s="8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</row>
    <row r="5850" hidden="1">
      <c r="A5850" s="7"/>
      <c r="B5850" s="7"/>
      <c r="C5850" s="7"/>
      <c r="D5850" s="7"/>
      <c r="E5850" s="7"/>
      <c r="F5850" s="7"/>
      <c r="G5850" s="7"/>
      <c r="H5850" s="8"/>
      <c r="I5850" s="8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</row>
    <row r="5851" hidden="1">
      <c r="A5851" s="7"/>
      <c r="B5851" s="7"/>
      <c r="C5851" s="7"/>
      <c r="D5851" s="7"/>
      <c r="E5851" s="7"/>
      <c r="F5851" s="7"/>
      <c r="G5851" s="7"/>
      <c r="H5851" s="8"/>
      <c r="I5851" s="8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</row>
    <row r="5852" hidden="1">
      <c r="A5852" s="7"/>
      <c r="B5852" s="7"/>
      <c r="C5852" s="7"/>
      <c r="D5852" s="7"/>
      <c r="E5852" s="7"/>
      <c r="F5852" s="7"/>
      <c r="G5852" s="7"/>
      <c r="H5852" s="8"/>
      <c r="I5852" s="8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</row>
    <row r="5853" hidden="1">
      <c r="A5853" s="7"/>
      <c r="B5853" s="7"/>
      <c r="C5853" s="7"/>
      <c r="D5853" s="7"/>
      <c r="E5853" s="7"/>
      <c r="F5853" s="7"/>
      <c r="G5853" s="7"/>
      <c r="H5853" s="8"/>
      <c r="I5853" s="8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</row>
    <row r="5854" hidden="1">
      <c r="A5854" s="7"/>
      <c r="B5854" s="7"/>
      <c r="C5854" s="7"/>
      <c r="D5854" s="7"/>
      <c r="E5854" s="7"/>
      <c r="F5854" s="7"/>
      <c r="G5854" s="7"/>
      <c r="H5854" s="8"/>
      <c r="I5854" s="8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</row>
    <row r="5855" hidden="1">
      <c r="A5855" s="7"/>
      <c r="B5855" s="7"/>
      <c r="C5855" s="7"/>
      <c r="D5855" s="7"/>
      <c r="E5855" s="7"/>
      <c r="F5855" s="7"/>
      <c r="G5855" s="7"/>
      <c r="H5855" s="8"/>
      <c r="I5855" s="8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</row>
    <row r="5856" hidden="1">
      <c r="A5856" s="7"/>
      <c r="B5856" s="7"/>
      <c r="C5856" s="7"/>
      <c r="D5856" s="7"/>
      <c r="E5856" s="7"/>
      <c r="F5856" s="7"/>
      <c r="G5856" s="7"/>
      <c r="H5856" s="8"/>
      <c r="I5856" s="8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</row>
    <row r="5857" hidden="1">
      <c r="A5857" s="7"/>
      <c r="B5857" s="7"/>
      <c r="C5857" s="7"/>
      <c r="D5857" s="7"/>
      <c r="E5857" s="7"/>
      <c r="F5857" s="7"/>
      <c r="G5857" s="7"/>
      <c r="H5857" s="8"/>
      <c r="I5857" s="8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</row>
    <row r="5858" hidden="1">
      <c r="A5858" s="7"/>
      <c r="B5858" s="7"/>
      <c r="C5858" s="7"/>
      <c r="D5858" s="7"/>
      <c r="E5858" s="7"/>
      <c r="F5858" s="7"/>
      <c r="G5858" s="7"/>
      <c r="H5858" s="8"/>
      <c r="I5858" s="8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</row>
    <row r="5859" hidden="1">
      <c r="A5859" s="7"/>
      <c r="B5859" s="7"/>
      <c r="C5859" s="7"/>
      <c r="D5859" s="7"/>
      <c r="E5859" s="7"/>
      <c r="F5859" s="7"/>
      <c r="G5859" s="7"/>
      <c r="H5859" s="8"/>
      <c r="I5859" s="8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</row>
    <row r="5860" hidden="1">
      <c r="A5860" s="7"/>
      <c r="B5860" s="7"/>
      <c r="C5860" s="7"/>
      <c r="D5860" s="7"/>
      <c r="E5860" s="7"/>
      <c r="F5860" s="7"/>
      <c r="G5860" s="7"/>
      <c r="H5860" s="8"/>
      <c r="I5860" s="8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</row>
    <row r="5861" hidden="1">
      <c r="A5861" s="7"/>
      <c r="B5861" s="7"/>
      <c r="C5861" s="7"/>
      <c r="D5861" s="7"/>
      <c r="E5861" s="7"/>
      <c r="F5861" s="7"/>
      <c r="G5861" s="7"/>
      <c r="H5861" s="8"/>
      <c r="I5861" s="8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</row>
    <row r="5862" hidden="1">
      <c r="A5862" s="7"/>
      <c r="B5862" s="7"/>
      <c r="C5862" s="7"/>
      <c r="D5862" s="7"/>
      <c r="E5862" s="7"/>
      <c r="F5862" s="7"/>
      <c r="G5862" s="7"/>
      <c r="H5862" s="8"/>
      <c r="I5862" s="8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</row>
    <row r="5863" hidden="1">
      <c r="A5863" s="7"/>
      <c r="B5863" s="7"/>
      <c r="C5863" s="7"/>
      <c r="D5863" s="7"/>
      <c r="E5863" s="7"/>
      <c r="F5863" s="7"/>
      <c r="G5863" s="7"/>
      <c r="H5863" s="8"/>
      <c r="I5863" s="8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</row>
    <row r="5864" hidden="1">
      <c r="A5864" s="7"/>
      <c r="B5864" s="7"/>
      <c r="C5864" s="7"/>
      <c r="D5864" s="7"/>
      <c r="E5864" s="7"/>
      <c r="F5864" s="7"/>
      <c r="G5864" s="7"/>
      <c r="H5864" s="8"/>
      <c r="I5864" s="8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</row>
    <row r="5865" hidden="1">
      <c r="A5865" s="7"/>
      <c r="B5865" s="7"/>
      <c r="C5865" s="7"/>
      <c r="D5865" s="7"/>
      <c r="E5865" s="7"/>
      <c r="F5865" s="7"/>
      <c r="G5865" s="7"/>
      <c r="H5865" s="8"/>
      <c r="I5865" s="8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</row>
    <row r="5866" hidden="1">
      <c r="A5866" s="7"/>
      <c r="B5866" s="7"/>
      <c r="C5866" s="7"/>
      <c r="D5866" s="7"/>
      <c r="E5866" s="7"/>
      <c r="F5866" s="7"/>
      <c r="G5866" s="7"/>
      <c r="H5866" s="8"/>
      <c r="I5866" s="8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</row>
    <row r="5867" hidden="1">
      <c r="A5867" s="7"/>
      <c r="B5867" s="7"/>
      <c r="C5867" s="7"/>
      <c r="D5867" s="7"/>
      <c r="E5867" s="7"/>
      <c r="F5867" s="7"/>
      <c r="G5867" s="7"/>
      <c r="H5867" s="8"/>
      <c r="I5867" s="8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</row>
    <row r="5868" hidden="1">
      <c r="A5868" s="7"/>
      <c r="B5868" s="7"/>
      <c r="C5868" s="7"/>
      <c r="D5868" s="7"/>
      <c r="E5868" s="7"/>
      <c r="F5868" s="7"/>
      <c r="G5868" s="7"/>
      <c r="H5868" s="8"/>
      <c r="I5868" s="8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</row>
    <row r="5869" hidden="1">
      <c r="A5869" s="7"/>
      <c r="B5869" s="7"/>
      <c r="C5869" s="7"/>
      <c r="D5869" s="7"/>
      <c r="E5869" s="7"/>
      <c r="F5869" s="7"/>
      <c r="G5869" s="7"/>
      <c r="H5869" s="8"/>
      <c r="I5869" s="8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</row>
    <row r="5870" hidden="1">
      <c r="A5870" s="7"/>
      <c r="B5870" s="7"/>
      <c r="C5870" s="7"/>
      <c r="D5870" s="7"/>
      <c r="E5870" s="7"/>
      <c r="F5870" s="7"/>
      <c r="G5870" s="7"/>
      <c r="H5870" s="8"/>
      <c r="I5870" s="8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</row>
    <row r="5871" hidden="1">
      <c r="A5871" s="7"/>
      <c r="B5871" s="7"/>
      <c r="C5871" s="7"/>
      <c r="D5871" s="7"/>
      <c r="E5871" s="7"/>
      <c r="F5871" s="7"/>
      <c r="G5871" s="7"/>
      <c r="H5871" s="8"/>
      <c r="I5871" s="8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</row>
    <row r="5872" hidden="1">
      <c r="A5872" s="7"/>
      <c r="B5872" s="7"/>
      <c r="C5872" s="7"/>
      <c r="D5872" s="7"/>
      <c r="E5872" s="7"/>
      <c r="F5872" s="7"/>
      <c r="G5872" s="7"/>
      <c r="H5872" s="8"/>
      <c r="I5872" s="8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</row>
    <row r="5873" hidden="1">
      <c r="A5873" s="7"/>
      <c r="B5873" s="7"/>
      <c r="C5873" s="7"/>
      <c r="D5873" s="7"/>
      <c r="E5873" s="7"/>
      <c r="F5873" s="7"/>
      <c r="G5873" s="7"/>
      <c r="H5873" s="8"/>
      <c r="I5873" s="8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</row>
    <row r="5874" hidden="1">
      <c r="A5874" s="7"/>
      <c r="B5874" s="7"/>
      <c r="C5874" s="7"/>
      <c r="D5874" s="7"/>
      <c r="E5874" s="7"/>
      <c r="F5874" s="7"/>
      <c r="G5874" s="7"/>
      <c r="H5874" s="8"/>
      <c r="I5874" s="8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</row>
    <row r="5875" hidden="1">
      <c r="A5875" s="7"/>
      <c r="B5875" s="7"/>
      <c r="C5875" s="7"/>
      <c r="D5875" s="7"/>
      <c r="E5875" s="7"/>
      <c r="F5875" s="7"/>
      <c r="G5875" s="7"/>
      <c r="H5875" s="8"/>
      <c r="I5875" s="8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</row>
    <row r="5876" hidden="1">
      <c r="A5876" s="7"/>
      <c r="B5876" s="7"/>
      <c r="C5876" s="7"/>
      <c r="D5876" s="7"/>
      <c r="E5876" s="7"/>
      <c r="F5876" s="7"/>
      <c r="G5876" s="7"/>
      <c r="H5876" s="8"/>
      <c r="I5876" s="8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</row>
    <row r="5877" hidden="1">
      <c r="A5877" s="7"/>
      <c r="B5877" s="7"/>
      <c r="C5877" s="7"/>
      <c r="D5877" s="7"/>
      <c r="E5877" s="7"/>
      <c r="F5877" s="7"/>
      <c r="G5877" s="7"/>
      <c r="H5877" s="8"/>
      <c r="I5877" s="8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</row>
    <row r="5878" hidden="1">
      <c r="A5878" s="7"/>
      <c r="B5878" s="7"/>
      <c r="C5878" s="7"/>
      <c r="D5878" s="7"/>
      <c r="E5878" s="7"/>
      <c r="F5878" s="7"/>
      <c r="G5878" s="7"/>
      <c r="H5878" s="8"/>
      <c r="I5878" s="8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</row>
    <row r="5879" hidden="1">
      <c r="A5879" s="7"/>
      <c r="B5879" s="7"/>
      <c r="C5879" s="7"/>
      <c r="D5879" s="7"/>
      <c r="E5879" s="7"/>
      <c r="F5879" s="7"/>
      <c r="G5879" s="7"/>
      <c r="H5879" s="8"/>
      <c r="I5879" s="8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</row>
    <row r="5880" hidden="1">
      <c r="A5880" s="7"/>
      <c r="B5880" s="7"/>
      <c r="C5880" s="7"/>
      <c r="D5880" s="7"/>
      <c r="E5880" s="7"/>
      <c r="F5880" s="7"/>
      <c r="G5880" s="7"/>
      <c r="H5880" s="8"/>
      <c r="I5880" s="8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</row>
    <row r="5881" hidden="1">
      <c r="A5881" s="7"/>
      <c r="B5881" s="7"/>
      <c r="C5881" s="7"/>
      <c r="D5881" s="7"/>
      <c r="E5881" s="7"/>
      <c r="F5881" s="7"/>
      <c r="G5881" s="7"/>
      <c r="H5881" s="8"/>
      <c r="I5881" s="8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</row>
    <row r="5882" hidden="1">
      <c r="A5882" s="7"/>
      <c r="B5882" s="7"/>
      <c r="C5882" s="7"/>
      <c r="D5882" s="7"/>
      <c r="E5882" s="7"/>
      <c r="F5882" s="7"/>
      <c r="G5882" s="7"/>
      <c r="H5882" s="8"/>
      <c r="I5882" s="8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</row>
    <row r="5883" hidden="1">
      <c r="A5883" s="7"/>
      <c r="B5883" s="7"/>
      <c r="C5883" s="7"/>
      <c r="D5883" s="7"/>
      <c r="E5883" s="7"/>
      <c r="F5883" s="7"/>
      <c r="G5883" s="7"/>
      <c r="H5883" s="8"/>
      <c r="I5883" s="8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</row>
    <row r="5884" hidden="1">
      <c r="A5884" s="7"/>
      <c r="B5884" s="7"/>
      <c r="C5884" s="7"/>
      <c r="D5884" s="7"/>
      <c r="E5884" s="7"/>
      <c r="F5884" s="7"/>
      <c r="G5884" s="7"/>
      <c r="H5884" s="8"/>
      <c r="I5884" s="8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</row>
    <row r="5885" hidden="1">
      <c r="A5885" s="7"/>
      <c r="B5885" s="7"/>
      <c r="C5885" s="7"/>
      <c r="D5885" s="7"/>
      <c r="E5885" s="7"/>
      <c r="F5885" s="7"/>
      <c r="G5885" s="7"/>
      <c r="H5885" s="8"/>
      <c r="I5885" s="8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</row>
    <row r="5886" hidden="1">
      <c r="A5886" s="7"/>
      <c r="B5886" s="7"/>
      <c r="C5886" s="7"/>
      <c r="D5886" s="7"/>
      <c r="E5886" s="7"/>
      <c r="F5886" s="7"/>
      <c r="G5886" s="7"/>
      <c r="H5886" s="8"/>
      <c r="I5886" s="8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</row>
    <row r="5887" hidden="1">
      <c r="A5887" s="7"/>
      <c r="B5887" s="7"/>
      <c r="C5887" s="7"/>
      <c r="D5887" s="7"/>
      <c r="E5887" s="7"/>
      <c r="F5887" s="7"/>
      <c r="G5887" s="7"/>
      <c r="H5887" s="8"/>
      <c r="I5887" s="8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</row>
    <row r="5888" hidden="1">
      <c r="A5888" s="7"/>
      <c r="B5888" s="7"/>
      <c r="C5888" s="7"/>
      <c r="D5888" s="7"/>
      <c r="E5888" s="7"/>
      <c r="F5888" s="7"/>
      <c r="G5888" s="7"/>
      <c r="H5888" s="8"/>
      <c r="I5888" s="8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</row>
    <row r="5889" hidden="1">
      <c r="A5889" s="7"/>
      <c r="B5889" s="7"/>
      <c r="C5889" s="7"/>
      <c r="D5889" s="7"/>
      <c r="E5889" s="7"/>
      <c r="F5889" s="7"/>
      <c r="G5889" s="7"/>
      <c r="H5889" s="8"/>
      <c r="I5889" s="8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</row>
    <row r="5890" hidden="1">
      <c r="A5890" s="7"/>
      <c r="B5890" s="7"/>
      <c r="C5890" s="7"/>
      <c r="D5890" s="7"/>
      <c r="E5890" s="7"/>
      <c r="F5890" s="7"/>
      <c r="G5890" s="7"/>
      <c r="H5890" s="8"/>
      <c r="I5890" s="8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</row>
    <row r="5891" hidden="1">
      <c r="A5891" s="7"/>
      <c r="B5891" s="7"/>
      <c r="C5891" s="7"/>
      <c r="D5891" s="7"/>
      <c r="E5891" s="7"/>
      <c r="F5891" s="7"/>
      <c r="G5891" s="7"/>
      <c r="H5891" s="8"/>
      <c r="I5891" s="8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</row>
    <row r="5892" hidden="1">
      <c r="A5892" s="7"/>
      <c r="B5892" s="7"/>
      <c r="C5892" s="7"/>
      <c r="D5892" s="7"/>
      <c r="E5892" s="7"/>
      <c r="F5892" s="7"/>
      <c r="G5892" s="7"/>
      <c r="H5892" s="8"/>
      <c r="I5892" s="8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</row>
    <row r="5893" hidden="1">
      <c r="A5893" s="7"/>
      <c r="B5893" s="7"/>
      <c r="C5893" s="7"/>
      <c r="D5893" s="7"/>
      <c r="E5893" s="7"/>
      <c r="F5893" s="7"/>
      <c r="G5893" s="7"/>
      <c r="H5893" s="8"/>
      <c r="I5893" s="8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</row>
    <row r="5894" hidden="1">
      <c r="A5894" s="7"/>
      <c r="B5894" s="7"/>
      <c r="C5894" s="7"/>
      <c r="D5894" s="7"/>
      <c r="E5894" s="7"/>
      <c r="F5894" s="7"/>
      <c r="G5894" s="7"/>
      <c r="H5894" s="8"/>
      <c r="I5894" s="8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</row>
    <row r="5895" hidden="1">
      <c r="A5895" s="7"/>
      <c r="B5895" s="7"/>
      <c r="C5895" s="7"/>
      <c r="D5895" s="7"/>
      <c r="E5895" s="7"/>
      <c r="F5895" s="7"/>
      <c r="G5895" s="7"/>
      <c r="H5895" s="8"/>
      <c r="I5895" s="8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</row>
    <row r="5896" hidden="1">
      <c r="A5896" s="7"/>
      <c r="B5896" s="7"/>
      <c r="C5896" s="7"/>
      <c r="D5896" s="7"/>
      <c r="E5896" s="7"/>
      <c r="F5896" s="7"/>
      <c r="G5896" s="7"/>
      <c r="H5896" s="8"/>
      <c r="I5896" s="8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</row>
    <row r="5897" hidden="1">
      <c r="A5897" s="7"/>
      <c r="B5897" s="7"/>
      <c r="C5897" s="7"/>
      <c r="D5897" s="7"/>
      <c r="E5897" s="7"/>
      <c r="F5897" s="7"/>
      <c r="G5897" s="7"/>
      <c r="H5897" s="8"/>
      <c r="I5897" s="8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</row>
    <row r="5898" hidden="1">
      <c r="A5898" s="7"/>
      <c r="B5898" s="7"/>
      <c r="C5898" s="7"/>
      <c r="D5898" s="7"/>
      <c r="E5898" s="7"/>
      <c r="F5898" s="7"/>
      <c r="G5898" s="7"/>
      <c r="H5898" s="8"/>
      <c r="I5898" s="8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</row>
    <row r="5899" hidden="1">
      <c r="A5899" s="7"/>
      <c r="B5899" s="7"/>
      <c r="C5899" s="7"/>
      <c r="D5899" s="7"/>
      <c r="E5899" s="7"/>
      <c r="F5899" s="7"/>
      <c r="G5899" s="7"/>
      <c r="H5899" s="8"/>
      <c r="I5899" s="8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</row>
    <row r="5900" hidden="1">
      <c r="A5900" s="7"/>
      <c r="B5900" s="7"/>
      <c r="C5900" s="7"/>
      <c r="D5900" s="7"/>
      <c r="E5900" s="7"/>
      <c r="F5900" s="7"/>
      <c r="G5900" s="7"/>
      <c r="H5900" s="8"/>
      <c r="I5900" s="8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</row>
    <row r="5901" hidden="1">
      <c r="A5901" s="7"/>
      <c r="B5901" s="7"/>
      <c r="C5901" s="7"/>
      <c r="D5901" s="7"/>
      <c r="E5901" s="7"/>
      <c r="F5901" s="7"/>
      <c r="G5901" s="7"/>
      <c r="H5901" s="8"/>
      <c r="I5901" s="8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</row>
    <row r="5902" hidden="1">
      <c r="A5902" s="7"/>
      <c r="B5902" s="7"/>
      <c r="C5902" s="7"/>
      <c r="D5902" s="7"/>
      <c r="E5902" s="7"/>
      <c r="F5902" s="7"/>
      <c r="G5902" s="7"/>
      <c r="H5902" s="8"/>
      <c r="I5902" s="8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</row>
    <row r="5903" hidden="1">
      <c r="A5903" s="7"/>
      <c r="B5903" s="7"/>
      <c r="C5903" s="7"/>
      <c r="D5903" s="7"/>
      <c r="E5903" s="7"/>
      <c r="F5903" s="7"/>
      <c r="G5903" s="7"/>
      <c r="H5903" s="8"/>
      <c r="I5903" s="8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7"/>
      <c r="Z5903" s="7"/>
    </row>
    <row r="5904" hidden="1">
      <c r="A5904" s="7"/>
      <c r="B5904" s="7"/>
      <c r="C5904" s="7"/>
      <c r="D5904" s="7"/>
      <c r="E5904" s="7"/>
      <c r="F5904" s="7"/>
      <c r="G5904" s="7"/>
      <c r="H5904" s="8"/>
      <c r="I5904" s="8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</row>
    <row r="5905" hidden="1">
      <c r="A5905" s="7"/>
      <c r="B5905" s="7"/>
      <c r="C5905" s="7"/>
      <c r="D5905" s="7"/>
      <c r="E5905" s="7"/>
      <c r="F5905" s="7"/>
      <c r="G5905" s="7"/>
      <c r="H5905" s="8"/>
      <c r="I5905" s="8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7"/>
      <c r="Z5905" s="7"/>
    </row>
    <row r="5906" hidden="1">
      <c r="A5906" s="7"/>
      <c r="B5906" s="7"/>
      <c r="C5906" s="7"/>
      <c r="D5906" s="7"/>
      <c r="E5906" s="7"/>
      <c r="F5906" s="7"/>
      <c r="G5906" s="7"/>
      <c r="H5906" s="8"/>
      <c r="I5906" s="8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</row>
    <row r="5907" hidden="1">
      <c r="A5907" s="7"/>
      <c r="B5907" s="7"/>
      <c r="C5907" s="7"/>
      <c r="D5907" s="7"/>
      <c r="E5907" s="7"/>
      <c r="F5907" s="7"/>
      <c r="G5907" s="7"/>
      <c r="H5907" s="8"/>
      <c r="I5907" s="8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7"/>
      <c r="Z5907" s="7"/>
    </row>
    <row r="5908" hidden="1">
      <c r="A5908" s="7"/>
      <c r="B5908" s="7"/>
      <c r="C5908" s="7"/>
      <c r="D5908" s="7"/>
      <c r="E5908" s="7"/>
      <c r="F5908" s="7"/>
      <c r="G5908" s="7"/>
      <c r="H5908" s="8"/>
      <c r="I5908" s="8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</row>
    <row r="5909" hidden="1">
      <c r="A5909" s="7"/>
      <c r="B5909" s="7"/>
      <c r="C5909" s="7"/>
      <c r="D5909" s="7"/>
      <c r="E5909" s="7"/>
      <c r="F5909" s="7"/>
      <c r="G5909" s="7"/>
      <c r="H5909" s="8"/>
      <c r="I5909" s="8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</row>
    <row r="5910" hidden="1">
      <c r="A5910" s="7"/>
      <c r="B5910" s="7"/>
      <c r="C5910" s="7"/>
      <c r="D5910" s="7"/>
      <c r="E5910" s="7"/>
      <c r="F5910" s="7"/>
      <c r="G5910" s="7"/>
      <c r="H5910" s="8"/>
      <c r="I5910" s="8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</row>
    <row r="5911" hidden="1">
      <c r="A5911" s="7"/>
      <c r="B5911" s="7"/>
      <c r="C5911" s="7"/>
      <c r="D5911" s="7"/>
      <c r="E5911" s="7"/>
      <c r="F5911" s="7"/>
      <c r="G5911" s="7"/>
      <c r="H5911" s="8"/>
      <c r="I5911" s="8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</row>
    <row r="5912" hidden="1">
      <c r="A5912" s="7"/>
      <c r="B5912" s="7"/>
      <c r="C5912" s="7"/>
      <c r="D5912" s="7"/>
      <c r="E5912" s="7"/>
      <c r="F5912" s="7"/>
      <c r="G5912" s="7"/>
      <c r="H5912" s="8"/>
      <c r="I5912" s="8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</row>
    <row r="5913" hidden="1">
      <c r="A5913" s="7"/>
      <c r="B5913" s="7"/>
      <c r="C5913" s="7"/>
      <c r="D5913" s="7"/>
      <c r="E5913" s="7"/>
      <c r="F5913" s="7"/>
      <c r="G5913" s="7"/>
      <c r="H5913" s="8"/>
      <c r="I5913" s="8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</row>
    <row r="5914" hidden="1">
      <c r="A5914" s="7"/>
      <c r="B5914" s="7"/>
      <c r="C5914" s="7"/>
      <c r="D5914" s="7"/>
      <c r="E5914" s="7"/>
      <c r="F5914" s="7"/>
      <c r="G5914" s="7"/>
      <c r="H5914" s="8"/>
      <c r="I5914" s="8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</row>
    <row r="5915" hidden="1">
      <c r="A5915" s="7"/>
      <c r="B5915" s="7"/>
      <c r="C5915" s="7"/>
      <c r="D5915" s="7"/>
      <c r="E5915" s="7"/>
      <c r="F5915" s="7"/>
      <c r="G5915" s="7"/>
      <c r="H5915" s="8"/>
      <c r="I5915" s="8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</row>
    <row r="5916" hidden="1">
      <c r="A5916" s="7"/>
      <c r="B5916" s="7"/>
      <c r="C5916" s="7"/>
      <c r="D5916" s="7"/>
      <c r="E5916" s="7"/>
      <c r="F5916" s="7"/>
      <c r="G5916" s="7"/>
      <c r="H5916" s="8"/>
      <c r="I5916" s="8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</row>
    <row r="5917" hidden="1">
      <c r="A5917" s="7"/>
      <c r="B5917" s="7"/>
      <c r="C5917" s="7"/>
      <c r="D5917" s="7"/>
      <c r="E5917" s="7"/>
      <c r="F5917" s="7"/>
      <c r="G5917" s="7"/>
      <c r="H5917" s="8"/>
      <c r="I5917" s="8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</row>
    <row r="5918" hidden="1">
      <c r="A5918" s="7"/>
      <c r="B5918" s="7"/>
      <c r="C5918" s="7"/>
      <c r="D5918" s="7"/>
      <c r="E5918" s="7"/>
      <c r="F5918" s="7"/>
      <c r="G5918" s="7"/>
      <c r="H5918" s="8"/>
      <c r="I5918" s="8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</row>
    <row r="5919" hidden="1">
      <c r="A5919" s="7"/>
      <c r="B5919" s="7"/>
      <c r="C5919" s="7"/>
      <c r="D5919" s="7"/>
      <c r="E5919" s="7"/>
      <c r="F5919" s="7"/>
      <c r="G5919" s="7"/>
      <c r="H5919" s="8"/>
      <c r="I5919" s="8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</row>
    <row r="5920" hidden="1">
      <c r="A5920" s="7"/>
      <c r="B5920" s="7"/>
      <c r="C5920" s="7"/>
      <c r="D5920" s="7"/>
      <c r="E5920" s="7"/>
      <c r="F5920" s="7"/>
      <c r="G5920" s="7"/>
      <c r="H5920" s="8"/>
      <c r="I5920" s="8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</row>
    <row r="5921" hidden="1">
      <c r="A5921" s="7"/>
      <c r="B5921" s="7"/>
      <c r="C5921" s="7"/>
      <c r="D5921" s="7"/>
      <c r="E5921" s="7"/>
      <c r="F5921" s="7"/>
      <c r="G5921" s="7"/>
      <c r="H5921" s="8"/>
      <c r="I5921" s="8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</row>
    <row r="5922" hidden="1">
      <c r="A5922" s="7"/>
      <c r="B5922" s="7"/>
      <c r="C5922" s="7"/>
      <c r="D5922" s="7"/>
      <c r="E5922" s="7"/>
      <c r="F5922" s="7"/>
      <c r="G5922" s="7"/>
      <c r="H5922" s="8"/>
      <c r="I5922" s="8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</row>
    <row r="5923" hidden="1">
      <c r="A5923" s="7"/>
      <c r="B5923" s="7"/>
      <c r="C5923" s="7"/>
      <c r="D5923" s="7"/>
      <c r="E5923" s="7"/>
      <c r="F5923" s="7"/>
      <c r="G5923" s="7"/>
      <c r="H5923" s="8"/>
      <c r="I5923" s="8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</row>
    <row r="5924" hidden="1">
      <c r="A5924" s="7"/>
      <c r="B5924" s="7"/>
      <c r="C5924" s="7"/>
      <c r="D5924" s="7"/>
      <c r="E5924" s="7"/>
      <c r="F5924" s="7"/>
      <c r="G5924" s="7"/>
      <c r="H5924" s="8"/>
      <c r="I5924" s="8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</row>
    <row r="5925" hidden="1">
      <c r="A5925" s="7"/>
      <c r="B5925" s="7"/>
      <c r="C5925" s="7"/>
      <c r="D5925" s="7"/>
      <c r="E5925" s="7"/>
      <c r="F5925" s="7"/>
      <c r="G5925" s="7"/>
      <c r="H5925" s="8"/>
      <c r="I5925" s="8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</row>
    <row r="5926" hidden="1">
      <c r="A5926" s="7"/>
      <c r="B5926" s="7"/>
      <c r="C5926" s="7"/>
      <c r="D5926" s="7"/>
      <c r="E5926" s="7"/>
      <c r="F5926" s="7"/>
      <c r="G5926" s="7"/>
      <c r="H5926" s="8"/>
      <c r="I5926" s="8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</row>
    <row r="5927" hidden="1">
      <c r="A5927" s="7"/>
      <c r="B5927" s="7"/>
      <c r="C5927" s="7"/>
      <c r="D5927" s="7"/>
      <c r="E5927" s="7"/>
      <c r="F5927" s="7"/>
      <c r="G5927" s="7"/>
      <c r="H5927" s="8"/>
      <c r="I5927" s="8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</row>
    <row r="5928" hidden="1">
      <c r="A5928" s="7"/>
      <c r="B5928" s="7"/>
      <c r="C5928" s="7"/>
      <c r="D5928" s="7"/>
      <c r="E5928" s="7"/>
      <c r="F5928" s="7"/>
      <c r="G5928" s="7"/>
      <c r="H5928" s="8"/>
      <c r="I5928" s="8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</row>
    <row r="5929" hidden="1">
      <c r="A5929" s="7"/>
      <c r="B5929" s="7"/>
      <c r="C5929" s="7"/>
      <c r="D5929" s="7"/>
      <c r="E5929" s="7"/>
      <c r="F5929" s="7"/>
      <c r="G5929" s="7"/>
      <c r="H5929" s="8"/>
      <c r="I5929" s="8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</row>
    <row r="5930" hidden="1">
      <c r="A5930" s="7"/>
      <c r="B5930" s="7"/>
      <c r="C5930" s="7"/>
      <c r="D5930" s="7"/>
      <c r="E5930" s="7"/>
      <c r="F5930" s="7"/>
      <c r="G5930" s="7"/>
      <c r="H5930" s="8"/>
      <c r="I5930" s="8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</row>
    <row r="5931" hidden="1">
      <c r="A5931" s="7"/>
      <c r="B5931" s="7"/>
      <c r="C5931" s="7"/>
      <c r="D5931" s="7"/>
      <c r="E5931" s="7"/>
      <c r="F5931" s="7"/>
      <c r="G5931" s="7"/>
      <c r="H5931" s="8"/>
      <c r="I5931" s="8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</row>
    <row r="5932" hidden="1">
      <c r="A5932" s="7"/>
      <c r="B5932" s="7"/>
      <c r="C5932" s="7"/>
      <c r="D5932" s="7"/>
      <c r="E5932" s="7"/>
      <c r="F5932" s="7"/>
      <c r="G5932" s="7"/>
      <c r="H5932" s="8"/>
      <c r="I5932" s="8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</row>
    <row r="5933" hidden="1">
      <c r="A5933" s="7"/>
      <c r="B5933" s="7"/>
      <c r="C5933" s="7"/>
      <c r="D5933" s="7"/>
      <c r="E5933" s="7"/>
      <c r="F5933" s="7"/>
      <c r="G5933" s="7"/>
      <c r="H5933" s="8"/>
      <c r="I5933" s="8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</row>
    <row r="5934" hidden="1">
      <c r="A5934" s="7"/>
      <c r="B5934" s="7"/>
      <c r="C5934" s="7"/>
      <c r="D5934" s="7"/>
      <c r="E5934" s="7"/>
      <c r="F5934" s="7"/>
      <c r="G5934" s="7"/>
      <c r="H5934" s="8"/>
      <c r="I5934" s="8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</row>
    <row r="5935" hidden="1">
      <c r="A5935" s="7"/>
      <c r="B5935" s="7"/>
      <c r="C5935" s="7"/>
      <c r="D5935" s="7"/>
      <c r="E5935" s="7"/>
      <c r="F5935" s="7"/>
      <c r="G5935" s="7"/>
      <c r="H5935" s="8"/>
      <c r="I5935" s="8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</row>
    <row r="5936" hidden="1">
      <c r="A5936" s="7"/>
      <c r="B5936" s="7"/>
      <c r="C5936" s="7"/>
      <c r="D5936" s="7"/>
      <c r="E5936" s="7"/>
      <c r="F5936" s="7"/>
      <c r="G5936" s="7"/>
      <c r="H5936" s="8"/>
      <c r="I5936" s="8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</row>
    <row r="5937" hidden="1">
      <c r="A5937" s="7"/>
      <c r="B5937" s="7"/>
      <c r="C5937" s="7"/>
      <c r="D5937" s="7"/>
      <c r="E5937" s="7"/>
      <c r="F5937" s="7"/>
      <c r="G5937" s="7"/>
      <c r="H5937" s="8"/>
      <c r="I5937" s="8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</row>
    <row r="5938" hidden="1">
      <c r="A5938" s="7"/>
      <c r="B5938" s="7"/>
      <c r="C5938" s="7"/>
      <c r="D5938" s="7"/>
      <c r="E5938" s="7"/>
      <c r="F5938" s="7"/>
      <c r="G5938" s="7"/>
      <c r="H5938" s="8"/>
      <c r="I5938" s="8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</row>
    <row r="5939" hidden="1">
      <c r="A5939" s="7"/>
      <c r="B5939" s="7"/>
      <c r="C5939" s="7"/>
      <c r="D5939" s="7"/>
      <c r="E5939" s="7"/>
      <c r="F5939" s="7"/>
      <c r="G5939" s="7"/>
      <c r="H5939" s="8"/>
      <c r="I5939" s="8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</row>
    <row r="5940" hidden="1">
      <c r="A5940" s="7"/>
      <c r="B5940" s="7"/>
      <c r="C5940" s="7"/>
      <c r="D5940" s="7"/>
      <c r="E5940" s="7"/>
      <c r="F5940" s="7"/>
      <c r="G5940" s="7"/>
      <c r="H5940" s="8"/>
      <c r="I5940" s="8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</row>
    <row r="5941" hidden="1">
      <c r="A5941" s="7"/>
      <c r="B5941" s="7"/>
      <c r="C5941" s="7"/>
      <c r="D5941" s="7"/>
      <c r="E5941" s="7"/>
      <c r="F5941" s="7"/>
      <c r="G5941" s="7"/>
      <c r="H5941" s="8"/>
      <c r="I5941" s="8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</row>
    <row r="5942" hidden="1">
      <c r="A5942" s="7"/>
      <c r="B5942" s="7"/>
      <c r="C5942" s="7"/>
      <c r="D5942" s="7"/>
      <c r="E5942" s="7"/>
      <c r="F5942" s="7"/>
      <c r="G5942" s="7"/>
      <c r="H5942" s="8"/>
      <c r="I5942" s="8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</row>
    <row r="5943" hidden="1">
      <c r="A5943" s="7"/>
      <c r="B5943" s="7"/>
      <c r="C5943" s="7"/>
      <c r="D5943" s="7"/>
      <c r="E5943" s="7"/>
      <c r="F5943" s="7"/>
      <c r="G5943" s="7"/>
      <c r="H5943" s="8"/>
      <c r="I5943" s="8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</row>
    <row r="5944" hidden="1">
      <c r="A5944" s="7"/>
      <c r="B5944" s="7"/>
      <c r="C5944" s="7"/>
      <c r="D5944" s="7"/>
      <c r="E5944" s="7"/>
      <c r="F5944" s="7"/>
      <c r="G5944" s="7"/>
      <c r="H5944" s="8"/>
      <c r="I5944" s="8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</row>
    <row r="5945" hidden="1">
      <c r="A5945" s="7"/>
      <c r="B5945" s="7"/>
      <c r="C5945" s="7"/>
      <c r="D5945" s="7"/>
      <c r="E5945" s="7"/>
      <c r="F5945" s="7"/>
      <c r="G5945" s="7"/>
      <c r="H5945" s="8"/>
      <c r="I5945" s="8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</row>
    <row r="5946" hidden="1">
      <c r="A5946" s="7"/>
      <c r="B5946" s="7"/>
      <c r="C5946" s="7"/>
      <c r="D5946" s="7"/>
      <c r="E5946" s="7"/>
      <c r="F5946" s="7"/>
      <c r="G5946" s="7"/>
      <c r="H5946" s="8"/>
      <c r="I5946" s="8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</row>
    <row r="5947" hidden="1">
      <c r="A5947" s="7"/>
      <c r="B5947" s="7"/>
      <c r="C5947" s="7"/>
      <c r="D5947" s="7"/>
      <c r="E5947" s="7"/>
      <c r="F5947" s="7"/>
      <c r="G5947" s="7"/>
      <c r="H5947" s="8"/>
      <c r="I5947" s="8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</row>
    <row r="5948" hidden="1">
      <c r="A5948" s="7"/>
      <c r="B5948" s="7"/>
      <c r="C5948" s="7"/>
      <c r="D5948" s="7"/>
      <c r="E5948" s="7"/>
      <c r="F5948" s="7"/>
      <c r="G5948" s="7"/>
      <c r="H5948" s="8"/>
      <c r="I5948" s="8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</row>
    <row r="5949" hidden="1">
      <c r="A5949" s="7"/>
      <c r="B5949" s="7"/>
      <c r="C5949" s="7"/>
      <c r="D5949" s="7"/>
      <c r="E5949" s="7"/>
      <c r="F5949" s="7"/>
      <c r="G5949" s="7"/>
      <c r="H5949" s="8"/>
      <c r="I5949" s="8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</row>
    <row r="5950" hidden="1">
      <c r="A5950" s="7"/>
      <c r="B5950" s="7"/>
      <c r="C5950" s="7"/>
      <c r="D5950" s="7"/>
      <c r="E5950" s="7"/>
      <c r="F5950" s="7"/>
      <c r="G5950" s="7"/>
      <c r="H5950" s="8"/>
      <c r="I5950" s="8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</row>
    <row r="5951" hidden="1">
      <c r="A5951" s="7"/>
      <c r="B5951" s="7"/>
      <c r="C5951" s="7"/>
      <c r="D5951" s="7"/>
      <c r="E5951" s="7"/>
      <c r="F5951" s="7"/>
      <c r="G5951" s="7"/>
      <c r="H5951" s="8"/>
      <c r="I5951" s="8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</row>
    <row r="5952" hidden="1">
      <c r="A5952" s="7"/>
      <c r="B5952" s="7"/>
      <c r="C5952" s="7"/>
      <c r="D5952" s="7"/>
      <c r="E5952" s="7"/>
      <c r="F5952" s="7"/>
      <c r="G5952" s="7"/>
      <c r="H5952" s="8"/>
      <c r="I5952" s="8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</row>
    <row r="5953" hidden="1">
      <c r="A5953" s="7"/>
      <c r="B5953" s="7"/>
      <c r="C5953" s="7"/>
      <c r="D5953" s="7"/>
      <c r="E5953" s="7"/>
      <c r="F5953" s="7"/>
      <c r="G5953" s="7"/>
      <c r="H5953" s="8"/>
      <c r="I5953" s="8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</row>
    <row r="5954" hidden="1">
      <c r="A5954" s="7"/>
      <c r="B5954" s="7"/>
      <c r="C5954" s="7"/>
      <c r="D5954" s="7"/>
      <c r="E5954" s="7"/>
      <c r="F5954" s="7"/>
      <c r="G5954" s="7"/>
      <c r="H5954" s="8"/>
      <c r="I5954" s="8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</row>
    <row r="5955" hidden="1">
      <c r="A5955" s="7"/>
      <c r="B5955" s="7"/>
      <c r="C5955" s="7"/>
      <c r="D5955" s="7"/>
      <c r="E5955" s="7"/>
      <c r="F5955" s="7"/>
      <c r="G5955" s="7"/>
      <c r="H5955" s="8"/>
      <c r="I5955" s="8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</row>
    <row r="5956" hidden="1">
      <c r="A5956" s="7"/>
      <c r="B5956" s="7"/>
      <c r="C5956" s="7"/>
      <c r="D5956" s="7"/>
      <c r="E5956" s="7"/>
      <c r="F5956" s="7"/>
      <c r="G5956" s="7"/>
      <c r="H5956" s="8"/>
      <c r="I5956" s="8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</row>
    <row r="5957" hidden="1">
      <c r="A5957" s="7"/>
      <c r="B5957" s="7"/>
      <c r="C5957" s="7"/>
      <c r="D5957" s="7"/>
      <c r="E5957" s="7"/>
      <c r="F5957" s="7"/>
      <c r="G5957" s="7"/>
      <c r="H5957" s="8"/>
      <c r="I5957" s="8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</row>
    <row r="5958" hidden="1">
      <c r="A5958" s="7"/>
      <c r="B5958" s="7"/>
      <c r="C5958" s="7"/>
      <c r="D5958" s="7"/>
      <c r="E5958" s="7"/>
      <c r="F5958" s="7"/>
      <c r="G5958" s="7"/>
      <c r="H5958" s="8"/>
      <c r="I5958" s="8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</row>
    <row r="5959" hidden="1">
      <c r="A5959" s="7"/>
      <c r="B5959" s="7"/>
      <c r="C5959" s="7"/>
      <c r="D5959" s="7"/>
      <c r="E5959" s="7"/>
      <c r="F5959" s="7"/>
      <c r="G5959" s="7"/>
      <c r="H5959" s="8"/>
      <c r="I5959" s="8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</row>
    <row r="5960" hidden="1">
      <c r="A5960" s="7"/>
      <c r="B5960" s="7"/>
      <c r="C5960" s="7"/>
      <c r="D5960" s="7"/>
      <c r="E5960" s="7"/>
      <c r="F5960" s="7"/>
      <c r="G5960" s="7"/>
      <c r="H5960" s="8"/>
      <c r="I5960" s="8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</row>
    <row r="5961" hidden="1">
      <c r="A5961" s="7"/>
      <c r="B5961" s="7"/>
      <c r="C5961" s="7"/>
      <c r="D5961" s="7"/>
      <c r="E5961" s="7"/>
      <c r="F5961" s="7"/>
      <c r="G5961" s="7"/>
      <c r="H5961" s="8"/>
      <c r="I5961" s="8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</row>
    <row r="5962" hidden="1">
      <c r="A5962" s="7"/>
      <c r="B5962" s="7"/>
      <c r="C5962" s="7"/>
      <c r="D5962" s="7"/>
      <c r="E5962" s="7"/>
      <c r="F5962" s="7"/>
      <c r="G5962" s="7"/>
      <c r="H5962" s="8"/>
      <c r="I5962" s="8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</row>
    <row r="5963" hidden="1">
      <c r="A5963" s="7"/>
      <c r="B5963" s="7"/>
      <c r="C5963" s="7"/>
      <c r="D5963" s="7"/>
      <c r="E5963" s="7"/>
      <c r="F5963" s="7"/>
      <c r="G5963" s="7"/>
      <c r="H5963" s="8"/>
      <c r="I5963" s="8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</row>
    <row r="5964" hidden="1">
      <c r="A5964" s="7"/>
      <c r="B5964" s="7"/>
      <c r="C5964" s="7"/>
      <c r="D5964" s="7"/>
      <c r="E5964" s="7"/>
      <c r="F5964" s="7"/>
      <c r="G5964" s="7"/>
      <c r="H5964" s="8"/>
      <c r="I5964" s="8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</row>
    <row r="5965" hidden="1">
      <c r="A5965" s="7"/>
      <c r="B5965" s="7"/>
      <c r="C5965" s="7"/>
      <c r="D5965" s="7"/>
      <c r="E5965" s="7"/>
      <c r="F5965" s="7"/>
      <c r="G5965" s="7"/>
      <c r="H5965" s="8"/>
      <c r="I5965" s="8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</row>
    <row r="5966" hidden="1">
      <c r="A5966" s="7"/>
      <c r="B5966" s="7"/>
      <c r="C5966" s="7"/>
      <c r="D5966" s="7"/>
      <c r="E5966" s="7"/>
      <c r="F5966" s="7"/>
      <c r="G5966" s="7"/>
      <c r="H5966" s="8"/>
      <c r="I5966" s="8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</row>
    <row r="5967" hidden="1">
      <c r="A5967" s="7"/>
      <c r="B5967" s="7"/>
      <c r="C5967" s="7"/>
      <c r="D5967" s="7"/>
      <c r="E5967" s="7"/>
      <c r="F5967" s="7"/>
      <c r="G5967" s="7"/>
      <c r="H5967" s="8"/>
      <c r="I5967" s="8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</row>
    <row r="5968" hidden="1">
      <c r="A5968" s="7"/>
      <c r="B5968" s="7"/>
      <c r="C5968" s="7"/>
      <c r="D5968" s="7"/>
      <c r="E5968" s="7"/>
      <c r="F5968" s="7"/>
      <c r="G5968" s="7"/>
      <c r="H5968" s="8"/>
      <c r="I5968" s="8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</row>
    <row r="5969" hidden="1">
      <c r="A5969" s="7"/>
      <c r="B5969" s="7"/>
      <c r="C5969" s="7"/>
      <c r="D5969" s="7"/>
      <c r="E5969" s="7"/>
      <c r="F5969" s="7"/>
      <c r="G5969" s="7"/>
      <c r="H5969" s="8"/>
      <c r="I5969" s="8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</row>
    <row r="5970" hidden="1">
      <c r="A5970" s="7"/>
      <c r="B5970" s="7"/>
      <c r="C5970" s="7"/>
      <c r="D5970" s="7"/>
      <c r="E5970" s="7"/>
      <c r="F5970" s="7"/>
      <c r="G5970" s="7"/>
      <c r="H5970" s="8"/>
      <c r="I5970" s="8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</row>
    <row r="5971" hidden="1">
      <c r="A5971" s="7"/>
      <c r="B5971" s="7"/>
      <c r="C5971" s="7"/>
      <c r="D5971" s="7"/>
      <c r="E5971" s="7"/>
      <c r="F5971" s="7"/>
      <c r="G5971" s="7"/>
      <c r="H5971" s="8"/>
      <c r="I5971" s="8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</row>
    <row r="5972" hidden="1">
      <c r="A5972" s="7"/>
      <c r="B5972" s="7"/>
      <c r="C5972" s="7"/>
      <c r="D5972" s="7"/>
      <c r="E5972" s="7"/>
      <c r="F5972" s="7"/>
      <c r="G5972" s="7"/>
      <c r="H5972" s="8"/>
      <c r="I5972" s="8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</row>
    <row r="5973" hidden="1">
      <c r="A5973" s="7"/>
      <c r="B5973" s="7"/>
      <c r="C5973" s="7"/>
      <c r="D5973" s="7"/>
      <c r="E5973" s="7"/>
      <c r="F5973" s="7"/>
      <c r="G5973" s="7"/>
      <c r="H5973" s="8"/>
      <c r="I5973" s="8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</row>
    <row r="5974" hidden="1">
      <c r="A5974" s="7"/>
      <c r="B5974" s="7"/>
      <c r="C5974" s="7"/>
      <c r="D5974" s="7"/>
      <c r="E5974" s="7"/>
      <c r="F5974" s="7"/>
      <c r="G5974" s="7"/>
      <c r="H5974" s="8"/>
      <c r="I5974" s="8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</row>
    <row r="5975" hidden="1">
      <c r="A5975" s="7"/>
      <c r="B5975" s="7"/>
      <c r="C5975" s="7"/>
      <c r="D5975" s="7"/>
      <c r="E5975" s="7"/>
      <c r="F5975" s="7"/>
      <c r="G5975" s="7"/>
      <c r="H5975" s="8"/>
      <c r="I5975" s="8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</row>
    <row r="5976" hidden="1">
      <c r="A5976" s="7"/>
      <c r="B5976" s="7"/>
      <c r="C5976" s="7"/>
      <c r="D5976" s="7"/>
      <c r="E5976" s="7"/>
      <c r="F5976" s="7"/>
      <c r="G5976" s="7"/>
      <c r="H5976" s="8"/>
      <c r="I5976" s="8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</row>
    <row r="5977" hidden="1">
      <c r="A5977" s="7"/>
      <c r="B5977" s="7"/>
      <c r="C5977" s="7"/>
      <c r="D5977" s="7"/>
      <c r="E5977" s="7"/>
      <c r="F5977" s="7"/>
      <c r="G5977" s="7"/>
      <c r="H5977" s="8"/>
      <c r="I5977" s="8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</row>
    <row r="5978" hidden="1">
      <c r="A5978" s="7"/>
      <c r="B5978" s="7"/>
      <c r="C5978" s="7"/>
      <c r="D5978" s="7"/>
      <c r="E5978" s="7"/>
      <c r="F5978" s="7"/>
      <c r="G5978" s="7"/>
      <c r="H5978" s="8"/>
      <c r="I5978" s="8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</row>
    <row r="5979" hidden="1">
      <c r="A5979" s="7"/>
      <c r="B5979" s="7"/>
      <c r="C5979" s="7"/>
      <c r="D5979" s="7"/>
      <c r="E5979" s="7"/>
      <c r="F5979" s="7"/>
      <c r="G5979" s="7"/>
      <c r="H5979" s="8"/>
      <c r="I5979" s="8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</row>
    <row r="5980" hidden="1">
      <c r="A5980" s="7"/>
      <c r="B5980" s="7"/>
      <c r="C5980" s="7"/>
      <c r="D5980" s="7"/>
      <c r="E5980" s="7"/>
      <c r="F5980" s="7"/>
      <c r="G5980" s="7"/>
      <c r="H5980" s="8"/>
      <c r="I5980" s="8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</row>
    <row r="5981" hidden="1">
      <c r="A5981" s="7"/>
      <c r="B5981" s="7"/>
      <c r="C5981" s="7"/>
      <c r="D5981" s="7"/>
      <c r="E5981" s="7"/>
      <c r="F5981" s="7"/>
      <c r="G5981" s="7"/>
      <c r="H5981" s="8"/>
      <c r="I5981" s="8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</row>
    <row r="5982" hidden="1">
      <c r="A5982" s="7"/>
      <c r="B5982" s="7"/>
      <c r="C5982" s="7"/>
      <c r="D5982" s="7"/>
      <c r="E5982" s="7"/>
      <c r="F5982" s="7"/>
      <c r="G5982" s="7"/>
      <c r="H5982" s="8"/>
      <c r="I5982" s="8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</row>
    <row r="5983" hidden="1">
      <c r="A5983" s="7"/>
      <c r="B5983" s="7"/>
      <c r="C5983" s="7"/>
      <c r="D5983" s="7"/>
      <c r="E5983" s="7"/>
      <c r="F5983" s="7"/>
      <c r="G5983" s="7"/>
      <c r="H5983" s="8"/>
      <c r="I5983" s="8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</row>
    <row r="5984" hidden="1">
      <c r="A5984" s="7"/>
      <c r="B5984" s="7"/>
      <c r="C5984" s="7"/>
      <c r="D5984" s="7"/>
      <c r="E5984" s="7"/>
      <c r="F5984" s="7"/>
      <c r="G5984" s="7"/>
      <c r="H5984" s="8"/>
      <c r="I5984" s="8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</row>
    <row r="5985" hidden="1">
      <c r="A5985" s="7"/>
      <c r="B5985" s="7"/>
      <c r="C5985" s="7"/>
      <c r="D5985" s="7"/>
      <c r="E5985" s="7"/>
      <c r="F5985" s="7"/>
      <c r="G5985" s="7"/>
      <c r="H5985" s="8"/>
      <c r="I5985" s="8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</row>
    <row r="5986" hidden="1">
      <c r="A5986" s="7"/>
      <c r="B5986" s="7"/>
      <c r="C5986" s="7"/>
      <c r="D5986" s="7"/>
      <c r="E5986" s="7"/>
      <c r="F5986" s="7"/>
      <c r="G5986" s="7"/>
      <c r="H5986" s="8"/>
      <c r="I5986" s="8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</row>
    <row r="5987" hidden="1">
      <c r="A5987" s="7"/>
      <c r="B5987" s="7"/>
      <c r="C5987" s="7"/>
      <c r="D5987" s="7"/>
      <c r="E5987" s="7"/>
      <c r="F5987" s="7"/>
      <c r="G5987" s="7"/>
      <c r="H5987" s="8"/>
      <c r="I5987" s="8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</row>
    <row r="5988" hidden="1">
      <c r="A5988" s="7"/>
      <c r="B5988" s="7"/>
      <c r="C5988" s="7"/>
      <c r="D5988" s="7"/>
      <c r="E5988" s="7"/>
      <c r="F5988" s="7"/>
      <c r="G5988" s="7"/>
      <c r="H5988" s="8"/>
      <c r="I5988" s="8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</row>
    <row r="5989" hidden="1">
      <c r="A5989" s="7"/>
      <c r="B5989" s="7"/>
      <c r="C5989" s="7"/>
      <c r="D5989" s="7"/>
      <c r="E5989" s="7"/>
      <c r="F5989" s="7"/>
      <c r="G5989" s="7"/>
      <c r="H5989" s="8"/>
      <c r="I5989" s="8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</row>
    <row r="5990" hidden="1">
      <c r="A5990" s="7"/>
      <c r="B5990" s="7"/>
      <c r="C5990" s="7"/>
      <c r="D5990" s="7"/>
      <c r="E5990" s="7"/>
      <c r="F5990" s="7"/>
      <c r="G5990" s="7"/>
      <c r="H5990" s="8"/>
      <c r="I5990" s="8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</row>
    <row r="5991" hidden="1">
      <c r="A5991" s="7"/>
      <c r="B5991" s="7"/>
      <c r="C5991" s="7"/>
      <c r="D5991" s="7"/>
      <c r="E5991" s="7"/>
      <c r="F5991" s="7"/>
      <c r="G5991" s="7"/>
      <c r="H5991" s="8"/>
      <c r="I5991" s="8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</row>
    <row r="5992" hidden="1">
      <c r="A5992" s="7"/>
      <c r="B5992" s="7"/>
      <c r="C5992" s="7"/>
      <c r="D5992" s="7"/>
      <c r="E5992" s="7"/>
      <c r="F5992" s="7"/>
      <c r="G5992" s="7"/>
      <c r="H5992" s="8"/>
      <c r="I5992" s="8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</row>
    <row r="5993" hidden="1">
      <c r="A5993" s="7"/>
      <c r="B5993" s="7"/>
      <c r="C5993" s="7"/>
      <c r="D5993" s="7"/>
      <c r="E5993" s="7"/>
      <c r="F5993" s="7"/>
      <c r="G5993" s="7"/>
      <c r="H5993" s="8"/>
      <c r="I5993" s="8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</row>
    <row r="5994" hidden="1">
      <c r="A5994" s="7"/>
      <c r="B5994" s="7"/>
      <c r="C5994" s="7"/>
      <c r="D5994" s="7"/>
      <c r="E5994" s="7"/>
      <c r="F5994" s="7"/>
      <c r="G5994" s="7"/>
      <c r="H5994" s="8"/>
      <c r="I5994" s="8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</row>
    <row r="5995" hidden="1">
      <c r="A5995" s="7"/>
      <c r="B5995" s="7"/>
      <c r="C5995" s="7"/>
      <c r="D5995" s="7"/>
      <c r="E5995" s="7"/>
      <c r="F5995" s="7"/>
      <c r="G5995" s="7"/>
      <c r="H5995" s="8"/>
      <c r="I5995" s="8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</row>
    <row r="5996" hidden="1">
      <c r="A5996" s="7"/>
      <c r="B5996" s="7"/>
      <c r="C5996" s="7"/>
      <c r="D5996" s="7"/>
      <c r="E5996" s="7"/>
      <c r="F5996" s="7"/>
      <c r="G5996" s="7"/>
      <c r="H5996" s="8"/>
      <c r="I5996" s="8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</row>
    <row r="5997" hidden="1">
      <c r="A5997" s="7"/>
      <c r="B5997" s="7"/>
      <c r="C5997" s="7"/>
      <c r="D5997" s="7"/>
      <c r="E5997" s="7"/>
      <c r="F5997" s="7"/>
      <c r="G5997" s="7"/>
      <c r="H5997" s="8"/>
      <c r="I5997" s="8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</row>
    <row r="5998" hidden="1">
      <c r="A5998" s="7"/>
      <c r="B5998" s="7"/>
      <c r="C5998" s="7"/>
      <c r="D5998" s="7"/>
      <c r="E5998" s="7"/>
      <c r="F5998" s="7"/>
      <c r="G5998" s="7"/>
      <c r="H5998" s="8"/>
      <c r="I5998" s="8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</row>
    <row r="5999" hidden="1">
      <c r="A5999" s="7"/>
      <c r="B5999" s="7"/>
      <c r="C5999" s="7"/>
      <c r="D5999" s="7"/>
      <c r="E5999" s="7"/>
      <c r="F5999" s="7"/>
      <c r="G5999" s="7"/>
      <c r="H5999" s="8"/>
      <c r="I5999" s="8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</row>
    <row r="6000" hidden="1">
      <c r="A6000" s="7"/>
      <c r="B6000" s="7"/>
      <c r="C6000" s="7"/>
      <c r="D6000" s="7"/>
      <c r="E6000" s="7"/>
      <c r="F6000" s="7"/>
      <c r="G6000" s="7"/>
      <c r="H6000" s="8"/>
      <c r="I6000" s="8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</row>
    <row r="6001" hidden="1">
      <c r="A6001" s="7"/>
      <c r="B6001" s="7"/>
      <c r="C6001" s="7"/>
      <c r="D6001" s="7"/>
      <c r="E6001" s="7"/>
      <c r="F6001" s="7"/>
      <c r="G6001" s="7"/>
      <c r="H6001" s="8"/>
      <c r="I6001" s="8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</row>
    <row r="6002" hidden="1">
      <c r="A6002" s="7"/>
      <c r="B6002" s="7"/>
      <c r="C6002" s="7"/>
      <c r="D6002" s="7"/>
      <c r="E6002" s="7"/>
      <c r="F6002" s="7"/>
      <c r="G6002" s="7"/>
      <c r="H6002" s="8"/>
      <c r="I6002" s="8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</row>
    <row r="6003" hidden="1">
      <c r="A6003" s="7"/>
      <c r="B6003" s="7"/>
      <c r="C6003" s="7"/>
      <c r="D6003" s="7"/>
      <c r="E6003" s="7"/>
      <c r="F6003" s="7"/>
      <c r="G6003" s="7"/>
      <c r="H6003" s="8"/>
      <c r="I6003" s="8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7"/>
      <c r="Z6003" s="7"/>
    </row>
    <row r="6004" hidden="1">
      <c r="A6004" s="7"/>
      <c r="B6004" s="7"/>
      <c r="C6004" s="7"/>
      <c r="D6004" s="7"/>
      <c r="E6004" s="7"/>
      <c r="F6004" s="7"/>
      <c r="G6004" s="7"/>
      <c r="H6004" s="8"/>
      <c r="I6004" s="8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</row>
    <row r="6005" hidden="1">
      <c r="A6005" s="7"/>
      <c r="B6005" s="7"/>
      <c r="C6005" s="7"/>
      <c r="D6005" s="7"/>
      <c r="E6005" s="7"/>
      <c r="F6005" s="7"/>
      <c r="G6005" s="7"/>
      <c r="H6005" s="8"/>
      <c r="I6005" s="8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7"/>
      <c r="Z6005" s="7"/>
    </row>
    <row r="6006" hidden="1">
      <c r="A6006" s="7"/>
      <c r="B6006" s="7"/>
      <c r="C6006" s="7"/>
      <c r="D6006" s="7"/>
      <c r="E6006" s="7"/>
      <c r="F6006" s="7"/>
      <c r="G6006" s="7"/>
      <c r="H6006" s="8"/>
      <c r="I6006" s="8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</row>
    <row r="6007" hidden="1">
      <c r="A6007" s="7"/>
      <c r="B6007" s="7"/>
      <c r="C6007" s="7"/>
      <c r="D6007" s="7"/>
      <c r="E6007" s="7"/>
      <c r="F6007" s="7"/>
      <c r="G6007" s="7"/>
      <c r="H6007" s="8"/>
      <c r="I6007" s="8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7"/>
      <c r="Z6007" s="7"/>
    </row>
    <row r="6008" hidden="1">
      <c r="A6008" s="7"/>
      <c r="B6008" s="7"/>
      <c r="C6008" s="7"/>
      <c r="D6008" s="7"/>
      <c r="E6008" s="7"/>
      <c r="F6008" s="7"/>
      <c r="G6008" s="7"/>
      <c r="H6008" s="8"/>
      <c r="I6008" s="8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</row>
    <row r="6009" hidden="1">
      <c r="A6009" s="7"/>
      <c r="B6009" s="7"/>
      <c r="C6009" s="7"/>
      <c r="D6009" s="7"/>
      <c r="E6009" s="7"/>
      <c r="F6009" s="7"/>
      <c r="G6009" s="7"/>
      <c r="H6009" s="8"/>
      <c r="I6009" s="8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7"/>
      <c r="Z6009" s="7"/>
    </row>
    <row r="6010" hidden="1">
      <c r="A6010" s="7"/>
      <c r="B6010" s="7"/>
      <c r="C6010" s="7"/>
      <c r="D6010" s="7"/>
      <c r="E6010" s="7"/>
      <c r="F6010" s="7"/>
      <c r="G6010" s="7"/>
      <c r="H6010" s="8"/>
      <c r="I6010" s="8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</row>
    <row r="6011" hidden="1">
      <c r="A6011" s="7"/>
      <c r="B6011" s="7"/>
      <c r="C6011" s="7"/>
      <c r="D6011" s="7"/>
      <c r="E6011" s="7"/>
      <c r="F6011" s="7"/>
      <c r="G6011" s="7"/>
      <c r="H6011" s="8"/>
      <c r="I6011" s="8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</row>
    <row r="6012" hidden="1">
      <c r="A6012" s="7"/>
      <c r="B6012" s="7"/>
      <c r="C6012" s="7"/>
      <c r="D6012" s="7"/>
      <c r="E6012" s="7"/>
      <c r="F6012" s="7"/>
      <c r="G6012" s="7"/>
      <c r="H6012" s="8"/>
      <c r="I6012" s="8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</row>
    <row r="6013" hidden="1">
      <c r="A6013" s="7"/>
      <c r="B6013" s="7"/>
      <c r="C6013" s="7"/>
      <c r="D6013" s="7"/>
      <c r="E6013" s="7"/>
      <c r="F6013" s="7"/>
      <c r="G6013" s="7"/>
      <c r="H6013" s="8"/>
      <c r="I6013" s="8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</row>
    <row r="6014" hidden="1">
      <c r="A6014" s="7"/>
      <c r="B6014" s="7"/>
      <c r="C6014" s="7"/>
      <c r="D6014" s="7"/>
      <c r="E6014" s="7"/>
      <c r="F6014" s="7"/>
      <c r="G6014" s="7"/>
      <c r="H6014" s="8"/>
      <c r="I6014" s="8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</row>
    <row r="6015" hidden="1">
      <c r="A6015" s="7"/>
      <c r="B6015" s="7"/>
      <c r="C6015" s="7"/>
      <c r="D6015" s="7"/>
      <c r="E6015" s="7"/>
      <c r="F6015" s="7"/>
      <c r="G6015" s="7"/>
      <c r="H6015" s="8"/>
      <c r="I6015" s="8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</row>
    <row r="6016" hidden="1">
      <c r="A6016" s="7"/>
      <c r="B6016" s="7"/>
      <c r="C6016" s="7"/>
      <c r="D6016" s="7"/>
      <c r="E6016" s="7"/>
      <c r="F6016" s="7"/>
      <c r="G6016" s="7"/>
      <c r="H6016" s="8"/>
      <c r="I6016" s="8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</row>
    <row r="6017" hidden="1">
      <c r="A6017" s="7"/>
      <c r="B6017" s="7"/>
      <c r="C6017" s="7"/>
      <c r="D6017" s="7"/>
      <c r="E6017" s="7"/>
      <c r="F6017" s="7"/>
      <c r="G6017" s="7"/>
      <c r="H6017" s="8"/>
      <c r="I6017" s="8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</row>
    <row r="6018" hidden="1">
      <c r="A6018" s="7"/>
      <c r="B6018" s="7"/>
      <c r="C6018" s="7"/>
      <c r="D6018" s="7"/>
      <c r="E6018" s="7"/>
      <c r="F6018" s="7"/>
      <c r="G6018" s="7"/>
      <c r="H6018" s="8"/>
      <c r="I6018" s="8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</row>
    <row r="6019" hidden="1">
      <c r="A6019" s="7"/>
      <c r="B6019" s="7"/>
      <c r="C6019" s="7"/>
      <c r="D6019" s="7"/>
      <c r="E6019" s="7"/>
      <c r="F6019" s="7"/>
      <c r="G6019" s="7"/>
      <c r="H6019" s="8"/>
      <c r="I6019" s="8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</row>
    <row r="6020" hidden="1">
      <c r="A6020" s="7"/>
      <c r="B6020" s="7"/>
      <c r="C6020" s="7"/>
      <c r="D6020" s="7"/>
      <c r="E6020" s="7"/>
      <c r="F6020" s="7"/>
      <c r="G6020" s="7"/>
      <c r="H6020" s="8"/>
      <c r="I6020" s="8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</row>
    <row r="6021" hidden="1">
      <c r="A6021" s="7"/>
      <c r="B6021" s="7"/>
      <c r="C6021" s="7"/>
      <c r="D6021" s="7"/>
      <c r="E6021" s="7"/>
      <c r="F6021" s="7"/>
      <c r="G6021" s="7"/>
      <c r="H6021" s="8"/>
      <c r="I6021" s="8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</row>
    <row r="6022" hidden="1">
      <c r="A6022" s="7"/>
      <c r="B6022" s="7"/>
      <c r="C6022" s="7"/>
      <c r="D6022" s="7"/>
      <c r="E6022" s="7"/>
      <c r="F6022" s="7"/>
      <c r="G6022" s="7"/>
      <c r="H6022" s="8"/>
      <c r="I6022" s="8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</row>
    <row r="6023" hidden="1">
      <c r="A6023" s="7"/>
      <c r="B6023" s="7"/>
      <c r="C6023" s="7"/>
      <c r="D6023" s="7"/>
      <c r="E6023" s="7"/>
      <c r="F6023" s="7"/>
      <c r="G6023" s="7"/>
      <c r="H6023" s="8"/>
      <c r="I6023" s="8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</row>
    <row r="6024" hidden="1">
      <c r="A6024" s="7"/>
      <c r="B6024" s="7"/>
      <c r="C6024" s="7"/>
      <c r="D6024" s="7"/>
      <c r="E6024" s="7"/>
      <c r="F6024" s="7"/>
      <c r="G6024" s="7"/>
      <c r="H6024" s="8"/>
      <c r="I6024" s="8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</row>
    <row r="6025" hidden="1">
      <c r="A6025" s="7"/>
      <c r="B6025" s="7"/>
      <c r="C6025" s="7"/>
      <c r="D6025" s="7"/>
      <c r="E6025" s="7"/>
      <c r="F6025" s="7"/>
      <c r="G6025" s="7"/>
      <c r="H6025" s="8"/>
      <c r="I6025" s="8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</row>
    <row r="6026" hidden="1">
      <c r="A6026" s="7"/>
      <c r="B6026" s="7"/>
      <c r="C6026" s="7"/>
      <c r="D6026" s="7"/>
      <c r="E6026" s="7"/>
      <c r="F6026" s="7"/>
      <c r="G6026" s="7"/>
      <c r="H6026" s="8"/>
      <c r="I6026" s="8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</row>
    <row r="6027" hidden="1">
      <c r="A6027" s="7"/>
      <c r="B6027" s="7"/>
      <c r="C6027" s="7"/>
      <c r="D6027" s="7"/>
      <c r="E6027" s="7"/>
      <c r="F6027" s="7"/>
      <c r="G6027" s="7"/>
      <c r="H6027" s="8"/>
      <c r="I6027" s="8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7"/>
      <c r="Z6027" s="7"/>
    </row>
    <row r="6028" hidden="1">
      <c r="A6028" s="7"/>
      <c r="B6028" s="7"/>
      <c r="C6028" s="7"/>
      <c r="D6028" s="7"/>
      <c r="E6028" s="7"/>
      <c r="F6028" s="7"/>
      <c r="G6028" s="7"/>
      <c r="H6028" s="8"/>
      <c r="I6028" s="8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</row>
    <row r="6029" hidden="1">
      <c r="A6029" s="7"/>
      <c r="B6029" s="7"/>
      <c r="C6029" s="7"/>
      <c r="D6029" s="7"/>
      <c r="E6029" s="7"/>
      <c r="F6029" s="7"/>
      <c r="G6029" s="7"/>
      <c r="H6029" s="8"/>
      <c r="I6029" s="8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</row>
    <row r="6030" hidden="1">
      <c r="A6030" s="7"/>
      <c r="B6030" s="7"/>
      <c r="C6030" s="7"/>
      <c r="D6030" s="7"/>
      <c r="E6030" s="7"/>
      <c r="F6030" s="7"/>
      <c r="G6030" s="7"/>
      <c r="H6030" s="8"/>
      <c r="I6030" s="8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</row>
    <row r="6031" hidden="1">
      <c r="A6031" s="7"/>
      <c r="B6031" s="7"/>
      <c r="C6031" s="7"/>
      <c r="D6031" s="7"/>
      <c r="E6031" s="7"/>
      <c r="F6031" s="7"/>
      <c r="G6031" s="7"/>
      <c r="H6031" s="8"/>
      <c r="I6031" s="8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7"/>
      <c r="Z6031" s="7"/>
    </row>
    <row r="6032" hidden="1">
      <c r="A6032" s="7"/>
      <c r="B6032" s="7"/>
      <c r="C6032" s="7"/>
      <c r="D6032" s="7"/>
      <c r="E6032" s="7"/>
      <c r="F6032" s="7"/>
      <c r="G6032" s="7"/>
      <c r="H6032" s="8"/>
      <c r="I6032" s="8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</row>
    <row r="6033" hidden="1">
      <c r="A6033" s="7"/>
      <c r="B6033" s="7"/>
      <c r="C6033" s="7"/>
      <c r="D6033" s="7"/>
      <c r="E6033" s="7"/>
      <c r="F6033" s="7"/>
      <c r="G6033" s="7"/>
      <c r="H6033" s="8"/>
      <c r="I6033" s="8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7"/>
      <c r="Z6033" s="7"/>
    </row>
    <row r="6034" hidden="1">
      <c r="A6034" s="7"/>
      <c r="B6034" s="7"/>
      <c r="C6034" s="7"/>
      <c r="D6034" s="7"/>
      <c r="E6034" s="7"/>
      <c r="F6034" s="7"/>
      <c r="G6034" s="7"/>
      <c r="H6034" s="8"/>
      <c r="I6034" s="8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</row>
    <row r="6035" hidden="1">
      <c r="A6035" s="7"/>
      <c r="B6035" s="7"/>
      <c r="C6035" s="7"/>
      <c r="D6035" s="7"/>
      <c r="E6035" s="7"/>
      <c r="F6035" s="7"/>
      <c r="G6035" s="7"/>
      <c r="H6035" s="8"/>
      <c r="I6035" s="8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</row>
    <row r="6036" hidden="1">
      <c r="A6036" s="7"/>
      <c r="B6036" s="7"/>
      <c r="C6036" s="7"/>
      <c r="D6036" s="7"/>
      <c r="E6036" s="7"/>
      <c r="F6036" s="7"/>
      <c r="G6036" s="7"/>
      <c r="H6036" s="8"/>
      <c r="I6036" s="8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</row>
    <row r="6037" hidden="1">
      <c r="A6037" s="7"/>
      <c r="B6037" s="7"/>
      <c r="C6037" s="7"/>
      <c r="D6037" s="7"/>
      <c r="E6037" s="7"/>
      <c r="F6037" s="7"/>
      <c r="G6037" s="7"/>
      <c r="H6037" s="8"/>
      <c r="I6037" s="8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7"/>
      <c r="Z6037" s="7"/>
    </row>
    <row r="6038" hidden="1">
      <c r="A6038" s="7"/>
      <c r="B6038" s="7"/>
      <c r="C6038" s="7"/>
      <c r="D6038" s="7"/>
      <c r="E6038" s="7"/>
      <c r="F6038" s="7"/>
      <c r="G6038" s="7"/>
      <c r="H6038" s="8"/>
      <c r="I6038" s="8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</row>
    <row r="6039" hidden="1">
      <c r="A6039" s="7"/>
      <c r="B6039" s="7"/>
      <c r="C6039" s="7"/>
      <c r="D6039" s="7"/>
      <c r="E6039" s="7"/>
      <c r="F6039" s="7"/>
      <c r="G6039" s="7"/>
      <c r="H6039" s="8"/>
      <c r="I6039" s="8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7"/>
      <c r="Z6039" s="7"/>
    </row>
    <row r="6040" hidden="1">
      <c r="A6040" s="7"/>
      <c r="B6040" s="7"/>
      <c r="C6040" s="7"/>
      <c r="D6040" s="7"/>
      <c r="E6040" s="7"/>
      <c r="F6040" s="7"/>
      <c r="G6040" s="7"/>
      <c r="H6040" s="8"/>
      <c r="I6040" s="8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</row>
    <row r="6041" hidden="1">
      <c r="A6041" s="7"/>
      <c r="B6041" s="7"/>
      <c r="C6041" s="7"/>
      <c r="D6041" s="7"/>
      <c r="E6041" s="7"/>
      <c r="F6041" s="7"/>
      <c r="G6041" s="7"/>
      <c r="H6041" s="8"/>
      <c r="I6041" s="8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7"/>
      <c r="Z6041" s="7"/>
    </row>
    <row r="6042" hidden="1">
      <c r="A6042" s="7"/>
      <c r="B6042" s="7"/>
      <c r="C6042" s="7"/>
      <c r="D6042" s="7"/>
      <c r="E6042" s="7"/>
      <c r="F6042" s="7"/>
      <c r="G6042" s="7"/>
      <c r="H6042" s="8"/>
      <c r="I6042" s="8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</row>
    <row r="6043" hidden="1">
      <c r="A6043" s="7"/>
      <c r="B6043" s="7"/>
      <c r="C6043" s="7"/>
      <c r="D6043" s="7"/>
      <c r="E6043" s="7"/>
      <c r="F6043" s="7"/>
      <c r="G6043" s="7"/>
      <c r="H6043" s="8"/>
      <c r="I6043" s="8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7"/>
      <c r="Z6043" s="7"/>
    </row>
    <row r="6044" hidden="1">
      <c r="A6044" s="7"/>
      <c r="B6044" s="7"/>
      <c r="C6044" s="7"/>
      <c r="D6044" s="7"/>
      <c r="E6044" s="7"/>
      <c r="F6044" s="7"/>
      <c r="G6044" s="7"/>
      <c r="H6044" s="8"/>
      <c r="I6044" s="8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</row>
    <row r="6045" hidden="1">
      <c r="A6045" s="7"/>
      <c r="B6045" s="7"/>
      <c r="C6045" s="7"/>
      <c r="D6045" s="7"/>
      <c r="E6045" s="7"/>
      <c r="F6045" s="7"/>
      <c r="G6045" s="7"/>
      <c r="H6045" s="8"/>
      <c r="I6045" s="8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7"/>
      <c r="Z6045" s="7"/>
    </row>
    <row r="6046" hidden="1">
      <c r="A6046" s="7"/>
      <c r="B6046" s="7"/>
      <c r="C6046" s="7"/>
      <c r="D6046" s="7"/>
      <c r="E6046" s="7"/>
      <c r="F6046" s="7"/>
      <c r="G6046" s="7"/>
      <c r="H6046" s="8"/>
      <c r="I6046" s="8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</row>
    <row r="6047" hidden="1">
      <c r="A6047" s="7"/>
      <c r="B6047" s="7"/>
      <c r="C6047" s="7"/>
      <c r="D6047" s="7"/>
      <c r="E6047" s="7"/>
      <c r="F6047" s="7"/>
      <c r="G6047" s="7"/>
      <c r="H6047" s="8"/>
      <c r="I6047" s="8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</row>
    <row r="6048" hidden="1">
      <c r="A6048" s="7"/>
      <c r="B6048" s="7"/>
      <c r="C6048" s="7"/>
      <c r="D6048" s="7"/>
      <c r="E6048" s="7"/>
      <c r="F6048" s="7"/>
      <c r="G6048" s="7"/>
      <c r="H6048" s="8"/>
      <c r="I6048" s="8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</row>
    <row r="6049" hidden="1">
      <c r="A6049" s="7"/>
      <c r="B6049" s="7"/>
      <c r="C6049" s="7"/>
      <c r="D6049" s="7"/>
      <c r="E6049" s="7"/>
      <c r="F6049" s="7"/>
      <c r="G6049" s="7"/>
      <c r="H6049" s="8"/>
      <c r="I6049" s="8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7"/>
      <c r="Z6049" s="7"/>
    </row>
    <row r="6050" hidden="1">
      <c r="A6050" s="7"/>
      <c r="B6050" s="7"/>
      <c r="C6050" s="7"/>
      <c r="D6050" s="7"/>
      <c r="E6050" s="7"/>
      <c r="F6050" s="7"/>
      <c r="G6050" s="7"/>
      <c r="H6050" s="8"/>
      <c r="I6050" s="8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</row>
    <row r="6051" hidden="1">
      <c r="A6051" s="7"/>
      <c r="B6051" s="7"/>
      <c r="C6051" s="7"/>
      <c r="D6051" s="7"/>
      <c r="E6051" s="7"/>
      <c r="F6051" s="7"/>
      <c r="G6051" s="7"/>
      <c r="H6051" s="8"/>
      <c r="I6051" s="8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</row>
    <row r="6052" hidden="1">
      <c r="A6052" s="7"/>
      <c r="B6052" s="7"/>
      <c r="C6052" s="7"/>
      <c r="D6052" s="7"/>
      <c r="E6052" s="7"/>
      <c r="F6052" s="7"/>
      <c r="G6052" s="7"/>
      <c r="H6052" s="8"/>
      <c r="I6052" s="8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</row>
    <row r="6053" hidden="1">
      <c r="A6053" s="7"/>
      <c r="B6053" s="7"/>
      <c r="C6053" s="7"/>
      <c r="D6053" s="7"/>
      <c r="E6053" s="7"/>
      <c r="F6053" s="7"/>
      <c r="G6053" s="7"/>
      <c r="H6053" s="8"/>
      <c r="I6053" s="8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</row>
    <row r="6054" hidden="1">
      <c r="A6054" s="7"/>
      <c r="B6054" s="7"/>
      <c r="C6054" s="7"/>
      <c r="D6054" s="7"/>
      <c r="E6054" s="7"/>
      <c r="F6054" s="7"/>
      <c r="G6054" s="7"/>
      <c r="H6054" s="8"/>
      <c r="I6054" s="8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</row>
    <row r="6055" hidden="1">
      <c r="A6055" s="7"/>
      <c r="B6055" s="7"/>
      <c r="C6055" s="7"/>
      <c r="D6055" s="7"/>
      <c r="E6055" s="7"/>
      <c r="F6055" s="7"/>
      <c r="G6055" s="7"/>
      <c r="H6055" s="8"/>
      <c r="I6055" s="8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7"/>
      <c r="Z6055" s="7"/>
    </row>
    <row r="6056" hidden="1">
      <c r="A6056" s="7"/>
      <c r="B6056" s="7"/>
      <c r="C6056" s="7"/>
      <c r="D6056" s="7"/>
      <c r="E6056" s="7"/>
      <c r="F6056" s="7"/>
      <c r="G6056" s="7"/>
      <c r="H6056" s="8"/>
      <c r="I6056" s="8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</row>
    <row r="6057" hidden="1">
      <c r="A6057" s="7"/>
      <c r="B6057" s="7"/>
      <c r="C6057" s="7"/>
      <c r="D6057" s="7"/>
      <c r="E6057" s="7"/>
      <c r="F6057" s="7"/>
      <c r="G6057" s="7"/>
      <c r="H6057" s="8"/>
      <c r="I6057" s="8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7"/>
      <c r="Z6057" s="7"/>
    </row>
    <row r="6058" hidden="1">
      <c r="A6058" s="7"/>
      <c r="B6058" s="7"/>
      <c r="C6058" s="7"/>
      <c r="D6058" s="7"/>
      <c r="E6058" s="7"/>
      <c r="F6058" s="7"/>
      <c r="G6058" s="7"/>
      <c r="H6058" s="8"/>
      <c r="I6058" s="8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</row>
    <row r="6059" hidden="1">
      <c r="A6059" s="7"/>
      <c r="B6059" s="7"/>
      <c r="C6059" s="7"/>
      <c r="D6059" s="7"/>
      <c r="E6059" s="7"/>
      <c r="F6059" s="7"/>
      <c r="G6059" s="7"/>
      <c r="H6059" s="8"/>
      <c r="I6059" s="8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</row>
    <row r="6060" hidden="1">
      <c r="A6060" s="7"/>
      <c r="B6060" s="7"/>
      <c r="C6060" s="7"/>
      <c r="D6060" s="7"/>
      <c r="E6060" s="7"/>
      <c r="F6060" s="7"/>
      <c r="G6060" s="7"/>
      <c r="H6060" s="8"/>
      <c r="I6060" s="8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</row>
    <row r="6061" hidden="1">
      <c r="A6061" s="7"/>
      <c r="B6061" s="7"/>
      <c r="C6061" s="7"/>
      <c r="D6061" s="7"/>
      <c r="E6061" s="7"/>
      <c r="F6061" s="7"/>
      <c r="G6061" s="7"/>
      <c r="H6061" s="8"/>
      <c r="I6061" s="8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7"/>
      <c r="Z6061" s="7"/>
    </row>
    <row r="6062" hidden="1">
      <c r="A6062" s="7"/>
      <c r="B6062" s="7"/>
      <c r="C6062" s="7"/>
      <c r="D6062" s="7"/>
      <c r="E6062" s="7"/>
      <c r="F6062" s="7"/>
      <c r="G6062" s="7"/>
      <c r="H6062" s="8"/>
      <c r="I6062" s="8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</row>
    <row r="6063" hidden="1">
      <c r="A6063" s="7"/>
      <c r="B6063" s="7"/>
      <c r="C6063" s="7"/>
      <c r="D6063" s="7"/>
      <c r="E6063" s="7"/>
      <c r="F6063" s="7"/>
      <c r="G6063" s="7"/>
      <c r="H6063" s="8"/>
      <c r="I6063" s="8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7"/>
      <c r="Z6063" s="7"/>
    </row>
    <row r="6064" hidden="1">
      <c r="A6064" s="7"/>
      <c r="B6064" s="7"/>
      <c r="C6064" s="7"/>
      <c r="D6064" s="7"/>
      <c r="E6064" s="7"/>
      <c r="F6064" s="7"/>
      <c r="G6064" s="7"/>
      <c r="H6064" s="8"/>
      <c r="I6064" s="8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</row>
    <row r="6065" hidden="1">
      <c r="A6065" s="7"/>
      <c r="B6065" s="7"/>
      <c r="C6065" s="7"/>
      <c r="D6065" s="7"/>
      <c r="E6065" s="7"/>
      <c r="F6065" s="7"/>
      <c r="G6065" s="7"/>
      <c r="H6065" s="8"/>
      <c r="I6065" s="8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7"/>
      <c r="Z6065" s="7"/>
    </row>
    <row r="6066" hidden="1">
      <c r="A6066" s="7"/>
      <c r="B6066" s="7"/>
      <c r="C6066" s="7"/>
      <c r="D6066" s="7"/>
      <c r="E6066" s="7"/>
      <c r="F6066" s="7"/>
      <c r="G6066" s="7"/>
      <c r="H6066" s="8"/>
      <c r="I6066" s="8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</row>
    <row r="6067" hidden="1">
      <c r="A6067" s="7"/>
      <c r="B6067" s="7"/>
      <c r="C6067" s="7"/>
      <c r="D6067" s="7"/>
      <c r="E6067" s="7"/>
      <c r="F6067" s="7"/>
      <c r="G6067" s="7"/>
      <c r="H6067" s="8"/>
      <c r="I6067" s="8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7"/>
      <c r="Z6067" s="7"/>
    </row>
    <row r="6068" hidden="1">
      <c r="A6068" s="7"/>
      <c r="B6068" s="7"/>
      <c r="C6068" s="7"/>
      <c r="D6068" s="7"/>
      <c r="E6068" s="7"/>
      <c r="F6068" s="7"/>
      <c r="G6068" s="7"/>
      <c r="H6068" s="8"/>
      <c r="I6068" s="8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7"/>
      <c r="Z6068" s="7"/>
    </row>
    <row r="6069" hidden="1">
      <c r="A6069" s="7"/>
      <c r="B6069" s="7"/>
      <c r="C6069" s="7"/>
      <c r="D6069" s="7"/>
      <c r="E6069" s="7"/>
      <c r="F6069" s="7"/>
      <c r="G6069" s="7"/>
      <c r="H6069" s="8"/>
      <c r="I6069" s="8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7"/>
      <c r="Z6069" s="7"/>
    </row>
    <row r="6070" hidden="1">
      <c r="A6070" s="7"/>
      <c r="B6070" s="7"/>
      <c r="C6070" s="7"/>
      <c r="D6070" s="7"/>
      <c r="E6070" s="7"/>
      <c r="F6070" s="7"/>
      <c r="G6070" s="7"/>
      <c r="H6070" s="8"/>
      <c r="I6070" s="8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</row>
    <row r="6071" hidden="1">
      <c r="A6071" s="7"/>
      <c r="B6071" s="7"/>
      <c r="C6071" s="7"/>
      <c r="D6071" s="7"/>
      <c r="E6071" s="7"/>
      <c r="F6071" s="7"/>
      <c r="G6071" s="7"/>
      <c r="H6071" s="8"/>
      <c r="I6071" s="8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7"/>
      <c r="Z6071" s="7"/>
    </row>
    <row r="6072" hidden="1">
      <c r="A6072" s="7"/>
      <c r="B6072" s="7"/>
      <c r="C6072" s="7"/>
      <c r="D6072" s="7"/>
      <c r="E6072" s="7"/>
      <c r="F6072" s="7"/>
      <c r="G6072" s="7"/>
      <c r="H6072" s="8"/>
      <c r="I6072" s="8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</row>
    <row r="6073" hidden="1">
      <c r="A6073" s="7"/>
      <c r="B6073" s="7"/>
      <c r="C6073" s="7"/>
      <c r="D6073" s="7"/>
      <c r="E6073" s="7"/>
      <c r="F6073" s="7"/>
      <c r="G6073" s="7"/>
      <c r="H6073" s="8"/>
      <c r="I6073" s="8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</row>
    <row r="6074" hidden="1">
      <c r="A6074" s="7"/>
      <c r="B6074" s="7"/>
      <c r="C6074" s="7"/>
      <c r="D6074" s="7"/>
      <c r="E6074" s="7"/>
      <c r="F6074" s="7"/>
      <c r="G6074" s="7"/>
      <c r="H6074" s="8"/>
      <c r="I6074" s="8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</row>
    <row r="6075" hidden="1">
      <c r="A6075" s="7"/>
      <c r="B6075" s="7"/>
      <c r="C6075" s="7"/>
      <c r="D6075" s="7"/>
      <c r="E6075" s="7"/>
      <c r="F6075" s="7"/>
      <c r="G6075" s="7"/>
      <c r="H6075" s="8"/>
      <c r="I6075" s="8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</row>
    <row r="6076" hidden="1">
      <c r="A6076" s="7"/>
      <c r="B6076" s="7"/>
      <c r="C6076" s="7"/>
      <c r="D6076" s="7"/>
      <c r="E6076" s="7"/>
      <c r="F6076" s="7"/>
      <c r="G6076" s="7"/>
      <c r="H6076" s="8"/>
      <c r="I6076" s="8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</row>
    <row r="6077" hidden="1">
      <c r="A6077" s="7"/>
      <c r="B6077" s="7"/>
      <c r="C6077" s="7"/>
      <c r="D6077" s="7"/>
      <c r="E6077" s="7"/>
      <c r="F6077" s="7"/>
      <c r="G6077" s="7"/>
      <c r="H6077" s="8"/>
      <c r="I6077" s="8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</row>
    <row r="6078" hidden="1">
      <c r="A6078" s="7"/>
      <c r="B6078" s="7"/>
      <c r="C6078" s="7"/>
      <c r="D6078" s="7"/>
      <c r="E6078" s="7"/>
      <c r="F6078" s="7"/>
      <c r="G6078" s="7"/>
      <c r="H6078" s="8"/>
      <c r="I6078" s="8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</row>
    <row r="6079" hidden="1">
      <c r="A6079" s="7"/>
      <c r="B6079" s="7"/>
      <c r="C6079" s="7"/>
      <c r="D6079" s="7"/>
      <c r="E6079" s="7"/>
      <c r="F6079" s="7"/>
      <c r="G6079" s="7"/>
      <c r="H6079" s="8"/>
      <c r="I6079" s="8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7"/>
      <c r="Z6079" s="7"/>
    </row>
    <row r="6080" hidden="1">
      <c r="A6080" s="7"/>
      <c r="B6080" s="7"/>
      <c r="C6080" s="7"/>
      <c r="D6080" s="7"/>
      <c r="E6080" s="7"/>
      <c r="F6080" s="7"/>
      <c r="G6080" s="7"/>
      <c r="H6080" s="8"/>
      <c r="I6080" s="8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</row>
    <row r="6081" hidden="1">
      <c r="A6081" s="7"/>
      <c r="B6081" s="7"/>
      <c r="C6081" s="7"/>
      <c r="D6081" s="7"/>
      <c r="E6081" s="7"/>
      <c r="F6081" s="7"/>
      <c r="G6081" s="7"/>
      <c r="H6081" s="8"/>
      <c r="I6081" s="8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7"/>
      <c r="Z6081" s="7"/>
    </row>
    <row r="6082" hidden="1">
      <c r="A6082" s="7"/>
      <c r="B6082" s="7"/>
      <c r="C6082" s="7"/>
      <c r="D6082" s="7"/>
      <c r="E6082" s="7"/>
      <c r="F6082" s="7"/>
      <c r="G6082" s="7"/>
      <c r="H6082" s="8"/>
      <c r="I6082" s="8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7"/>
      <c r="Z6082" s="7"/>
    </row>
    <row r="6083" hidden="1">
      <c r="A6083" s="7"/>
      <c r="B6083" s="7"/>
      <c r="C6083" s="7"/>
      <c r="D6083" s="7"/>
      <c r="E6083" s="7"/>
      <c r="F6083" s="7"/>
      <c r="G6083" s="7"/>
      <c r="H6083" s="8"/>
      <c r="I6083" s="8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7"/>
      <c r="Z6083" s="7"/>
    </row>
    <row r="6084" hidden="1">
      <c r="A6084" s="7"/>
      <c r="B6084" s="7"/>
      <c r="C6084" s="7"/>
      <c r="D6084" s="7"/>
      <c r="E6084" s="7"/>
      <c r="F6084" s="7"/>
      <c r="G6084" s="7"/>
      <c r="H6084" s="8"/>
      <c r="I6084" s="8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</row>
    <row r="6085" hidden="1">
      <c r="A6085" s="7"/>
      <c r="B6085" s="7"/>
      <c r="C6085" s="7"/>
      <c r="D6085" s="7"/>
      <c r="E6085" s="7"/>
      <c r="F6085" s="7"/>
      <c r="G6085" s="7"/>
      <c r="H6085" s="8"/>
      <c r="I6085" s="8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7"/>
      <c r="Z6085" s="7"/>
    </row>
    <row r="6086" hidden="1">
      <c r="A6086" s="7"/>
      <c r="B6086" s="7"/>
      <c r="C6086" s="7"/>
      <c r="D6086" s="7"/>
      <c r="E6086" s="7"/>
      <c r="F6086" s="7"/>
      <c r="G6086" s="7"/>
      <c r="H6086" s="8"/>
      <c r="I6086" s="8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</row>
    <row r="6087" hidden="1">
      <c r="A6087" s="7"/>
      <c r="B6087" s="7"/>
      <c r="C6087" s="7"/>
      <c r="D6087" s="7"/>
      <c r="E6087" s="7"/>
      <c r="F6087" s="7"/>
      <c r="G6087" s="7"/>
      <c r="H6087" s="8"/>
      <c r="I6087" s="8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7"/>
      <c r="Z6087" s="7"/>
    </row>
    <row r="6088" hidden="1">
      <c r="A6088" s="7"/>
      <c r="B6088" s="7"/>
      <c r="C6088" s="7"/>
      <c r="D6088" s="7"/>
      <c r="E6088" s="7"/>
      <c r="F6088" s="7"/>
      <c r="G6088" s="7"/>
      <c r="H6088" s="8"/>
      <c r="I6088" s="8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</row>
    <row r="6089" hidden="1">
      <c r="A6089" s="7"/>
      <c r="B6089" s="7"/>
      <c r="C6089" s="7"/>
      <c r="D6089" s="7"/>
      <c r="E6089" s="7"/>
      <c r="F6089" s="7"/>
      <c r="G6089" s="7"/>
      <c r="H6089" s="8"/>
      <c r="I6089" s="8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7"/>
      <c r="Z6089" s="7"/>
    </row>
    <row r="6090" hidden="1">
      <c r="A6090" s="7"/>
      <c r="B6090" s="7"/>
      <c r="C6090" s="7"/>
      <c r="D6090" s="7"/>
      <c r="E6090" s="7"/>
      <c r="F6090" s="7"/>
      <c r="G6090" s="7"/>
      <c r="H6090" s="8"/>
      <c r="I6090" s="8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</row>
    <row r="6091" hidden="1">
      <c r="A6091" s="7"/>
      <c r="B6091" s="7"/>
      <c r="C6091" s="7"/>
      <c r="D6091" s="7"/>
      <c r="E6091" s="7"/>
      <c r="F6091" s="7"/>
      <c r="G6091" s="7"/>
      <c r="H6091" s="8"/>
      <c r="I6091" s="8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</row>
    <row r="6092" hidden="1">
      <c r="A6092" s="7"/>
      <c r="B6092" s="7"/>
      <c r="C6092" s="7"/>
      <c r="D6092" s="7"/>
      <c r="E6092" s="7"/>
      <c r="F6092" s="7"/>
      <c r="G6092" s="7"/>
      <c r="H6092" s="8"/>
      <c r="I6092" s="8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</row>
    <row r="6093" hidden="1">
      <c r="A6093" s="7"/>
      <c r="B6093" s="7"/>
      <c r="C6093" s="7"/>
      <c r="D6093" s="7"/>
      <c r="E6093" s="7"/>
      <c r="F6093" s="7"/>
      <c r="G6093" s="7"/>
      <c r="H6093" s="8"/>
      <c r="I6093" s="8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</row>
    <row r="6094" hidden="1">
      <c r="A6094" s="7"/>
      <c r="B6094" s="7"/>
      <c r="C6094" s="7"/>
      <c r="D6094" s="7"/>
      <c r="E6094" s="7"/>
      <c r="F6094" s="7"/>
      <c r="G6094" s="7"/>
      <c r="H6094" s="8"/>
      <c r="I6094" s="8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</row>
    <row r="6095" hidden="1">
      <c r="A6095" s="7"/>
      <c r="B6095" s="7"/>
      <c r="C6095" s="7"/>
      <c r="D6095" s="7"/>
      <c r="E6095" s="7"/>
      <c r="F6095" s="7"/>
      <c r="G6095" s="7"/>
      <c r="H6095" s="8"/>
      <c r="I6095" s="8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</row>
    <row r="6096" hidden="1">
      <c r="A6096" s="7"/>
      <c r="B6096" s="7"/>
      <c r="C6096" s="7"/>
      <c r="D6096" s="7"/>
      <c r="E6096" s="7"/>
      <c r="F6096" s="7"/>
      <c r="G6096" s="7"/>
      <c r="H6096" s="8"/>
      <c r="I6096" s="8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</row>
    <row r="6097" hidden="1">
      <c r="A6097" s="7"/>
      <c r="B6097" s="7"/>
      <c r="C6097" s="7"/>
      <c r="D6097" s="7"/>
      <c r="E6097" s="7"/>
      <c r="F6097" s="7"/>
      <c r="G6097" s="7"/>
      <c r="H6097" s="8"/>
      <c r="I6097" s="8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7"/>
      <c r="Z6097" s="7"/>
    </row>
    <row r="6098" hidden="1">
      <c r="A6098" s="7"/>
      <c r="B6098" s="7"/>
      <c r="C6098" s="7"/>
      <c r="D6098" s="7"/>
      <c r="E6098" s="7"/>
      <c r="F6098" s="7"/>
      <c r="G6098" s="7"/>
      <c r="H6098" s="8"/>
      <c r="I6098" s="8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</row>
    <row r="6099" hidden="1">
      <c r="A6099" s="7"/>
      <c r="B6099" s="7"/>
      <c r="C6099" s="7"/>
      <c r="D6099" s="7"/>
      <c r="E6099" s="7"/>
      <c r="F6099" s="7"/>
      <c r="G6099" s="7"/>
      <c r="H6099" s="8"/>
      <c r="I6099" s="8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</row>
    <row r="6100" hidden="1">
      <c r="A6100" s="7"/>
      <c r="B6100" s="7"/>
      <c r="C6100" s="7"/>
      <c r="D6100" s="7"/>
      <c r="E6100" s="7"/>
      <c r="F6100" s="7"/>
      <c r="G6100" s="7"/>
      <c r="H6100" s="8"/>
      <c r="I6100" s="8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</row>
    <row r="6101" hidden="1">
      <c r="A6101" s="7"/>
      <c r="B6101" s="7"/>
      <c r="C6101" s="7"/>
      <c r="D6101" s="7"/>
      <c r="E6101" s="7"/>
      <c r="F6101" s="7"/>
      <c r="G6101" s="7"/>
      <c r="H6101" s="8"/>
      <c r="I6101" s="8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</row>
    <row r="6102" hidden="1">
      <c r="A6102" s="7"/>
      <c r="B6102" s="7"/>
      <c r="C6102" s="7"/>
      <c r="D6102" s="7"/>
      <c r="E6102" s="7"/>
      <c r="F6102" s="7"/>
      <c r="G6102" s="7"/>
      <c r="H6102" s="8"/>
      <c r="I6102" s="8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</row>
    <row r="6103" hidden="1">
      <c r="A6103" s="7"/>
      <c r="B6103" s="7"/>
      <c r="C6103" s="7"/>
      <c r="D6103" s="7"/>
      <c r="E6103" s="7"/>
      <c r="F6103" s="7"/>
      <c r="G6103" s="7"/>
      <c r="H6103" s="8"/>
      <c r="I6103" s="8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</row>
    <row r="6104" hidden="1">
      <c r="A6104" s="7"/>
      <c r="B6104" s="7"/>
      <c r="C6104" s="7"/>
      <c r="D6104" s="7"/>
      <c r="E6104" s="7"/>
      <c r="F6104" s="7"/>
      <c r="G6104" s="7"/>
      <c r="H6104" s="8"/>
      <c r="I6104" s="8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</row>
    <row r="6105" hidden="1">
      <c r="A6105" s="7"/>
      <c r="B6105" s="7"/>
      <c r="C6105" s="7"/>
      <c r="D6105" s="7"/>
      <c r="E6105" s="7"/>
      <c r="F6105" s="7"/>
      <c r="G6105" s="7"/>
      <c r="H6105" s="8"/>
      <c r="I6105" s="8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</row>
    <row r="6106" hidden="1">
      <c r="A6106" s="7"/>
      <c r="B6106" s="7"/>
      <c r="C6106" s="7"/>
      <c r="D6106" s="7"/>
      <c r="E6106" s="7"/>
      <c r="F6106" s="7"/>
      <c r="G6106" s="7"/>
      <c r="H6106" s="8"/>
      <c r="I6106" s="8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</row>
    <row r="6107" hidden="1">
      <c r="A6107" s="7"/>
      <c r="B6107" s="7"/>
      <c r="C6107" s="7"/>
      <c r="D6107" s="7"/>
      <c r="E6107" s="7"/>
      <c r="F6107" s="7"/>
      <c r="G6107" s="7"/>
      <c r="H6107" s="8"/>
      <c r="I6107" s="8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</row>
    <row r="6108" hidden="1">
      <c r="A6108" s="7"/>
      <c r="B6108" s="7"/>
      <c r="C6108" s="7"/>
      <c r="D6108" s="7"/>
      <c r="E6108" s="7"/>
      <c r="F6108" s="7"/>
      <c r="G6108" s="7"/>
      <c r="H6108" s="8"/>
      <c r="I6108" s="8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</row>
    <row r="6109" hidden="1">
      <c r="A6109" s="7"/>
      <c r="B6109" s="7"/>
      <c r="C6109" s="7"/>
      <c r="D6109" s="7"/>
      <c r="E6109" s="7"/>
      <c r="F6109" s="7"/>
      <c r="G6109" s="7"/>
      <c r="H6109" s="8"/>
      <c r="I6109" s="8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</row>
    <row r="6110" hidden="1">
      <c r="A6110" s="7"/>
      <c r="B6110" s="7"/>
      <c r="C6110" s="7"/>
      <c r="D6110" s="7"/>
      <c r="E6110" s="7"/>
      <c r="F6110" s="7"/>
      <c r="G6110" s="7"/>
      <c r="H6110" s="8"/>
      <c r="I6110" s="8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</row>
    <row r="6111" hidden="1">
      <c r="A6111" s="7"/>
      <c r="B6111" s="7"/>
      <c r="C6111" s="7"/>
      <c r="D6111" s="7"/>
      <c r="E6111" s="7"/>
      <c r="F6111" s="7"/>
      <c r="G6111" s="7"/>
      <c r="H6111" s="8"/>
      <c r="I6111" s="8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7"/>
      <c r="Z6111" s="7"/>
    </row>
    <row r="6112" hidden="1">
      <c r="A6112" s="7"/>
      <c r="B6112" s="7"/>
      <c r="C6112" s="7"/>
      <c r="D6112" s="7"/>
      <c r="E6112" s="7"/>
      <c r="F6112" s="7"/>
      <c r="G6112" s="7"/>
      <c r="H6112" s="8"/>
      <c r="I6112" s="8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</row>
    <row r="6113" hidden="1">
      <c r="A6113" s="7"/>
      <c r="B6113" s="7"/>
      <c r="C6113" s="7"/>
      <c r="D6113" s="7"/>
      <c r="E6113" s="7"/>
      <c r="F6113" s="7"/>
      <c r="G6113" s="7"/>
      <c r="H6113" s="8"/>
      <c r="I6113" s="8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</row>
    <row r="6114" hidden="1">
      <c r="A6114" s="7"/>
      <c r="B6114" s="7"/>
      <c r="C6114" s="7"/>
      <c r="D6114" s="7"/>
      <c r="E6114" s="7"/>
      <c r="F6114" s="7"/>
      <c r="G6114" s="7"/>
      <c r="H6114" s="8"/>
      <c r="I6114" s="8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</row>
    <row r="6115" hidden="1">
      <c r="A6115" s="7"/>
      <c r="B6115" s="7"/>
      <c r="C6115" s="7"/>
      <c r="D6115" s="7"/>
      <c r="E6115" s="7"/>
      <c r="F6115" s="7"/>
      <c r="G6115" s="7"/>
      <c r="H6115" s="8"/>
      <c r="I6115" s="8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7"/>
      <c r="Z6115" s="7"/>
    </row>
    <row r="6116" hidden="1">
      <c r="A6116" s="7"/>
      <c r="B6116" s="7"/>
      <c r="C6116" s="7"/>
      <c r="D6116" s="7"/>
      <c r="E6116" s="7"/>
      <c r="F6116" s="7"/>
      <c r="G6116" s="7"/>
      <c r="H6116" s="8"/>
      <c r="I6116" s="8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</row>
    <row r="6117" hidden="1">
      <c r="A6117" s="7"/>
      <c r="B6117" s="7"/>
      <c r="C6117" s="7"/>
      <c r="D6117" s="7"/>
      <c r="E6117" s="7"/>
      <c r="F6117" s="7"/>
      <c r="G6117" s="7"/>
      <c r="H6117" s="8"/>
      <c r="I6117" s="8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</row>
    <row r="6118" hidden="1">
      <c r="A6118" s="7"/>
      <c r="B6118" s="7"/>
      <c r="C6118" s="7"/>
      <c r="D6118" s="7"/>
      <c r="E6118" s="7"/>
      <c r="F6118" s="7"/>
      <c r="G6118" s="7"/>
      <c r="H6118" s="8"/>
      <c r="I6118" s="8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</row>
    <row r="6119" hidden="1">
      <c r="A6119" s="7"/>
      <c r="B6119" s="7"/>
      <c r="C6119" s="7"/>
      <c r="D6119" s="7"/>
      <c r="E6119" s="7"/>
      <c r="F6119" s="7"/>
      <c r="G6119" s="7"/>
      <c r="H6119" s="8"/>
      <c r="I6119" s="8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7"/>
      <c r="Z6119" s="7"/>
    </row>
    <row r="6120" hidden="1">
      <c r="A6120" s="7"/>
      <c r="B6120" s="7"/>
      <c r="C6120" s="7"/>
      <c r="D6120" s="7"/>
      <c r="E6120" s="7"/>
      <c r="F6120" s="7"/>
      <c r="G6120" s="7"/>
      <c r="H6120" s="8"/>
      <c r="I6120" s="8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</row>
    <row r="6121" hidden="1">
      <c r="A6121" s="7"/>
      <c r="B6121" s="7"/>
      <c r="C6121" s="7"/>
      <c r="D6121" s="7"/>
      <c r="E6121" s="7"/>
      <c r="F6121" s="7"/>
      <c r="G6121" s="7"/>
      <c r="H6121" s="8"/>
      <c r="I6121" s="8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7"/>
      <c r="Z6121" s="7"/>
    </row>
    <row r="6122" hidden="1">
      <c r="A6122" s="7"/>
      <c r="B6122" s="7"/>
      <c r="C6122" s="7"/>
      <c r="D6122" s="7"/>
      <c r="E6122" s="7"/>
      <c r="F6122" s="7"/>
      <c r="G6122" s="7"/>
      <c r="H6122" s="8"/>
      <c r="I6122" s="8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</row>
    <row r="6123" hidden="1">
      <c r="A6123" s="7"/>
      <c r="B6123" s="7"/>
      <c r="C6123" s="7"/>
      <c r="D6123" s="7"/>
      <c r="E6123" s="7"/>
      <c r="F6123" s="7"/>
      <c r="G6123" s="7"/>
      <c r="H6123" s="8"/>
      <c r="I6123" s="8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7"/>
      <c r="Z6123" s="7"/>
    </row>
    <row r="6124" hidden="1">
      <c r="A6124" s="7"/>
      <c r="B6124" s="7"/>
      <c r="C6124" s="7"/>
      <c r="D6124" s="7"/>
      <c r="E6124" s="7"/>
      <c r="F6124" s="7"/>
      <c r="G6124" s="7"/>
      <c r="H6124" s="8"/>
      <c r="I6124" s="8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</row>
    <row r="6125" hidden="1">
      <c r="A6125" s="7"/>
      <c r="B6125" s="7"/>
      <c r="C6125" s="7"/>
      <c r="D6125" s="7"/>
      <c r="E6125" s="7"/>
      <c r="F6125" s="7"/>
      <c r="G6125" s="7"/>
      <c r="H6125" s="8"/>
      <c r="I6125" s="8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</row>
    <row r="6126" hidden="1">
      <c r="A6126" s="7"/>
      <c r="B6126" s="7"/>
      <c r="C6126" s="7"/>
      <c r="D6126" s="7"/>
      <c r="E6126" s="7"/>
      <c r="F6126" s="7"/>
      <c r="G6126" s="7"/>
      <c r="H6126" s="8"/>
      <c r="I6126" s="8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</row>
    <row r="6127" hidden="1">
      <c r="A6127" s="7"/>
      <c r="B6127" s="7"/>
      <c r="C6127" s="7"/>
      <c r="D6127" s="7"/>
      <c r="E6127" s="7"/>
      <c r="F6127" s="7"/>
      <c r="G6127" s="7"/>
      <c r="H6127" s="8"/>
      <c r="I6127" s="8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7"/>
      <c r="Z6127" s="7"/>
    </row>
    <row r="6128" hidden="1">
      <c r="A6128" s="7"/>
      <c r="B6128" s="7"/>
      <c r="C6128" s="7"/>
      <c r="D6128" s="7"/>
      <c r="E6128" s="7"/>
      <c r="F6128" s="7"/>
      <c r="G6128" s="7"/>
      <c r="H6128" s="8"/>
      <c r="I6128" s="8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</row>
    <row r="6129" hidden="1">
      <c r="A6129" s="7"/>
      <c r="B6129" s="7"/>
      <c r="C6129" s="7"/>
      <c r="D6129" s="7"/>
      <c r="E6129" s="7"/>
      <c r="F6129" s="7"/>
      <c r="G6129" s="7"/>
      <c r="H6129" s="8"/>
      <c r="I6129" s="8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7"/>
      <c r="Z6129" s="7"/>
    </row>
    <row r="6130" hidden="1">
      <c r="A6130" s="7"/>
      <c r="B6130" s="7"/>
      <c r="C6130" s="7"/>
      <c r="D6130" s="7"/>
      <c r="E6130" s="7"/>
      <c r="F6130" s="7"/>
      <c r="G6130" s="7"/>
      <c r="H6130" s="8"/>
      <c r="I6130" s="8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</row>
    <row r="6131" hidden="1">
      <c r="A6131" s="7"/>
      <c r="B6131" s="7"/>
      <c r="C6131" s="7"/>
      <c r="D6131" s="7"/>
      <c r="E6131" s="7"/>
      <c r="F6131" s="7"/>
      <c r="G6131" s="7"/>
      <c r="H6131" s="8"/>
      <c r="I6131" s="8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7"/>
      <c r="Z6131" s="7"/>
    </row>
    <row r="6132" hidden="1">
      <c r="A6132" s="7"/>
      <c r="B6132" s="7"/>
      <c r="C6132" s="7"/>
      <c r="D6132" s="7"/>
      <c r="E6132" s="7"/>
      <c r="F6132" s="7"/>
      <c r="G6132" s="7"/>
      <c r="H6132" s="8"/>
      <c r="I6132" s="8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</row>
    <row r="6133" hidden="1">
      <c r="A6133" s="7"/>
      <c r="B6133" s="7"/>
      <c r="C6133" s="7"/>
      <c r="D6133" s="7"/>
      <c r="E6133" s="7"/>
      <c r="F6133" s="7"/>
      <c r="G6133" s="7"/>
      <c r="H6133" s="8"/>
      <c r="I6133" s="8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7"/>
      <c r="Z6133" s="7"/>
    </row>
    <row r="6134" hidden="1">
      <c r="A6134" s="7"/>
      <c r="B6134" s="7"/>
      <c r="C6134" s="7"/>
      <c r="D6134" s="7"/>
      <c r="E6134" s="7"/>
      <c r="F6134" s="7"/>
      <c r="G6134" s="7"/>
      <c r="H6134" s="8"/>
      <c r="I6134" s="8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</row>
    <row r="6135" hidden="1">
      <c r="A6135" s="7"/>
      <c r="B6135" s="7"/>
      <c r="C6135" s="7"/>
      <c r="D6135" s="7"/>
      <c r="E6135" s="7"/>
      <c r="F6135" s="7"/>
      <c r="G6135" s="7"/>
      <c r="H6135" s="8"/>
      <c r="I6135" s="8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</row>
    <row r="6136" hidden="1">
      <c r="A6136" s="7"/>
      <c r="B6136" s="7"/>
      <c r="C6136" s="7"/>
      <c r="D6136" s="7"/>
      <c r="E6136" s="7"/>
      <c r="F6136" s="7"/>
      <c r="G6136" s="7"/>
      <c r="H6136" s="8"/>
      <c r="I6136" s="8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</row>
    <row r="6137" hidden="1">
      <c r="A6137" s="7"/>
      <c r="B6137" s="7"/>
      <c r="C6137" s="7"/>
      <c r="D6137" s="7"/>
      <c r="E6137" s="7"/>
      <c r="F6137" s="7"/>
      <c r="G6137" s="7"/>
      <c r="H6137" s="8"/>
      <c r="I6137" s="8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</row>
    <row r="6138" hidden="1">
      <c r="A6138" s="7"/>
      <c r="B6138" s="7"/>
      <c r="C6138" s="7"/>
      <c r="D6138" s="7"/>
      <c r="E6138" s="7"/>
      <c r="F6138" s="7"/>
      <c r="G6138" s="7"/>
      <c r="H6138" s="8"/>
      <c r="I6138" s="8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</row>
    <row r="6139" hidden="1">
      <c r="A6139" s="7"/>
      <c r="B6139" s="7"/>
      <c r="C6139" s="7"/>
      <c r="D6139" s="7"/>
      <c r="E6139" s="7"/>
      <c r="F6139" s="7"/>
      <c r="G6139" s="7"/>
      <c r="H6139" s="8"/>
      <c r="I6139" s="8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</row>
    <row r="6140" hidden="1">
      <c r="A6140" s="7"/>
      <c r="B6140" s="7"/>
      <c r="C6140" s="7"/>
      <c r="D6140" s="7"/>
      <c r="E6140" s="7"/>
      <c r="F6140" s="7"/>
      <c r="G6140" s="7"/>
      <c r="H6140" s="8"/>
      <c r="I6140" s="8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</row>
    <row r="6141" hidden="1">
      <c r="A6141" s="7"/>
      <c r="B6141" s="7"/>
      <c r="C6141" s="7"/>
      <c r="D6141" s="7"/>
      <c r="E6141" s="7"/>
      <c r="F6141" s="7"/>
      <c r="G6141" s="7"/>
      <c r="H6141" s="8"/>
      <c r="I6141" s="8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</row>
    <row r="6142" hidden="1">
      <c r="A6142" s="7"/>
      <c r="B6142" s="7"/>
      <c r="C6142" s="7"/>
      <c r="D6142" s="7"/>
      <c r="E6142" s="7"/>
      <c r="F6142" s="7"/>
      <c r="G6142" s="7"/>
      <c r="H6142" s="8"/>
      <c r="I6142" s="8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7"/>
      <c r="Z6142" s="7"/>
    </row>
    <row r="6143" hidden="1">
      <c r="A6143" s="7"/>
      <c r="B6143" s="7"/>
      <c r="C6143" s="7"/>
      <c r="D6143" s="7"/>
      <c r="E6143" s="7"/>
      <c r="F6143" s="7"/>
      <c r="G6143" s="7"/>
      <c r="H6143" s="8"/>
      <c r="I6143" s="8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7"/>
      <c r="Z6143" s="7"/>
    </row>
    <row r="6144" hidden="1">
      <c r="A6144" s="7"/>
      <c r="B6144" s="7"/>
      <c r="C6144" s="7"/>
      <c r="D6144" s="7"/>
      <c r="E6144" s="7"/>
      <c r="F6144" s="7"/>
      <c r="G6144" s="7"/>
      <c r="H6144" s="8"/>
      <c r="I6144" s="8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</row>
    <row r="6145" hidden="1">
      <c r="A6145" s="7"/>
      <c r="B6145" s="7"/>
      <c r="C6145" s="7"/>
      <c r="D6145" s="7"/>
      <c r="E6145" s="7"/>
      <c r="F6145" s="7"/>
      <c r="G6145" s="7"/>
      <c r="H6145" s="8"/>
      <c r="I6145" s="8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</row>
    <row r="6146" hidden="1">
      <c r="A6146" s="7"/>
      <c r="B6146" s="7"/>
      <c r="C6146" s="7"/>
      <c r="D6146" s="7"/>
      <c r="E6146" s="7"/>
      <c r="F6146" s="7"/>
      <c r="G6146" s="7"/>
      <c r="H6146" s="8"/>
      <c r="I6146" s="8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</row>
    <row r="6147" hidden="1">
      <c r="A6147" s="7"/>
      <c r="B6147" s="7"/>
      <c r="C6147" s="7"/>
      <c r="D6147" s="7"/>
      <c r="E6147" s="7"/>
      <c r="F6147" s="7"/>
      <c r="G6147" s="7"/>
      <c r="H6147" s="8"/>
      <c r="I6147" s="8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</row>
    <row r="6148" hidden="1">
      <c r="A6148" s="7"/>
      <c r="B6148" s="7"/>
      <c r="C6148" s="7"/>
      <c r="D6148" s="7"/>
      <c r="E6148" s="7"/>
      <c r="F6148" s="7"/>
      <c r="G6148" s="7"/>
      <c r="H6148" s="8"/>
      <c r="I6148" s="8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</row>
    <row r="6149" hidden="1">
      <c r="A6149" s="7"/>
      <c r="B6149" s="7"/>
      <c r="C6149" s="7"/>
      <c r="D6149" s="7"/>
      <c r="E6149" s="7"/>
      <c r="F6149" s="7"/>
      <c r="G6149" s="7"/>
      <c r="H6149" s="8"/>
      <c r="I6149" s="8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</row>
    <row r="6150" hidden="1">
      <c r="A6150" s="7"/>
      <c r="B6150" s="7"/>
      <c r="C6150" s="7"/>
      <c r="D6150" s="7"/>
      <c r="E6150" s="7"/>
      <c r="F6150" s="7"/>
      <c r="G6150" s="7"/>
      <c r="H6150" s="8"/>
      <c r="I6150" s="8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</row>
    <row r="6151" hidden="1">
      <c r="A6151" s="7"/>
      <c r="B6151" s="7"/>
      <c r="C6151" s="7"/>
      <c r="D6151" s="7"/>
      <c r="E6151" s="7"/>
      <c r="F6151" s="7"/>
      <c r="G6151" s="7"/>
      <c r="H6151" s="8"/>
      <c r="I6151" s="8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</row>
    <row r="6152" hidden="1">
      <c r="A6152" s="7"/>
      <c r="B6152" s="7"/>
      <c r="C6152" s="7"/>
      <c r="D6152" s="7"/>
      <c r="E6152" s="7"/>
      <c r="F6152" s="7"/>
      <c r="G6152" s="7"/>
      <c r="H6152" s="8"/>
      <c r="I6152" s="8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7"/>
      <c r="Z6152" s="7"/>
    </row>
    <row r="6153" hidden="1">
      <c r="A6153" s="7"/>
      <c r="B6153" s="7"/>
      <c r="C6153" s="7"/>
      <c r="D6153" s="7"/>
      <c r="E6153" s="7"/>
      <c r="F6153" s="7"/>
      <c r="G6153" s="7"/>
      <c r="H6153" s="8"/>
      <c r="I6153" s="8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7"/>
      <c r="Z6153" s="7"/>
    </row>
    <row r="6154" hidden="1">
      <c r="A6154" s="7"/>
      <c r="B6154" s="7"/>
      <c r="C6154" s="7"/>
      <c r="D6154" s="7"/>
      <c r="E6154" s="7"/>
      <c r="F6154" s="7"/>
      <c r="G6154" s="7"/>
      <c r="H6154" s="8"/>
      <c r="I6154" s="8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</row>
    <row r="6155" hidden="1">
      <c r="A6155" s="7"/>
      <c r="B6155" s="7"/>
      <c r="C6155" s="7"/>
      <c r="D6155" s="7"/>
      <c r="E6155" s="7"/>
      <c r="F6155" s="7"/>
      <c r="G6155" s="7"/>
      <c r="H6155" s="8"/>
      <c r="I6155" s="8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</row>
    <row r="6156" hidden="1">
      <c r="A6156" s="7"/>
      <c r="B6156" s="7"/>
      <c r="C6156" s="7"/>
      <c r="D6156" s="7"/>
      <c r="E6156" s="7"/>
      <c r="F6156" s="7"/>
      <c r="G6156" s="7"/>
      <c r="H6156" s="8"/>
      <c r="I6156" s="8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</row>
    <row r="6157" hidden="1">
      <c r="A6157" s="7"/>
      <c r="B6157" s="7"/>
      <c r="C6157" s="7"/>
      <c r="D6157" s="7"/>
      <c r="E6157" s="7"/>
      <c r="F6157" s="7"/>
      <c r="G6157" s="7"/>
      <c r="H6157" s="8"/>
      <c r="I6157" s="8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</row>
    <row r="6158" hidden="1">
      <c r="A6158" s="7"/>
      <c r="B6158" s="7"/>
      <c r="C6158" s="7"/>
      <c r="D6158" s="7"/>
      <c r="E6158" s="7"/>
      <c r="F6158" s="7"/>
      <c r="G6158" s="7"/>
      <c r="H6158" s="8"/>
      <c r="I6158" s="8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</row>
    <row r="6159" hidden="1">
      <c r="A6159" s="7"/>
      <c r="B6159" s="7"/>
      <c r="C6159" s="7"/>
      <c r="D6159" s="7"/>
      <c r="E6159" s="7"/>
      <c r="F6159" s="7"/>
      <c r="G6159" s="7"/>
      <c r="H6159" s="8"/>
      <c r="I6159" s="8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</row>
    <row r="6160" hidden="1">
      <c r="A6160" s="7"/>
      <c r="B6160" s="7"/>
      <c r="C6160" s="7"/>
      <c r="D6160" s="7"/>
      <c r="E6160" s="7"/>
      <c r="F6160" s="7"/>
      <c r="G6160" s="7"/>
      <c r="H6160" s="8"/>
      <c r="I6160" s="8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</row>
    <row r="6161" hidden="1">
      <c r="A6161" s="7"/>
      <c r="B6161" s="7"/>
      <c r="C6161" s="7"/>
      <c r="D6161" s="7"/>
      <c r="E6161" s="7"/>
      <c r="F6161" s="7"/>
      <c r="G6161" s="7"/>
      <c r="H6161" s="8"/>
      <c r="I6161" s="8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</row>
    <row r="6162" hidden="1">
      <c r="A6162" s="7"/>
      <c r="B6162" s="7"/>
      <c r="C6162" s="7"/>
      <c r="D6162" s="7"/>
      <c r="E6162" s="7"/>
      <c r="F6162" s="7"/>
      <c r="G6162" s="7"/>
      <c r="H6162" s="8"/>
      <c r="I6162" s="8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</row>
    <row r="6163" hidden="1">
      <c r="A6163" s="7"/>
      <c r="B6163" s="7"/>
      <c r="C6163" s="7"/>
      <c r="D6163" s="7"/>
      <c r="E6163" s="7"/>
      <c r="F6163" s="7"/>
      <c r="G6163" s="7"/>
      <c r="H6163" s="8"/>
      <c r="I6163" s="8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</row>
    <row r="6164" hidden="1">
      <c r="A6164" s="7"/>
      <c r="B6164" s="7"/>
      <c r="C6164" s="7"/>
      <c r="D6164" s="7"/>
      <c r="E6164" s="7"/>
      <c r="F6164" s="7"/>
      <c r="G6164" s="7"/>
      <c r="H6164" s="8"/>
      <c r="I6164" s="8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</row>
    <row r="6165" hidden="1">
      <c r="A6165" s="7"/>
      <c r="B6165" s="7"/>
      <c r="C6165" s="7"/>
      <c r="D6165" s="7"/>
      <c r="E6165" s="7"/>
      <c r="F6165" s="7"/>
      <c r="G6165" s="7"/>
      <c r="H6165" s="8"/>
      <c r="I6165" s="8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</row>
    <row r="6166" hidden="1">
      <c r="A6166" s="7"/>
      <c r="B6166" s="7"/>
      <c r="C6166" s="7"/>
      <c r="D6166" s="7"/>
      <c r="E6166" s="7"/>
      <c r="F6166" s="7"/>
      <c r="G6166" s="7"/>
      <c r="H6166" s="8"/>
      <c r="I6166" s="8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</row>
    <row r="6167" hidden="1">
      <c r="A6167" s="7"/>
      <c r="B6167" s="7"/>
      <c r="C6167" s="7"/>
      <c r="D6167" s="7"/>
      <c r="E6167" s="7"/>
      <c r="F6167" s="7"/>
      <c r="G6167" s="7"/>
      <c r="H6167" s="8"/>
      <c r="I6167" s="8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7"/>
      <c r="Z6167" s="7"/>
    </row>
    <row r="6168" hidden="1">
      <c r="A6168" s="7"/>
      <c r="B6168" s="7"/>
      <c r="C6168" s="7"/>
      <c r="D6168" s="7"/>
      <c r="E6168" s="7"/>
      <c r="F6168" s="7"/>
      <c r="G6168" s="7"/>
      <c r="H6168" s="8"/>
      <c r="I6168" s="8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</row>
    <row r="6169" hidden="1">
      <c r="A6169" s="7"/>
      <c r="B6169" s="7"/>
      <c r="C6169" s="7"/>
      <c r="D6169" s="7"/>
      <c r="E6169" s="7"/>
      <c r="F6169" s="7"/>
      <c r="G6169" s="7"/>
      <c r="H6169" s="8"/>
      <c r="I6169" s="8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</row>
    <row r="6170" hidden="1">
      <c r="A6170" s="7"/>
      <c r="B6170" s="7"/>
      <c r="C6170" s="7"/>
      <c r="D6170" s="7"/>
      <c r="E6170" s="7"/>
      <c r="F6170" s="7"/>
      <c r="G6170" s="7"/>
      <c r="H6170" s="8"/>
      <c r="I6170" s="8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</row>
    <row r="6171" hidden="1">
      <c r="A6171" s="7"/>
      <c r="B6171" s="7"/>
      <c r="C6171" s="7"/>
      <c r="D6171" s="7"/>
      <c r="E6171" s="7"/>
      <c r="F6171" s="7"/>
      <c r="G6171" s="7"/>
      <c r="H6171" s="8"/>
      <c r="I6171" s="8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</row>
    <row r="6172" hidden="1">
      <c r="A6172" s="7"/>
      <c r="B6172" s="7"/>
      <c r="C6172" s="7"/>
      <c r="D6172" s="7"/>
      <c r="E6172" s="7"/>
      <c r="F6172" s="7"/>
      <c r="G6172" s="7"/>
      <c r="H6172" s="8"/>
      <c r="I6172" s="8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</row>
    <row r="6173" hidden="1">
      <c r="A6173" s="7"/>
      <c r="B6173" s="7"/>
      <c r="C6173" s="7"/>
      <c r="D6173" s="7"/>
      <c r="E6173" s="7"/>
      <c r="F6173" s="7"/>
      <c r="G6173" s="7"/>
      <c r="H6173" s="8"/>
      <c r="I6173" s="8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</row>
    <row r="6174" hidden="1">
      <c r="A6174" s="7"/>
      <c r="B6174" s="7"/>
      <c r="C6174" s="7"/>
      <c r="D6174" s="7"/>
      <c r="E6174" s="7"/>
      <c r="F6174" s="7"/>
      <c r="G6174" s="7"/>
      <c r="H6174" s="8"/>
      <c r="I6174" s="8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</row>
    <row r="6175" hidden="1">
      <c r="A6175" s="7"/>
      <c r="B6175" s="7"/>
      <c r="C6175" s="7"/>
      <c r="D6175" s="7"/>
      <c r="E6175" s="7"/>
      <c r="F6175" s="7"/>
      <c r="G6175" s="7"/>
      <c r="H6175" s="8"/>
      <c r="I6175" s="8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</row>
    <row r="6176" hidden="1">
      <c r="A6176" s="7"/>
      <c r="B6176" s="7"/>
      <c r="C6176" s="7"/>
      <c r="D6176" s="7"/>
      <c r="E6176" s="7"/>
      <c r="F6176" s="7"/>
      <c r="G6176" s="7"/>
      <c r="H6176" s="8"/>
      <c r="I6176" s="8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</row>
    <row r="6177" hidden="1">
      <c r="A6177" s="7"/>
      <c r="B6177" s="7"/>
      <c r="C6177" s="7"/>
      <c r="D6177" s="7"/>
      <c r="E6177" s="7"/>
      <c r="F6177" s="7"/>
      <c r="G6177" s="7"/>
      <c r="H6177" s="8"/>
      <c r="I6177" s="8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</row>
    <row r="6178" hidden="1">
      <c r="A6178" s="7"/>
      <c r="B6178" s="7"/>
      <c r="C6178" s="7"/>
      <c r="D6178" s="7"/>
      <c r="E6178" s="7"/>
      <c r="F6178" s="7"/>
      <c r="G6178" s="7"/>
      <c r="H6178" s="8"/>
      <c r="I6178" s="8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</row>
    <row r="6179" hidden="1">
      <c r="A6179" s="7"/>
      <c r="B6179" s="7"/>
      <c r="C6179" s="7"/>
      <c r="D6179" s="7"/>
      <c r="E6179" s="7"/>
      <c r="F6179" s="7"/>
      <c r="G6179" s="7"/>
      <c r="H6179" s="8"/>
      <c r="I6179" s="8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7"/>
      <c r="Z6179" s="7"/>
    </row>
    <row r="6180" hidden="1">
      <c r="A6180" s="7"/>
      <c r="B6180" s="7"/>
      <c r="C6180" s="7"/>
      <c r="D6180" s="7"/>
      <c r="E6180" s="7"/>
      <c r="F6180" s="7"/>
      <c r="G6180" s="7"/>
      <c r="H6180" s="8"/>
      <c r="I6180" s="8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</row>
    <row r="6181" hidden="1">
      <c r="A6181" s="7"/>
      <c r="B6181" s="7"/>
      <c r="C6181" s="7"/>
      <c r="D6181" s="7"/>
      <c r="E6181" s="7"/>
      <c r="F6181" s="7"/>
      <c r="G6181" s="7"/>
      <c r="H6181" s="8"/>
      <c r="I6181" s="8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</row>
    <row r="6182" hidden="1">
      <c r="A6182" s="7"/>
      <c r="B6182" s="7"/>
      <c r="C6182" s="7"/>
      <c r="D6182" s="7"/>
      <c r="E6182" s="7"/>
      <c r="F6182" s="7"/>
      <c r="G6182" s="7"/>
      <c r="H6182" s="8"/>
      <c r="I6182" s="8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</row>
    <row r="6183" hidden="1">
      <c r="A6183" s="7"/>
      <c r="B6183" s="7"/>
      <c r="C6183" s="7"/>
      <c r="D6183" s="7"/>
      <c r="E6183" s="7"/>
      <c r="F6183" s="7"/>
      <c r="G6183" s="7"/>
      <c r="H6183" s="8"/>
      <c r="I6183" s="8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7"/>
      <c r="Z6183" s="7"/>
    </row>
    <row r="6184" hidden="1">
      <c r="A6184" s="7"/>
      <c r="B6184" s="7"/>
      <c r="C6184" s="7"/>
      <c r="D6184" s="7"/>
      <c r="E6184" s="7"/>
      <c r="F6184" s="7"/>
      <c r="G6184" s="7"/>
      <c r="H6184" s="8"/>
      <c r="I6184" s="8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</row>
    <row r="6185" hidden="1">
      <c r="A6185" s="7"/>
      <c r="B6185" s="7"/>
      <c r="C6185" s="7"/>
      <c r="D6185" s="7"/>
      <c r="E6185" s="7"/>
      <c r="F6185" s="7"/>
      <c r="G6185" s="7"/>
      <c r="H6185" s="8"/>
      <c r="I6185" s="8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7"/>
      <c r="Z6185" s="7"/>
    </row>
    <row r="6186" hidden="1">
      <c r="A6186" s="7"/>
      <c r="B6186" s="7"/>
      <c r="C6186" s="7"/>
      <c r="D6186" s="7"/>
      <c r="E6186" s="7"/>
      <c r="F6186" s="7"/>
      <c r="G6186" s="7"/>
      <c r="H6186" s="8"/>
      <c r="I6186" s="8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</row>
    <row r="6187" hidden="1">
      <c r="A6187" s="7"/>
      <c r="B6187" s="7"/>
      <c r="C6187" s="7"/>
      <c r="D6187" s="7"/>
      <c r="E6187" s="7"/>
      <c r="F6187" s="7"/>
      <c r="G6187" s="7"/>
      <c r="H6187" s="8"/>
      <c r="I6187" s="8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7"/>
      <c r="Z6187" s="7"/>
    </row>
    <row r="6188" hidden="1">
      <c r="A6188" s="7"/>
      <c r="B6188" s="7"/>
      <c r="C6188" s="7"/>
      <c r="D6188" s="7"/>
      <c r="E6188" s="7"/>
      <c r="F6188" s="7"/>
      <c r="G6188" s="7"/>
      <c r="H6188" s="8"/>
      <c r="I6188" s="8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</row>
    <row r="6189" hidden="1">
      <c r="A6189" s="7"/>
      <c r="B6189" s="7"/>
      <c r="C6189" s="7"/>
      <c r="D6189" s="7"/>
      <c r="E6189" s="7"/>
      <c r="F6189" s="7"/>
      <c r="G6189" s="7"/>
      <c r="H6189" s="8"/>
      <c r="I6189" s="8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7"/>
    </row>
    <row r="6190" hidden="1">
      <c r="A6190" s="7"/>
      <c r="B6190" s="7"/>
      <c r="C6190" s="7"/>
      <c r="D6190" s="7"/>
      <c r="E6190" s="7"/>
      <c r="F6190" s="7"/>
      <c r="G6190" s="7"/>
      <c r="H6190" s="8"/>
      <c r="I6190" s="8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</row>
    <row r="6191" hidden="1">
      <c r="A6191" s="7"/>
      <c r="B6191" s="7"/>
      <c r="C6191" s="7"/>
      <c r="D6191" s="7"/>
      <c r="E6191" s="7"/>
      <c r="F6191" s="7"/>
      <c r="G6191" s="7"/>
      <c r="H6191" s="8"/>
      <c r="I6191" s="8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7"/>
      <c r="Z6191" s="7"/>
    </row>
    <row r="6192" hidden="1">
      <c r="A6192" s="7"/>
      <c r="B6192" s="7"/>
      <c r="C6192" s="7"/>
      <c r="D6192" s="7"/>
      <c r="E6192" s="7"/>
      <c r="F6192" s="7"/>
      <c r="G6192" s="7"/>
      <c r="H6192" s="8"/>
      <c r="I6192" s="8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</row>
    <row r="6193" hidden="1">
      <c r="A6193" s="7"/>
      <c r="B6193" s="7"/>
      <c r="C6193" s="7"/>
      <c r="D6193" s="7"/>
      <c r="E6193" s="7"/>
      <c r="F6193" s="7"/>
      <c r="G6193" s="7"/>
      <c r="H6193" s="8"/>
      <c r="I6193" s="8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7"/>
      <c r="Z6193" s="7"/>
    </row>
    <row r="6194" hidden="1">
      <c r="A6194" s="7"/>
      <c r="B6194" s="7"/>
      <c r="C6194" s="7"/>
      <c r="D6194" s="7"/>
      <c r="E6194" s="7"/>
      <c r="F6194" s="7"/>
      <c r="G6194" s="7"/>
      <c r="H6194" s="8"/>
      <c r="I6194" s="8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</row>
    <row r="6195" hidden="1">
      <c r="A6195" s="7"/>
      <c r="B6195" s="7"/>
      <c r="C6195" s="7"/>
      <c r="D6195" s="7"/>
      <c r="E6195" s="7"/>
      <c r="F6195" s="7"/>
      <c r="G6195" s="7"/>
      <c r="H6195" s="8"/>
      <c r="I6195" s="8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7"/>
      <c r="Z6195" s="7"/>
    </row>
    <row r="6196" hidden="1">
      <c r="A6196" s="7"/>
      <c r="B6196" s="7"/>
      <c r="C6196" s="7"/>
      <c r="D6196" s="7"/>
      <c r="E6196" s="7"/>
      <c r="F6196" s="7"/>
      <c r="G6196" s="7"/>
      <c r="H6196" s="8"/>
      <c r="I6196" s="8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</row>
    <row r="6197" hidden="1">
      <c r="A6197" s="7"/>
      <c r="B6197" s="7"/>
      <c r="C6197" s="7"/>
      <c r="D6197" s="7"/>
      <c r="E6197" s="7"/>
      <c r="F6197" s="7"/>
      <c r="G6197" s="7"/>
      <c r="H6197" s="8"/>
      <c r="I6197" s="8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</row>
    <row r="6198" hidden="1">
      <c r="A6198" s="7"/>
      <c r="B6198" s="7"/>
      <c r="C6198" s="7"/>
      <c r="D6198" s="7"/>
      <c r="E6198" s="7"/>
      <c r="F6198" s="7"/>
      <c r="G6198" s="7"/>
      <c r="H6198" s="8"/>
      <c r="I6198" s="8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</row>
    <row r="6199" hidden="1">
      <c r="A6199" s="7"/>
      <c r="B6199" s="7"/>
      <c r="C6199" s="7"/>
      <c r="D6199" s="7"/>
      <c r="E6199" s="7"/>
      <c r="F6199" s="7"/>
      <c r="G6199" s="7"/>
      <c r="H6199" s="8"/>
      <c r="I6199" s="8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</row>
    <row r="6200" hidden="1">
      <c r="A6200" s="7"/>
      <c r="B6200" s="7"/>
      <c r="C6200" s="7"/>
      <c r="D6200" s="7"/>
      <c r="E6200" s="7"/>
      <c r="F6200" s="7"/>
      <c r="G6200" s="7"/>
      <c r="H6200" s="8"/>
      <c r="I6200" s="8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</row>
    <row r="6201" hidden="1">
      <c r="A6201" s="7"/>
      <c r="B6201" s="7"/>
      <c r="C6201" s="7"/>
      <c r="D6201" s="7"/>
      <c r="E6201" s="7"/>
      <c r="F6201" s="7"/>
      <c r="G6201" s="7"/>
      <c r="H6201" s="8"/>
      <c r="I6201" s="8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</row>
    <row r="6202" hidden="1">
      <c r="A6202" s="7"/>
      <c r="B6202" s="7"/>
      <c r="C6202" s="7"/>
      <c r="D6202" s="7"/>
      <c r="E6202" s="7"/>
      <c r="F6202" s="7"/>
      <c r="G6202" s="7"/>
      <c r="H6202" s="8"/>
      <c r="I6202" s="8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</row>
    <row r="6203" hidden="1">
      <c r="A6203" s="7"/>
      <c r="B6203" s="7"/>
      <c r="C6203" s="7"/>
      <c r="D6203" s="7"/>
      <c r="E6203" s="7"/>
      <c r="F6203" s="7"/>
      <c r="G6203" s="7"/>
      <c r="H6203" s="8"/>
      <c r="I6203" s="8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</row>
    <row r="6204" hidden="1">
      <c r="A6204" s="7"/>
      <c r="B6204" s="7"/>
      <c r="C6204" s="7"/>
      <c r="D6204" s="7"/>
      <c r="E6204" s="7"/>
      <c r="F6204" s="7"/>
      <c r="G6204" s="7"/>
      <c r="H6204" s="8"/>
      <c r="I6204" s="8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</row>
    <row r="6205" hidden="1">
      <c r="A6205" s="7"/>
      <c r="B6205" s="7"/>
      <c r="C6205" s="7"/>
      <c r="D6205" s="7"/>
      <c r="E6205" s="7"/>
      <c r="F6205" s="7"/>
      <c r="G6205" s="7"/>
      <c r="H6205" s="8"/>
      <c r="I6205" s="8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</row>
    <row r="6206" hidden="1">
      <c r="A6206" s="7"/>
      <c r="B6206" s="7"/>
      <c r="C6206" s="7"/>
      <c r="D6206" s="7"/>
      <c r="E6206" s="7"/>
      <c r="F6206" s="7"/>
      <c r="G6206" s="7"/>
      <c r="H6206" s="8"/>
      <c r="I6206" s="8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</row>
    <row r="6207" hidden="1">
      <c r="A6207" s="7"/>
      <c r="B6207" s="7"/>
      <c r="C6207" s="7"/>
      <c r="D6207" s="7"/>
      <c r="E6207" s="7"/>
      <c r="F6207" s="7"/>
      <c r="G6207" s="7"/>
      <c r="H6207" s="8"/>
      <c r="I6207" s="8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</row>
    <row r="6208" hidden="1">
      <c r="A6208" s="7"/>
      <c r="B6208" s="7"/>
      <c r="C6208" s="7"/>
      <c r="D6208" s="7"/>
      <c r="E6208" s="7"/>
      <c r="F6208" s="7"/>
      <c r="G6208" s="7"/>
      <c r="H6208" s="8"/>
      <c r="I6208" s="8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</row>
    <row r="6209" hidden="1">
      <c r="A6209" s="7"/>
      <c r="B6209" s="7"/>
      <c r="C6209" s="7"/>
      <c r="D6209" s="7"/>
      <c r="E6209" s="7"/>
      <c r="F6209" s="7"/>
      <c r="G6209" s="7"/>
      <c r="H6209" s="8"/>
      <c r="I6209" s="8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</row>
    <row r="6210" hidden="1">
      <c r="A6210" s="7"/>
      <c r="B6210" s="7"/>
      <c r="C6210" s="7"/>
      <c r="D6210" s="7"/>
      <c r="E6210" s="7"/>
      <c r="F6210" s="7"/>
      <c r="G6210" s="7"/>
      <c r="H6210" s="8"/>
      <c r="I6210" s="8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</row>
    <row r="6211" hidden="1">
      <c r="A6211" s="7"/>
      <c r="B6211" s="7"/>
      <c r="C6211" s="7"/>
      <c r="D6211" s="7"/>
      <c r="E6211" s="7"/>
      <c r="F6211" s="7"/>
      <c r="G6211" s="7"/>
      <c r="H6211" s="8"/>
      <c r="I6211" s="8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</row>
    <row r="6212" hidden="1">
      <c r="A6212" s="7"/>
      <c r="B6212" s="7"/>
      <c r="C6212" s="7"/>
      <c r="D6212" s="7"/>
      <c r="E6212" s="7"/>
      <c r="F6212" s="7"/>
      <c r="G6212" s="7"/>
      <c r="H6212" s="8"/>
      <c r="I6212" s="8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</row>
    <row r="6213" hidden="1">
      <c r="A6213" s="7"/>
      <c r="B6213" s="7"/>
      <c r="C6213" s="7"/>
      <c r="D6213" s="7"/>
      <c r="E6213" s="7"/>
      <c r="F6213" s="7"/>
      <c r="G6213" s="7"/>
      <c r="H6213" s="8"/>
      <c r="I6213" s="8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</row>
    <row r="6214" hidden="1">
      <c r="A6214" s="7"/>
      <c r="B6214" s="7"/>
      <c r="C6214" s="7"/>
      <c r="D6214" s="7"/>
      <c r="E6214" s="7"/>
      <c r="F6214" s="7"/>
      <c r="G6214" s="7"/>
      <c r="H6214" s="8"/>
      <c r="I6214" s="8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</row>
    <row r="6215" hidden="1">
      <c r="A6215" s="7"/>
      <c r="B6215" s="7"/>
      <c r="C6215" s="7"/>
      <c r="D6215" s="7"/>
      <c r="E6215" s="7"/>
      <c r="F6215" s="7"/>
      <c r="G6215" s="7"/>
      <c r="H6215" s="8"/>
      <c r="I6215" s="8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7"/>
      <c r="Z6215" s="7"/>
    </row>
    <row r="6216" hidden="1">
      <c r="A6216" s="7"/>
      <c r="B6216" s="7"/>
      <c r="C6216" s="7"/>
      <c r="D6216" s="7"/>
      <c r="E6216" s="7"/>
      <c r="F6216" s="7"/>
      <c r="G6216" s="7"/>
      <c r="H6216" s="8"/>
      <c r="I6216" s="8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</row>
    <row r="6217" hidden="1">
      <c r="A6217" s="7"/>
      <c r="B6217" s="7"/>
      <c r="C6217" s="7"/>
      <c r="D6217" s="7"/>
      <c r="E6217" s="7"/>
      <c r="F6217" s="7"/>
      <c r="G6217" s="7"/>
      <c r="H6217" s="8"/>
      <c r="I6217" s="8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7"/>
      <c r="Z6217" s="7"/>
    </row>
    <row r="6218" hidden="1">
      <c r="A6218" s="7"/>
      <c r="B6218" s="7"/>
      <c r="C6218" s="7"/>
      <c r="D6218" s="7"/>
      <c r="E6218" s="7"/>
      <c r="F6218" s="7"/>
      <c r="G6218" s="7"/>
      <c r="H6218" s="8"/>
      <c r="I6218" s="8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</row>
    <row r="6219" hidden="1">
      <c r="A6219" s="7"/>
      <c r="B6219" s="7"/>
      <c r="C6219" s="7"/>
      <c r="D6219" s="7"/>
      <c r="E6219" s="7"/>
      <c r="F6219" s="7"/>
      <c r="G6219" s="7"/>
      <c r="H6219" s="8"/>
      <c r="I6219" s="8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7"/>
      <c r="Z6219" s="7"/>
    </row>
    <row r="6220" hidden="1">
      <c r="A6220" s="7"/>
      <c r="B6220" s="7"/>
      <c r="C6220" s="7"/>
      <c r="D6220" s="7"/>
      <c r="E6220" s="7"/>
      <c r="F6220" s="7"/>
      <c r="G6220" s="7"/>
      <c r="H6220" s="8"/>
      <c r="I6220" s="8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</row>
    <row r="6221" hidden="1">
      <c r="A6221" s="7"/>
      <c r="B6221" s="7"/>
      <c r="C6221" s="7"/>
      <c r="D6221" s="7"/>
      <c r="E6221" s="7"/>
      <c r="F6221" s="7"/>
      <c r="G6221" s="7"/>
      <c r="H6221" s="8"/>
      <c r="I6221" s="8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7"/>
      <c r="Z6221" s="7"/>
    </row>
    <row r="6222" hidden="1">
      <c r="A6222" s="7"/>
      <c r="B6222" s="7"/>
      <c r="C6222" s="7"/>
      <c r="D6222" s="7"/>
      <c r="E6222" s="7"/>
      <c r="F6222" s="7"/>
      <c r="G6222" s="7"/>
      <c r="H6222" s="8"/>
      <c r="I6222" s="8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</row>
    <row r="6223" hidden="1">
      <c r="A6223" s="7"/>
      <c r="B6223" s="7"/>
      <c r="C6223" s="7"/>
      <c r="D6223" s="7"/>
      <c r="E6223" s="7"/>
      <c r="F6223" s="7"/>
      <c r="G6223" s="7"/>
      <c r="H6223" s="8"/>
      <c r="I6223" s="8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  <c r="Y6223" s="7"/>
      <c r="Z6223" s="7"/>
    </row>
    <row r="6224" hidden="1">
      <c r="A6224" s="7"/>
      <c r="B6224" s="7"/>
      <c r="C6224" s="7"/>
      <c r="D6224" s="7"/>
      <c r="E6224" s="7"/>
      <c r="F6224" s="7"/>
      <c r="G6224" s="7"/>
      <c r="H6224" s="8"/>
      <c r="I6224" s="8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</row>
    <row r="6225" hidden="1">
      <c r="A6225" s="7"/>
      <c r="B6225" s="7"/>
      <c r="C6225" s="7"/>
      <c r="D6225" s="7"/>
      <c r="E6225" s="7"/>
      <c r="F6225" s="7"/>
      <c r="G6225" s="7"/>
      <c r="H6225" s="8"/>
      <c r="I6225" s="8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  <c r="Y6225" s="7"/>
      <c r="Z6225" s="7"/>
    </row>
    <row r="6226" hidden="1">
      <c r="A6226" s="7"/>
      <c r="B6226" s="7"/>
      <c r="C6226" s="7"/>
      <c r="D6226" s="7"/>
      <c r="E6226" s="7"/>
      <c r="F6226" s="7"/>
      <c r="G6226" s="7"/>
      <c r="H6226" s="8"/>
      <c r="I6226" s="8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</row>
    <row r="6227" hidden="1">
      <c r="A6227" s="7"/>
      <c r="B6227" s="7"/>
      <c r="C6227" s="7"/>
      <c r="D6227" s="7"/>
      <c r="E6227" s="7"/>
      <c r="F6227" s="7"/>
      <c r="G6227" s="7"/>
      <c r="H6227" s="8"/>
      <c r="I6227" s="8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7"/>
      <c r="Z6227" s="7"/>
    </row>
    <row r="6228" hidden="1">
      <c r="A6228" s="7"/>
      <c r="B6228" s="7"/>
      <c r="C6228" s="7"/>
      <c r="D6228" s="7"/>
      <c r="E6228" s="7"/>
      <c r="F6228" s="7"/>
      <c r="G6228" s="7"/>
      <c r="H6228" s="8"/>
      <c r="I6228" s="8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</row>
    <row r="6229" hidden="1">
      <c r="A6229" s="7"/>
      <c r="B6229" s="7"/>
      <c r="C6229" s="7"/>
      <c r="D6229" s="7"/>
      <c r="E6229" s="7"/>
      <c r="F6229" s="7"/>
      <c r="G6229" s="7"/>
      <c r="H6229" s="8"/>
      <c r="I6229" s="8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</row>
    <row r="6230" hidden="1">
      <c r="A6230" s="7"/>
      <c r="B6230" s="7"/>
      <c r="C6230" s="7"/>
      <c r="D6230" s="7"/>
      <c r="E6230" s="7"/>
      <c r="F6230" s="7"/>
      <c r="G6230" s="7"/>
      <c r="H6230" s="8"/>
      <c r="I6230" s="8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</row>
    <row r="6231" hidden="1">
      <c r="A6231" s="7"/>
      <c r="B6231" s="7"/>
      <c r="C6231" s="7"/>
      <c r="D6231" s="7"/>
      <c r="E6231" s="7"/>
      <c r="F6231" s="7"/>
      <c r="G6231" s="7"/>
      <c r="H6231" s="8"/>
      <c r="I6231" s="8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</row>
    <row r="6232" hidden="1">
      <c r="A6232" s="7"/>
      <c r="B6232" s="7"/>
      <c r="C6232" s="7"/>
      <c r="D6232" s="7"/>
      <c r="E6232" s="7"/>
      <c r="F6232" s="7"/>
      <c r="G6232" s="7"/>
      <c r="H6232" s="8"/>
      <c r="I6232" s="8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</row>
    <row r="6233" hidden="1">
      <c r="A6233" s="7"/>
      <c r="B6233" s="7"/>
      <c r="C6233" s="7"/>
      <c r="D6233" s="7"/>
      <c r="E6233" s="7"/>
      <c r="F6233" s="7"/>
      <c r="G6233" s="7"/>
      <c r="H6233" s="8"/>
      <c r="I6233" s="8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</row>
    <row r="6234" hidden="1">
      <c r="A6234" s="7"/>
      <c r="B6234" s="7"/>
      <c r="C6234" s="7"/>
      <c r="D6234" s="7"/>
      <c r="E6234" s="7"/>
      <c r="F6234" s="7"/>
      <c r="G6234" s="7"/>
      <c r="H6234" s="8"/>
      <c r="I6234" s="8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</row>
    <row r="6235" hidden="1">
      <c r="A6235" s="7"/>
      <c r="B6235" s="7"/>
      <c r="C6235" s="7"/>
      <c r="D6235" s="7"/>
      <c r="E6235" s="7"/>
      <c r="F6235" s="7"/>
      <c r="G6235" s="7"/>
      <c r="H6235" s="8"/>
      <c r="I6235" s="8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</row>
    <row r="6236" hidden="1">
      <c r="A6236" s="7"/>
      <c r="B6236" s="7"/>
      <c r="C6236" s="7"/>
      <c r="D6236" s="7"/>
      <c r="E6236" s="7"/>
      <c r="F6236" s="7"/>
      <c r="G6236" s="7"/>
      <c r="H6236" s="8"/>
      <c r="I6236" s="8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</row>
    <row r="6237" hidden="1">
      <c r="A6237" s="7"/>
      <c r="B6237" s="7"/>
      <c r="C6237" s="7"/>
      <c r="D6237" s="7"/>
      <c r="E6237" s="7"/>
      <c r="F6237" s="7"/>
      <c r="G6237" s="7"/>
      <c r="H6237" s="8"/>
      <c r="I6237" s="8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</row>
    <row r="6238" hidden="1">
      <c r="A6238" s="7"/>
      <c r="B6238" s="7"/>
      <c r="C6238" s="7"/>
      <c r="D6238" s="7"/>
      <c r="E6238" s="7"/>
      <c r="F6238" s="7"/>
      <c r="G6238" s="7"/>
      <c r="H6238" s="8"/>
      <c r="I6238" s="8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</row>
    <row r="6239" hidden="1">
      <c r="A6239" s="7"/>
      <c r="B6239" s="7"/>
      <c r="C6239" s="7"/>
      <c r="D6239" s="7"/>
      <c r="E6239" s="7"/>
      <c r="F6239" s="7"/>
      <c r="G6239" s="7"/>
      <c r="H6239" s="8"/>
      <c r="I6239" s="8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</row>
    <row r="6240" hidden="1">
      <c r="A6240" s="7"/>
      <c r="B6240" s="7"/>
      <c r="C6240" s="7"/>
      <c r="D6240" s="7"/>
      <c r="E6240" s="7"/>
      <c r="F6240" s="7"/>
      <c r="G6240" s="7"/>
      <c r="H6240" s="8"/>
      <c r="I6240" s="8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</row>
    <row r="6241" hidden="1">
      <c r="A6241" s="7"/>
      <c r="B6241" s="7"/>
      <c r="C6241" s="7"/>
      <c r="D6241" s="7"/>
      <c r="E6241" s="7"/>
      <c r="F6241" s="7"/>
      <c r="G6241" s="7"/>
      <c r="H6241" s="8"/>
      <c r="I6241" s="8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</row>
    <row r="6242" hidden="1">
      <c r="A6242" s="7"/>
      <c r="B6242" s="7"/>
      <c r="C6242" s="7"/>
      <c r="D6242" s="7"/>
      <c r="E6242" s="7"/>
      <c r="F6242" s="7"/>
      <c r="G6242" s="7"/>
      <c r="H6242" s="8"/>
      <c r="I6242" s="8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</row>
    <row r="6243" hidden="1">
      <c r="A6243" s="7"/>
      <c r="B6243" s="7"/>
      <c r="C6243" s="7"/>
      <c r="D6243" s="7"/>
      <c r="E6243" s="7"/>
      <c r="F6243" s="7"/>
      <c r="G6243" s="7"/>
      <c r="H6243" s="8"/>
      <c r="I6243" s="8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7"/>
      <c r="Z6243" s="7"/>
    </row>
    <row r="6244" hidden="1">
      <c r="A6244" s="7"/>
      <c r="B6244" s="7"/>
      <c r="C6244" s="7"/>
      <c r="D6244" s="7"/>
      <c r="E6244" s="7"/>
      <c r="F6244" s="7"/>
      <c r="G6244" s="7"/>
      <c r="H6244" s="8"/>
      <c r="I6244" s="8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</row>
    <row r="6245" hidden="1">
      <c r="A6245" s="7"/>
      <c r="B6245" s="7"/>
      <c r="C6245" s="7"/>
      <c r="D6245" s="7"/>
      <c r="E6245" s="7"/>
      <c r="F6245" s="7"/>
      <c r="G6245" s="7"/>
      <c r="H6245" s="8"/>
      <c r="I6245" s="8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7"/>
      <c r="Z6245" s="7"/>
    </row>
    <row r="6246" hidden="1">
      <c r="A6246" s="7"/>
      <c r="B6246" s="7"/>
      <c r="C6246" s="7"/>
      <c r="D6246" s="7"/>
      <c r="E6246" s="7"/>
      <c r="F6246" s="7"/>
      <c r="G6246" s="7"/>
      <c r="H6246" s="8"/>
      <c r="I6246" s="8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</row>
    <row r="6247" hidden="1">
      <c r="A6247" s="7"/>
      <c r="B6247" s="7"/>
      <c r="C6247" s="7"/>
      <c r="D6247" s="7"/>
      <c r="E6247" s="7"/>
      <c r="F6247" s="7"/>
      <c r="G6247" s="7"/>
      <c r="H6247" s="8"/>
      <c r="I6247" s="8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7"/>
      <c r="Z6247" s="7"/>
    </row>
    <row r="6248" hidden="1">
      <c r="A6248" s="7"/>
      <c r="B6248" s="7"/>
      <c r="C6248" s="7"/>
      <c r="D6248" s="7"/>
      <c r="E6248" s="7"/>
      <c r="F6248" s="7"/>
      <c r="G6248" s="7"/>
      <c r="H6248" s="8"/>
      <c r="I6248" s="8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</row>
    <row r="6249" hidden="1">
      <c r="A6249" s="7"/>
      <c r="B6249" s="7"/>
      <c r="C6249" s="7"/>
      <c r="D6249" s="7"/>
      <c r="E6249" s="7"/>
      <c r="F6249" s="7"/>
      <c r="G6249" s="7"/>
      <c r="H6249" s="8"/>
      <c r="I6249" s="8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7"/>
      <c r="Z6249" s="7"/>
    </row>
    <row r="6250" hidden="1">
      <c r="A6250" s="7"/>
      <c r="B6250" s="7"/>
      <c r="C6250" s="7"/>
      <c r="D6250" s="7"/>
      <c r="E6250" s="7"/>
      <c r="F6250" s="7"/>
      <c r="G6250" s="7"/>
      <c r="H6250" s="8"/>
      <c r="I6250" s="8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</row>
    <row r="6251" hidden="1">
      <c r="A6251" s="7"/>
      <c r="B6251" s="7"/>
      <c r="C6251" s="7"/>
      <c r="D6251" s="7"/>
      <c r="E6251" s="7"/>
      <c r="F6251" s="7"/>
      <c r="G6251" s="7"/>
      <c r="H6251" s="8"/>
      <c r="I6251" s="8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7"/>
      <c r="Z6251" s="7"/>
    </row>
    <row r="6252" hidden="1">
      <c r="A6252" s="7"/>
      <c r="B6252" s="7"/>
      <c r="C6252" s="7"/>
      <c r="D6252" s="7"/>
      <c r="E6252" s="7"/>
      <c r="F6252" s="7"/>
      <c r="G6252" s="7"/>
      <c r="H6252" s="8"/>
      <c r="I6252" s="8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</row>
    <row r="6253" hidden="1">
      <c r="A6253" s="7"/>
      <c r="B6253" s="7"/>
      <c r="C6253" s="7"/>
      <c r="D6253" s="7"/>
      <c r="E6253" s="7"/>
      <c r="F6253" s="7"/>
      <c r="G6253" s="7"/>
      <c r="H6253" s="8"/>
      <c r="I6253" s="8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7"/>
      <c r="Z6253" s="7"/>
    </row>
    <row r="6254" hidden="1">
      <c r="A6254" s="7"/>
      <c r="B6254" s="7"/>
      <c r="C6254" s="7"/>
      <c r="D6254" s="7"/>
      <c r="E6254" s="7"/>
      <c r="F6254" s="7"/>
      <c r="G6254" s="7"/>
      <c r="H6254" s="8"/>
      <c r="I6254" s="8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</row>
    <row r="6255" hidden="1">
      <c r="A6255" s="7"/>
      <c r="B6255" s="7"/>
      <c r="C6255" s="7"/>
      <c r="D6255" s="7"/>
      <c r="E6255" s="7"/>
      <c r="F6255" s="7"/>
      <c r="G6255" s="7"/>
      <c r="H6255" s="8"/>
      <c r="I6255" s="8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</row>
    <row r="6256" hidden="1">
      <c r="A6256" s="7"/>
      <c r="B6256" s="7"/>
      <c r="C6256" s="7"/>
      <c r="D6256" s="7"/>
      <c r="E6256" s="7"/>
      <c r="F6256" s="7"/>
      <c r="G6256" s="7"/>
      <c r="H6256" s="8"/>
      <c r="I6256" s="8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</row>
    <row r="6257" hidden="1">
      <c r="A6257" s="7"/>
      <c r="B6257" s="7"/>
      <c r="C6257" s="7"/>
      <c r="D6257" s="7"/>
      <c r="E6257" s="7"/>
      <c r="F6257" s="7"/>
      <c r="G6257" s="7"/>
      <c r="H6257" s="8"/>
      <c r="I6257" s="8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</row>
    <row r="6258" hidden="1">
      <c r="A6258" s="7"/>
      <c r="B6258" s="7"/>
      <c r="C6258" s="7"/>
      <c r="D6258" s="7"/>
      <c r="E6258" s="7"/>
      <c r="F6258" s="7"/>
      <c r="G6258" s="7"/>
      <c r="H6258" s="8"/>
      <c r="I6258" s="8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</row>
    <row r="6259" hidden="1">
      <c r="A6259" s="7"/>
      <c r="B6259" s="7"/>
      <c r="C6259" s="7"/>
      <c r="D6259" s="7"/>
      <c r="E6259" s="7"/>
      <c r="F6259" s="7"/>
      <c r="G6259" s="7"/>
      <c r="H6259" s="8"/>
      <c r="I6259" s="8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</row>
    <row r="6260" hidden="1">
      <c r="A6260" s="7"/>
      <c r="B6260" s="7"/>
      <c r="C6260" s="7"/>
      <c r="D6260" s="7"/>
      <c r="E6260" s="7"/>
      <c r="F6260" s="7"/>
      <c r="G6260" s="7"/>
      <c r="H6260" s="8"/>
      <c r="I6260" s="8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</row>
    <row r="6261" hidden="1">
      <c r="A6261" s="7"/>
      <c r="B6261" s="7"/>
      <c r="C6261" s="7"/>
      <c r="D6261" s="7"/>
      <c r="E6261" s="7"/>
      <c r="F6261" s="7"/>
      <c r="G6261" s="7"/>
      <c r="H6261" s="8"/>
      <c r="I6261" s="8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</row>
    <row r="6262" hidden="1">
      <c r="A6262" s="7"/>
      <c r="B6262" s="7"/>
      <c r="C6262" s="7"/>
      <c r="D6262" s="7"/>
      <c r="E6262" s="7"/>
      <c r="F6262" s="7"/>
      <c r="G6262" s="7"/>
      <c r="H6262" s="8"/>
      <c r="I6262" s="8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</row>
    <row r="6263" hidden="1">
      <c r="A6263" s="7"/>
      <c r="B6263" s="7"/>
      <c r="C6263" s="7"/>
      <c r="D6263" s="7"/>
      <c r="E6263" s="7"/>
      <c r="F6263" s="7"/>
      <c r="G6263" s="7"/>
      <c r="H6263" s="8"/>
      <c r="I6263" s="8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</row>
    <row r="6264" hidden="1">
      <c r="A6264" s="7"/>
      <c r="B6264" s="7"/>
      <c r="C6264" s="7"/>
      <c r="D6264" s="7"/>
      <c r="E6264" s="7"/>
      <c r="F6264" s="7"/>
      <c r="G6264" s="7"/>
      <c r="H6264" s="8"/>
      <c r="I6264" s="8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</row>
    <row r="6265" hidden="1">
      <c r="A6265" s="7"/>
      <c r="B6265" s="7"/>
      <c r="C6265" s="7"/>
      <c r="D6265" s="7"/>
      <c r="E6265" s="7"/>
      <c r="F6265" s="7"/>
      <c r="G6265" s="7"/>
      <c r="H6265" s="8"/>
      <c r="I6265" s="8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</row>
    <row r="6266" hidden="1">
      <c r="A6266" s="7"/>
      <c r="B6266" s="7"/>
      <c r="C6266" s="7"/>
      <c r="D6266" s="7"/>
      <c r="E6266" s="7"/>
      <c r="F6266" s="7"/>
      <c r="G6266" s="7"/>
      <c r="H6266" s="8"/>
      <c r="I6266" s="8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</row>
    <row r="6267" hidden="1">
      <c r="A6267" s="7"/>
      <c r="B6267" s="7"/>
      <c r="C6267" s="7"/>
      <c r="D6267" s="7"/>
      <c r="E6267" s="7"/>
      <c r="F6267" s="7"/>
      <c r="G6267" s="7"/>
      <c r="H6267" s="8"/>
      <c r="I6267" s="8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</row>
    <row r="6268" hidden="1">
      <c r="A6268" s="7"/>
      <c r="B6268" s="7"/>
      <c r="C6268" s="7"/>
      <c r="D6268" s="7"/>
      <c r="E6268" s="7"/>
      <c r="F6268" s="7"/>
      <c r="G6268" s="7"/>
      <c r="H6268" s="8"/>
      <c r="I6268" s="8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</row>
    <row r="6269" hidden="1">
      <c r="A6269" s="7"/>
      <c r="B6269" s="7"/>
      <c r="C6269" s="7"/>
      <c r="D6269" s="7"/>
      <c r="E6269" s="7"/>
      <c r="F6269" s="7"/>
      <c r="G6269" s="7"/>
      <c r="H6269" s="8"/>
      <c r="I6269" s="8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</row>
    <row r="6270" hidden="1">
      <c r="A6270" s="7"/>
      <c r="B6270" s="7"/>
      <c r="C6270" s="7"/>
      <c r="D6270" s="7"/>
      <c r="E6270" s="7"/>
      <c r="F6270" s="7"/>
      <c r="G6270" s="7"/>
      <c r="H6270" s="8"/>
      <c r="I6270" s="8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</row>
    <row r="6271" hidden="1">
      <c r="A6271" s="7"/>
      <c r="B6271" s="7"/>
      <c r="C6271" s="7"/>
      <c r="D6271" s="7"/>
      <c r="E6271" s="7"/>
      <c r="F6271" s="7"/>
      <c r="G6271" s="7"/>
      <c r="H6271" s="8"/>
      <c r="I6271" s="8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7"/>
      <c r="Z6271" s="7"/>
    </row>
    <row r="6272" hidden="1">
      <c r="A6272" s="7"/>
      <c r="B6272" s="7"/>
      <c r="C6272" s="7"/>
      <c r="D6272" s="7"/>
      <c r="E6272" s="7"/>
      <c r="F6272" s="7"/>
      <c r="G6272" s="7"/>
      <c r="H6272" s="8"/>
      <c r="I6272" s="8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</row>
    <row r="6273" hidden="1">
      <c r="A6273" s="7"/>
      <c r="B6273" s="7"/>
      <c r="C6273" s="7"/>
      <c r="D6273" s="7"/>
      <c r="E6273" s="7"/>
      <c r="F6273" s="7"/>
      <c r="G6273" s="7"/>
      <c r="H6273" s="8"/>
      <c r="I6273" s="8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</row>
    <row r="6274" hidden="1">
      <c r="A6274" s="7"/>
      <c r="B6274" s="7"/>
      <c r="C6274" s="7"/>
      <c r="D6274" s="7"/>
      <c r="E6274" s="7"/>
      <c r="F6274" s="7"/>
      <c r="G6274" s="7"/>
      <c r="H6274" s="8"/>
      <c r="I6274" s="8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</row>
    <row r="6275" hidden="1">
      <c r="A6275" s="7"/>
      <c r="B6275" s="7"/>
      <c r="C6275" s="7"/>
      <c r="D6275" s="7"/>
      <c r="E6275" s="7"/>
      <c r="F6275" s="7"/>
      <c r="G6275" s="7"/>
      <c r="H6275" s="8"/>
      <c r="I6275" s="8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</row>
    <row r="6276" hidden="1">
      <c r="A6276" s="7"/>
      <c r="B6276" s="7"/>
      <c r="C6276" s="7"/>
      <c r="D6276" s="7"/>
      <c r="E6276" s="7"/>
      <c r="F6276" s="7"/>
      <c r="G6276" s="7"/>
      <c r="H6276" s="8"/>
      <c r="I6276" s="8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</row>
    <row r="6277" hidden="1">
      <c r="A6277" s="7"/>
      <c r="B6277" s="7"/>
      <c r="C6277" s="7"/>
      <c r="D6277" s="7"/>
      <c r="E6277" s="7"/>
      <c r="F6277" s="7"/>
      <c r="G6277" s="7"/>
      <c r="H6277" s="8"/>
      <c r="I6277" s="8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7"/>
      <c r="Z6277" s="7"/>
    </row>
    <row r="6278" hidden="1">
      <c r="A6278" s="7"/>
      <c r="B6278" s="7"/>
      <c r="C6278" s="7"/>
      <c r="D6278" s="7"/>
      <c r="E6278" s="7"/>
      <c r="F6278" s="7"/>
      <c r="G6278" s="7"/>
      <c r="H6278" s="8"/>
      <c r="I6278" s="8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</row>
    <row r="6279" hidden="1">
      <c r="A6279" s="7"/>
      <c r="B6279" s="7"/>
      <c r="C6279" s="7"/>
      <c r="D6279" s="7"/>
      <c r="E6279" s="7"/>
      <c r="F6279" s="7"/>
      <c r="G6279" s="7"/>
      <c r="H6279" s="8"/>
      <c r="I6279" s="8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7"/>
      <c r="Z6279" s="7"/>
    </row>
    <row r="6280" hidden="1">
      <c r="A6280" s="7"/>
      <c r="B6280" s="7"/>
      <c r="C6280" s="7"/>
      <c r="D6280" s="7"/>
      <c r="E6280" s="7"/>
      <c r="F6280" s="7"/>
      <c r="G6280" s="7"/>
      <c r="H6280" s="8"/>
      <c r="I6280" s="8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</row>
    <row r="6281" hidden="1">
      <c r="A6281" s="7"/>
      <c r="B6281" s="7"/>
      <c r="C6281" s="7"/>
      <c r="D6281" s="7"/>
      <c r="E6281" s="7"/>
      <c r="F6281" s="7"/>
      <c r="G6281" s="7"/>
      <c r="H6281" s="8"/>
      <c r="I6281" s="8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7"/>
      <c r="Z6281" s="7"/>
    </row>
    <row r="6282" hidden="1">
      <c r="A6282" s="7"/>
      <c r="B6282" s="7"/>
      <c r="C6282" s="7"/>
      <c r="D6282" s="7"/>
      <c r="E6282" s="7"/>
      <c r="F6282" s="7"/>
      <c r="G6282" s="7"/>
      <c r="H6282" s="8"/>
      <c r="I6282" s="8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</row>
    <row r="6283" hidden="1">
      <c r="A6283" s="7"/>
      <c r="B6283" s="7"/>
      <c r="C6283" s="7"/>
      <c r="D6283" s="7"/>
      <c r="E6283" s="7"/>
      <c r="F6283" s="7"/>
      <c r="G6283" s="7"/>
      <c r="H6283" s="8"/>
      <c r="I6283" s="8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7"/>
      <c r="Z6283" s="7"/>
    </row>
    <row r="6284" hidden="1">
      <c r="A6284" s="7"/>
      <c r="B6284" s="7"/>
      <c r="C6284" s="7"/>
      <c r="D6284" s="7"/>
      <c r="E6284" s="7"/>
      <c r="F6284" s="7"/>
      <c r="G6284" s="7"/>
      <c r="H6284" s="8"/>
      <c r="I6284" s="8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</row>
    <row r="6285" hidden="1">
      <c r="A6285" s="7"/>
      <c r="B6285" s="7"/>
      <c r="C6285" s="7"/>
      <c r="D6285" s="7"/>
      <c r="E6285" s="7"/>
      <c r="F6285" s="7"/>
      <c r="G6285" s="7"/>
      <c r="H6285" s="8"/>
      <c r="I6285" s="8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7"/>
      <c r="Z6285" s="7"/>
    </row>
    <row r="6286" hidden="1">
      <c r="A6286" s="7"/>
      <c r="B6286" s="7"/>
      <c r="C6286" s="7"/>
      <c r="D6286" s="7"/>
      <c r="E6286" s="7"/>
      <c r="F6286" s="7"/>
      <c r="G6286" s="7"/>
      <c r="H6286" s="8"/>
      <c r="I6286" s="8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</row>
    <row r="6287" hidden="1">
      <c r="A6287" s="7"/>
      <c r="B6287" s="7"/>
      <c r="C6287" s="7"/>
      <c r="D6287" s="7"/>
      <c r="E6287" s="7"/>
      <c r="F6287" s="7"/>
      <c r="G6287" s="7"/>
      <c r="H6287" s="8"/>
      <c r="I6287" s="8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</row>
    <row r="6288" hidden="1">
      <c r="A6288" s="7"/>
      <c r="B6288" s="7"/>
      <c r="C6288" s="7"/>
      <c r="D6288" s="7"/>
      <c r="E6288" s="7"/>
      <c r="F6288" s="7"/>
      <c r="G6288" s="7"/>
      <c r="H6288" s="8"/>
      <c r="I6288" s="8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</row>
    <row r="6289" hidden="1">
      <c r="A6289" s="7"/>
      <c r="B6289" s="7"/>
      <c r="C6289" s="7"/>
      <c r="D6289" s="7"/>
      <c r="E6289" s="7"/>
      <c r="F6289" s="7"/>
      <c r="G6289" s="7"/>
      <c r="H6289" s="8"/>
      <c r="I6289" s="8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</row>
    <row r="6290" hidden="1">
      <c r="A6290" s="7"/>
      <c r="B6290" s="7"/>
      <c r="C6290" s="7"/>
      <c r="D6290" s="7"/>
      <c r="E6290" s="7"/>
      <c r="F6290" s="7"/>
      <c r="G6290" s="7"/>
      <c r="H6290" s="8"/>
      <c r="I6290" s="8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</row>
    <row r="6291" hidden="1">
      <c r="A6291" s="7"/>
      <c r="B6291" s="7"/>
      <c r="C6291" s="7"/>
      <c r="D6291" s="7"/>
      <c r="E6291" s="7"/>
      <c r="F6291" s="7"/>
      <c r="G6291" s="7"/>
      <c r="H6291" s="8"/>
      <c r="I6291" s="8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</row>
    <row r="6292" hidden="1">
      <c r="A6292" s="7"/>
      <c r="B6292" s="7"/>
      <c r="C6292" s="7"/>
      <c r="D6292" s="7"/>
      <c r="E6292" s="7"/>
      <c r="F6292" s="7"/>
      <c r="G6292" s="7"/>
      <c r="H6292" s="8"/>
      <c r="I6292" s="8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</row>
    <row r="6293" hidden="1">
      <c r="A6293" s="7"/>
      <c r="B6293" s="7"/>
      <c r="C6293" s="7"/>
      <c r="D6293" s="7"/>
      <c r="E6293" s="7"/>
      <c r="F6293" s="7"/>
      <c r="G6293" s="7"/>
      <c r="H6293" s="8"/>
      <c r="I6293" s="8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</row>
    <row r="6294" hidden="1">
      <c r="A6294" s="7"/>
      <c r="B6294" s="7"/>
      <c r="C6294" s="7"/>
      <c r="D6294" s="7"/>
      <c r="E6294" s="7"/>
      <c r="F6294" s="7"/>
      <c r="G6294" s="7"/>
      <c r="H6294" s="8"/>
      <c r="I6294" s="8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</row>
    <row r="6295" hidden="1">
      <c r="A6295" s="7"/>
      <c r="B6295" s="7"/>
      <c r="C6295" s="7"/>
      <c r="D6295" s="7"/>
      <c r="E6295" s="7"/>
      <c r="F6295" s="7"/>
      <c r="G6295" s="7"/>
      <c r="H6295" s="8"/>
      <c r="I6295" s="8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</row>
    <row r="6296" hidden="1">
      <c r="A6296" s="7"/>
      <c r="B6296" s="7"/>
      <c r="C6296" s="7"/>
      <c r="D6296" s="7"/>
      <c r="E6296" s="7"/>
      <c r="F6296" s="7"/>
      <c r="G6296" s="7"/>
      <c r="H6296" s="8"/>
      <c r="I6296" s="8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</row>
    <row r="6297" hidden="1">
      <c r="A6297" s="7"/>
      <c r="B6297" s="7"/>
      <c r="C6297" s="7"/>
      <c r="D6297" s="7"/>
      <c r="E6297" s="7"/>
      <c r="F6297" s="7"/>
      <c r="G6297" s="7"/>
      <c r="H6297" s="8"/>
      <c r="I6297" s="8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</row>
    <row r="6298" hidden="1">
      <c r="A6298" s="7"/>
      <c r="B6298" s="7"/>
      <c r="C6298" s="7"/>
      <c r="D6298" s="7"/>
      <c r="E6298" s="7"/>
      <c r="F6298" s="7"/>
      <c r="G6298" s="7"/>
      <c r="H6298" s="8"/>
      <c r="I6298" s="8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</row>
    <row r="6299" hidden="1">
      <c r="A6299" s="7"/>
      <c r="B6299" s="7"/>
      <c r="C6299" s="7"/>
      <c r="D6299" s="7"/>
      <c r="E6299" s="7"/>
      <c r="F6299" s="7"/>
      <c r="G6299" s="7"/>
      <c r="H6299" s="8"/>
      <c r="I6299" s="8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</row>
    <row r="6300" hidden="1">
      <c r="A6300" s="7"/>
      <c r="B6300" s="7"/>
      <c r="C6300" s="7"/>
      <c r="D6300" s="7"/>
      <c r="E6300" s="7"/>
      <c r="F6300" s="7"/>
      <c r="G6300" s="7"/>
      <c r="H6300" s="8"/>
      <c r="I6300" s="8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</row>
    <row r="6301" hidden="1">
      <c r="A6301" s="7"/>
      <c r="B6301" s="7"/>
      <c r="C6301" s="7"/>
      <c r="D6301" s="7"/>
      <c r="E6301" s="7"/>
      <c r="F6301" s="7"/>
      <c r="G6301" s="7"/>
      <c r="H6301" s="8"/>
      <c r="I6301" s="8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</row>
    <row r="6302" hidden="1">
      <c r="A6302" s="7"/>
      <c r="B6302" s="7"/>
      <c r="C6302" s="7"/>
      <c r="D6302" s="7"/>
      <c r="E6302" s="7"/>
      <c r="F6302" s="7"/>
      <c r="G6302" s="7"/>
      <c r="H6302" s="8"/>
      <c r="I6302" s="8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</row>
    <row r="6303" hidden="1">
      <c r="A6303" s="7"/>
      <c r="B6303" s="7"/>
      <c r="C6303" s="7"/>
      <c r="D6303" s="7"/>
      <c r="E6303" s="7"/>
      <c r="F6303" s="7"/>
      <c r="G6303" s="7"/>
      <c r="H6303" s="8"/>
      <c r="I6303" s="8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</row>
    <row r="6304" hidden="1">
      <c r="A6304" s="7"/>
      <c r="B6304" s="7"/>
      <c r="C6304" s="7"/>
      <c r="D6304" s="7"/>
      <c r="E6304" s="7"/>
      <c r="F6304" s="7"/>
      <c r="G6304" s="7"/>
      <c r="H6304" s="8"/>
      <c r="I6304" s="8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</row>
    <row r="6305" hidden="1">
      <c r="A6305" s="7"/>
      <c r="B6305" s="7"/>
      <c r="C6305" s="7"/>
      <c r="D6305" s="7"/>
      <c r="E6305" s="7"/>
      <c r="F6305" s="7"/>
      <c r="G6305" s="7"/>
      <c r="H6305" s="8"/>
      <c r="I6305" s="8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</row>
    <row r="6306" hidden="1">
      <c r="A6306" s="7"/>
      <c r="B6306" s="7"/>
      <c r="C6306" s="7"/>
      <c r="D6306" s="7"/>
      <c r="E6306" s="7"/>
      <c r="F6306" s="7"/>
      <c r="G6306" s="7"/>
      <c r="H6306" s="8"/>
      <c r="I6306" s="8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</row>
    <row r="6307" hidden="1">
      <c r="A6307" s="7"/>
      <c r="B6307" s="7"/>
      <c r="C6307" s="7"/>
      <c r="D6307" s="7"/>
      <c r="E6307" s="7"/>
      <c r="F6307" s="7"/>
      <c r="G6307" s="7"/>
      <c r="H6307" s="8"/>
      <c r="I6307" s="8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</row>
    <row r="6308" hidden="1">
      <c r="A6308" s="7"/>
      <c r="B6308" s="7"/>
      <c r="C6308" s="7"/>
      <c r="D6308" s="7"/>
      <c r="E6308" s="7"/>
      <c r="F6308" s="7"/>
      <c r="G6308" s="7"/>
      <c r="H6308" s="8"/>
      <c r="I6308" s="8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</row>
    <row r="6309" hidden="1">
      <c r="A6309" s="7"/>
      <c r="B6309" s="7"/>
      <c r="C6309" s="7"/>
      <c r="D6309" s="7"/>
      <c r="E6309" s="7"/>
      <c r="F6309" s="7"/>
      <c r="G6309" s="7"/>
      <c r="H6309" s="8"/>
      <c r="I6309" s="8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</row>
    <row r="6310" hidden="1">
      <c r="A6310" s="7"/>
      <c r="B6310" s="7"/>
      <c r="C6310" s="7"/>
      <c r="D6310" s="7"/>
      <c r="E6310" s="7"/>
      <c r="F6310" s="7"/>
      <c r="G6310" s="7"/>
      <c r="H6310" s="8"/>
      <c r="I6310" s="8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</row>
    <row r="6311" hidden="1">
      <c r="A6311" s="7"/>
      <c r="B6311" s="7"/>
      <c r="C6311" s="7"/>
      <c r="D6311" s="7"/>
      <c r="E6311" s="7"/>
      <c r="F6311" s="7"/>
      <c r="G6311" s="7"/>
      <c r="H6311" s="8"/>
      <c r="I6311" s="8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</row>
    <row r="6312" hidden="1">
      <c r="A6312" s="7"/>
      <c r="B6312" s="7"/>
      <c r="C6312" s="7"/>
      <c r="D6312" s="7"/>
      <c r="E6312" s="7"/>
      <c r="F6312" s="7"/>
      <c r="G6312" s="7"/>
      <c r="H6312" s="8"/>
      <c r="I6312" s="8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</row>
    <row r="6313" hidden="1">
      <c r="A6313" s="7"/>
      <c r="B6313" s="7"/>
      <c r="C6313" s="7"/>
      <c r="D6313" s="7"/>
      <c r="E6313" s="7"/>
      <c r="F6313" s="7"/>
      <c r="G6313" s="7"/>
      <c r="H6313" s="8"/>
      <c r="I6313" s="8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</row>
    <row r="6314" hidden="1">
      <c r="A6314" s="7"/>
      <c r="B6314" s="7"/>
      <c r="C6314" s="7"/>
      <c r="D6314" s="7"/>
      <c r="E6314" s="7"/>
      <c r="F6314" s="7"/>
      <c r="G6314" s="7"/>
      <c r="H6314" s="8"/>
      <c r="I6314" s="8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</row>
    <row r="6315" hidden="1">
      <c r="A6315" s="7"/>
      <c r="B6315" s="7"/>
      <c r="C6315" s="7"/>
      <c r="D6315" s="7"/>
      <c r="E6315" s="7"/>
      <c r="F6315" s="7"/>
      <c r="G6315" s="7"/>
      <c r="H6315" s="8"/>
      <c r="I6315" s="8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</row>
    <row r="6316" hidden="1">
      <c r="A6316" s="7"/>
      <c r="B6316" s="7"/>
      <c r="C6316" s="7"/>
      <c r="D6316" s="7"/>
      <c r="E6316" s="7"/>
      <c r="F6316" s="7"/>
      <c r="G6316" s="7"/>
      <c r="H6316" s="8"/>
      <c r="I6316" s="8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</row>
    <row r="6317" hidden="1">
      <c r="A6317" s="7"/>
      <c r="B6317" s="7"/>
      <c r="C6317" s="7"/>
      <c r="D6317" s="7"/>
      <c r="E6317" s="7"/>
      <c r="F6317" s="7"/>
      <c r="G6317" s="7"/>
      <c r="H6317" s="8"/>
      <c r="I6317" s="8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</row>
    <row r="6318" hidden="1">
      <c r="A6318" s="7"/>
      <c r="B6318" s="7"/>
      <c r="C6318" s="7"/>
      <c r="D6318" s="7"/>
      <c r="E6318" s="7"/>
      <c r="F6318" s="7"/>
      <c r="G6318" s="7"/>
      <c r="H6318" s="8"/>
      <c r="I6318" s="8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</row>
    <row r="6319" hidden="1">
      <c r="A6319" s="7"/>
      <c r="B6319" s="7"/>
      <c r="C6319" s="7"/>
      <c r="D6319" s="7"/>
      <c r="E6319" s="7"/>
      <c r="F6319" s="7"/>
      <c r="G6319" s="7"/>
      <c r="H6319" s="8"/>
      <c r="I6319" s="8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7"/>
      <c r="Z6319" s="7"/>
    </row>
    <row r="6320" hidden="1">
      <c r="A6320" s="7"/>
      <c r="B6320" s="7"/>
      <c r="C6320" s="7"/>
      <c r="D6320" s="7"/>
      <c r="E6320" s="7"/>
      <c r="F6320" s="7"/>
      <c r="G6320" s="7"/>
      <c r="H6320" s="8"/>
      <c r="I6320" s="8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</row>
    <row r="6321" hidden="1">
      <c r="A6321" s="7"/>
      <c r="B6321" s="7"/>
      <c r="C6321" s="7"/>
      <c r="D6321" s="7"/>
      <c r="E6321" s="7"/>
      <c r="F6321" s="7"/>
      <c r="G6321" s="7"/>
      <c r="H6321" s="8"/>
      <c r="I6321" s="8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</row>
    <row r="6322" hidden="1">
      <c r="A6322" s="7"/>
      <c r="B6322" s="7"/>
      <c r="C6322" s="7"/>
      <c r="D6322" s="7"/>
      <c r="E6322" s="7"/>
      <c r="F6322" s="7"/>
      <c r="G6322" s="7"/>
      <c r="H6322" s="8"/>
      <c r="I6322" s="8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</row>
    <row r="6323" hidden="1">
      <c r="A6323" s="7"/>
      <c r="B6323" s="7"/>
      <c r="C6323" s="7"/>
      <c r="D6323" s="7"/>
      <c r="E6323" s="7"/>
      <c r="F6323" s="7"/>
      <c r="G6323" s="7"/>
      <c r="H6323" s="8"/>
      <c r="I6323" s="8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7"/>
      <c r="Z6323" s="7"/>
    </row>
    <row r="6324" hidden="1">
      <c r="A6324" s="7"/>
      <c r="B6324" s="7"/>
      <c r="C6324" s="7"/>
      <c r="D6324" s="7"/>
      <c r="E6324" s="7"/>
      <c r="F6324" s="7"/>
      <c r="G6324" s="7"/>
      <c r="H6324" s="8"/>
      <c r="I6324" s="8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</row>
    <row r="6325" hidden="1">
      <c r="A6325" s="7"/>
      <c r="B6325" s="7"/>
      <c r="C6325" s="7"/>
      <c r="D6325" s="7"/>
      <c r="E6325" s="7"/>
      <c r="F6325" s="7"/>
      <c r="G6325" s="7"/>
      <c r="H6325" s="8"/>
      <c r="I6325" s="8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7"/>
      <c r="Z6325" s="7"/>
    </row>
    <row r="6326" hidden="1">
      <c r="A6326" s="7"/>
      <c r="B6326" s="7"/>
      <c r="C6326" s="7"/>
      <c r="D6326" s="7"/>
      <c r="E6326" s="7"/>
      <c r="F6326" s="7"/>
      <c r="G6326" s="7"/>
      <c r="H6326" s="8"/>
      <c r="I6326" s="8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</row>
    <row r="6327" hidden="1">
      <c r="A6327" s="7"/>
      <c r="B6327" s="7"/>
      <c r="C6327" s="7"/>
      <c r="D6327" s="7"/>
      <c r="E6327" s="7"/>
      <c r="F6327" s="7"/>
      <c r="G6327" s="7"/>
      <c r="H6327" s="8"/>
      <c r="I6327" s="8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7"/>
      <c r="Z6327" s="7"/>
    </row>
    <row r="6328" hidden="1">
      <c r="A6328" s="7"/>
      <c r="B6328" s="7"/>
      <c r="C6328" s="7"/>
      <c r="D6328" s="7"/>
      <c r="E6328" s="7"/>
      <c r="F6328" s="7"/>
      <c r="G6328" s="7"/>
      <c r="H6328" s="8"/>
      <c r="I6328" s="8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</row>
    <row r="6329" hidden="1">
      <c r="A6329" s="7"/>
      <c r="B6329" s="7"/>
      <c r="C6329" s="7"/>
      <c r="D6329" s="7"/>
      <c r="E6329" s="7"/>
      <c r="F6329" s="7"/>
      <c r="G6329" s="7"/>
      <c r="H6329" s="8"/>
      <c r="I6329" s="8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7"/>
      <c r="Z6329" s="7"/>
    </row>
    <row r="6330" hidden="1">
      <c r="A6330" s="7"/>
      <c r="B6330" s="7"/>
      <c r="C6330" s="7"/>
      <c r="D6330" s="7"/>
      <c r="E6330" s="7"/>
      <c r="F6330" s="7"/>
      <c r="G6330" s="7"/>
      <c r="H6330" s="8"/>
      <c r="I6330" s="8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</row>
    <row r="6331" hidden="1">
      <c r="A6331" s="7"/>
      <c r="B6331" s="7"/>
      <c r="C6331" s="7"/>
      <c r="D6331" s="7"/>
      <c r="E6331" s="7"/>
      <c r="F6331" s="7"/>
      <c r="G6331" s="7"/>
      <c r="H6331" s="8"/>
      <c r="I6331" s="8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7"/>
      <c r="Z6331" s="7"/>
    </row>
    <row r="6332" hidden="1">
      <c r="A6332" s="7"/>
      <c r="B6332" s="7"/>
      <c r="C6332" s="7"/>
      <c r="D6332" s="7"/>
      <c r="E6332" s="7"/>
      <c r="F6332" s="7"/>
      <c r="G6332" s="7"/>
      <c r="H6332" s="8"/>
      <c r="I6332" s="8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</row>
    <row r="6333" hidden="1">
      <c r="A6333" s="7"/>
      <c r="B6333" s="7"/>
      <c r="C6333" s="7"/>
      <c r="D6333" s="7"/>
      <c r="E6333" s="7"/>
      <c r="F6333" s="7"/>
      <c r="G6333" s="7"/>
      <c r="H6333" s="8"/>
      <c r="I6333" s="8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7"/>
      <c r="Z6333" s="7"/>
    </row>
    <row r="6334" hidden="1">
      <c r="A6334" s="7"/>
      <c r="B6334" s="7"/>
      <c r="C6334" s="7"/>
      <c r="D6334" s="7"/>
      <c r="E6334" s="7"/>
      <c r="F6334" s="7"/>
      <c r="G6334" s="7"/>
      <c r="H6334" s="8"/>
      <c r="I6334" s="8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</row>
    <row r="6335" hidden="1">
      <c r="A6335" s="7"/>
      <c r="B6335" s="7"/>
      <c r="C6335" s="7"/>
      <c r="D6335" s="7"/>
      <c r="E6335" s="7"/>
      <c r="F6335" s="7"/>
      <c r="G6335" s="7"/>
      <c r="H6335" s="8"/>
      <c r="I6335" s="8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7"/>
      <c r="Z6335" s="7"/>
    </row>
    <row r="6336" hidden="1">
      <c r="A6336" s="7"/>
      <c r="B6336" s="7"/>
      <c r="C6336" s="7"/>
      <c r="D6336" s="7"/>
      <c r="E6336" s="7"/>
      <c r="F6336" s="7"/>
      <c r="G6336" s="7"/>
      <c r="H6336" s="8"/>
      <c r="I6336" s="8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</row>
    <row r="6337" hidden="1">
      <c r="A6337" s="7"/>
      <c r="B6337" s="7"/>
      <c r="C6337" s="7"/>
      <c r="D6337" s="7"/>
      <c r="E6337" s="7"/>
      <c r="F6337" s="7"/>
      <c r="G6337" s="7"/>
      <c r="H6337" s="8"/>
      <c r="I6337" s="8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7"/>
      <c r="Z6337" s="7"/>
    </row>
    <row r="6338" hidden="1">
      <c r="A6338" s="7"/>
      <c r="B6338" s="7"/>
      <c r="C6338" s="7"/>
      <c r="D6338" s="7"/>
      <c r="E6338" s="7"/>
      <c r="F6338" s="7"/>
      <c r="G6338" s="7"/>
      <c r="H6338" s="8"/>
      <c r="I6338" s="8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</row>
    <row r="6339" hidden="1">
      <c r="A6339" s="7"/>
      <c r="B6339" s="7"/>
      <c r="C6339" s="7"/>
      <c r="D6339" s="7"/>
      <c r="E6339" s="7"/>
      <c r="F6339" s="7"/>
      <c r="G6339" s="7"/>
      <c r="H6339" s="8"/>
      <c r="I6339" s="8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7"/>
      <c r="Z6339" s="7"/>
    </row>
    <row r="6340" hidden="1">
      <c r="A6340" s="7"/>
      <c r="B6340" s="7"/>
      <c r="C6340" s="7"/>
      <c r="D6340" s="7"/>
      <c r="E6340" s="7"/>
      <c r="F6340" s="7"/>
      <c r="G6340" s="7"/>
      <c r="H6340" s="8"/>
      <c r="I6340" s="8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</row>
    <row r="6341" hidden="1">
      <c r="A6341" s="7"/>
      <c r="B6341" s="7"/>
      <c r="C6341" s="7"/>
      <c r="D6341" s="7"/>
      <c r="E6341" s="7"/>
      <c r="F6341" s="7"/>
      <c r="G6341" s="7"/>
      <c r="H6341" s="8"/>
      <c r="I6341" s="8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</row>
    <row r="6342" hidden="1">
      <c r="A6342" s="7"/>
      <c r="B6342" s="7"/>
      <c r="C6342" s="7"/>
      <c r="D6342" s="7"/>
      <c r="E6342" s="7"/>
      <c r="F6342" s="7"/>
      <c r="G6342" s="7"/>
      <c r="H6342" s="8"/>
      <c r="I6342" s="8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</row>
    <row r="6343" hidden="1">
      <c r="A6343" s="7"/>
      <c r="B6343" s="7"/>
      <c r="C6343" s="7"/>
      <c r="D6343" s="7"/>
      <c r="E6343" s="7"/>
      <c r="F6343" s="7"/>
      <c r="G6343" s="7"/>
      <c r="H6343" s="8"/>
      <c r="I6343" s="8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</row>
    <row r="6344" hidden="1">
      <c r="A6344" s="7"/>
      <c r="B6344" s="7"/>
      <c r="C6344" s="7"/>
      <c r="D6344" s="7"/>
      <c r="E6344" s="7"/>
      <c r="F6344" s="7"/>
      <c r="G6344" s="7"/>
      <c r="H6344" s="8"/>
      <c r="I6344" s="8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</row>
    <row r="6345" hidden="1">
      <c r="A6345" s="7"/>
      <c r="B6345" s="7"/>
      <c r="C6345" s="7"/>
      <c r="D6345" s="7"/>
      <c r="E6345" s="7"/>
      <c r="F6345" s="7"/>
      <c r="G6345" s="7"/>
      <c r="H6345" s="8"/>
      <c r="I6345" s="8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</row>
    <row r="6346" hidden="1">
      <c r="A6346" s="7"/>
      <c r="B6346" s="7"/>
      <c r="C6346" s="7"/>
      <c r="D6346" s="7"/>
      <c r="E6346" s="7"/>
      <c r="F6346" s="7"/>
      <c r="G6346" s="7"/>
      <c r="H6346" s="8"/>
      <c r="I6346" s="8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</row>
    <row r="6347" hidden="1">
      <c r="A6347" s="7"/>
      <c r="B6347" s="7"/>
      <c r="C6347" s="7"/>
      <c r="D6347" s="7"/>
      <c r="E6347" s="7"/>
      <c r="F6347" s="7"/>
      <c r="G6347" s="7"/>
      <c r="H6347" s="8"/>
      <c r="I6347" s="8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</row>
    <row r="6348" hidden="1">
      <c r="A6348" s="7"/>
      <c r="B6348" s="7"/>
      <c r="C6348" s="7"/>
      <c r="D6348" s="7"/>
      <c r="E6348" s="7"/>
      <c r="F6348" s="7"/>
      <c r="G6348" s="7"/>
      <c r="H6348" s="8"/>
      <c r="I6348" s="8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</row>
    <row r="6349" hidden="1">
      <c r="A6349" s="7"/>
      <c r="B6349" s="7"/>
      <c r="C6349" s="7"/>
      <c r="D6349" s="7"/>
      <c r="E6349" s="7"/>
      <c r="F6349" s="7"/>
      <c r="G6349" s="7"/>
      <c r="H6349" s="8"/>
      <c r="I6349" s="8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</row>
    <row r="6350" hidden="1">
      <c r="A6350" s="7"/>
      <c r="B6350" s="7"/>
      <c r="C6350" s="7"/>
      <c r="D6350" s="7"/>
      <c r="E6350" s="7"/>
      <c r="F6350" s="7"/>
      <c r="G6350" s="7"/>
      <c r="H6350" s="8"/>
      <c r="I6350" s="8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</row>
    <row r="6351" hidden="1">
      <c r="A6351" s="7"/>
      <c r="B6351" s="7"/>
      <c r="C6351" s="7"/>
      <c r="D6351" s="7"/>
      <c r="E6351" s="7"/>
      <c r="F6351" s="7"/>
      <c r="G6351" s="7"/>
      <c r="H6351" s="8"/>
      <c r="I6351" s="8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</row>
    <row r="6352" hidden="1">
      <c r="A6352" s="7"/>
      <c r="B6352" s="7"/>
      <c r="C6352" s="7"/>
      <c r="D6352" s="7"/>
      <c r="E6352" s="7"/>
      <c r="F6352" s="7"/>
      <c r="G6352" s="7"/>
      <c r="H6352" s="8"/>
      <c r="I6352" s="8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</row>
    <row r="6353" hidden="1">
      <c r="A6353" s="7"/>
      <c r="B6353" s="7"/>
      <c r="C6353" s="7"/>
      <c r="D6353" s="7"/>
      <c r="E6353" s="7"/>
      <c r="F6353" s="7"/>
      <c r="G6353" s="7"/>
      <c r="H6353" s="8"/>
      <c r="I6353" s="8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</row>
    <row r="6354" hidden="1">
      <c r="A6354" s="7"/>
      <c r="B6354" s="7"/>
      <c r="C6354" s="7"/>
      <c r="D6354" s="7"/>
      <c r="E6354" s="7"/>
      <c r="F6354" s="7"/>
      <c r="G6354" s="7"/>
      <c r="H6354" s="8"/>
      <c r="I6354" s="8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</row>
    <row r="6355" hidden="1">
      <c r="A6355" s="7"/>
      <c r="B6355" s="7"/>
      <c r="C6355" s="7"/>
      <c r="D6355" s="7"/>
      <c r="E6355" s="7"/>
      <c r="F6355" s="7"/>
      <c r="G6355" s="7"/>
      <c r="H6355" s="8"/>
      <c r="I6355" s="8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</row>
    <row r="6356" hidden="1">
      <c r="A6356" s="7"/>
      <c r="B6356" s="7"/>
      <c r="C6356" s="7"/>
      <c r="D6356" s="7"/>
      <c r="E6356" s="7"/>
      <c r="F6356" s="7"/>
      <c r="G6356" s="7"/>
      <c r="H6356" s="8"/>
      <c r="I6356" s="8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</row>
    <row r="6357" hidden="1">
      <c r="A6357" s="7"/>
      <c r="B6357" s="7"/>
      <c r="C6357" s="7"/>
      <c r="D6357" s="7"/>
      <c r="E6357" s="7"/>
      <c r="F6357" s="7"/>
      <c r="G6357" s="7"/>
      <c r="H6357" s="8"/>
      <c r="I6357" s="8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</row>
    <row r="6358" hidden="1">
      <c r="A6358" s="7"/>
      <c r="B6358" s="7"/>
      <c r="C6358" s="7"/>
      <c r="D6358" s="7"/>
      <c r="E6358" s="7"/>
      <c r="F6358" s="7"/>
      <c r="G6358" s="7"/>
      <c r="H6358" s="8"/>
      <c r="I6358" s="8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</row>
    <row r="6359" hidden="1">
      <c r="A6359" s="7"/>
      <c r="B6359" s="7"/>
      <c r="C6359" s="7"/>
      <c r="D6359" s="7"/>
      <c r="E6359" s="7"/>
      <c r="F6359" s="7"/>
      <c r="G6359" s="7"/>
      <c r="H6359" s="8"/>
      <c r="I6359" s="8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</row>
    <row r="6360" hidden="1">
      <c r="A6360" s="7"/>
      <c r="B6360" s="7"/>
      <c r="C6360" s="7"/>
      <c r="D6360" s="7"/>
      <c r="E6360" s="7"/>
      <c r="F6360" s="7"/>
      <c r="G6360" s="7"/>
      <c r="H6360" s="8"/>
      <c r="I6360" s="8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</row>
    <row r="6361" hidden="1">
      <c r="A6361" s="7"/>
      <c r="B6361" s="7"/>
      <c r="C6361" s="7"/>
      <c r="D6361" s="7"/>
      <c r="E6361" s="7"/>
      <c r="F6361" s="7"/>
      <c r="G6361" s="7"/>
      <c r="H6361" s="8"/>
      <c r="I6361" s="8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</row>
    <row r="6362" hidden="1">
      <c r="A6362" s="7"/>
      <c r="B6362" s="7"/>
      <c r="C6362" s="7"/>
      <c r="D6362" s="7"/>
      <c r="E6362" s="7"/>
      <c r="F6362" s="7"/>
      <c r="G6362" s="7"/>
      <c r="H6362" s="8"/>
      <c r="I6362" s="8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</row>
    <row r="6363" hidden="1">
      <c r="A6363" s="7"/>
      <c r="B6363" s="7"/>
      <c r="C6363" s="7"/>
      <c r="D6363" s="7"/>
      <c r="E6363" s="7"/>
      <c r="F6363" s="7"/>
      <c r="G6363" s="7"/>
      <c r="H6363" s="8"/>
      <c r="I6363" s="8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</row>
    <row r="6364" hidden="1">
      <c r="A6364" s="7"/>
      <c r="B6364" s="7"/>
      <c r="C6364" s="7"/>
      <c r="D6364" s="7"/>
      <c r="E6364" s="7"/>
      <c r="F6364" s="7"/>
      <c r="G6364" s="7"/>
      <c r="H6364" s="8"/>
      <c r="I6364" s="8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</row>
    <row r="6365" hidden="1">
      <c r="A6365" s="7"/>
      <c r="B6365" s="7"/>
      <c r="C6365" s="7"/>
      <c r="D6365" s="7"/>
      <c r="E6365" s="7"/>
      <c r="F6365" s="7"/>
      <c r="G6365" s="7"/>
      <c r="H6365" s="8"/>
      <c r="I6365" s="8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</row>
    <row r="6366" hidden="1">
      <c r="A6366" s="7"/>
      <c r="B6366" s="7"/>
      <c r="C6366" s="7"/>
      <c r="D6366" s="7"/>
      <c r="E6366" s="7"/>
      <c r="F6366" s="7"/>
      <c r="G6366" s="7"/>
      <c r="H6366" s="8"/>
      <c r="I6366" s="8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</row>
    <row r="6367" hidden="1">
      <c r="A6367" s="7"/>
      <c r="B6367" s="7"/>
      <c r="C6367" s="7"/>
      <c r="D6367" s="7"/>
      <c r="E6367" s="7"/>
      <c r="F6367" s="7"/>
      <c r="G6367" s="7"/>
      <c r="H6367" s="8"/>
      <c r="I6367" s="8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</row>
    <row r="6368" hidden="1">
      <c r="A6368" s="7"/>
      <c r="B6368" s="7"/>
      <c r="C6368" s="7"/>
      <c r="D6368" s="7"/>
      <c r="E6368" s="7"/>
      <c r="F6368" s="7"/>
      <c r="G6368" s="7"/>
      <c r="H6368" s="8"/>
      <c r="I6368" s="8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</row>
    <row r="6369" hidden="1">
      <c r="A6369" s="7"/>
      <c r="B6369" s="7"/>
      <c r="C6369" s="7"/>
      <c r="D6369" s="7"/>
      <c r="E6369" s="7"/>
      <c r="F6369" s="7"/>
      <c r="G6369" s="7"/>
      <c r="H6369" s="8"/>
      <c r="I6369" s="8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7"/>
      <c r="Z6369" s="7"/>
    </row>
    <row r="6370" hidden="1">
      <c r="A6370" s="7"/>
      <c r="B6370" s="7"/>
      <c r="C6370" s="7"/>
      <c r="D6370" s="7"/>
      <c r="E6370" s="7"/>
      <c r="F6370" s="7"/>
      <c r="G6370" s="7"/>
      <c r="H6370" s="8"/>
      <c r="I6370" s="8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</row>
    <row r="6371" hidden="1">
      <c r="A6371" s="7"/>
      <c r="B6371" s="7"/>
      <c r="C6371" s="7"/>
      <c r="D6371" s="7"/>
      <c r="E6371" s="7"/>
      <c r="F6371" s="7"/>
      <c r="G6371" s="7"/>
      <c r="H6371" s="8"/>
      <c r="I6371" s="8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7"/>
      <c r="Z6371" s="7"/>
    </row>
    <row r="6372" hidden="1">
      <c r="A6372" s="7"/>
      <c r="B6372" s="7"/>
      <c r="C6372" s="7"/>
      <c r="D6372" s="7"/>
      <c r="E6372" s="7"/>
      <c r="F6372" s="7"/>
      <c r="G6372" s="7"/>
      <c r="H6372" s="8"/>
      <c r="I6372" s="8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</row>
    <row r="6373" hidden="1">
      <c r="A6373" s="7"/>
      <c r="B6373" s="7"/>
      <c r="C6373" s="7"/>
      <c r="D6373" s="7"/>
      <c r="E6373" s="7"/>
      <c r="F6373" s="7"/>
      <c r="G6373" s="7"/>
      <c r="H6373" s="8"/>
      <c r="I6373" s="8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7"/>
      <c r="Z6373" s="7"/>
    </row>
    <row r="6374" hidden="1">
      <c r="A6374" s="7"/>
      <c r="B6374" s="7"/>
      <c r="C6374" s="7"/>
      <c r="D6374" s="7"/>
      <c r="E6374" s="7"/>
      <c r="F6374" s="7"/>
      <c r="G6374" s="7"/>
      <c r="H6374" s="8"/>
      <c r="I6374" s="8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</row>
    <row r="6375" hidden="1">
      <c r="A6375" s="7"/>
      <c r="B6375" s="7"/>
      <c r="C6375" s="7"/>
      <c r="D6375" s="7"/>
      <c r="E6375" s="7"/>
      <c r="F6375" s="7"/>
      <c r="G6375" s="7"/>
      <c r="H6375" s="8"/>
      <c r="I6375" s="8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7"/>
      <c r="Z6375" s="7"/>
    </row>
    <row r="6376" hidden="1">
      <c r="A6376" s="7"/>
      <c r="B6376" s="7"/>
      <c r="C6376" s="7"/>
      <c r="D6376" s="7"/>
      <c r="E6376" s="7"/>
      <c r="F6376" s="7"/>
      <c r="G6376" s="7"/>
      <c r="H6376" s="8"/>
      <c r="I6376" s="8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</row>
    <row r="6377" hidden="1">
      <c r="A6377" s="7"/>
      <c r="B6377" s="7"/>
      <c r="C6377" s="7"/>
      <c r="D6377" s="7"/>
      <c r="E6377" s="7"/>
      <c r="F6377" s="7"/>
      <c r="G6377" s="7"/>
      <c r="H6377" s="8"/>
      <c r="I6377" s="8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7"/>
      <c r="Z6377" s="7"/>
    </row>
    <row r="6378" hidden="1">
      <c r="A6378" s="7"/>
      <c r="B6378" s="7"/>
      <c r="C6378" s="7"/>
      <c r="D6378" s="7"/>
      <c r="E6378" s="7"/>
      <c r="F6378" s="7"/>
      <c r="G6378" s="7"/>
      <c r="H6378" s="8"/>
      <c r="I6378" s="8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</row>
    <row r="6379" hidden="1">
      <c r="A6379" s="7"/>
      <c r="B6379" s="7"/>
      <c r="C6379" s="7"/>
      <c r="D6379" s="7"/>
      <c r="E6379" s="7"/>
      <c r="F6379" s="7"/>
      <c r="G6379" s="7"/>
      <c r="H6379" s="8"/>
      <c r="I6379" s="8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</row>
    <row r="6380" hidden="1">
      <c r="A6380" s="7"/>
      <c r="B6380" s="7"/>
      <c r="C6380" s="7"/>
      <c r="D6380" s="7"/>
      <c r="E6380" s="7"/>
      <c r="F6380" s="7"/>
      <c r="G6380" s="7"/>
      <c r="H6380" s="8"/>
      <c r="I6380" s="8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</row>
    <row r="6381" hidden="1">
      <c r="A6381" s="7"/>
      <c r="B6381" s="7"/>
      <c r="C6381" s="7"/>
      <c r="D6381" s="7"/>
      <c r="E6381" s="7"/>
      <c r="F6381" s="7"/>
      <c r="G6381" s="7"/>
      <c r="H6381" s="8"/>
      <c r="I6381" s="8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7"/>
      <c r="Z6381" s="7"/>
    </row>
    <row r="6382" hidden="1">
      <c r="A6382" s="7"/>
      <c r="B6382" s="7"/>
      <c r="C6382" s="7"/>
      <c r="D6382" s="7"/>
      <c r="E6382" s="7"/>
      <c r="F6382" s="7"/>
      <c r="G6382" s="7"/>
      <c r="H6382" s="8"/>
      <c r="I6382" s="8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</row>
    <row r="6383" hidden="1">
      <c r="A6383" s="7"/>
      <c r="B6383" s="7"/>
      <c r="C6383" s="7"/>
      <c r="D6383" s="7"/>
      <c r="E6383" s="7"/>
      <c r="F6383" s="7"/>
      <c r="G6383" s="7"/>
      <c r="H6383" s="8"/>
      <c r="I6383" s="8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7"/>
      <c r="Z6383" s="7"/>
    </row>
    <row r="6384" hidden="1">
      <c r="A6384" s="7"/>
      <c r="B6384" s="7"/>
      <c r="C6384" s="7"/>
      <c r="D6384" s="7"/>
      <c r="E6384" s="7"/>
      <c r="F6384" s="7"/>
      <c r="G6384" s="7"/>
      <c r="H6384" s="8"/>
      <c r="I6384" s="8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</row>
    <row r="6385" hidden="1">
      <c r="A6385" s="7"/>
      <c r="B6385" s="7"/>
      <c r="C6385" s="7"/>
      <c r="D6385" s="7"/>
      <c r="E6385" s="7"/>
      <c r="F6385" s="7"/>
      <c r="G6385" s="7"/>
      <c r="H6385" s="8"/>
      <c r="I6385" s="8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7"/>
      <c r="Z6385" s="7"/>
    </row>
    <row r="6386" hidden="1">
      <c r="A6386" s="7"/>
      <c r="B6386" s="7"/>
      <c r="C6386" s="7"/>
      <c r="D6386" s="7"/>
      <c r="E6386" s="7"/>
      <c r="F6386" s="7"/>
      <c r="G6386" s="7"/>
      <c r="H6386" s="8"/>
      <c r="I6386" s="8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</row>
    <row r="6387" hidden="1">
      <c r="A6387" s="7"/>
      <c r="B6387" s="7"/>
      <c r="C6387" s="7"/>
      <c r="D6387" s="7"/>
      <c r="E6387" s="7"/>
      <c r="F6387" s="7"/>
      <c r="G6387" s="7"/>
      <c r="H6387" s="8"/>
      <c r="I6387" s="8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7"/>
    </row>
    <row r="6388" hidden="1">
      <c r="A6388" s="7"/>
      <c r="B6388" s="7"/>
      <c r="C6388" s="7"/>
      <c r="D6388" s="7"/>
      <c r="E6388" s="7"/>
      <c r="F6388" s="7"/>
      <c r="G6388" s="7"/>
      <c r="H6388" s="8"/>
      <c r="I6388" s="8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</row>
    <row r="6389" hidden="1">
      <c r="A6389" s="7"/>
      <c r="B6389" s="7"/>
      <c r="C6389" s="7"/>
      <c r="D6389" s="7"/>
      <c r="E6389" s="7"/>
      <c r="F6389" s="7"/>
      <c r="G6389" s="7"/>
      <c r="H6389" s="8"/>
      <c r="I6389" s="8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</row>
    <row r="6390" hidden="1">
      <c r="A6390" s="7"/>
      <c r="B6390" s="7"/>
      <c r="C6390" s="7"/>
      <c r="D6390" s="7"/>
      <c r="E6390" s="7"/>
      <c r="F6390" s="7"/>
      <c r="G6390" s="7"/>
      <c r="H6390" s="8"/>
      <c r="I6390" s="8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</row>
    <row r="6391" hidden="1">
      <c r="A6391" s="7"/>
      <c r="B6391" s="7"/>
      <c r="C6391" s="7"/>
      <c r="D6391" s="7"/>
      <c r="E6391" s="7"/>
      <c r="F6391" s="7"/>
      <c r="G6391" s="7"/>
      <c r="H6391" s="8"/>
      <c r="I6391" s="8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</row>
    <row r="6392" hidden="1">
      <c r="A6392" s="7"/>
      <c r="B6392" s="7"/>
      <c r="C6392" s="7"/>
      <c r="D6392" s="7"/>
      <c r="E6392" s="7"/>
      <c r="F6392" s="7"/>
      <c r="G6392" s="7"/>
      <c r="H6392" s="8"/>
      <c r="I6392" s="8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</row>
    <row r="6393" hidden="1">
      <c r="A6393" s="7"/>
      <c r="B6393" s="7"/>
      <c r="C6393" s="7"/>
      <c r="D6393" s="7"/>
      <c r="E6393" s="7"/>
      <c r="F6393" s="7"/>
      <c r="G6393" s="7"/>
      <c r="H6393" s="8"/>
      <c r="I6393" s="8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</row>
    <row r="6394" hidden="1">
      <c r="A6394" s="7"/>
      <c r="B6394" s="7"/>
      <c r="C6394" s="7"/>
      <c r="D6394" s="7"/>
      <c r="E6394" s="7"/>
      <c r="F6394" s="7"/>
      <c r="G6394" s="7"/>
      <c r="H6394" s="8"/>
      <c r="I6394" s="8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</row>
    <row r="6395" hidden="1">
      <c r="A6395" s="7"/>
      <c r="B6395" s="7"/>
      <c r="C6395" s="7"/>
      <c r="D6395" s="7"/>
      <c r="E6395" s="7"/>
      <c r="F6395" s="7"/>
      <c r="G6395" s="7"/>
      <c r="H6395" s="8"/>
      <c r="I6395" s="8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</row>
    <row r="6396" hidden="1">
      <c r="A6396" s="7"/>
      <c r="B6396" s="7"/>
      <c r="C6396" s="7"/>
      <c r="D6396" s="7"/>
      <c r="E6396" s="7"/>
      <c r="F6396" s="7"/>
      <c r="G6396" s="7"/>
      <c r="H6396" s="8"/>
      <c r="I6396" s="8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</row>
    <row r="6397" hidden="1">
      <c r="A6397" s="7"/>
      <c r="B6397" s="7"/>
      <c r="C6397" s="7"/>
      <c r="D6397" s="7"/>
      <c r="E6397" s="7"/>
      <c r="F6397" s="7"/>
      <c r="G6397" s="7"/>
      <c r="H6397" s="8"/>
      <c r="I6397" s="8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</row>
    <row r="6398" hidden="1">
      <c r="A6398" s="7"/>
      <c r="B6398" s="7"/>
      <c r="C6398" s="7"/>
      <c r="D6398" s="7"/>
      <c r="E6398" s="7"/>
      <c r="F6398" s="7"/>
      <c r="G6398" s="7"/>
      <c r="H6398" s="8"/>
      <c r="I6398" s="8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</row>
    <row r="6399" hidden="1">
      <c r="A6399" s="7"/>
      <c r="B6399" s="7"/>
      <c r="C6399" s="7"/>
      <c r="D6399" s="7"/>
      <c r="E6399" s="7"/>
      <c r="F6399" s="7"/>
      <c r="G6399" s="7"/>
      <c r="H6399" s="8"/>
      <c r="I6399" s="8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</row>
    <row r="6400" hidden="1">
      <c r="A6400" s="7"/>
      <c r="B6400" s="7"/>
      <c r="C6400" s="7"/>
      <c r="D6400" s="7"/>
      <c r="E6400" s="7"/>
      <c r="F6400" s="7"/>
      <c r="G6400" s="7"/>
      <c r="H6400" s="8"/>
      <c r="I6400" s="8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</row>
    <row r="6401" hidden="1">
      <c r="A6401" s="7"/>
      <c r="B6401" s="7"/>
      <c r="C6401" s="7"/>
      <c r="D6401" s="7"/>
      <c r="E6401" s="7"/>
      <c r="F6401" s="7"/>
      <c r="G6401" s="7"/>
      <c r="H6401" s="8"/>
      <c r="I6401" s="8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</row>
    <row r="6402" hidden="1">
      <c r="A6402" s="7"/>
      <c r="B6402" s="7"/>
      <c r="C6402" s="7"/>
      <c r="D6402" s="7"/>
      <c r="E6402" s="7"/>
      <c r="F6402" s="7"/>
      <c r="G6402" s="7"/>
      <c r="H6402" s="8"/>
      <c r="I6402" s="8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</row>
    <row r="6403" hidden="1">
      <c r="A6403" s="7"/>
      <c r="B6403" s="7"/>
      <c r="C6403" s="7"/>
      <c r="D6403" s="7"/>
      <c r="E6403" s="7"/>
      <c r="F6403" s="7"/>
      <c r="G6403" s="7"/>
      <c r="H6403" s="8"/>
      <c r="I6403" s="8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</row>
    <row r="6404" hidden="1">
      <c r="A6404" s="7"/>
      <c r="B6404" s="7"/>
      <c r="C6404" s="7"/>
      <c r="D6404" s="7"/>
      <c r="E6404" s="7"/>
      <c r="F6404" s="7"/>
      <c r="G6404" s="7"/>
      <c r="H6404" s="8"/>
      <c r="I6404" s="8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</row>
    <row r="6405" hidden="1">
      <c r="A6405" s="7"/>
      <c r="B6405" s="7"/>
      <c r="C6405" s="7"/>
      <c r="D6405" s="7"/>
      <c r="E6405" s="7"/>
      <c r="F6405" s="7"/>
      <c r="G6405" s="7"/>
      <c r="H6405" s="8"/>
      <c r="I6405" s="8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</row>
    <row r="6406" hidden="1">
      <c r="A6406" s="7"/>
      <c r="B6406" s="7"/>
      <c r="C6406" s="7"/>
      <c r="D6406" s="7"/>
      <c r="E6406" s="7"/>
      <c r="F6406" s="7"/>
      <c r="G6406" s="7"/>
      <c r="H6406" s="8"/>
      <c r="I6406" s="8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</row>
    <row r="6407" hidden="1">
      <c r="A6407" s="7"/>
      <c r="B6407" s="7"/>
      <c r="C6407" s="7"/>
      <c r="D6407" s="7"/>
      <c r="E6407" s="7"/>
      <c r="F6407" s="7"/>
      <c r="G6407" s="7"/>
      <c r="H6407" s="8"/>
      <c r="I6407" s="8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</row>
    <row r="6408" hidden="1">
      <c r="A6408" s="7"/>
      <c r="B6408" s="7"/>
      <c r="C6408" s="7"/>
      <c r="D6408" s="7"/>
      <c r="E6408" s="7"/>
      <c r="F6408" s="7"/>
      <c r="G6408" s="7"/>
      <c r="H6408" s="8"/>
      <c r="I6408" s="8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</row>
    <row r="6409" hidden="1">
      <c r="A6409" s="7"/>
      <c r="B6409" s="7"/>
      <c r="C6409" s="7"/>
      <c r="D6409" s="7"/>
      <c r="E6409" s="7"/>
      <c r="F6409" s="7"/>
      <c r="G6409" s="7"/>
      <c r="H6409" s="8"/>
      <c r="I6409" s="8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</row>
    <row r="6410" hidden="1">
      <c r="A6410" s="7"/>
      <c r="B6410" s="7"/>
      <c r="C6410" s="7"/>
      <c r="D6410" s="7"/>
      <c r="E6410" s="7"/>
      <c r="F6410" s="7"/>
      <c r="G6410" s="7"/>
      <c r="H6410" s="8"/>
      <c r="I6410" s="8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</row>
    <row r="6411" hidden="1">
      <c r="A6411" s="7"/>
      <c r="B6411" s="7"/>
      <c r="C6411" s="7"/>
      <c r="D6411" s="7"/>
      <c r="E6411" s="7"/>
      <c r="F6411" s="7"/>
      <c r="G6411" s="7"/>
      <c r="H6411" s="8"/>
      <c r="I6411" s="8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</row>
    <row r="6412" hidden="1">
      <c r="A6412" s="7"/>
      <c r="B6412" s="7"/>
      <c r="C6412" s="7"/>
      <c r="D6412" s="7"/>
      <c r="E6412" s="7"/>
      <c r="F6412" s="7"/>
      <c r="G6412" s="7"/>
      <c r="H6412" s="8"/>
      <c r="I6412" s="8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</row>
    <row r="6413" hidden="1">
      <c r="A6413" s="7"/>
      <c r="B6413" s="7"/>
      <c r="C6413" s="7"/>
      <c r="D6413" s="7"/>
      <c r="E6413" s="7"/>
      <c r="F6413" s="7"/>
      <c r="G6413" s="7"/>
      <c r="H6413" s="8"/>
      <c r="I6413" s="8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</row>
    <row r="6414" hidden="1">
      <c r="A6414" s="7"/>
      <c r="B6414" s="7"/>
      <c r="C6414" s="7"/>
      <c r="D6414" s="7"/>
      <c r="E6414" s="7"/>
      <c r="F6414" s="7"/>
      <c r="G6414" s="7"/>
      <c r="H6414" s="8"/>
      <c r="I6414" s="8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</row>
    <row r="6415" hidden="1">
      <c r="A6415" s="7"/>
      <c r="B6415" s="7"/>
      <c r="C6415" s="7"/>
      <c r="D6415" s="7"/>
      <c r="E6415" s="7"/>
      <c r="F6415" s="7"/>
      <c r="G6415" s="7"/>
      <c r="H6415" s="8"/>
      <c r="I6415" s="8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</row>
    <row r="6416" hidden="1">
      <c r="A6416" s="7"/>
      <c r="B6416" s="7"/>
      <c r="C6416" s="7"/>
      <c r="D6416" s="7"/>
      <c r="E6416" s="7"/>
      <c r="F6416" s="7"/>
      <c r="G6416" s="7"/>
      <c r="H6416" s="8"/>
      <c r="I6416" s="8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</row>
    <row r="6417" hidden="1">
      <c r="A6417" s="7"/>
      <c r="B6417" s="7"/>
      <c r="C6417" s="7"/>
      <c r="D6417" s="7"/>
      <c r="E6417" s="7"/>
      <c r="F6417" s="7"/>
      <c r="G6417" s="7"/>
      <c r="H6417" s="8"/>
      <c r="I6417" s="8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</row>
    <row r="6418" hidden="1">
      <c r="A6418" s="7"/>
      <c r="B6418" s="7"/>
      <c r="C6418" s="7"/>
      <c r="D6418" s="7"/>
      <c r="E6418" s="7"/>
      <c r="F6418" s="7"/>
      <c r="G6418" s="7"/>
      <c r="H6418" s="8"/>
      <c r="I6418" s="8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</row>
    <row r="6419" hidden="1">
      <c r="A6419" s="7"/>
      <c r="B6419" s="7"/>
      <c r="C6419" s="7"/>
      <c r="D6419" s="7"/>
      <c r="E6419" s="7"/>
      <c r="F6419" s="7"/>
      <c r="G6419" s="7"/>
      <c r="H6419" s="8"/>
      <c r="I6419" s="8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</row>
    <row r="6420" hidden="1">
      <c r="A6420" s="7"/>
      <c r="B6420" s="7"/>
      <c r="C6420" s="7"/>
      <c r="D6420" s="7"/>
      <c r="E6420" s="7"/>
      <c r="F6420" s="7"/>
      <c r="G6420" s="7"/>
      <c r="H6420" s="8"/>
      <c r="I6420" s="8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</row>
    <row r="6421" hidden="1">
      <c r="A6421" s="7"/>
      <c r="B6421" s="7"/>
      <c r="C6421" s="7"/>
      <c r="D6421" s="7"/>
      <c r="E6421" s="7"/>
      <c r="F6421" s="7"/>
      <c r="G6421" s="7"/>
      <c r="H6421" s="8"/>
      <c r="I6421" s="8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</row>
    <row r="6422" hidden="1">
      <c r="A6422" s="7"/>
      <c r="B6422" s="7"/>
      <c r="C6422" s="7"/>
      <c r="D6422" s="7"/>
      <c r="E6422" s="7"/>
      <c r="F6422" s="7"/>
      <c r="G6422" s="7"/>
      <c r="H6422" s="8"/>
      <c r="I6422" s="8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</row>
    <row r="6423" hidden="1">
      <c r="A6423" s="7"/>
      <c r="B6423" s="7"/>
      <c r="C6423" s="7"/>
      <c r="D6423" s="7"/>
      <c r="E6423" s="7"/>
      <c r="F6423" s="7"/>
      <c r="G6423" s="7"/>
      <c r="H6423" s="8"/>
      <c r="I6423" s="8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</row>
    <row r="6424" hidden="1">
      <c r="A6424" s="7"/>
      <c r="B6424" s="7"/>
      <c r="C6424" s="7"/>
      <c r="D6424" s="7"/>
      <c r="E6424" s="7"/>
      <c r="F6424" s="7"/>
      <c r="G6424" s="7"/>
      <c r="H6424" s="8"/>
      <c r="I6424" s="8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</row>
    <row r="6425" hidden="1">
      <c r="A6425" s="7"/>
      <c r="B6425" s="7"/>
      <c r="C6425" s="7"/>
      <c r="D6425" s="7"/>
      <c r="E6425" s="7"/>
      <c r="F6425" s="7"/>
      <c r="G6425" s="7"/>
      <c r="H6425" s="8"/>
      <c r="I6425" s="8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</row>
    <row r="6426" hidden="1">
      <c r="A6426" s="7"/>
      <c r="B6426" s="7"/>
      <c r="C6426" s="7"/>
      <c r="D6426" s="7"/>
      <c r="E6426" s="7"/>
      <c r="F6426" s="7"/>
      <c r="G6426" s="7"/>
      <c r="H6426" s="8"/>
      <c r="I6426" s="8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</row>
    <row r="6427" hidden="1">
      <c r="A6427" s="7"/>
      <c r="B6427" s="7"/>
      <c r="C6427" s="7"/>
      <c r="D6427" s="7"/>
      <c r="E6427" s="7"/>
      <c r="F6427" s="7"/>
      <c r="G6427" s="7"/>
      <c r="H6427" s="8"/>
      <c r="I6427" s="8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</row>
    <row r="6428" hidden="1">
      <c r="A6428" s="7"/>
      <c r="B6428" s="7"/>
      <c r="C6428" s="7"/>
      <c r="D6428" s="7"/>
      <c r="E6428" s="7"/>
      <c r="F6428" s="7"/>
      <c r="G6428" s="7"/>
      <c r="H6428" s="8"/>
      <c r="I6428" s="8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</row>
    <row r="6429" hidden="1">
      <c r="A6429" s="7"/>
      <c r="B6429" s="7"/>
      <c r="C6429" s="7"/>
      <c r="D6429" s="7"/>
      <c r="E6429" s="7"/>
      <c r="F6429" s="7"/>
      <c r="G6429" s="7"/>
      <c r="H6429" s="8"/>
      <c r="I6429" s="8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</row>
    <row r="6430" hidden="1">
      <c r="A6430" s="7"/>
      <c r="B6430" s="7"/>
      <c r="C6430" s="7"/>
      <c r="D6430" s="7"/>
      <c r="E6430" s="7"/>
      <c r="F6430" s="7"/>
      <c r="G6430" s="7"/>
      <c r="H6430" s="8"/>
      <c r="I6430" s="8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</row>
    <row r="6431" hidden="1">
      <c r="A6431" s="7"/>
      <c r="B6431" s="7"/>
      <c r="C6431" s="7"/>
      <c r="D6431" s="7"/>
      <c r="E6431" s="7"/>
      <c r="F6431" s="7"/>
      <c r="G6431" s="7"/>
      <c r="H6431" s="8"/>
      <c r="I6431" s="8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</row>
    <row r="6432" hidden="1">
      <c r="A6432" s="7"/>
      <c r="B6432" s="7"/>
      <c r="C6432" s="7"/>
      <c r="D6432" s="7"/>
      <c r="E6432" s="7"/>
      <c r="F6432" s="7"/>
      <c r="G6432" s="7"/>
      <c r="H6432" s="8"/>
      <c r="I6432" s="8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</row>
    <row r="6433" hidden="1">
      <c r="A6433" s="7"/>
      <c r="B6433" s="7"/>
      <c r="C6433" s="7"/>
      <c r="D6433" s="7"/>
      <c r="E6433" s="7"/>
      <c r="F6433" s="7"/>
      <c r="G6433" s="7"/>
      <c r="H6433" s="8"/>
      <c r="I6433" s="8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</row>
    <row r="6434" hidden="1">
      <c r="A6434" s="7"/>
      <c r="B6434" s="7"/>
      <c r="C6434" s="7"/>
      <c r="D6434" s="7"/>
      <c r="E6434" s="7"/>
      <c r="F6434" s="7"/>
      <c r="G6434" s="7"/>
      <c r="H6434" s="8"/>
      <c r="I6434" s="8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</row>
    <row r="6435" hidden="1">
      <c r="A6435" s="7"/>
      <c r="B6435" s="7"/>
      <c r="C6435" s="7"/>
      <c r="D6435" s="7"/>
      <c r="E6435" s="7"/>
      <c r="F6435" s="7"/>
      <c r="G6435" s="7"/>
      <c r="H6435" s="8"/>
      <c r="I6435" s="8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</row>
    <row r="6436" hidden="1">
      <c r="A6436" s="7"/>
      <c r="B6436" s="7"/>
      <c r="C6436" s="7"/>
      <c r="D6436" s="7"/>
      <c r="E6436" s="7"/>
      <c r="F6436" s="7"/>
      <c r="G6436" s="7"/>
      <c r="H6436" s="8"/>
      <c r="I6436" s="8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</row>
    <row r="6437" hidden="1">
      <c r="A6437" s="7"/>
      <c r="B6437" s="7"/>
      <c r="C6437" s="7"/>
      <c r="D6437" s="7"/>
      <c r="E6437" s="7"/>
      <c r="F6437" s="7"/>
      <c r="G6437" s="7"/>
      <c r="H6437" s="8"/>
      <c r="I6437" s="8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</row>
    <row r="6438" hidden="1">
      <c r="A6438" s="7"/>
      <c r="B6438" s="7"/>
      <c r="C6438" s="7"/>
      <c r="D6438" s="7"/>
      <c r="E6438" s="7"/>
      <c r="F6438" s="7"/>
      <c r="G6438" s="7"/>
      <c r="H6438" s="8"/>
      <c r="I6438" s="8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</row>
    <row r="6439" hidden="1">
      <c r="A6439" s="7"/>
      <c r="B6439" s="7"/>
      <c r="C6439" s="7"/>
      <c r="D6439" s="7"/>
      <c r="E6439" s="7"/>
      <c r="F6439" s="7"/>
      <c r="G6439" s="7"/>
      <c r="H6439" s="8"/>
      <c r="I6439" s="8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</row>
    <row r="6440" hidden="1">
      <c r="A6440" s="7"/>
      <c r="B6440" s="7"/>
      <c r="C6440" s="7"/>
      <c r="D6440" s="7"/>
      <c r="E6440" s="7"/>
      <c r="F6440" s="7"/>
      <c r="G6440" s="7"/>
      <c r="H6440" s="8"/>
      <c r="I6440" s="8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</row>
    <row r="6441" hidden="1">
      <c r="A6441" s="7"/>
      <c r="B6441" s="7"/>
      <c r="C6441" s="7"/>
      <c r="D6441" s="7"/>
      <c r="E6441" s="7"/>
      <c r="F6441" s="7"/>
      <c r="G6441" s="7"/>
      <c r="H6441" s="8"/>
      <c r="I6441" s="8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</row>
    <row r="6442" hidden="1">
      <c r="A6442" s="7"/>
      <c r="B6442" s="7"/>
      <c r="C6442" s="7"/>
      <c r="D6442" s="7"/>
      <c r="E6442" s="7"/>
      <c r="F6442" s="7"/>
      <c r="G6442" s="7"/>
      <c r="H6442" s="8"/>
      <c r="I6442" s="8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</row>
    <row r="6443" hidden="1">
      <c r="A6443" s="7"/>
      <c r="B6443" s="7"/>
      <c r="C6443" s="7"/>
      <c r="D6443" s="7"/>
      <c r="E6443" s="7"/>
      <c r="F6443" s="7"/>
      <c r="G6443" s="7"/>
      <c r="H6443" s="8"/>
      <c r="I6443" s="8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</row>
    <row r="6444" hidden="1">
      <c r="A6444" s="7"/>
      <c r="B6444" s="7"/>
      <c r="C6444" s="7"/>
      <c r="D6444" s="7"/>
      <c r="E6444" s="7"/>
      <c r="F6444" s="7"/>
      <c r="G6444" s="7"/>
      <c r="H6444" s="8"/>
      <c r="I6444" s="8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</row>
    <row r="6445" hidden="1">
      <c r="A6445" s="7"/>
      <c r="B6445" s="7"/>
      <c r="C6445" s="7"/>
      <c r="D6445" s="7"/>
      <c r="E6445" s="7"/>
      <c r="F6445" s="7"/>
      <c r="G6445" s="7"/>
      <c r="H6445" s="8"/>
      <c r="I6445" s="8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</row>
    <row r="6446" hidden="1">
      <c r="A6446" s="7"/>
      <c r="B6446" s="7"/>
      <c r="C6446" s="7"/>
      <c r="D6446" s="7"/>
      <c r="E6446" s="7"/>
      <c r="F6446" s="7"/>
      <c r="G6446" s="7"/>
      <c r="H6446" s="8"/>
      <c r="I6446" s="8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</row>
    <row r="6447" hidden="1">
      <c r="A6447" s="7"/>
      <c r="B6447" s="7"/>
      <c r="C6447" s="7"/>
      <c r="D6447" s="7"/>
      <c r="E6447" s="7"/>
      <c r="F6447" s="7"/>
      <c r="G6447" s="7"/>
      <c r="H6447" s="8"/>
      <c r="I6447" s="8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</row>
    <row r="6448" hidden="1">
      <c r="A6448" s="7"/>
      <c r="B6448" s="7"/>
      <c r="C6448" s="7"/>
      <c r="D6448" s="7"/>
      <c r="E6448" s="7"/>
      <c r="F6448" s="7"/>
      <c r="G6448" s="7"/>
      <c r="H6448" s="8"/>
      <c r="I6448" s="8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</row>
    <row r="6449" hidden="1">
      <c r="A6449" s="7"/>
      <c r="B6449" s="7"/>
      <c r="C6449" s="7"/>
      <c r="D6449" s="7"/>
      <c r="E6449" s="7"/>
      <c r="F6449" s="7"/>
      <c r="G6449" s="7"/>
      <c r="H6449" s="8"/>
      <c r="I6449" s="8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</row>
    <row r="6450" hidden="1">
      <c r="A6450" s="7"/>
      <c r="B6450" s="7"/>
      <c r="C6450" s="7"/>
      <c r="D6450" s="7"/>
      <c r="E6450" s="7"/>
      <c r="F6450" s="7"/>
      <c r="G6450" s="7"/>
      <c r="H6450" s="8"/>
      <c r="I6450" s="8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</row>
    <row r="6451" hidden="1">
      <c r="A6451" s="7"/>
      <c r="B6451" s="7"/>
      <c r="C6451" s="7"/>
      <c r="D6451" s="7"/>
      <c r="E6451" s="7"/>
      <c r="F6451" s="7"/>
      <c r="G6451" s="7"/>
      <c r="H6451" s="8"/>
      <c r="I6451" s="8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</row>
    <row r="6452" hidden="1">
      <c r="A6452" s="7"/>
      <c r="B6452" s="7"/>
      <c r="C6452" s="7"/>
      <c r="D6452" s="7"/>
      <c r="E6452" s="7"/>
      <c r="F6452" s="7"/>
      <c r="G6452" s="7"/>
      <c r="H6452" s="8"/>
      <c r="I6452" s="8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</row>
    <row r="6453" hidden="1">
      <c r="A6453" s="7"/>
      <c r="B6453" s="7"/>
      <c r="C6453" s="7"/>
      <c r="D6453" s="7"/>
      <c r="E6453" s="7"/>
      <c r="F6453" s="7"/>
      <c r="G6453" s="7"/>
      <c r="H6453" s="8"/>
      <c r="I6453" s="8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</row>
    <row r="6454" hidden="1">
      <c r="A6454" s="7"/>
      <c r="B6454" s="7"/>
      <c r="C6454" s="7"/>
      <c r="D6454" s="7"/>
      <c r="E6454" s="7"/>
      <c r="F6454" s="7"/>
      <c r="G6454" s="7"/>
      <c r="H6454" s="8"/>
      <c r="I6454" s="8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</row>
    <row r="6455" hidden="1">
      <c r="A6455" s="7"/>
      <c r="B6455" s="7"/>
      <c r="C6455" s="7"/>
      <c r="D6455" s="7"/>
      <c r="E6455" s="7"/>
      <c r="F6455" s="7"/>
      <c r="G6455" s="7"/>
      <c r="H6455" s="8"/>
      <c r="I6455" s="8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</row>
    <row r="6456" hidden="1">
      <c r="A6456" s="7"/>
      <c r="B6456" s="7"/>
      <c r="C6456" s="7"/>
      <c r="D6456" s="7"/>
      <c r="E6456" s="7"/>
      <c r="F6456" s="7"/>
      <c r="G6456" s="7"/>
      <c r="H6456" s="8"/>
      <c r="I6456" s="8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</row>
    <row r="6457" hidden="1">
      <c r="A6457" s="7"/>
      <c r="B6457" s="7"/>
      <c r="C6457" s="7"/>
      <c r="D6457" s="7"/>
      <c r="E6457" s="7"/>
      <c r="F6457" s="7"/>
      <c r="G6457" s="7"/>
      <c r="H6457" s="8"/>
      <c r="I6457" s="8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</row>
    <row r="6458" hidden="1">
      <c r="A6458" s="7"/>
      <c r="B6458" s="7"/>
      <c r="C6458" s="7"/>
      <c r="D6458" s="7"/>
      <c r="E6458" s="7"/>
      <c r="F6458" s="7"/>
      <c r="G6458" s="7"/>
      <c r="H6458" s="8"/>
      <c r="I6458" s="8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</row>
    <row r="6459" hidden="1">
      <c r="A6459" s="7"/>
      <c r="B6459" s="7"/>
      <c r="C6459" s="7"/>
      <c r="D6459" s="7"/>
      <c r="E6459" s="7"/>
      <c r="F6459" s="7"/>
      <c r="G6459" s="7"/>
      <c r="H6459" s="8"/>
      <c r="I6459" s="8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</row>
    <row r="6460" hidden="1">
      <c r="A6460" s="7"/>
      <c r="B6460" s="7"/>
      <c r="C6460" s="7"/>
      <c r="D6460" s="7"/>
      <c r="E6460" s="7"/>
      <c r="F6460" s="7"/>
      <c r="G6460" s="7"/>
      <c r="H6460" s="8"/>
      <c r="I6460" s="8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</row>
    <row r="6461" hidden="1">
      <c r="A6461" s="7"/>
      <c r="B6461" s="7"/>
      <c r="C6461" s="7"/>
      <c r="D6461" s="7"/>
      <c r="E6461" s="7"/>
      <c r="F6461" s="7"/>
      <c r="G6461" s="7"/>
      <c r="H6461" s="8"/>
      <c r="I6461" s="8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</row>
    <row r="6462" hidden="1">
      <c r="A6462" s="7"/>
      <c r="B6462" s="7"/>
      <c r="C6462" s="7"/>
      <c r="D6462" s="7"/>
      <c r="E6462" s="7"/>
      <c r="F6462" s="7"/>
      <c r="G6462" s="7"/>
      <c r="H6462" s="8"/>
      <c r="I6462" s="8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</row>
    <row r="6463" hidden="1">
      <c r="A6463" s="7"/>
      <c r="B6463" s="7"/>
      <c r="C6463" s="7"/>
      <c r="D6463" s="7"/>
      <c r="E6463" s="7"/>
      <c r="F6463" s="7"/>
      <c r="G6463" s="7"/>
      <c r="H6463" s="8"/>
      <c r="I6463" s="8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</row>
    <row r="6464" hidden="1">
      <c r="A6464" s="7"/>
      <c r="B6464" s="7"/>
      <c r="C6464" s="7"/>
      <c r="D6464" s="7"/>
      <c r="E6464" s="7"/>
      <c r="F6464" s="7"/>
      <c r="G6464" s="7"/>
      <c r="H6464" s="8"/>
      <c r="I6464" s="8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</row>
    <row r="6465" hidden="1">
      <c r="A6465" s="7"/>
      <c r="B6465" s="7"/>
      <c r="C6465" s="7"/>
      <c r="D6465" s="7"/>
      <c r="E6465" s="7"/>
      <c r="F6465" s="7"/>
      <c r="G6465" s="7"/>
      <c r="H6465" s="8"/>
      <c r="I6465" s="8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</row>
    <row r="6466" hidden="1">
      <c r="A6466" s="7"/>
      <c r="B6466" s="7"/>
      <c r="C6466" s="7"/>
      <c r="D6466" s="7"/>
      <c r="E6466" s="7"/>
      <c r="F6466" s="7"/>
      <c r="G6466" s="7"/>
      <c r="H6466" s="8"/>
      <c r="I6466" s="8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</row>
    <row r="6467" hidden="1">
      <c r="A6467" s="7"/>
      <c r="B6467" s="7"/>
      <c r="C6467" s="7"/>
      <c r="D6467" s="7"/>
      <c r="E6467" s="7"/>
      <c r="F6467" s="7"/>
      <c r="G6467" s="7"/>
      <c r="H6467" s="8"/>
      <c r="I6467" s="8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</row>
    <row r="6468" hidden="1">
      <c r="A6468" s="7"/>
      <c r="B6468" s="7"/>
      <c r="C6468" s="7"/>
      <c r="D6468" s="7"/>
      <c r="E6468" s="7"/>
      <c r="F6468" s="7"/>
      <c r="G6468" s="7"/>
      <c r="H6468" s="8"/>
      <c r="I6468" s="8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</row>
    <row r="6469" hidden="1">
      <c r="A6469" s="7"/>
      <c r="B6469" s="7"/>
      <c r="C6469" s="7"/>
      <c r="D6469" s="7"/>
      <c r="E6469" s="7"/>
      <c r="F6469" s="7"/>
      <c r="G6469" s="7"/>
      <c r="H6469" s="8"/>
      <c r="I6469" s="8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</row>
    <row r="6470" hidden="1">
      <c r="A6470" s="7"/>
      <c r="B6470" s="7"/>
      <c r="C6470" s="7"/>
      <c r="D6470" s="7"/>
      <c r="E6470" s="7"/>
      <c r="F6470" s="7"/>
      <c r="G6470" s="7"/>
      <c r="H6470" s="8"/>
      <c r="I6470" s="8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</row>
    <row r="6471" hidden="1">
      <c r="A6471" s="7"/>
      <c r="B6471" s="7"/>
      <c r="C6471" s="7"/>
      <c r="D6471" s="7"/>
      <c r="E6471" s="7"/>
      <c r="F6471" s="7"/>
      <c r="G6471" s="7"/>
      <c r="H6471" s="8"/>
      <c r="I6471" s="8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</row>
    <row r="6472" hidden="1">
      <c r="A6472" s="7"/>
      <c r="B6472" s="7"/>
      <c r="C6472" s="7"/>
      <c r="D6472" s="7"/>
      <c r="E6472" s="7"/>
      <c r="F6472" s="7"/>
      <c r="G6472" s="7"/>
      <c r="H6472" s="8"/>
      <c r="I6472" s="8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</row>
    <row r="6473" hidden="1">
      <c r="A6473" s="7"/>
      <c r="B6473" s="7"/>
      <c r="C6473" s="7"/>
      <c r="D6473" s="7"/>
      <c r="E6473" s="7"/>
      <c r="F6473" s="7"/>
      <c r="G6473" s="7"/>
      <c r="H6473" s="8"/>
      <c r="I6473" s="8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</row>
    <row r="6474" hidden="1">
      <c r="A6474" s="7"/>
      <c r="B6474" s="7"/>
      <c r="C6474" s="7"/>
      <c r="D6474" s="7"/>
      <c r="E6474" s="7"/>
      <c r="F6474" s="7"/>
      <c r="G6474" s="7"/>
      <c r="H6474" s="8"/>
      <c r="I6474" s="8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</row>
    <row r="6475" hidden="1">
      <c r="A6475" s="7"/>
      <c r="B6475" s="7"/>
      <c r="C6475" s="7"/>
      <c r="D6475" s="7"/>
      <c r="E6475" s="7"/>
      <c r="F6475" s="7"/>
      <c r="G6475" s="7"/>
      <c r="H6475" s="8"/>
      <c r="I6475" s="8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7"/>
    </row>
    <row r="6476" hidden="1">
      <c r="A6476" s="7"/>
      <c r="B6476" s="7"/>
      <c r="C6476" s="7"/>
      <c r="D6476" s="7"/>
      <c r="E6476" s="7"/>
      <c r="F6476" s="7"/>
      <c r="G6476" s="7"/>
      <c r="H6476" s="8"/>
      <c r="I6476" s="8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</row>
    <row r="6477" hidden="1">
      <c r="A6477" s="7"/>
      <c r="B6477" s="7"/>
      <c r="C6477" s="7"/>
      <c r="D6477" s="7"/>
      <c r="E6477" s="7"/>
      <c r="F6477" s="7"/>
      <c r="G6477" s="7"/>
      <c r="H6477" s="8"/>
      <c r="I6477" s="8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7"/>
      <c r="Z6477" s="7"/>
    </row>
    <row r="6478" hidden="1">
      <c r="A6478" s="7"/>
      <c r="B6478" s="7"/>
      <c r="C6478" s="7"/>
      <c r="D6478" s="7"/>
      <c r="E6478" s="7"/>
      <c r="F6478" s="7"/>
      <c r="G6478" s="7"/>
      <c r="H6478" s="8"/>
      <c r="I6478" s="8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7"/>
      <c r="Z6478" s="7"/>
    </row>
    <row r="6479" hidden="1">
      <c r="A6479" s="7"/>
      <c r="B6479" s="7"/>
      <c r="C6479" s="7"/>
      <c r="D6479" s="7"/>
      <c r="E6479" s="7"/>
      <c r="F6479" s="7"/>
      <c r="G6479" s="7"/>
      <c r="H6479" s="8"/>
      <c r="I6479" s="8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</row>
    <row r="6480" hidden="1">
      <c r="A6480" s="7"/>
      <c r="B6480" s="7"/>
      <c r="C6480" s="7"/>
      <c r="D6480" s="7"/>
      <c r="E6480" s="7"/>
      <c r="F6480" s="7"/>
      <c r="G6480" s="7"/>
      <c r="H6480" s="8"/>
      <c r="I6480" s="8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</row>
    <row r="6481" hidden="1">
      <c r="A6481" s="7"/>
      <c r="B6481" s="7"/>
      <c r="C6481" s="7"/>
      <c r="D6481" s="7"/>
      <c r="E6481" s="7"/>
      <c r="F6481" s="7"/>
      <c r="G6481" s="7"/>
      <c r="H6481" s="8"/>
      <c r="I6481" s="8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7"/>
      <c r="Z6481" s="7"/>
    </row>
    <row r="6482" hidden="1">
      <c r="A6482" s="7"/>
      <c r="B6482" s="7"/>
      <c r="C6482" s="7"/>
      <c r="D6482" s="7"/>
      <c r="E6482" s="7"/>
      <c r="F6482" s="7"/>
      <c r="G6482" s="7"/>
      <c r="H6482" s="8"/>
      <c r="I6482" s="8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</row>
    <row r="6483" hidden="1">
      <c r="A6483" s="7"/>
      <c r="B6483" s="7"/>
      <c r="C6483" s="7"/>
      <c r="D6483" s="7"/>
      <c r="E6483" s="7"/>
      <c r="F6483" s="7"/>
      <c r="G6483" s="7"/>
      <c r="H6483" s="8"/>
      <c r="I6483" s="8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7"/>
      <c r="Z6483" s="7"/>
    </row>
    <row r="6484" hidden="1">
      <c r="A6484" s="7"/>
      <c r="B6484" s="7"/>
      <c r="C6484" s="7"/>
      <c r="D6484" s="7"/>
      <c r="E6484" s="7"/>
      <c r="F6484" s="7"/>
      <c r="G6484" s="7"/>
      <c r="H6484" s="8"/>
      <c r="I6484" s="8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</row>
    <row r="6485" hidden="1">
      <c r="A6485" s="7"/>
      <c r="B6485" s="7"/>
      <c r="C6485" s="7"/>
      <c r="D6485" s="7"/>
      <c r="E6485" s="7"/>
      <c r="F6485" s="7"/>
      <c r="G6485" s="7"/>
      <c r="H6485" s="8"/>
      <c r="I6485" s="8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7"/>
      <c r="Z6485" s="7"/>
    </row>
    <row r="6486" hidden="1">
      <c r="A6486" s="7"/>
      <c r="B6486" s="7"/>
      <c r="C6486" s="7"/>
      <c r="D6486" s="7"/>
      <c r="E6486" s="7"/>
      <c r="F6486" s="7"/>
      <c r="G6486" s="7"/>
      <c r="H6486" s="8"/>
      <c r="I6486" s="8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</row>
    <row r="6487" hidden="1">
      <c r="A6487" s="7"/>
      <c r="B6487" s="7"/>
      <c r="C6487" s="7"/>
      <c r="D6487" s="7"/>
      <c r="E6487" s="7"/>
      <c r="F6487" s="7"/>
      <c r="G6487" s="7"/>
      <c r="H6487" s="8"/>
      <c r="I6487" s="8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7"/>
      <c r="Z6487" s="7"/>
    </row>
    <row r="6488" hidden="1">
      <c r="A6488" s="7"/>
      <c r="B6488" s="7"/>
      <c r="C6488" s="7"/>
      <c r="D6488" s="7"/>
      <c r="E6488" s="7"/>
      <c r="F6488" s="7"/>
      <c r="G6488" s="7"/>
      <c r="H6488" s="8"/>
      <c r="I6488" s="8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</row>
    <row r="6489" hidden="1">
      <c r="A6489" s="7"/>
      <c r="B6489" s="7"/>
      <c r="C6489" s="7"/>
      <c r="D6489" s="7"/>
      <c r="E6489" s="7"/>
      <c r="F6489" s="7"/>
      <c r="G6489" s="7"/>
      <c r="H6489" s="8"/>
      <c r="I6489" s="8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7"/>
    </row>
    <row r="6490" hidden="1">
      <c r="A6490" s="7"/>
      <c r="B6490" s="7"/>
      <c r="C6490" s="7"/>
      <c r="D6490" s="7"/>
      <c r="E6490" s="7"/>
      <c r="F6490" s="7"/>
      <c r="G6490" s="7"/>
      <c r="H6490" s="8"/>
      <c r="I6490" s="8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</row>
    <row r="6491" hidden="1">
      <c r="A6491" s="7"/>
      <c r="B6491" s="7"/>
      <c r="C6491" s="7"/>
      <c r="D6491" s="7"/>
      <c r="E6491" s="7"/>
      <c r="F6491" s="7"/>
      <c r="G6491" s="7"/>
      <c r="H6491" s="8"/>
      <c r="I6491" s="8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7"/>
      <c r="Z6491" s="7"/>
    </row>
    <row r="6492" hidden="1">
      <c r="A6492" s="7"/>
      <c r="B6492" s="7"/>
      <c r="C6492" s="7"/>
      <c r="D6492" s="7"/>
      <c r="E6492" s="7"/>
      <c r="F6492" s="7"/>
      <c r="G6492" s="7"/>
      <c r="H6492" s="8"/>
      <c r="I6492" s="8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</row>
    <row r="6493" hidden="1">
      <c r="A6493" s="7"/>
      <c r="B6493" s="7"/>
      <c r="C6493" s="7"/>
      <c r="D6493" s="7"/>
      <c r="E6493" s="7"/>
      <c r="F6493" s="7"/>
      <c r="G6493" s="7"/>
      <c r="H6493" s="8"/>
      <c r="I6493" s="8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7"/>
      <c r="Z6493" s="7"/>
    </row>
    <row r="6494" hidden="1">
      <c r="A6494" s="7"/>
      <c r="B6494" s="7"/>
      <c r="C6494" s="7"/>
      <c r="D6494" s="7"/>
      <c r="E6494" s="7"/>
      <c r="F6494" s="7"/>
      <c r="G6494" s="7"/>
      <c r="H6494" s="8"/>
      <c r="I6494" s="8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</row>
    <row r="6495" hidden="1">
      <c r="A6495" s="7"/>
      <c r="B6495" s="7"/>
      <c r="C6495" s="7"/>
      <c r="D6495" s="7"/>
      <c r="E6495" s="7"/>
      <c r="F6495" s="7"/>
      <c r="G6495" s="7"/>
      <c r="H6495" s="8"/>
      <c r="I6495" s="8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7"/>
      <c r="Z6495" s="7"/>
    </row>
    <row r="6496" hidden="1">
      <c r="A6496" s="7"/>
      <c r="B6496" s="7"/>
      <c r="C6496" s="7"/>
      <c r="D6496" s="7"/>
      <c r="E6496" s="7"/>
      <c r="F6496" s="7"/>
      <c r="G6496" s="7"/>
      <c r="H6496" s="8"/>
      <c r="I6496" s="8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</row>
    <row r="6497" hidden="1">
      <c r="A6497" s="7"/>
      <c r="B6497" s="7"/>
      <c r="C6497" s="7"/>
      <c r="D6497" s="7"/>
      <c r="E6497" s="7"/>
      <c r="F6497" s="7"/>
      <c r="G6497" s="7"/>
      <c r="H6497" s="8"/>
      <c r="I6497" s="8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</row>
    <row r="6498" hidden="1">
      <c r="A6498" s="7"/>
      <c r="B6498" s="7"/>
      <c r="C6498" s="7"/>
      <c r="D6498" s="7"/>
      <c r="E6498" s="7"/>
      <c r="F6498" s="7"/>
      <c r="G6498" s="7"/>
      <c r="H6498" s="8"/>
      <c r="I6498" s="8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</row>
    <row r="6499" hidden="1">
      <c r="A6499" s="7"/>
      <c r="B6499" s="7"/>
      <c r="C6499" s="7"/>
      <c r="D6499" s="7"/>
      <c r="E6499" s="7"/>
      <c r="F6499" s="7"/>
      <c r="G6499" s="7"/>
      <c r="H6499" s="8"/>
      <c r="I6499" s="8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</row>
    <row r="6500" hidden="1">
      <c r="A6500" s="7"/>
      <c r="B6500" s="7"/>
      <c r="C6500" s="7"/>
      <c r="D6500" s="7"/>
      <c r="E6500" s="7"/>
      <c r="F6500" s="7"/>
      <c r="G6500" s="7"/>
      <c r="H6500" s="8"/>
      <c r="I6500" s="8"/>
      <c r="J6500" s="7"/>
      <c r="K6500" s="7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</row>
    <row r="6501" hidden="1">
      <c r="A6501" s="7"/>
      <c r="B6501" s="7"/>
      <c r="C6501" s="7"/>
      <c r="D6501" s="7"/>
      <c r="E6501" s="7"/>
      <c r="F6501" s="7"/>
      <c r="G6501" s="7"/>
      <c r="H6501" s="8"/>
      <c r="I6501" s="8"/>
      <c r="J6501" s="7"/>
      <c r="K6501" s="7"/>
      <c r="L6501" s="7"/>
      <c r="M6501" s="7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</row>
    <row r="6502" hidden="1">
      <c r="A6502" s="7"/>
      <c r="B6502" s="7"/>
      <c r="C6502" s="7"/>
      <c r="D6502" s="7"/>
      <c r="E6502" s="7"/>
      <c r="F6502" s="7"/>
      <c r="G6502" s="7"/>
      <c r="H6502" s="8"/>
      <c r="I6502" s="8"/>
      <c r="J6502" s="7"/>
      <c r="K6502" s="7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</row>
    <row r="6503" hidden="1">
      <c r="A6503" s="7"/>
      <c r="B6503" s="7"/>
      <c r="C6503" s="7"/>
      <c r="D6503" s="7"/>
      <c r="E6503" s="7"/>
      <c r="F6503" s="7"/>
      <c r="G6503" s="7"/>
      <c r="H6503" s="8"/>
      <c r="I6503" s="8"/>
      <c r="J6503" s="7"/>
      <c r="K6503" s="7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</row>
    <row r="6504" hidden="1">
      <c r="A6504" s="7"/>
      <c r="B6504" s="7"/>
      <c r="C6504" s="7"/>
      <c r="D6504" s="7"/>
      <c r="E6504" s="7"/>
      <c r="F6504" s="7"/>
      <c r="G6504" s="7"/>
      <c r="H6504" s="8"/>
      <c r="I6504" s="8"/>
      <c r="J6504" s="7"/>
      <c r="K6504" s="7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7"/>
      <c r="Z6504" s="7"/>
    </row>
    <row r="6505" hidden="1">
      <c r="A6505" s="7"/>
      <c r="B6505" s="7"/>
      <c r="C6505" s="7"/>
      <c r="D6505" s="7"/>
      <c r="E6505" s="7"/>
      <c r="F6505" s="7"/>
      <c r="G6505" s="7"/>
      <c r="H6505" s="8"/>
      <c r="I6505" s="8"/>
      <c r="J6505" s="7"/>
      <c r="K6505" s="7"/>
      <c r="L6505" s="7"/>
      <c r="M6505" s="7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</row>
    <row r="6506" hidden="1">
      <c r="A6506" s="7"/>
      <c r="B6506" s="7"/>
      <c r="C6506" s="7"/>
      <c r="D6506" s="7"/>
      <c r="E6506" s="7"/>
      <c r="F6506" s="7"/>
      <c r="G6506" s="7"/>
      <c r="H6506" s="8"/>
      <c r="I6506" s="8"/>
      <c r="J6506" s="7"/>
      <c r="K6506" s="7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</row>
    <row r="6507" hidden="1">
      <c r="A6507" s="7"/>
      <c r="B6507" s="7"/>
      <c r="C6507" s="7"/>
      <c r="D6507" s="7"/>
      <c r="E6507" s="7"/>
      <c r="F6507" s="7"/>
      <c r="G6507" s="7"/>
      <c r="H6507" s="8"/>
      <c r="I6507" s="8"/>
      <c r="J6507" s="7"/>
      <c r="K6507" s="7"/>
      <c r="L6507" s="7"/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</row>
    <row r="6508" hidden="1">
      <c r="A6508" s="7"/>
      <c r="B6508" s="7"/>
      <c r="C6508" s="7"/>
      <c r="D6508" s="7"/>
      <c r="E6508" s="7"/>
      <c r="F6508" s="7"/>
      <c r="G6508" s="7"/>
      <c r="H6508" s="8"/>
      <c r="I6508" s="8"/>
      <c r="J6508" s="7"/>
      <c r="K6508" s="7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</row>
    <row r="6509" hidden="1">
      <c r="A6509" s="7"/>
      <c r="B6509" s="7"/>
      <c r="C6509" s="7"/>
      <c r="D6509" s="7"/>
      <c r="E6509" s="7"/>
      <c r="F6509" s="7"/>
      <c r="G6509" s="7"/>
      <c r="H6509" s="8"/>
      <c r="I6509" s="8"/>
      <c r="J6509" s="7"/>
      <c r="K6509" s="7"/>
      <c r="L6509" s="7"/>
      <c r="M6509" s="7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7"/>
      <c r="Z6509" s="7"/>
    </row>
    <row r="6510" hidden="1">
      <c r="A6510" s="7"/>
      <c r="B6510" s="7"/>
      <c r="C6510" s="7"/>
      <c r="D6510" s="7"/>
      <c r="E6510" s="7"/>
      <c r="F6510" s="7"/>
      <c r="G6510" s="7"/>
      <c r="H6510" s="8"/>
      <c r="I6510" s="8"/>
      <c r="J6510" s="7"/>
      <c r="K6510" s="7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</row>
    <row r="6511" hidden="1">
      <c r="A6511" s="7"/>
      <c r="B6511" s="7"/>
      <c r="C6511" s="7"/>
      <c r="D6511" s="7"/>
      <c r="E6511" s="7"/>
      <c r="F6511" s="7"/>
      <c r="G6511" s="7"/>
      <c r="H6511" s="8"/>
      <c r="I6511" s="8"/>
      <c r="J6511" s="7"/>
      <c r="K6511" s="7"/>
      <c r="L6511" s="7"/>
      <c r="M6511" s="7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</row>
    <row r="6512" hidden="1">
      <c r="A6512" s="7"/>
      <c r="B6512" s="7"/>
      <c r="C6512" s="7"/>
      <c r="D6512" s="7"/>
      <c r="E6512" s="7"/>
      <c r="F6512" s="7"/>
      <c r="G6512" s="7"/>
      <c r="H6512" s="8"/>
      <c r="I6512" s="8"/>
      <c r="J6512" s="7"/>
      <c r="K6512" s="7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</row>
    <row r="6513" hidden="1">
      <c r="A6513" s="7"/>
      <c r="B6513" s="7"/>
      <c r="C6513" s="7"/>
      <c r="D6513" s="7"/>
      <c r="E6513" s="7"/>
      <c r="F6513" s="7"/>
      <c r="G6513" s="7"/>
      <c r="H6513" s="8"/>
      <c r="I6513" s="8"/>
      <c r="J6513" s="7"/>
      <c r="K6513" s="7"/>
      <c r="L6513" s="7"/>
      <c r="M6513" s="7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7"/>
      <c r="Z6513" s="7"/>
    </row>
    <row r="6514" hidden="1">
      <c r="A6514" s="7"/>
      <c r="B6514" s="7"/>
      <c r="C6514" s="7"/>
      <c r="D6514" s="7"/>
      <c r="E6514" s="7"/>
      <c r="F6514" s="7"/>
      <c r="G6514" s="7"/>
      <c r="H6514" s="8"/>
      <c r="I6514" s="8"/>
      <c r="J6514" s="7"/>
      <c r="K6514" s="7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</row>
    <row r="6515" hidden="1">
      <c r="A6515" s="7"/>
      <c r="B6515" s="7"/>
      <c r="C6515" s="7"/>
      <c r="D6515" s="7"/>
      <c r="E6515" s="7"/>
      <c r="F6515" s="7"/>
      <c r="G6515" s="7"/>
      <c r="H6515" s="8"/>
      <c r="I6515" s="8"/>
      <c r="J6515" s="7"/>
      <c r="K6515" s="7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7"/>
      <c r="Z6515" s="7"/>
    </row>
    <row r="6516" hidden="1">
      <c r="A6516" s="7"/>
      <c r="B6516" s="7"/>
      <c r="C6516" s="7"/>
      <c r="D6516" s="7"/>
      <c r="E6516" s="7"/>
      <c r="F6516" s="7"/>
      <c r="G6516" s="7"/>
      <c r="H6516" s="8"/>
      <c r="I6516" s="8"/>
      <c r="J6516" s="7"/>
      <c r="K6516" s="7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</row>
    <row r="6517" hidden="1">
      <c r="A6517" s="7"/>
      <c r="B6517" s="7"/>
      <c r="C6517" s="7"/>
      <c r="D6517" s="7"/>
      <c r="E6517" s="7"/>
      <c r="F6517" s="7"/>
      <c r="G6517" s="7"/>
      <c r="H6517" s="8"/>
      <c r="I6517" s="8"/>
      <c r="J6517" s="7"/>
      <c r="K6517" s="7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7"/>
      <c r="Z6517" s="7"/>
    </row>
    <row r="6518" hidden="1">
      <c r="A6518" s="7"/>
      <c r="B6518" s="7"/>
      <c r="C6518" s="7"/>
      <c r="D6518" s="7"/>
      <c r="E6518" s="7"/>
      <c r="F6518" s="7"/>
      <c r="G6518" s="7"/>
      <c r="H6518" s="8"/>
      <c r="I6518" s="8"/>
      <c r="J6518" s="7"/>
      <c r="K6518" s="7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</row>
    <row r="6519" hidden="1">
      <c r="A6519" s="7"/>
      <c r="B6519" s="7"/>
      <c r="C6519" s="7"/>
      <c r="D6519" s="7"/>
      <c r="E6519" s="7"/>
      <c r="F6519" s="7"/>
      <c r="G6519" s="7"/>
      <c r="H6519" s="8"/>
      <c r="I6519" s="8"/>
      <c r="J6519" s="7"/>
      <c r="K6519" s="7"/>
      <c r="L6519" s="7"/>
      <c r="M6519" s="7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7"/>
      <c r="Z6519" s="7"/>
    </row>
    <row r="6520" hidden="1">
      <c r="A6520" s="7"/>
      <c r="B6520" s="7"/>
      <c r="C6520" s="7"/>
      <c r="D6520" s="7"/>
      <c r="E6520" s="7"/>
      <c r="F6520" s="7"/>
      <c r="G6520" s="7"/>
      <c r="H6520" s="8"/>
      <c r="I6520" s="8"/>
      <c r="J6520" s="7"/>
      <c r="K6520" s="7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</row>
    <row r="6521" hidden="1">
      <c r="A6521" s="7"/>
      <c r="B6521" s="7"/>
      <c r="C6521" s="7"/>
      <c r="D6521" s="7"/>
      <c r="E6521" s="7"/>
      <c r="F6521" s="7"/>
      <c r="G6521" s="7"/>
      <c r="H6521" s="8"/>
      <c r="I6521" s="8"/>
      <c r="J6521" s="7"/>
      <c r="K6521" s="7"/>
      <c r="L6521" s="7"/>
      <c r="M6521" s="7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7"/>
      <c r="Z6521" s="7"/>
    </row>
    <row r="6522" hidden="1">
      <c r="A6522" s="7"/>
      <c r="B6522" s="7"/>
      <c r="C6522" s="7"/>
      <c r="D6522" s="7"/>
      <c r="E6522" s="7"/>
      <c r="F6522" s="7"/>
      <c r="G6522" s="7"/>
      <c r="H6522" s="8"/>
      <c r="I6522" s="8"/>
      <c r="J6522" s="7"/>
      <c r="K6522" s="7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</row>
    <row r="6523" hidden="1">
      <c r="A6523" s="7"/>
      <c r="B6523" s="7"/>
      <c r="C6523" s="7"/>
      <c r="D6523" s="7"/>
      <c r="E6523" s="7"/>
      <c r="F6523" s="7"/>
      <c r="G6523" s="7"/>
      <c r="H6523" s="8"/>
      <c r="I6523" s="8"/>
      <c r="J6523" s="7"/>
      <c r="K6523" s="7"/>
      <c r="L6523" s="7"/>
      <c r="M6523" s="7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7"/>
      <c r="Z6523" s="7"/>
    </row>
    <row r="6524" hidden="1">
      <c r="A6524" s="7"/>
      <c r="B6524" s="7"/>
      <c r="C6524" s="7"/>
      <c r="D6524" s="7"/>
      <c r="E6524" s="7"/>
      <c r="F6524" s="7"/>
      <c r="G6524" s="7"/>
      <c r="H6524" s="8"/>
      <c r="I6524" s="8"/>
      <c r="J6524" s="7"/>
      <c r="K6524" s="7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</row>
    <row r="6525" hidden="1">
      <c r="A6525" s="7"/>
      <c r="B6525" s="7"/>
      <c r="C6525" s="7"/>
      <c r="D6525" s="7"/>
      <c r="E6525" s="7"/>
      <c r="F6525" s="7"/>
      <c r="G6525" s="7"/>
      <c r="H6525" s="8"/>
      <c r="I6525" s="8"/>
      <c r="J6525" s="7"/>
      <c r="K6525" s="7"/>
      <c r="L6525" s="7"/>
      <c r="M6525" s="7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7"/>
      <c r="Z6525" s="7"/>
    </row>
    <row r="6526" hidden="1">
      <c r="A6526" s="7"/>
      <c r="B6526" s="7"/>
      <c r="C6526" s="7"/>
      <c r="D6526" s="7"/>
      <c r="E6526" s="7"/>
      <c r="F6526" s="7"/>
      <c r="G6526" s="7"/>
      <c r="H6526" s="8"/>
      <c r="I6526" s="8"/>
      <c r="J6526" s="7"/>
      <c r="K6526" s="7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</row>
    <row r="6527" hidden="1">
      <c r="A6527" s="7"/>
      <c r="B6527" s="7"/>
      <c r="C6527" s="7"/>
      <c r="D6527" s="7"/>
      <c r="E6527" s="7"/>
      <c r="F6527" s="7"/>
      <c r="G6527" s="7"/>
      <c r="H6527" s="8"/>
      <c r="I6527" s="8"/>
      <c r="J6527" s="7"/>
      <c r="K6527" s="7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</row>
    <row r="6528" hidden="1">
      <c r="A6528" s="7"/>
      <c r="B6528" s="7"/>
      <c r="C6528" s="7"/>
      <c r="D6528" s="7"/>
      <c r="E6528" s="7"/>
      <c r="F6528" s="7"/>
      <c r="G6528" s="7"/>
      <c r="H6528" s="8"/>
      <c r="I6528" s="8"/>
      <c r="J6528" s="7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</row>
    <row r="6529" hidden="1">
      <c r="A6529" s="7"/>
      <c r="B6529" s="7"/>
      <c r="C6529" s="7"/>
      <c r="D6529" s="7"/>
      <c r="E6529" s="7"/>
      <c r="F6529" s="7"/>
      <c r="G6529" s="7"/>
      <c r="H6529" s="8"/>
      <c r="I6529" s="8"/>
      <c r="J6529" s="7"/>
      <c r="K6529" s="7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7"/>
      <c r="Z6529" s="7"/>
    </row>
    <row r="6530" hidden="1">
      <c r="A6530" s="7"/>
      <c r="B6530" s="7"/>
      <c r="C6530" s="7"/>
      <c r="D6530" s="7"/>
      <c r="E6530" s="7"/>
      <c r="F6530" s="7"/>
      <c r="G6530" s="7"/>
      <c r="H6530" s="8"/>
      <c r="I6530" s="8"/>
      <c r="J6530" s="7"/>
      <c r="K6530" s="7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</row>
    <row r="6531" hidden="1">
      <c r="A6531" s="7"/>
      <c r="B6531" s="7"/>
      <c r="C6531" s="7"/>
      <c r="D6531" s="7"/>
      <c r="E6531" s="7"/>
      <c r="F6531" s="7"/>
      <c r="G6531" s="7"/>
      <c r="H6531" s="8"/>
      <c r="I6531" s="8"/>
      <c r="J6531" s="7"/>
      <c r="K6531" s="7"/>
      <c r="L6531" s="7"/>
      <c r="M6531" s="7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</row>
    <row r="6532" hidden="1">
      <c r="A6532" s="7"/>
      <c r="B6532" s="7"/>
      <c r="C6532" s="7"/>
      <c r="D6532" s="7"/>
      <c r="E6532" s="7"/>
      <c r="F6532" s="7"/>
      <c r="G6532" s="7"/>
      <c r="H6532" s="8"/>
      <c r="I6532" s="8"/>
      <c r="J6532" s="7"/>
      <c r="K6532" s="7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</row>
    <row r="6533" hidden="1">
      <c r="A6533" s="7"/>
      <c r="B6533" s="7"/>
      <c r="C6533" s="7"/>
      <c r="D6533" s="7"/>
      <c r="E6533" s="7"/>
      <c r="F6533" s="7"/>
      <c r="G6533" s="7"/>
      <c r="H6533" s="8"/>
      <c r="I6533" s="8"/>
      <c r="J6533" s="7"/>
      <c r="K6533" s="7"/>
      <c r="L6533" s="7"/>
      <c r="M6533" s="7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</row>
    <row r="6534" hidden="1">
      <c r="A6534" s="7"/>
      <c r="B6534" s="7"/>
      <c r="C6534" s="7"/>
      <c r="D6534" s="7"/>
      <c r="E6534" s="7"/>
      <c r="F6534" s="7"/>
      <c r="G6534" s="7"/>
      <c r="H6534" s="8"/>
      <c r="I6534" s="8"/>
      <c r="J6534" s="7"/>
      <c r="K6534" s="7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</row>
    <row r="6535" hidden="1">
      <c r="A6535" s="7"/>
      <c r="B6535" s="7"/>
      <c r="C6535" s="7"/>
      <c r="D6535" s="7"/>
      <c r="E6535" s="7"/>
      <c r="F6535" s="7"/>
      <c r="G6535" s="7"/>
      <c r="H6535" s="8"/>
      <c r="I6535" s="8"/>
      <c r="J6535" s="7"/>
      <c r="K6535" s="7"/>
      <c r="L6535" s="7"/>
      <c r="M6535" s="7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</row>
    <row r="6536" hidden="1">
      <c r="A6536" s="7"/>
      <c r="B6536" s="7"/>
      <c r="C6536" s="7"/>
      <c r="D6536" s="7"/>
      <c r="E6536" s="7"/>
      <c r="F6536" s="7"/>
      <c r="G6536" s="7"/>
      <c r="H6536" s="8"/>
      <c r="I6536" s="8"/>
      <c r="J6536" s="7"/>
      <c r="K6536" s="7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</row>
    <row r="6537" hidden="1">
      <c r="A6537" s="7"/>
      <c r="B6537" s="7"/>
      <c r="C6537" s="7"/>
      <c r="D6537" s="7"/>
      <c r="E6537" s="7"/>
      <c r="F6537" s="7"/>
      <c r="G6537" s="7"/>
      <c r="H6537" s="8"/>
      <c r="I6537" s="8"/>
      <c r="J6537" s="7"/>
      <c r="K6537" s="7"/>
      <c r="L6537" s="7"/>
      <c r="M6537" s="7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</row>
    <row r="6538" hidden="1">
      <c r="A6538" s="7"/>
      <c r="B6538" s="7"/>
      <c r="C6538" s="7"/>
      <c r="D6538" s="7"/>
      <c r="E6538" s="7"/>
      <c r="F6538" s="7"/>
      <c r="G6538" s="7"/>
      <c r="H6538" s="8"/>
      <c r="I6538" s="8"/>
      <c r="J6538" s="7"/>
      <c r="K6538" s="7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</row>
    <row r="6539" hidden="1">
      <c r="A6539" s="7"/>
      <c r="B6539" s="7"/>
      <c r="C6539" s="7"/>
      <c r="D6539" s="7"/>
      <c r="E6539" s="7"/>
      <c r="F6539" s="7"/>
      <c r="G6539" s="7"/>
      <c r="H6539" s="8"/>
      <c r="I6539" s="8"/>
      <c r="J6539" s="7"/>
      <c r="K6539" s="7"/>
      <c r="L6539" s="7"/>
      <c r="M6539" s="7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</row>
    <row r="6540" hidden="1">
      <c r="A6540" s="7"/>
      <c r="B6540" s="7"/>
      <c r="C6540" s="7"/>
      <c r="D6540" s="7"/>
      <c r="E6540" s="7"/>
      <c r="F6540" s="7"/>
      <c r="G6540" s="7"/>
      <c r="H6540" s="8"/>
      <c r="I6540" s="8"/>
      <c r="J6540" s="7"/>
      <c r="K6540" s="7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</row>
    <row r="6541" hidden="1">
      <c r="A6541" s="7"/>
      <c r="B6541" s="7"/>
      <c r="C6541" s="7"/>
      <c r="D6541" s="7"/>
      <c r="E6541" s="7"/>
      <c r="F6541" s="7"/>
      <c r="G6541" s="7"/>
      <c r="H6541" s="8"/>
      <c r="I6541" s="8"/>
      <c r="J6541" s="7"/>
      <c r="K6541" s="7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</row>
    <row r="6542" hidden="1">
      <c r="A6542" s="7"/>
      <c r="B6542" s="7"/>
      <c r="C6542" s="7"/>
      <c r="D6542" s="7"/>
      <c r="E6542" s="7"/>
      <c r="F6542" s="7"/>
      <c r="G6542" s="7"/>
      <c r="H6542" s="8"/>
      <c r="I6542" s="8"/>
      <c r="J6542" s="7"/>
      <c r="K6542" s="7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</row>
    <row r="6543" hidden="1">
      <c r="A6543" s="7"/>
      <c r="B6543" s="7"/>
      <c r="C6543" s="7"/>
      <c r="D6543" s="7"/>
      <c r="E6543" s="7"/>
      <c r="F6543" s="7"/>
      <c r="G6543" s="7"/>
      <c r="H6543" s="8"/>
      <c r="I6543" s="8"/>
      <c r="J6543" s="7"/>
      <c r="K6543" s="7"/>
      <c r="L6543" s="7"/>
      <c r="M6543" s="7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</row>
    <row r="6544" hidden="1">
      <c r="A6544" s="7"/>
      <c r="B6544" s="7"/>
      <c r="C6544" s="7"/>
      <c r="D6544" s="7"/>
      <c r="E6544" s="7"/>
      <c r="F6544" s="7"/>
      <c r="G6544" s="7"/>
      <c r="H6544" s="8"/>
      <c r="I6544" s="8"/>
      <c r="J6544" s="7"/>
      <c r="K6544" s="7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</row>
    <row r="6545" hidden="1">
      <c r="A6545" s="7"/>
      <c r="B6545" s="7"/>
      <c r="C6545" s="7"/>
      <c r="D6545" s="7"/>
      <c r="E6545" s="7"/>
      <c r="F6545" s="7"/>
      <c r="G6545" s="7"/>
      <c r="H6545" s="8"/>
      <c r="I6545" s="8"/>
      <c r="J6545" s="7"/>
      <c r="K6545" s="7"/>
      <c r="L6545" s="7"/>
      <c r="M6545" s="7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</row>
    <row r="6546" hidden="1">
      <c r="A6546" s="7"/>
      <c r="B6546" s="7"/>
      <c r="C6546" s="7"/>
      <c r="D6546" s="7"/>
      <c r="E6546" s="7"/>
      <c r="F6546" s="7"/>
      <c r="G6546" s="7"/>
      <c r="H6546" s="8"/>
      <c r="I6546" s="8"/>
      <c r="J6546" s="7"/>
      <c r="K6546" s="7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</row>
    <row r="6547" hidden="1">
      <c r="A6547" s="7"/>
      <c r="B6547" s="7"/>
      <c r="C6547" s="7"/>
      <c r="D6547" s="7"/>
      <c r="E6547" s="7"/>
      <c r="F6547" s="7"/>
      <c r="G6547" s="7"/>
      <c r="H6547" s="8"/>
      <c r="I6547" s="8"/>
      <c r="J6547" s="7"/>
      <c r="K6547" s="7"/>
      <c r="L6547" s="7"/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</row>
    <row r="6548" hidden="1">
      <c r="A6548" s="7"/>
      <c r="B6548" s="7"/>
      <c r="C6548" s="7"/>
      <c r="D6548" s="7"/>
      <c r="E6548" s="7"/>
      <c r="F6548" s="7"/>
      <c r="G6548" s="7"/>
      <c r="H6548" s="8"/>
      <c r="I6548" s="8"/>
      <c r="J6548" s="7"/>
      <c r="K6548" s="7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</row>
    <row r="6549" hidden="1">
      <c r="A6549" s="7"/>
      <c r="B6549" s="7"/>
      <c r="C6549" s="7"/>
      <c r="D6549" s="7"/>
      <c r="E6549" s="7"/>
      <c r="F6549" s="7"/>
      <c r="G6549" s="7"/>
      <c r="H6549" s="8"/>
      <c r="I6549" s="8"/>
      <c r="J6549" s="7"/>
      <c r="K6549" s="7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</row>
    <row r="6550" hidden="1">
      <c r="A6550" s="7"/>
      <c r="B6550" s="7"/>
      <c r="C6550" s="7"/>
      <c r="D6550" s="7"/>
      <c r="E6550" s="7"/>
      <c r="F6550" s="7"/>
      <c r="G6550" s="7"/>
      <c r="H6550" s="8"/>
      <c r="I6550" s="8"/>
      <c r="J6550" s="7"/>
      <c r="K6550" s="7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</row>
    <row r="6551" hidden="1">
      <c r="A6551" s="7"/>
      <c r="B6551" s="7"/>
      <c r="C6551" s="7"/>
      <c r="D6551" s="7"/>
      <c r="E6551" s="7"/>
      <c r="F6551" s="7"/>
      <c r="G6551" s="7"/>
      <c r="H6551" s="8"/>
      <c r="I6551" s="8"/>
      <c r="J6551" s="7"/>
      <c r="K6551" s="7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</row>
    <row r="6552" hidden="1">
      <c r="A6552" s="7"/>
      <c r="B6552" s="7"/>
      <c r="C6552" s="7"/>
      <c r="D6552" s="7"/>
      <c r="E6552" s="7"/>
      <c r="F6552" s="7"/>
      <c r="G6552" s="7"/>
      <c r="H6552" s="8"/>
      <c r="I6552" s="8"/>
      <c r="J6552" s="7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</row>
    <row r="6553" hidden="1">
      <c r="A6553" s="7"/>
      <c r="B6553" s="7"/>
      <c r="C6553" s="7"/>
      <c r="D6553" s="7"/>
      <c r="E6553" s="7"/>
      <c r="F6553" s="7"/>
      <c r="G6553" s="7"/>
      <c r="H6553" s="8"/>
      <c r="I6553" s="8"/>
      <c r="J6553" s="7"/>
      <c r="K6553" s="7"/>
      <c r="L6553" s="7"/>
      <c r="M6553" s="7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7"/>
      <c r="Z6553" s="7"/>
    </row>
    <row r="6554" hidden="1">
      <c r="A6554" s="7"/>
      <c r="B6554" s="7"/>
      <c r="C6554" s="7"/>
      <c r="D6554" s="7"/>
      <c r="E6554" s="7"/>
      <c r="F6554" s="7"/>
      <c r="G6554" s="7"/>
      <c r="H6554" s="8"/>
      <c r="I6554" s="8"/>
      <c r="J6554" s="7"/>
      <c r="K6554" s="7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</row>
    <row r="6555" hidden="1">
      <c r="A6555" s="7"/>
      <c r="B6555" s="7"/>
      <c r="C6555" s="7"/>
      <c r="D6555" s="7"/>
      <c r="E6555" s="7"/>
      <c r="F6555" s="7"/>
      <c r="G6555" s="7"/>
      <c r="H6555" s="8"/>
      <c r="I6555" s="8"/>
      <c r="J6555" s="7"/>
      <c r="K6555" s="7"/>
      <c r="L6555" s="7"/>
      <c r="M6555" s="7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7"/>
      <c r="Z6555" s="7"/>
    </row>
    <row r="6556" hidden="1">
      <c r="A6556" s="7"/>
      <c r="B6556" s="7"/>
      <c r="C6556" s="7"/>
      <c r="D6556" s="7"/>
      <c r="E6556" s="7"/>
      <c r="F6556" s="7"/>
      <c r="G6556" s="7"/>
      <c r="H6556" s="8"/>
      <c r="I6556" s="8"/>
      <c r="J6556" s="7"/>
      <c r="K6556" s="7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</row>
    <row r="6557" hidden="1">
      <c r="A6557" s="7"/>
      <c r="B6557" s="7"/>
      <c r="C6557" s="7"/>
      <c r="D6557" s="7"/>
      <c r="E6557" s="7"/>
      <c r="F6557" s="7"/>
      <c r="G6557" s="7"/>
      <c r="H6557" s="8"/>
      <c r="I6557" s="8"/>
      <c r="J6557" s="7"/>
      <c r="K6557" s="7"/>
      <c r="L6557" s="7"/>
      <c r="M6557" s="7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7"/>
      <c r="Z6557" s="7"/>
    </row>
    <row r="6558" hidden="1">
      <c r="A6558" s="7"/>
      <c r="B6558" s="7"/>
      <c r="C6558" s="7"/>
      <c r="D6558" s="7"/>
      <c r="E6558" s="7"/>
      <c r="F6558" s="7"/>
      <c r="G6558" s="7"/>
      <c r="H6558" s="8"/>
      <c r="I6558" s="8"/>
      <c r="J6558" s="7"/>
      <c r="K6558" s="7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</row>
    <row r="6559" hidden="1">
      <c r="A6559" s="7"/>
      <c r="B6559" s="7"/>
      <c r="C6559" s="7"/>
      <c r="D6559" s="7"/>
      <c r="E6559" s="7"/>
      <c r="F6559" s="7"/>
      <c r="G6559" s="7"/>
      <c r="H6559" s="8"/>
      <c r="I6559" s="8"/>
      <c r="J6559" s="7"/>
      <c r="K6559" s="7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7"/>
      <c r="Z6559" s="7"/>
    </row>
    <row r="6560" hidden="1">
      <c r="A6560" s="7"/>
      <c r="B6560" s="7"/>
      <c r="C6560" s="7"/>
      <c r="D6560" s="7"/>
      <c r="E6560" s="7"/>
      <c r="F6560" s="7"/>
      <c r="G6560" s="7"/>
      <c r="H6560" s="8"/>
      <c r="I6560" s="8"/>
      <c r="J6560" s="7"/>
      <c r="K6560" s="7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</row>
    <row r="6561" hidden="1">
      <c r="A6561" s="7"/>
      <c r="B6561" s="7"/>
      <c r="C6561" s="7"/>
      <c r="D6561" s="7"/>
      <c r="E6561" s="7"/>
      <c r="F6561" s="7"/>
      <c r="G6561" s="7"/>
      <c r="H6561" s="8"/>
      <c r="I6561" s="8"/>
      <c r="J6561" s="7"/>
      <c r="K6561" s="7"/>
      <c r="L6561" s="7"/>
      <c r="M6561" s="7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7"/>
      <c r="Z6561" s="7"/>
    </row>
    <row r="6562" hidden="1">
      <c r="A6562" s="7"/>
      <c r="B6562" s="7"/>
      <c r="C6562" s="7"/>
      <c r="D6562" s="7"/>
      <c r="E6562" s="7"/>
      <c r="F6562" s="7"/>
      <c r="G6562" s="7"/>
      <c r="H6562" s="8"/>
      <c r="I6562" s="8"/>
      <c r="J6562" s="7"/>
      <c r="K6562" s="7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</row>
    <row r="6563" hidden="1">
      <c r="A6563" s="7"/>
      <c r="B6563" s="7"/>
      <c r="C6563" s="7"/>
      <c r="D6563" s="7"/>
      <c r="E6563" s="7"/>
      <c r="F6563" s="7"/>
      <c r="G6563" s="7"/>
      <c r="H6563" s="8"/>
      <c r="I6563" s="8"/>
      <c r="J6563" s="7"/>
      <c r="K6563" s="7"/>
      <c r="L6563" s="7"/>
      <c r="M6563" s="7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7"/>
      <c r="Z6563" s="7"/>
    </row>
    <row r="6564" hidden="1">
      <c r="A6564" s="7"/>
      <c r="B6564" s="7"/>
      <c r="C6564" s="7"/>
      <c r="D6564" s="7"/>
      <c r="E6564" s="7"/>
      <c r="F6564" s="7"/>
      <c r="G6564" s="7"/>
      <c r="H6564" s="8"/>
      <c r="I6564" s="8"/>
      <c r="J6564" s="7"/>
      <c r="K6564" s="7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</row>
    <row r="6565" hidden="1">
      <c r="A6565" s="7"/>
      <c r="B6565" s="7"/>
      <c r="C6565" s="7"/>
      <c r="D6565" s="7"/>
      <c r="E6565" s="7"/>
      <c r="F6565" s="7"/>
      <c r="G6565" s="7"/>
      <c r="H6565" s="8"/>
      <c r="I6565" s="8"/>
      <c r="J6565" s="7"/>
      <c r="K6565" s="7"/>
      <c r="L6565" s="7"/>
      <c r="M6565" s="7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7"/>
      <c r="Z6565" s="7"/>
    </row>
    <row r="6566" hidden="1">
      <c r="A6566" s="7"/>
      <c r="B6566" s="7"/>
      <c r="C6566" s="7"/>
      <c r="D6566" s="7"/>
      <c r="E6566" s="7"/>
      <c r="F6566" s="7"/>
      <c r="G6566" s="7"/>
      <c r="H6566" s="8"/>
      <c r="I6566" s="8"/>
      <c r="J6566" s="7"/>
      <c r="K6566" s="7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</row>
    <row r="6567" hidden="1">
      <c r="A6567" s="7"/>
      <c r="B6567" s="7"/>
      <c r="C6567" s="7"/>
      <c r="D6567" s="7"/>
      <c r="E6567" s="7"/>
      <c r="F6567" s="7"/>
      <c r="G6567" s="7"/>
      <c r="H6567" s="8"/>
      <c r="I6567" s="8"/>
      <c r="J6567" s="7"/>
      <c r="K6567" s="7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</row>
    <row r="6568" hidden="1">
      <c r="A6568" s="7"/>
      <c r="B6568" s="7"/>
      <c r="C6568" s="7"/>
      <c r="D6568" s="7"/>
      <c r="E6568" s="7"/>
      <c r="F6568" s="7"/>
      <c r="G6568" s="7"/>
      <c r="H6568" s="8"/>
      <c r="I6568" s="8"/>
      <c r="J6568" s="7"/>
      <c r="K6568" s="7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</row>
    <row r="6569" hidden="1">
      <c r="A6569" s="7"/>
      <c r="B6569" s="7"/>
      <c r="C6569" s="7"/>
      <c r="D6569" s="7"/>
      <c r="E6569" s="7"/>
      <c r="F6569" s="7"/>
      <c r="G6569" s="7"/>
      <c r="H6569" s="8"/>
      <c r="I6569" s="8"/>
      <c r="J6569" s="7"/>
      <c r="K6569" s="7"/>
      <c r="L6569" s="7"/>
      <c r="M6569" s="7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</row>
    <row r="6570" hidden="1">
      <c r="A6570" s="7"/>
      <c r="B6570" s="7"/>
      <c r="C6570" s="7"/>
      <c r="D6570" s="7"/>
      <c r="E6570" s="7"/>
      <c r="F6570" s="7"/>
      <c r="G6570" s="7"/>
      <c r="H6570" s="8"/>
      <c r="I6570" s="8"/>
      <c r="J6570" s="7"/>
      <c r="K6570" s="7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</row>
    <row r="6571" hidden="1">
      <c r="A6571" s="7"/>
      <c r="B6571" s="7"/>
      <c r="C6571" s="7"/>
      <c r="D6571" s="7"/>
      <c r="E6571" s="7"/>
      <c r="F6571" s="7"/>
      <c r="G6571" s="7"/>
      <c r="H6571" s="8"/>
      <c r="I6571" s="8"/>
      <c r="J6571" s="7"/>
      <c r="K6571" s="7"/>
      <c r="L6571" s="7"/>
      <c r="M6571" s="7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</row>
    <row r="6572" hidden="1">
      <c r="A6572" s="7"/>
      <c r="B6572" s="7"/>
      <c r="C6572" s="7"/>
      <c r="D6572" s="7"/>
      <c r="E6572" s="7"/>
      <c r="F6572" s="7"/>
      <c r="G6572" s="7"/>
      <c r="H6572" s="8"/>
      <c r="I6572" s="8"/>
      <c r="J6572" s="7"/>
      <c r="K6572" s="7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</row>
    <row r="6573" hidden="1">
      <c r="A6573" s="7"/>
      <c r="B6573" s="7"/>
      <c r="C6573" s="7"/>
      <c r="D6573" s="7"/>
      <c r="E6573" s="7"/>
      <c r="F6573" s="7"/>
      <c r="G6573" s="7"/>
      <c r="H6573" s="8"/>
      <c r="I6573" s="8"/>
      <c r="J6573" s="7"/>
      <c r="K6573" s="7"/>
      <c r="L6573" s="7"/>
      <c r="M6573" s="7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</row>
    <row r="6574" hidden="1">
      <c r="A6574" s="7"/>
      <c r="B6574" s="7"/>
      <c r="C6574" s="7"/>
      <c r="D6574" s="7"/>
      <c r="E6574" s="7"/>
      <c r="F6574" s="7"/>
      <c r="G6574" s="7"/>
      <c r="H6574" s="8"/>
      <c r="I6574" s="8"/>
      <c r="J6574" s="7"/>
      <c r="K6574" s="7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</row>
    <row r="6575" hidden="1">
      <c r="A6575" s="7"/>
      <c r="B6575" s="7"/>
      <c r="C6575" s="7"/>
      <c r="D6575" s="7"/>
      <c r="E6575" s="7"/>
      <c r="F6575" s="7"/>
      <c r="G6575" s="7"/>
      <c r="H6575" s="8"/>
      <c r="I6575" s="8"/>
      <c r="J6575" s="7"/>
      <c r="K6575" s="7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</row>
    <row r="6576" hidden="1">
      <c r="A6576" s="7"/>
      <c r="B6576" s="7"/>
      <c r="C6576" s="7"/>
      <c r="D6576" s="7"/>
      <c r="E6576" s="7"/>
      <c r="F6576" s="7"/>
      <c r="G6576" s="7"/>
      <c r="H6576" s="8"/>
      <c r="I6576" s="8"/>
      <c r="J6576" s="7"/>
      <c r="K6576" s="7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</row>
    <row r="6577" hidden="1">
      <c r="A6577" s="7"/>
      <c r="B6577" s="7"/>
      <c r="C6577" s="7"/>
      <c r="D6577" s="7"/>
      <c r="E6577" s="7"/>
      <c r="F6577" s="7"/>
      <c r="G6577" s="7"/>
      <c r="H6577" s="8"/>
      <c r="I6577" s="8"/>
      <c r="J6577" s="7"/>
      <c r="K6577" s="7"/>
      <c r="L6577" s="7"/>
      <c r="M6577" s="7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</row>
    <row r="6578" hidden="1">
      <c r="A6578" s="7"/>
      <c r="B6578" s="7"/>
      <c r="C6578" s="7"/>
      <c r="D6578" s="7"/>
      <c r="E6578" s="7"/>
      <c r="F6578" s="7"/>
      <c r="G6578" s="7"/>
      <c r="H6578" s="8"/>
      <c r="I6578" s="8"/>
      <c r="J6578" s="7"/>
      <c r="K6578" s="7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</row>
    <row r="6579" hidden="1">
      <c r="A6579" s="7"/>
      <c r="B6579" s="7"/>
      <c r="C6579" s="7"/>
      <c r="D6579" s="7"/>
      <c r="E6579" s="7"/>
      <c r="F6579" s="7"/>
      <c r="G6579" s="7"/>
      <c r="H6579" s="8"/>
      <c r="I6579" s="8"/>
      <c r="J6579" s="7"/>
      <c r="K6579" s="7"/>
      <c r="L6579" s="7"/>
      <c r="M6579" s="7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</row>
    <row r="6580" hidden="1">
      <c r="A6580" s="7"/>
      <c r="B6580" s="7"/>
      <c r="C6580" s="7"/>
      <c r="D6580" s="7"/>
      <c r="E6580" s="7"/>
      <c r="F6580" s="7"/>
      <c r="G6580" s="7"/>
      <c r="H6580" s="8"/>
      <c r="I6580" s="8"/>
      <c r="J6580" s="7"/>
      <c r="K6580" s="7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</row>
    <row r="6581" hidden="1">
      <c r="A6581" s="7"/>
      <c r="B6581" s="7"/>
      <c r="C6581" s="7"/>
      <c r="D6581" s="7"/>
      <c r="E6581" s="7"/>
      <c r="F6581" s="7"/>
      <c r="G6581" s="7"/>
      <c r="H6581" s="8"/>
      <c r="I6581" s="8"/>
      <c r="J6581" s="7"/>
      <c r="K6581" s="7"/>
      <c r="L6581" s="7"/>
      <c r="M6581" s="7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</row>
    <row r="6582" hidden="1">
      <c r="A6582" s="7"/>
      <c r="B6582" s="7"/>
      <c r="C6582" s="7"/>
      <c r="D6582" s="7"/>
      <c r="E6582" s="7"/>
      <c r="F6582" s="7"/>
      <c r="G6582" s="7"/>
      <c r="H6582" s="8"/>
      <c r="I6582" s="8"/>
      <c r="J6582" s="7"/>
      <c r="K6582" s="7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</row>
    <row r="6583" hidden="1">
      <c r="A6583" s="7"/>
      <c r="B6583" s="7"/>
      <c r="C6583" s="7"/>
      <c r="D6583" s="7"/>
      <c r="E6583" s="7"/>
      <c r="F6583" s="7"/>
      <c r="G6583" s="7"/>
      <c r="H6583" s="8"/>
      <c r="I6583" s="8"/>
      <c r="J6583" s="7"/>
      <c r="K6583" s="7"/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</row>
    <row r="6584" hidden="1">
      <c r="A6584" s="7"/>
      <c r="B6584" s="7"/>
      <c r="C6584" s="7"/>
      <c r="D6584" s="7"/>
      <c r="E6584" s="7"/>
      <c r="F6584" s="7"/>
      <c r="G6584" s="7"/>
      <c r="H6584" s="8"/>
      <c r="I6584" s="8"/>
      <c r="J6584" s="7"/>
      <c r="K6584" s="7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</row>
    <row r="6585" hidden="1">
      <c r="A6585" s="7"/>
      <c r="B6585" s="7"/>
      <c r="C6585" s="7"/>
      <c r="D6585" s="7"/>
      <c r="E6585" s="7"/>
      <c r="F6585" s="7"/>
      <c r="G6585" s="7"/>
      <c r="H6585" s="8"/>
      <c r="I6585" s="8"/>
      <c r="J6585" s="7"/>
      <c r="K6585" s="7"/>
      <c r="L6585" s="7"/>
      <c r="M6585" s="7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7"/>
      <c r="Z6585" s="7"/>
    </row>
    <row r="6586" hidden="1">
      <c r="A6586" s="7"/>
      <c r="B6586" s="7"/>
      <c r="C6586" s="7"/>
      <c r="D6586" s="7"/>
      <c r="E6586" s="7"/>
      <c r="F6586" s="7"/>
      <c r="G6586" s="7"/>
      <c r="H6586" s="8"/>
      <c r="I6586" s="8"/>
      <c r="J6586" s="7"/>
      <c r="K6586" s="7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</row>
    <row r="6587" hidden="1">
      <c r="A6587" s="7"/>
      <c r="B6587" s="7"/>
      <c r="C6587" s="7"/>
      <c r="D6587" s="7"/>
      <c r="E6587" s="7"/>
      <c r="F6587" s="7"/>
      <c r="G6587" s="7"/>
      <c r="H6587" s="8"/>
      <c r="I6587" s="8"/>
      <c r="J6587" s="7"/>
      <c r="K6587" s="7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</row>
    <row r="6588" hidden="1">
      <c r="A6588" s="7"/>
      <c r="B6588" s="7"/>
      <c r="C6588" s="7"/>
      <c r="D6588" s="7"/>
      <c r="E6588" s="7"/>
      <c r="F6588" s="7"/>
      <c r="G6588" s="7"/>
      <c r="H6588" s="8"/>
      <c r="I6588" s="8"/>
      <c r="J6588" s="7"/>
      <c r="K6588" s="7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</row>
    <row r="6589" hidden="1">
      <c r="A6589" s="7"/>
      <c r="B6589" s="7"/>
      <c r="C6589" s="7"/>
      <c r="D6589" s="7"/>
      <c r="E6589" s="7"/>
      <c r="F6589" s="7"/>
      <c r="G6589" s="7"/>
      <c r="H6589" s="8"/>
      <c r="I6589" s="8"/>
      <c r="J6589" s="7"/>
      <c r="K6589" s="7"/>
      <c r="L6589" s="7"/>
      <c r="M6589" s="7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7"/>
      <c r="Z6589" s="7"/>
    </row>
    <row r="6590" hidden="1">
      <c r="A6590" s="7"/>
      <c r="B6590" s="7"/>
      <c r="C6590" s="7"/>
      <c r="D6590" s="7"/>
      <c r="E6590" s="7"/>
      <c r="F6590" s="7"/>
      <c r="G6590" s="7"/>
      <c r="H6590" s="8"/>
      <c r="I6590" s="8"/>
      <c r="J6590" s="7"/>
      <c r="K6590" s="7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</row>
    <row r="6591" hidden="1">
      <c r="A6591" s="7"/>
      <c r="B6591" s="7"/>
      <c r="C6591" s="7"/>
      <c r="D6591" s="7"/>
      <c r="E6591" s="7"/>
      <c r="F6591" s="7"/>
      <c r="G6591" s="7"/>
      <c r="H6591" s="8"/>
      <c r="I6591" s="8"/>
      <c r="J6591" s="7"/>
      <c r="K6591" s="7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7"/>
      <c r="Z6591" s="7"/>
    </row>
    <row r="6592" hidden="1">
      <c r="A6592" s="7"/>
      <c r="B6592" s="7"/>
      <c r="C6592" s="7"/>
      <c r="D6592" s="7"/>
      <c r="E6592" s="7"/>
      <c r="F6592" s="7"/>
      <c r="G6592" s="7"/>
      <c r="H6592" s="8"/>
      <c r="I6592" s="8"/>
      <c r="J6592" s="7"/>
      <c r="K6592" s="7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</row>
    <row r="6593" hidden="1">
      <c r="A6593" s="7"/>
      <c r="B6593" s="7"/>
      <c r="C6593" s="7"/>
      <c r="D6593" s="7"/>
      <c r="E6593" s="7"/>
      <c r="F6593" s="7"/>
      <c r="G6593" s="7"/>
      <c r="H6593" s="8"/>
      <c r="I6593" s="8"/>
      <c r="J6593" s="7"/>
      <c r="K6593" s="7"/>
      <c r="L6593" s="7"/>
      <c r="M6593" s="7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7"/>
      <c r="Z6593" s="7"/>
    </row>
    <row r="6594" hidden="1">
      <c r="A6594" s="7"/>
      <c r="B6594" s="7"/>
      <c r="C6594" s="7"/>
      <c r="D6594" s="7"/>
      <c r="E6594" s="7"/>
      <c r="F6594" s="7"/>
      <c r="G6594" s="7"/>
      <c r="H6594" s="8"/>
      <c r="I6594" s="8"/>
      <c r="J6594" s="7"/>
      <c r="K6594" s="7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</row>
    <row r="6595" hidden="1">
      <c r="A6595" s="7"/>
      <c r="B6595" s="7"/>
      <c r="C6595" s="7"/>
      <c r="D6595" s="7"/>
      <c r="E6595" s="7"/>
      <c r="F6595" s="7"/>
      <c r="G6595" s="7"/>
      <c r="H6595" s="8"/>
      <c r="I6595" s="8"/>
      <c r="J6595" s="7"/>
      <c r="K6595" s="7"/>
      <c r="L6595" s="7"/>
      <c r="M6595" s="7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7"/>
      <c r="Z6595" s="7"/>
    </row>
    <row r="6596" hidden="1">
      <c r="A6596" s="7"/>
      <c r="B6596" s="7"/>
      <c r="C6596" s="7"/>
      <c r="D6596" s="7"/>
      <c r="E6596" s="7"/>
      <c r="F6596" s="7"/>
      <c r="G6596" s="7"/>
      <c r="H6596" s="8"/>
      <c r="I6596" s="8"/>
      <c r="J6596" s="7"/>
      <c r="K6596" s="7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</row>
    <row r="6597" hidden="1">
      <c r="A6597" s="7"/>
      <c r="B6597" s="7"/>
      <c r="C6597" s="7"/>
      <c r="D6597" s="7"/>
      <c r="E6597" s="7"/>
      <c r="F6597" s="7"/>
      <c r="G6597" s="7"/>
      <c r="H6597" s="8"/>
      <c r="I6597" s="8"/>
      <c r="J6597" s="7"/>
      <c r="K6597" s="7"/>
      <c r="L6597" s="7"/>
      <c r="M6597" s="7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7"/>
      <c r="Z6597" s="7"/>
    </row>
    <row r="6598" hidden="1">
      <c r="A6598" s="7"/>
      <c r="B6598" s="7"/>
      <c r="C6598" s="7"/>
      <c r="D6598" s="7"/>
      <c r="E6598" s="7"/>
      <c r="F6598" s="7"/>
      <c r="G6598" s="7"/>
      <c r="H6598" s="8"/>
      <c r="I6598" s="8"/>
      <c r="J6598" s="7"/>
      <c r="K6598" s="7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</row>
    <row r="6599" hidden="1">
      <c r="A6599" s="7"/>
      <c r="B6599" s="7"/>
      <c r="C6599" s="7"/>
      <c r="D6599" s="7"/>
      <c r="E6599" s="7"/>
      <c r="F6599" s="7"/>
      <c r="G6599" s="7"/>
      <c r="H6599" s="8"/>
      <c r="I6599" s="8"/>
      <c r="J6599" s="7"/>
      <c r="K6599" s="7"/>
      <c r="L6599" s="7"/>
      <c r="M6599" s="7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7"/>
      <c r="Z6599" s="7"/>
    </row>
    <row r="6600" hidden="1">
      <c r="A6600" s="7"/>
      <c r="B6600" s="7"/>
      <c r="C6600" s="7"/>
      <c r="D6600" s="7"/>
      <c r="E6600" s="7"/>
      <c r="F6600" s="7"/>
      <c r="G6600" s="7"/>
      <c r="H6600" s="8"/>
      <c r="I6600" s="8"/>
      <c r="J6600" s="7"/>
      <c r="K6600" s="7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</row>
    <row r="6601" hidden="1">
      <c r="A6601" s="7"/>
      <c r="B6601" s="7"/>
      <c r="C6601" s="7"/>
      <c r="D6601" s="7"/>
      <c r="E6601" s="7"/>
      <c r="F6601" s="7"/>
      <c r="G6601" s="7"/>
      <c r="H6601" s="8"/>
      <c r="I6601" s="8"/>
      <c r="J6601" s="7"/>
      <c r="K6601" s="7"/>
      <c r="L6601" s="7"/>
      <c r="M6601" s="7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7"/>
      <c r="Z6601" s="7"/>
    </row>
    <row r="6602" hidden="1">
      <c r="A6602" s="7"/>
      <c r="B6602" s="7"/>
      <c r="C6602" s="7"/>
      <c r="D6602" s="7"/>
      <c r="E6602" s="7"/>
      <c r="F6602" s="7"/>
      <c r="G6602" s="7"/>
      <c r="H6602" s="8"/>
      <c r="I6602" s="8"/>
      <c r="J6602" s="7"/>
      <c r="K6602" s="7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7"/>
      <c r="Z6602" s="7"/>
    </row>
    <row r="6603" hidden="1">
      <c r="A6603" s="7"/>
      <c r="B6603" s="7"/>
      <c r="C6603" s="7"/>
      <c r="D6603" s="7"/>
      <c r="E6603" s="7"/>
      <c r="F6603" s="7"/>
      <c r="G6603" s="7"/>
      <c r="H6603" s="8"/>
      <c r="I6603" s="8"/>
      <c r="J6603" s="7"/>
      <c r="K6603" s="7"/>
      <c r="L6603" s="7"/>
      <c r="M6603" s="7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</row>
    <row r="6604" hidden="1">
      <c r="A6604" s="7"/>
      <c r="B6604" s="7"/>
      <c r="C6604" s="7"/>
      <c r="D6604" s="7"/>
      <c r="E6604" s="7"/>
      <c r="F6604" s="7"/>
      <c r="G6604" s="7"/>
      <c r="H6604" s="8"/>
      <c r="I6604" s="8"/>
      <c r="J6604" s="7"/>
      <c r="K6604" s="7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</row>
    <row r="6605" hidden="1">
      <c r="A6605" s="7"/>
      <c r="B6605" s="7"/>
      <c r="C6605" s="7"/>
      <c r="D6605" s="7"/>
      <c r="E6605" s="7"/>
      <c r="F6605" s="7"/>
      <c r="G6605" s="7"/>
      <c r="H6605" s="8"/>
      <c r="I6605" s="8"/>
      <c r="J6605" s="7"/>
      <c r="K6605" s="7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</row>
    <row r="6606" hidden="1">
      <c r="A6606" s="7"/>
      <c r="B6606" s="7"/>
      <c r="C6606" s="7"/>
      <c r="D6606" s="7"/>
      <c r="E6606" s="7"/>
      <c r="F6606" s="7"/>
      <c r="G6606" s="7"/>
      <c r="H6606" s="8"/>
      <c r="I6606" s="8"/>
      <c r="J6606" s="7"/>
      <c r="K6606" s="7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</row>
    <row r="6607" hidden="1">
      <c r="A6607" s="7"/>
      <c r="B6607" s="7"/>
      <c r="C6607" s="7"/>
      <c r="D6607" s="7"/>
      <c r="E6607" s="7"/>
      <c r="F6607" s="7"/>
      <c r="G6607" s="7"/>
      <c r="H6607" s="8"/>
      <c r="I6607" s="8"/>
      <c r="J6607" s="7"/>
      <c r="K6607" s="7"/>
      <c r="L6607" s="7"/>
      <c r="M6607" s="7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7"/>
      <c r="Z6607" s="7"/>
    </row>
    <row r="6608" hidden="1">
      <c r="A6608" s="7"/>
      <c r="B6608" s="7"/>
      <c r="C6608" s="7"/>
      <c r="D6608" s="7"/>
      <c r="E6608" s="7"/>
      <c r="F6608" s="7"/>
      <c r="G6608" s="7"/>
      <c r="H6608" s="8"/>
      <c r="I6608" s="8"/>
      <c r="J6608" s="7"/>
      <c r="K6608" s="7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</row>
    <row r="6609" hidden="1">
      <c r="A6609" s="7"/>
      <c r="B6609" s="7"/>
      <c r="C6609" s="7"/>
      <c r="D6609" s="7"/>
      <c r="E6609" s="7"/>
      <c r="F6609" s="7"/>
      <c r="G6609" s="7"/>
      <c r="H6609" s="8"/>
      <c r="I6609" s="8"/>
      <c r="J6609" s="7"/>
      <c r="K6609" s="7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</row>
    <row r="6610" hidden="1">
      <c r="A6610" s="7"/>
      <c r="B6610" s="7"/>
      <c r="C6610" s="7"/>
      <c r="D6610" s="7"/>
      <c r="E6610" s="7"/>
      <c r="F6610" s="7"/>
      <c r="G6610" s="7"/>
      <c r="H6610" s="8"/>
      <c r="I6610" s="8"/>
      <c r="J6610" s="7"/>
      <c r="K6610" s="7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</row>
    <row r="6611" hidden="1">
      <c r="A6611" s="7"/>
      <c r="B6611" s="7"/>
      <c r="C6611" s="7"/>
      <c r="D6611" s="7"/>
      <c r="E6611" s="7"/>
      <c r="F6611" s="7"/>
      <c r="G6611" s="7"/>
      <c r="H6611" s="8"/>
      <c r="I6611" s="8"/>
      <c r="J6611" s="7"/>
      <c r="K6611" s="7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</row>
    <row r="6612" hidden="1">
      <c r="A6612" s="7"/>
      <c r="B6612" s="7"/>
      <c r="C6612" s="7"/>
      <c r="D6612" s="7"/>
      <c r="E6612" s="7"/>
      <c r="F6612" s="7"/>
      <c r="G6612" s="7"/>
      <c r="H6612" s="8"/>
      <c r="I6612" s="8"/>
      <c r="J6612" s="7"/>
      <c r="K6612" s="7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</row>
    <row r="6613" hidden="1">
      <c r="A6613" s="7"/>
      <c r="B6613" s="7"/>
      <c r="C6613" s="7"/>
      <c r="D6613" s="7"/>
      <c r="E6613" s="7"/>
      <c r="F6613" s="7"/>
      <c r="G6613" s="7"/>
      <c r="H6613" s="8"/>
      <c r="I6613" s="8"/>
      <c r="J6613" s="7"/>
      <c r="K6613" s="7"/>
      <c r="L6613" s="7"/>
      <c r="M6613" s="7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</row>
    <row r="6614" hidden="1">
      <c r="A6614" s="7"/>
      <c r="B6614" s="7"/>
      <c r="C6614" s="7"/>
      <c r="D6614" s="7"/>
      <c r="E6614" s="7"/>
      <c r="F6614" s="7"/>
      <c r="G6614" s="7"/>
      <c r="H6614" s="8"/>
      <c r="I6614" s="8"/>
      <c r="J6614" s="7"/>
      <c r="K6614" s="7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</row>
    <row r="6615" hidden="1">
      <c r="A6615" s="7"/>
      <c r="B6615" s="7"/>
      <c r="C6615" s="7"/>
      <c r="D6615" s="7"/>
      <c r="E6615" s="7"/>
      <c r="F6615" s="7"/>
      <c r="G6615" s="7"/>
      <c r="H6615" s="8"/>
      <c r="I6615" s="8"/>
      <c r="J6615" s="7"/>
      <c r="K6615" s="7"/>
      <c r="L6615" s="7"/>
      <c r="M6615" s="7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</row>
    <row r="6616" hidden="1">
      <c r="A6616" s="7"/>
      <c r="B6616" s="7"/>
      <c r="C6616" s="7"/>
      <c r="D6616" s="7"/>
      <c r="E6616" s="7"/>
      <c r="F6616" s="7"/>
      <c r="G6616" s="7"/>
      <c r="H6616" s="8"/>
      <c r="I6616" s="8"/>
      <c r="J6616" s="7"/>
      <c r="K6616" s="7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</row>
    <row r="6617" hidden="1">
      <c r="A6617" s="7"/>
      <c r="B6617" s="7"/>
      <c r="C6617" s="7"/>
      <c r="D6617" s="7"/>
      <c r="E6617" s="7"/>
      <c r="F6617" s="7"/>
      <c r="G6617" s="7"/>
      <c r="H6617" s="8"/>
      <c r="I6617" s="8"/>
      <c r="J6617" s="7"/>
      <c r="K6617" s="7"/>
      <c r="L6617" s="7"/>
      <c r="M6617" s="7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</row>
    <row r="6618" hidden="1">
      <c r="A6618" s="7"/>
      <c r="B6618" s="7"/>
      <c r="C6618" s="7"/>
      <c r="D6618" s="7"/>
      <c r="E6618" s="7"/>
      <c r="F6618" s="7"/>
      <c r="G6618" s="7"/>
      <c r="H6618" s="8"/>
      <c r="I6618" s="8"/>
      <c r="J6618" s="7"/>
      <c r="K6618" s="7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</row>
    <row r="6619" hidden="1">
      <c r="A6619" s="7"/>
      <c r="B6619" s="7"/>
      <c r="C6619" s="7"/>
      <c r="D6619" s="7"/>
      <c r="E6619" s="7"/>
      <c r="F6619" s="7"/>
      <c r="G6619" s="7"/>
      <c r="H6619" s="8"/>
      <c r="I6619" s="8"/>
      <c r="J6619" s="7"/>
      <c r="K6619" s="7"/>
      <c r="L6619" s="7"/>
      <c r="M6619" s="7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</row>
    <row r="6620" hidden="1">
      <c r="A6620" s="7"/>
      <c r="B6620" s="7"/>
      <c r="C6620" s="7"/>
      <c r="D6620" s="7"/>
      <c r="E6620" s="7"/>
      <c r="F6620" s="7"/>
      <c r="G6620" s="7"/>
      <c r="H6620" s="8"/>
      <c r="I6620" s="8"/>
      <c r="J6620" s="7"/>
      <c r="K6620" s="7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</row>
    <row r="6621" hidden="1">
      <c r="A6621" s="7"/>
      <c r="B6621" s="7"/>
      <c r="C6621" s="7"/>
      <c r="D6621" s="7"/>
      <c r="E6621" s="7"/>
      <c r="F6621" s="7"/>
      <c r="G6621" s="7"/>
      <c r="H6621" s="8"/>
      <c r="I6621" s="8"/>
      <c r="J6621" s="7"/>
      <c r="K6621" s="7"/>
      <c r="L6621" s="7"/>
      <c r="M6621" s="7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</row>
    <row r="6622" hidden="1">
      <c r="A6622" s="7"/>
      <c r="B6622" s="7"/>
      <c r="C6622" s="7"/>
      <c r="D6622" s="7"/>
      <c r="E6622" s="7"/>
      <c r="F6622" s="7"/>
      <c r="G6622" s="7"/>
      <c r="H6622" s="8"/>
      <c r="I6622" s="8"/>
      <c r="J6622" s="7"/>
      <c r="K6622" s="7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</row>
    <row r="6623" hidden="1">
      <c r="A6623" s="7"/>
      <c r="B6623" s="7"/>
      <c r="C6623" s="7"/>
      <c r="D6623" s="7"/>
      <c r="E6623" s="7"/>
      <c r="F6623" s="7"/>
      <c r="G6623" s="7"/>
      <c r="H6623" s="8"/>
      <c r="I6623" s="8"/>
      <c r="J6623" s="7"/>
      <c r="K6623" s="7"/>
      <c r="L6623" s="7"/>
      <c r="M6623" s="7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</row>
    <row r="6624" hidden="1">
      <c r="A6624" s="7"/>
      <c r="B6624" s="7"/>
      <c r="C6624" s="7"/>
      <c r="D6624" s="7"/>
      <c r="E6624" s="7"/>
      <c r="F6624" s="7"/>
      <c r="G6624" s="7"/>
      <c r="H6624" s="8"/>
      <c r="I6624" s="8"/>
      <c r="J6624" s="7"/>
      <c r="K6624" s="7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</row>
    <row r="6625" hidden="1">
      <c r="A6625" s="7"/>
      <c r="B6625" s="7"/>
      <c r="C6625" s="7"/>
      <c r="D6625" s="7"/>
      <c r="E6625" s="7"/>
      <c r="F6625" s="7"/>
      <c r="G6625" s="7"/>
      <c r="H6625" s="8"/>
      <c r="I6625" s="8"/>
      <c r="J6625" s="7"/>
      <c r="K6625" s="7"/>
      <c r="L6625" s="7"/>
      <c r="M6625" s="7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</row>
    <row r="6626" hidden="1">
      <c r="A6626" s="7"/>
      <c r="B6626" s="7"/>
      <c r="C6626" s="7"/>
      <c r="D6626" s="7"/>
      <c r="E6626" s="7"/>
      <c r="F6626" s="7"/>
      <c r="G6626" s="7"/>
      <c r="H6626" s="8"/>
      <c r="I6626" s="8"/>
      <c r="J6626" s="7"/>
      <c r="K6626" s="7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</row>
    <row r="6627" hidden="1">
      <c r="A6627" s="7"/>
      <c r="B6627" s="7"/>
      <c r="C6627" s="7"/>
      <c r="D6627" s="7"/>
      <c r="E6627" s="7"/>
      <c r="F6627" s="7"/>
      <c r="G6627" s="7"/>
      <c r="H6627" s="8"/>
      <c r="I6627" s="8"/>
      <c r="J6627" s="7"/>
      <c r="K6627" s="7"/>
      <c r="L6627" s="7"/>
      <c r="M6627" s="7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</row>
    <row r="6628" hidden="1">
      <c r="A6628" s="7"/>
      <c r="B6628" s="7"/>
      <c r="C6628" s="7"/>
      <c r="D6628" s="7"/>
      <c r="E6628" s="7"/>
      <c r="F6628" s="7"/>
      <c r="G6628" s="7"/>
      <c r="H6628" s="8"/>
      <c r="I6628" s="8"/>
      <c r="J6628" s="7"/>
      <c r="K6628" s="7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</row>
    <row r="6629" hidden="1">
      <c r="A6629" s="7"/>
      <c r="B6629" s="7"/>
      <c r="C6629" s="7"/>
      <c r="D6629" s="7"/>
      <c r="E6629" s="7"/>
      <c r="F6629" s="7"/>
      <c r="G6629" s="7"/>
      <c r="H6629" s="8"/>
      <c r="I6629" s="8"/>
      <c r="J6629" s="7"/>
      <c r="K6629" s="7"/>
      <c r="L6629" s="7"/>
      <c r="M6629" s="7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</row>
    <row r="6630" hidden="1">
      <c r="A6630" s="7"/>
      <c r="B6630" s="7"/>
      <c r="C6630" s="7"/>
      <c r="D6630" s="7"/>
      <c r="E6630" s="7"/>
      <c r="F6630" s="7"/>
      <c r="G6630" s="7"/>
      <c r="H6630" s="8"/>
      <c r="I6630" s="8"/>
      <c r="J6630" s="7"/>
      <c r="K6630" s="7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</row>
    <row r="6631" hidden="1">
      <c r="A6631" s="7"/>
      <c r="B6631" s="7"/>
      <c r="C6631" s="7"/>
      <c r="D6631" s="7"/>
      <c r="E6631" s="7"/>
      <c r="F6631" s="7"/>
      <c r="G6631" s="7"/>
      <c r="H6631" s="8"/>
      <c r="I6631" s="8"/>
      <c r="J6631" s="7"/>
      <c r="K6631" s="7"/>
      <c r="L6631" s="7"/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</row>
    <row r="6632" hidden="1">
      <c r="A6632" s="7"/>
      <c r="B6632" s="7"/>
      <c r="C6632" s="7"/>
      <c r="D6632" s="7"/>
      <c r="E6632" s="7"/>
      <c r="F6632" s="7"/>
      <c r="G6632" s="7"/>
      <c r="H6632" s="8"/>
      <c r="I6632" s="8"/>
      <c r="J6632" s="7"/>
      <c r="K6632" s="7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</row>
    <row r="6633" hidden="1">
      <c r="A6633" s="7"/>
      <c r="B6633" s="7"/>
      <c r="C6633" s="7"/>
      <c r="D6633" s="7"/>
      <c r="E6633" s="7"/>
      <c r="F6633" s="7"/>
      <c r="G6633" s="7"/>
      <c r="H6633" s="8"/>
      <c r="I6633" s="8"/>
      <c r="J6633" s="7"/>
      <c r="K6633" s="7"/>
      <c r="L6633" s="7"/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</row>
    <row r="6634" hidden="1">
      <c r="A6634" s="7"/>
      <c r="B6634" s="7"/>
      <c r="C6634" s="7"/>
      <c r="D6634" s="7"/>
      <c r="E6634" s="7"/>
      <c r="F6634" s="7"/>
      <c r="G6634" s="7"/>
      <c r="H6634" s="8"/>
      <c r="I6634" s="8"/>
      <c r="J6634" s="7"/>
      <c r="K6634" s="7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</row>
    <row r="6635" hidden="1">
      <c r="A6635" s="7"/>
      <c r="B6635" s="7"/>
      <c r="C6635" s="7"/>
      <c r="D6635" s="7"/>
      <c r="E6635" s="7"/>
      <c r="F6635" s="7"/>
      <c r="G6635" s="7"/>
      <c r="H6635" s="8"/>
      <c r="I6635" s="8"/>
      <c r="J6635" s="7"/>
      <c r="K6635" s="7"/>
      <c r="L6635" s="7"/>
      <c r="M6635" s="7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7"/>
      <c r="Z6635" s="7"/>
    </row>
    <row r="6636" hidden="1">
      <c r="A6636" s="7"/>
      <c r="B6636" s="7"/>
      <c r="C6636" s="7"/>
      <c r="D6636" s="7"/>
      <c r="E6636" s="7"/>
      <c r="F6636" s="7"/>
      <c r="G6636" s="7"/>
      <c r="H6636" s="8"/>
      <c r="I6636" s="8"/>
      <c r="J6636" s="7"/>
      <c r="K6636" s="7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</row>
    <row r="6637" hidden="1">
      <c r="A6637" s="7"/>
      <c r="B6637" s="7"/>
      <c r="C6637" s="7"/>
      <c r="D6637" s="7"/>
      <c r="E6637" s="7"/>
      <c r="F6637" s="7"/>
      <c r="G6637" s="7"/>
      <c r="H6637" s="8"/>
      <c r="I6637" s="8"/>
      <c r="J6637" s="7"/>
      <c r="K6637" s="7"/>
      <c r="L6637" s="7"/>
      <c r="M6637" s="7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7"/>
      <c r="Z6637" s="7"/>
    </row>
    <row r="6638" hidden="1">
      <c r="A6638" s="7"/>
      <c r="B6638" s="7"/>
      <c r="C6638" s="7"/>
      <c r="D6638" s="7"/>
      <c r="E6638" s="7"/>
      <c r="F6638" s="7"/>
      <c r="G6638" s="7"/>
      <c r="H6638" s="8"/>
      <c r="I6638" s="8"/>
      <c r="J6638" s="7"/>
      <c r="K6638" s="7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</row>
    <row r="6639" hidden="1">
      <c r="A6639" s="7"/>
      <c r="B6639" s="7"/>
      <c r="C6639" s="7"/>
      <c r="D6639" s="7"/>
      <c r="E6639" s="7"/>
      <c r="F6639" s="7"/>
      <c r="G6639" s="7"/>
      <c r="H6639" s="8"/>
      <c r="I6639" s="8"/>
      <c r="J6639" s="7"/>
      <c r="K6639" s="7"/>
      <c r="L6639" s="7"/>
      <c r="M6639" s="7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</row>
    <row r="6640" hidden="1">
      <c r="A6640" s="7"/>
      <c r="B6640" s="7"/>
      <c r="C6640" s="7"/>
      <c r="D6640" s="7"/>
      <c r="E6640" s="7"/>
      <c r="F6640" s="7"/>
      <c r="G6640" s="7"/>
      <c r="H6640" s="8"/>
      <c r="I6640" s="8"/>
      <c r="J6640" s="7"/>
      <c r="K6640" s="7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</row>
    <row r="6641" hidden="1">
      <c r="A6641" s="7"/>
      <c r="B6641" s="7"/>
      <c r="C6641" s="7"/>
      <c r="D6641" s="7"/>
      <c r="E6641" s="7"/>
      <c r="F6641" s="7"/>
      <c r="G6641" s="7"/>
      <c r="H6641" s="8"/>
      <c r="I6641" s="8"/>
      <c r="J6641" s="7"/>
      <c r="K6641" s="7"/>
      <c r="L6641" s="7"/>
      <c r="M6641" s="7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7"/>
      <c r="Z6641" s="7"/>
    </row>
    <row r="6642" hidden="1">
      <c r="A6642" s="7"/>
      <c r="B6642" s="7"/>
      <c r="C6642" s="7"/>
      <c r="D6642" s="7"/>
      <c r="E6642" s="7"/>
      <c r="F6642" s="7"/>
      <c r="G6642" s="7"/>
      <c r="H6642" s="8"/>
      <c r="I6642" s="8"/>
      <c r="J6642" s="7"/>
      <c r="K6642" s="7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</row>
    <row r="6643" hidden="1">
      <c r="A6643" s="7"/>
      <c r="B6643" s="7"/>
      <c r="C6643" s="7"/>
      <c r="D6643" s="7"/>
      <c r="E6643" s="7"/>
      <c r="F6643" s="7"/>
      <c r="G6643" s="7"/>
      <c r="H6643" s="8"/>
      <c r="I6643" s="8"/>
      <c r="J6643" s="7"/>
      <c r="K6643" s="7"/>
      <c r="L6643" s="7"/>
      <c r="M6643" s="7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7"/>
      <c r="Z6643" s="7"/>
    </row>
    <row r="6644" hidden="1">
      <c r="A6644" s="7"/>
      <c r="B6644" s="7"/>
      <c r="C6644" s="7"/>
      <c r="D6644" s="7"/>
      <c r="E6644" s="7"/>
      <c r="F6644" s="7"/>
      <c r="G6644" s="7"/>
      <c r="H6644" s="8"/>
      <c r="I6644" s="8"/>
      <c r="J6644" s="7"/>
      <c r="K6644" s="7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</row>
    <row r="6645" hidden="1">
      <c r="A6645" s="7"/>
      <c r="B6645" s="7"/>
      <c r="C6645" s="7"/>
      <c r="D6645" s="7"/>
      <c r="E6645" s="7"/>
      <c r="F6645" s="7"/>
      <c r="G6645" s="7"/>
      <c r="H6645" s="8"/>
      <c r="I6645" s="8"/>
      <c r="J6645" s="7"/>
      <c r="K6645" s="7"/>
      <c r="L6645" s="7"/>
      <c r="M6645" s="7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7"/>
      <c r="Z6645" s="7"/>
    </row>
    <row r="6646" hidden="1">
      <c r="A6646" s="7"/>
      <c r="B6646" s="7"/>
      <c r="C6646" s="7"/>
      <c r="D6646" s="7"/>
      <c r="E6646" s="7"/>
      <c r="F6646" s="7"/>
      <c r="G6646" s="7"/>
      <c r="H6646" s="8"/>
      <c r="I6646" s="8"/>
      <c r="J6646" s="7"/>
      <c r="K6646" s="7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</row>
    <row r="6647" hidden="1">
      <c r="A6647" s="7"/>
      <c r="B6647" s="7"/>
      <c r="C6647" s="7"/>
      <c r="D6647" s="7"/>
      <c r="E6647" s="7"/>
      <c r="F6647" s="7"/>
      <c r="G6647" s="7"/>
      <c r="H6647" s="8"/>
      <c r="I6647" s="8"/>
      <c r="J6647" s="7"/>
      <c r="K6647" s="7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</row>
    <row r="6648" hidden="1">
      <c r="A6648" s="7"/>
      <c r="B6648" s="7"/>
      <c r="C6648" s="7"/>
      <c r="D6648" s="7"/>
      <c r="E6648" s="7"/>
      <c r="F6648" s="7"/>
      <c r="G6648" s="7"/>
      <c r="H6648" s="8"/>
      <c r="I6648" s="8"/>
      <c r="J6648" s="7"/>
      <c r="K6648" s="7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</row>
    <row r="6649" hidden="1">
      <c r="A6649" s="7"/>
      <c r="B6649" s="7"/>
      <c r="C6649" s="7"/>
      <c r="D6649" s="7"/>
      <c r="E6649" s="7"/>
      <c r="F6649" s="7"/>
      <c r="G6649" s="7"/>
      <c r="H6649" s="8"/>
      <c r="I6649" s="8"/>
      <c r="J6649" s="7"/>
      <c r="K6649" s="7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7"/>
      <c r="Z6649" s="7"/>
    </row>
    <row r="6650" hidden="1">
      <c r="A6650" s="7"/>
      <c r="B6650" s="7"/>
      <c r="C6650" s="7"/>
      <c r="D6650" s="7"/>
      <c r="E6650" s="7"/>
      <c r="F6650" s="7"/>
      <c r="G6650" s="7"/>
      <c r="H6650" s="8"/>
      <c r="I6650" s="8"/>
      <c r="J6650" s="7"/>
      <c r="K6650" s="7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</row>
    <row r="6651" hidden="1">
      <c r="A6651" s="7"/>
      <c r="B6651" s="7"/>
      <c r="C6651" s="7"/>
      <c r="D6651" s="7"/>
      <c r="E6651" s="7"/>
      <c r="F6651" s="7"/>
      <c r="G6651" s="7"/>
      <c r="H6651" s="8"/>
      <c r="I6651" s="8"/>
      <c r="J6651" s="7"/>
      <c r="K6651" s="7"/>
      <c r="L6651" s="7"/>
      <c r="M6651" s="7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7"/>
      <c r="Z6651" s="7"/>
    </row>
    <row r="6652" hidden="1">
      <c r="A6652" s="7"/>
      <c r="B6652" s="7"/>
      <c r="C6652" s="7"/>
      <c r="D6652" s="7"/>
      <c r="E6652" s="7"/>
      <c r="F6652" s="7"/>
      <c r="G6652" s="7"/>
      <c r="H6652" s="8"/>
      <c r="I6652" s="8"/>
      <c r="J6652" s="7"/>
      <c r="K6652" s="7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</row>
    <row r="6653" hidden="1">
      <c r="A6653" s="7"/>
      <c r="B6653" s="7"/>
      <c r="C6653" s="7"/>
      <c r="D6653" s="7"/>
      <c r="E6653" s="7"/>
      <c r="F6653" s="7"/>
      <c r="G6653" s="7"/>
      <c r="H6653" s="8"/>
      <c r="I6653" s="8"/>
      <c r="J6653" s="7"/>
      <c r="K6653" s="7"/>
      <c r="L6653" s="7"/>
      <c r="M6653" s="7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7"/>
      <c r="Z6653" s="7"/>
    </row>
    <row r="6654" hidden="1">
      <c r="A6654" s="7"/>
      <c r="B6654" s="7"/>
      <c r="C6654" s="7"/>
      <c r="D6654" s="7"/>
      <c r="E6654" s="7"/>
      <c r="F6654" s="7"/>
      <c r="G6654" s="7"/>
      <c r="H6654" s="8"/>
      <c r="I6654" s="8"/>
      <c r="J6654" s="7"/>
      <c r="K6654" s="7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</row>
    <row r="6655" hidden="1">
      <c r="A6655" s="7"/>
      <c r="B6655" s="7"/>
      <c r="C6655" s="7"/>
      <c r="D6655" s="7"/>
      <c r="E6655" s="7"/>
      <c r="F6655" s="7"/>
      <c r="G6655" s="7"/>
      <c r="H6655" s="8"/>
      <c r="I6655" s="8"/>
      <c r="J6655" s="7"/>
      <c r="K6655" s="7"/>
      <c r="L6655" s="7"/>
      <c r="M6655" s="7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7"/>
      <c r="Z6655" s="7"/>
    </row>
    <row r="6656" hidden="1">
      <c r="A6656" s="7"/>
      <c r="B6656" s="7"/>
      <c r="C6656" s="7"/>
      <c r="D6656" s="7"/>
      <c r="E6656" s="7"/>
      <c r="F6656" s="7"/>
      <c r="G6656" s="7"/>
      <c r="H6656" s="8"/>
      <c r="I6656" s="8"/>
      <c r="J6656" s="7"/>
      <c r="K6656" s="7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</row>
    <row r="6657" hidden="1">
      <c r="A6657" s="7"/>
      <c r="B6657" s="7"/>
      <c r="C6657" s="7"/>
      <c r="D6657" s="7"/>
      <c r="E6657" s="7"/>
      <c r="F6657" s="7"/>
      <c r="G6657" s="7"/>
      <c r="H6657" s="8"/>
      <c r="I6657" s="8"/>
      <c r="J6657" s="7"/>
      <c r="K6657" s="7"/>
      <c r="L6657" s="7"/>
      <c r="M6657" s="7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</row>
    <row r="6658" hidden="1">
      <c r="A6658" s="7"/>
      <c r="B6658" s="7"/>
      <c r="C6658" s="7"/>
      <c r="D6658" s="7"/>
      <c r="E6658" s="7"/>
      <c r="F6658" s="7"/>
      <c r="G6658" s="7"/>
      <c r="H6658" s="8"/>
      <c r="I6658" s="8"/>
      <c r="J6658" s="7"/>
      <c r="K6658" s="7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</row>
    <row r="6659" hidden="1">
      <c r="A6659" s="7"/>
      <c r="B6659" s="7"/>
      <c r="C6659" s="7"/>
      <c r="D6659" s="7"/>
      <c r="E6659" s="7"/>
      <c r="F6659" s="7"/>
      <c r="G6659" s="7"/>
      <c r="H6659" s="8"/>
      <c r="I6659" s="8"/>
      <c r="J6659" s="7"/>
      <c r="K6659" s="7"/>
      <c r="L6659" s="7"/>
      <c r="M6659" s="7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</row>
    <row r="6660" hidden="1">
      <c r="A6660" s="7"/>
      <c r="B6660" s="7"/>
      <c r="C6660" s="7"/>
      <c r="D6660" s="7"/>
      <c r="E6660" s="7"/>
      <c r="F6660" s="7"/>
      <c r="G6660" s="7"/>
      <c r="H6660" s="8"/>
      <c r="I6660" s="8"/>
      <c r="J6660" s="7"/>
      <c r="K6660" s="7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</row>
    <row r="6661" hidden="1">
      <c r="A6661" s="7"/>
      <c r="B6661" s="7"/>
      <c r="C6661" s="7"/>
      <c r="D6661" s="7"/>
      <c r="E6661" s="7"/>
      <c r="F6661" s="7"/>
      <c r="G6661" s="7"/>
      <c r="H6661" s="8"/>
      <c r="I6661" s="8"/>
      <c r="J6661" s="7"/>
      <c r="K6661" s="7"/>
      <c r="L6661" s="7"/>
      <c r="M6661" s="7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</row>
    <row r="6662" hidden="1">
      <c r="A6662" s="7"/>
      <c r="B6662" s="7"/>
      <c r="C6662" s="7"/>
      <c r="D6662" s="7"/>
      <c r="E6662" s="7"/>
      <c r="F6662" s="7"/>
      <c r="G6662" s="7"/>
      <c r="H6662" s="8"/>
      <c r="I6662" s="8"/>
      <c r="J6662" s="7"/>
      <c r="K6662" s="7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</row>
    <row r="6663" hidden="1">
      <c r="A6663" s="7"/>
      <c r="B6663" s="7"/>
      <c r="C6663" s="7"/>
      <c r="D6663" s="7"/>
      <c r="E6663" s="7"/>
      <c r="F6663" s="7"/>
      <c r="G6663" s="7"/>
      <c r="H6663" s="8"/>
      <c r="I6663" s="8"/>
      <c r="J6663" s="7"/>
      <c r="K6663" s="7"/>
      <c r="L6663" s="7"/>
      <c r="M6663" s="7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</row>
    <row r="6664" hidden="1">
      <c r="A6664" s="7"/>
      <c r="B6664" s="7"/>
      <c r="C6664" s="7"/>
      <c r="D6664" s="7"/>
      <c r="E6664" s="7"/>
      <c r="F6664" s="7"/>
      <c r="G6664" s="7"/>
      <c r="H6664" s="8"/>
      <c r="I6664" s="8"/>
      <c r="J6664" s="7"/>
      <c r="K6664" s="7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</row>
    <row r="6665" hidden="1">
      <c r="A6665" s="7"/>
      <c r="B6665" s="7"/>
      <c r="C6665" s="7"/>
      <c r="D6665" s="7"/>
      <c r="E6665" s="7"/>
      <c r="F6665" s="7"/>
      <c r="G6665" s="7"/>
      <c r="H6665" s="8"/>
      <c r="I6665" s="8"/>
      <c r="J6665" s="7"/>
      <c r="K6665" s="7"/>
      <c r="L6665" s="7"/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</row>
    <row r="6666" hidden="1">
      <c r="A6666" s="7"/>
      <c r="B6666" s="7"/>
      <c r="C6666" s="7"/>
      <c r="D6666" s="7"/>
      <c r="E6666" s="7"/>
      <c r="F6666" s="7"/>
      <c r="G6666" s="7"/>
      <c r="H6666" s="8"/>
      <c r="I6666" s="8"/>
      <c r="J6666" s="7"/>
      <c r="K6666" s="7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</row>
    <row r="6667" hidden="1">
      <c r="A6667" s="7"/>
      <c r="B6667" s="7"/>
      <c r="C6667" s="7"/>
      <c r="D6667" s="7"/>
      <c r="E6667" s="7"/>
      <c r="F6667" s="7"/>
      <c r="G6667" s="7"/>
      <c r="H6667" s="8"/>
      <c r="I6667" s="8"/>
      <c r="J6667" s="7"/>
      <c r="K6667" s="7"/>
      <c r="L6667" s="7"/>
      <c r="M6667" s="7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7"/>
      <c r="Z6667" s="7"/>
    </row>
    <row r="6668" hidden="1">
      <c r="A6668" s="7"/>
      <c r="B6668" s="7"/>
      <c r="C6668" s="7"/>
      <c r="D6668" s="7"/>
      <c r="E6668" s="7"/>
      <c r="F6668" s="7"/>
      <c r="G6668" s="7"/>
      <c r="H6668" s="8"/>
      <c r="I6668" s="8"/>
      <c r="J6668" s="7"/>
      <c r="K6668" s="7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</row>
    <row r="6669" hidden="1">
      <c r="A6669" s="7"/>
      <c r="B6669" s="7"/>
      <c r="C6669" s="7"/>
      <c r="D6669" s="7"/>
      <c r="E6669" s="7"/>
      <c r="F6669" s="7"/>
      <c r="G6669" s="7"/>
      <c r="H6669" s="8"/>
      <c r="I6669" s="8"/>
      <c r="J6669" s="7"/>
      <c r="K6669" s="7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7"/>
      <c r="Z6669" s="7"/>
    </row>
    <row r="6670" hidden="1">
      <c r="A6670" s="7"/>
      <c r="B6670" s="7"/>
      <c r="C6670" s="7"/>
      <c r="D6670" s="7"/>
      <c r="E6670" s="7"/>
      <c r="F6670" s="7"/>
      <c r="G6670" s="7"/>
      <c r="H6670" s="8"/>
      <c r="I6670" s="8"/>
      <c r="J6670" s="7"/>
      <c r="K6670" s="7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</row>
    <row r="6671" hidden="1">
      <c r="A6671" s="7"/>
      <c r="B6671" s="7"/>
      <c r="C6671" s="7"/>
      <c r="D6671" s="7"/>
      <c r="E6671" s="7"/>
      <c r="F6671" s="7"/>
      <c r="G6671" s="7"/>
      <c r="H6671" s="8"/>
      <c r="I6671" s="8"/>
      <c r="J6671" s="7"/>
      <c r="K6671" s="7"/>
      <c r="L6671" s="7"/>
      <c r="M6671" s="7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</row>
    <row r="6672" hidden="1">
      <c r="A6672" s="7"/>
      <c r="B6672" s="7"/>
      <c r="C6672" s="7"/>
      <c r="D6672" s="7"/>
      <c r="E6672" s="7"/>
      <c r="F6672" s="7"/>
      <c r="G6672" s="7"/>
      <c r="H6672" s="8"/>
      <c r="I6672" s="8"/>
      <c r="J6672" s="7"/>
      <c r="K6672" s="7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</row>
    <row r="6673" hidden="1">
      <c r="A6673" s="7"/>
      <c r="B6673" s="7"/>
      <c r="C6673" s="7"/>
      <c r="D6673" s="7"/>
      <c r="E6673" s="7"/>
      <c r="F6673" s="7"/>
      <c r="G6673" s="7"/>
      <c r="H6673" s="8"/>
      <c r="I6673" s="8"/>
      <c r="J6673" s="7"/>
      <c r="K6673" s="7"/>
      <c r="L6673" s="7"/>
      <c r="M6673" s="7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7"/>
      <c r="Z6673" s="7"/>
    </row>
    <row r="6674" hidden="1">
      <c r="A6674" s="7"/>
      <c r="B6674" s="7"/>
      <c r="C6674" s="7"/>
      <c r="D6674" s="7"/>
      <c r="E6674" s="7"/>
      <c r="F6674" s="7"/>
      <c r="G6674" s="7"/>
      <c r="H6674" s="8"/>
      <c r="I6674" s="8"/>
      <c r="J6674" s="7"/>
      <c r="K6674" s="7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</row>
    <row r="6675" hidden="1">
      <c r="A6675" s="7"/>
      <c r="B6675" s="7"/>
      <c r="C6675" s="7"/>
      <c r="D6675" s="7"/>
      <c r="E6675" s="7"/>
      <c r="F6675" s="7"/>
      <c r="G6675" s="7"/>
      <c r="H6675" s="8"/>
      <c r="I6675" s="8"/>
      <c r="J6675" s="7"/>
      <c r="K6675" s="7"/>
      <c r="L6675" s="7"/>
      <c r="M6675" s="7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7"/>
      <c r="Z6675" s="7"/>
    </row>
    <row r="6676" hidden="1">
      <c r="A6676" s="7"/>
      <c r="B6676" s="7"/>
      <c r="C6676" s="7"/>
      <c r="D6676" s="7"/>
      <c r="E6676" s="7"/>
      <c r="F6676" s="7"/>
      <c r="G6676" s="7"/>
      <c r="H6676" s="8"/>
      <c r="I6676" s="8"/>
      <c r="J6676" s="7"/>
      <c r="K6676" s="7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</row>
    <row r="6677" hidden="1">
      <c r="A6677" s="7"/>
      <c r="B6677" s="7"/>
      <c r="C6677" s="7"/>
      <c r="D6677" s="7"/>
      <c r="E6677" s="7"/>
      <c r="F6677" s="7"/>
      <c r="G6677" s="7"/>
      <c r="H6677" s="8"/>
      <c r="I6677" s="8"/>
      <c r="J6677" s="7"/>
      <c r="K6677" s="7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7"/>
      <c r="Z6677" s="7"/>
    </row>
    <row r="6678" hidden="1">
      <c r="A6678" s="7"/>
      <c r="B6678" s="7"/>
      <c r="C6678" s="7"/>
      <c r="D6678" s="7"/>
      <c r="E6678" s="7"/>
      <c r="F6678" s="7"/>
      <c r="G6678" s="7"/>
      <c r="H6678" s="8"/>
      <c r="I6678" s="8"/>
      <c r="J6678" s="7"/>
      <c r="K6678" s="7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</row>
    <row r="6679" hidden="1">
      <c r="A6679" s="7"/>
      <c r="B6679" s="7"/>
      <c r="C6679" s="7"/>
      <c r="D6679" s="7"/>
      <c r="E6679" s="7"/>
      <c r="F6679" s="7"/>
      <c r="G6679" s="7"/>
      <c r="H6679" s="8"/>
      <c r="I6679" s="8"/>
      <c r="J6679" s="7"/>
      <c r="K6679" s="7"/>
      <c r="L6679" s="7"/>
      <c r="M6679" s="7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7"/>
      <c r="Z6679" s="7"/>
    </row>
    <row r="6680" hidden="1">
      <c r="A6680" s="7"/>
      <c r="B6680" s="7"/>
      <c r="C6680" s="7"/>
      <c r="D6680" s="7"/>
      <c r="E6680" s="7"/>
      <c r="F6680" s="7"/>
      <c r="G6680" s="7"/>
      <c r="H6680" s="8"/>
      <c r="I6680" s="8"/>
      <c r="J6680" s="7"/>
      <c r="K6680" s="7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</row>
    <row r="6681" hidden="1">
      <c r="A6681" s="7"/>
      <c r="B6681" s="7"/>
      <c r="C6681" s="7"/>
      <c r="D6681" s="7"/>
      <c r="E6681" s="7"/>
      <c r="F6681" s="7"/>
      <c r="G6681" s="7"/>
      <c r="H6681" s="8"/>
      <c r="I6681" s="8"/>
      <c r="J6681" s="7"/>
      <c r="K6681" s="7"/>
      <c r="L6681" s="7"/>
      <c r="M6681" s="7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7"/>
      <c r="Z6681" s="7"/>
    </row>
    <row r="6682" hidden="1">
      <c r="A6682" s="7"/>
      <c r="B6682" s="7"/>
      <c r="C6682" s="7"/>
      <c r="D6682" s="7"/>
      <c r="E6682" s="7"/>
      <c r="F6682" s="7"/>
      <c r="G6682" s="7"/>
      <c r="H6682" s="8"/>
      <c r="I6682" s="8"/>
      <c r="J6682" s="7"/>
      <c r="K6682" s="7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</row>
    <row r="6683" hidden="1">
      <c r="A6683" s="7"/>
      <c r="B6683" s="7"/>
      <c r="C6683" s="7"/>
      <c r="D6683" s="7"/>
      <c r="E6683" s="7"/>
      <c r="F6683" s="7"/>
      <c r="G6683" s="7"/>
      <c r="H6683" s="8"/>
      <c r="I6683" s="8"/>
      <c r="J6683" s="7"/>
      <c r="K6683" s="7"/>
      <c r="L6683" s="7"/>
      <c r="M6683" s="7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7"/>
      <c r="Z6683" s="7"/>
    </row>
    <row r="6684" hidden="1">
      <c r="A6684" s="7"/>
      <c r="B6684" s="7"/>
      <c r="C6684" s="7"/>
      <c r="D6684" s="7"/>
      <c r="E6684" s="7"/>
      <c r="F6684" s="7"/>
      <c r="G6684" s="7"/>
      <c r="H6684" s="8"/>
      <c r="I6684" s="8"/>
      <c r="J6684" s="7"/>
      <c r="K6684" s="7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</row>
    <row r="6685" hidden="1">
      <c r="A6685" s="7"/>
      <c r="B6685" s="7"/>
      <c r="C6685" s="7"/>
      <c r="D6685" s="7"/>
      <c r="E6685" s="7"/>
      <c r="F6685" s="7"/>
      <c r="G6685" s="7"/>
      <c r="H6685" s="8"/>
      <c r="I6685" s="8"/>
      <c r="J6685" s="7"/>
      <c r="K6685" s="7"/>
      <c r="L6685" s="7"/>
      <c r="M6685" s="7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7"/>
      <c r="Z6685" s="7"/>
    </row>
    <row r="6686" hidden="1">
      <c r="A6686" s="7"/>
      <c r="B6686" s="7"/>
      <c r="C6686" s="7"/>
      <c r="D6686" s="7"/>
      <c r="E6686" s="7"/>
      <c r="F6686" s="7"/>
      <c r="G6686" s="7"/>
      <c r="H6686" s="8"/>
      <c r="I6686" s="8"/>
      <c r="J6686" s="7"/>
      <c r="K6686" s="7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</row>
    <row r="6687" hidden="1">
      <c r="A6687" s="7"/>
      <c r="B6687" s="7"/>
      <c r="C6687" s="7"/>
      <c r="D6687" s="7"/>
      <c r="E6687" s="7"/>
      <c r="F6687" s="7"/>
      <c r="G6687" s="7"/>
      <c r="H6687" s="8"/>
      <c r="I6687" s="8"/>
      <c r="J6687" s="7"/>
      <c r="K6687" s="7"/>
      <c r="L6687" s="7"/>
      <c r="M6687" s="7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</row>
    <row r="6688" hidden="1">
      <c r="A6688" s="7"/>
      <c r="B6688" s="7"/>
      <c r="C6688" s="7"/>
      <c r="D6688" s="7"/>
      <c r="E6688" s="7"/>
      <c r="F6688" s="7"/>
      <c r="G6688" s="7"/>
      <c r="H6688" s="8"/>
      <c r="I6688" s="8"/>
      <c r="J6688" s="7"/>
      <c r="K6688" s="7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</row>
    <row r="6689" hidden="1">
      <c r="A6689" s="7"/>
      <c r="B6689" s="7"/>
      <c r="C6689" s="7"/>
      <c r="D6689" s="7"/>
      <c r="E6689" s="7"/>
      <c r="F6689" s="7"/>
      <c r="G6689" s="7"/>
      <c r="H6689" s="8"/>
      <c r="I6689" s="8"/>
      <c r="J6689" s="7"/>
      <c r="K6689" s="7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</row>
    <row r="6690" hidden="1">
      <c r="A6690" s="7"/>
      <c r="B6690" s="7"/>
      <c r="C6690" s="7"/>
      <c r="D6690" s="7"/>
      <c r="E6690" s="7"/>
      <c r="F6690" s="7"/>
      <c r="G6690" s="7"/>
      <c r="H6690" s="8"/>
      <c r="I6690" s="8"/>
      <c r="J6690" s="7"/>
      <c r="K6690" s="7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</row>
    <row r="6691" hidden="1">
      <c r="A6691" s="7"/>
      <c r="B6691" s="7"/>
      <c r="C6691" s="7"/>
      <c r="D6691" s="7"/>
      <c r="E6691" s="7"/>
      <c r="F6691" s="7"/>
      <c r="G6691" s="7"/>
      <c r="H6691" s="8"/>
      <c r="I6691" s="8"/>
      <c r="J6691" s="7"/>
      <c r="K6691" s="7"/>
      <c r="L6691" s="7"/>
      <c r="M6691" s="7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</row>
    <row r="6692" hidden="1">
      <c r="A6692" s="7"/>
      <c r="B6692" s="7"/>
      <c r="C6692" s="7"/>
      <c r="D6692" s="7"/>
      <c r="E6692" s="7"/>
      <c r="F6692" s="7"/>
      <c r="G6692" s="7"/>
      <c r="H6692" s="8"/>
      <c r="I6692" s="8"/>
      <c r="J6692" s="7"/>
      <c r="K6692" s="7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</row>
    <row r="6693" hidden="1">
      <c r="A6693" s="7"/>
      <c r="B6693" s="7"/>
      <c r="C6693" s="7"/>
      <c r="D6693" s="7"/>
      <c r="E6693" s="7"/>
      <c r="F6693" s="7"/>
      <c r="G6693" s="7"/>
      <c r="H6693" s="8"/>
      <c r="I6693" s="8"/>
      <c r="J6693" s="7"/>
      <c r="K6693" s="7"/>
      <c r="L6693" s="7"/>
      <c r="M6693" s="7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</row>
    <row r="6694" hidden="1">
      <c r="A6694" s="7"/>
      <c r="B6694" s="7"/>
      <c r="C6694" s="7"/>
      <c r="D6694" s="7"/>
      <c r="E6694" s="7"/>
      <c r="F6694" s="7"/>
      <c r="G6694" s="7"/>
      <c r="H6694" s="8"/>
      <c r="I6694" s="8"/>
      <c r="J6694" s="7"/>
      <c r="K6694" s="7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</row>
    <row r="6695" hidden="1">
      <c r="A6695" s="7"/>
      <c r="B6695" s="7"/>
      <c r="C6695" s="7"/>
      <c r="D6695" s="7"/>
      <c r="E6695" s="7"/>
      <c r="F6695" s="7"/>
      <c r="G6695" s="7"/>
      <c r="H6695" s="8"/>
      <c r="I6695" s="8"/>
      <c r="J6695" s="7"/>
      <c r="K6695" s="7"/>
      <c r="L6695" s="7"/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</row>
    <row r="6696" hidden="1">
      <c r="A6696" s="7"/>
      <c r="B6696" s="7"/>
      <c r="C6696" s="7"/>
      <c r="D6696" s="7"/>
      <c r="E6696" s="7"/>
      <c r="F6696" s="7"/>
      <c r="G6696" s="7"/>
      <c r="H6696" s="8"/>
      <c r="I6696" s="8"/>
      <c r="J6696" s="7"/>
      <c r="K6696" s="7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</row>
    <row r="6697" hidden="1">
      <c r="A6697" s="7"/>
      <c r="B6697" s="7"/>
      <c r="C6697" s="7"/>
      <c r="D6697" s="7"/>
      <c r="E6697" s="7"/>
      <c r="F6697" s="7"/>
      <c r="G6697" s="7"/>
      <c r="H6697" s="8"/>
      <c r="I6697" s="8"/>
      <c r="J6697" s="7"/>
      <c r="K6697" s="7"/>
      <c r="L6697" s="7"/>
      <c r="M6697" s="7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7"/>
      <c r="Z6697" s="7"/>
    </row>
    <row r="6698" hidden="1">
      <c r="A6698" s="7"/>
      <c r="B6698" s="7"/>
      <c r="C6698" s="7"/>
      <c r="D6698" s="7"/>
      <c r="E6698" s="7"/>
      <c r="F6698" s="7"/>
      <c r="G6698" s="7"/>
      <c r="H6698" s="8"/>
      <c r="I6698" s="8"/>
      <c r="J6698" s="7"/>
      <c r="K6698" s="7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</row>
    <row r="6699" hidden="1">
      <c r="A6699" s="7"/>
      <c r="B6699" s="7"/>
      <c r="C6699" s="7"/>
      <c r="D6699" s="7"/>
      <c r="E6699" s="7"/>
      <c r="F6699" s="7"/>
      <c r="G6699" s="7"/>
      <c r="H6699" s="8"/>
      <c r="I6699" s="8"/>
      <c r="J6699" s="7"/>
      <c r="K6699" s="7"/>
      <c r="L6699" s="7"/>
      <c r="M6699" s="7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</row>
    <row r="6700" hidden="1">
      <c r="A6700" s="7"/>
      <c r="B6700" s="7"/>
      <c r="C6700" s="7"/>
      <c r="D6700" s="7"/>
      <c r="E6700" s="7"/>
      <c r="F6700" s="7"/>
      <c r="G6700" s="7"/>
      <c r="H6700" s="8"/>
      <c r="I6700" s="8"/>
      <c r="J6700" s="7"/>
      <c r="K6700" s="7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</row>
    <row r="6701" hidden="1">
      <c r="A6701" s="7"/>
      <c r="B6701" s="7"/>
      <c r="C6701" s="7"/>
      <c r="D6701" s="7"/>
      <c r="E6701" s="7"/>
      <c r="F6701" s="7"/>
      <c r="G6701" s="7"/>
      <c r="H6701" s="8"/>
      <c r="I6701" s="8"/>
      <c r="J6701" s="7"/>
      <c r="K6701" s="7"/>
      <c r="L6701" s="7"/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7"/>
      <c r="Z6701" s="7"/>
    </row>
    <row r="6702" hidden="1">
      <c r="A6702" s="7"/>
      <c r="B6702" s="7"/>
      <c r="C6702" s="7"/>
      <c r="D6702" s="7"/>
      <c r="E6702" s="7"/>
      <c r="F6702" s="7"/>
      <c r="G6702" s="7"/>
      <c r="H6702" s="8"/>
      <c r="I6702" s="8"/>
      <c r="J6702" s="7"/>
      <c r="K6702" s="7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</row>
    <row r="6703" hidden="1">
      <c r="A6703" s="7"/>
      <c r="B6703" s="7"/>
      <c r="C6703" s="7"/>
      <c r="D6703" s="7"/>
      <c r="E6703" s="7"/>
      <c r="F6703" s="7"/>
      <c r="G6703" s="7"/>
      <c r="H6703" s="8"/>
      <c r="I6703" s="8"/>
      <c r="J6703" s="7"/>
      <c r="K6703" s="7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</row>
    <row r="6704" hidden="1">
      <c r="A6704" s="7"/>
      <c r="B6704" s="7"/>
      <c r="C6704" s="7"/>
      <c r="D6704" s="7"/>
      <c r="E6704" s="7"/>
      <c r="F6704" s="7"/>
      <c r="G6704" s="7"/>
      <c r="H6704" s="8"/>
      <c r="I6704" s="8"/>
      <c r="J6704" s="7"/>
      <c r="K6704" s="7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</row>
    <row r="6705" hidden="1">
      <c r="A6705" s="7"/>
      <c r="B6705" s="7"/>
      <c r="C6705" s="7"/>
      <c r="D6705" s="7"/>
      <c r="E6705" s="7"/>
      <c r="F6705" s="7"/>
      <c r="G6705" s="7"/>
      <c r="H6705" s="8"/>
      <c r="I6705" s="8"/>
      <c r="J6705" s="7"/>
      <c r="K6705" s="7"/>
      <c r="L6705" s="7"/>
      <c r="M6705" s="7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7"/>
      <c r="Z6705" s="7"/>
    </row>
    <row r="6706" hidden="1">
      <c r="A6706" s="7"/>
      <c r="B6706" s="7"/>
      <c r="C6706" s="7"/>
      <c r="D6706" s="7"/>
      <c r="E6706" s="7"/>
      <c r="F6706" s="7"/>
      <c r="G6706" s="7"/>
      <c r="H6706" s="8"/>
      <c r="I6706" s="8"/>
      <c r="J6706" s="7"/>
      <c r="K6706" s="7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</row>
    <row r="6707" hidden="1">
      <c r="A6707" s="7"/>
      <c r="B6707" s="7"/>
      <c r="C6707" s="7"/>
      <c r="D6707" s="7"/>
      <c r="E6707" s="7"/>
      <c r="F6707" s="7"/>
      <c r="G6707" s="7"/>
      <c r="H6707" s="8"/>
      <c r="I6707" s="8"/>
      <c r="J6707" s="7"/>
      <c r="K6707" s="7"/>
      <c r="L6707" s="7"/>
      <c r="M6707" s="7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7"/>
      <c r="Z6707" s="7"/>
    </row>
    <row r="6708" hidden="1">
      <c r="A6708" s="7"/>
      <c r="B6708" s="7"/>
      <c r="C6708" s="7"/>
      <c r="D6708" s="7"/>
      <c r="E6708" s="7"/>
      <c r="F6708" s="7"/>
      <c r="G6708" s="7"/>
      <c r="H6708" s="8"/>
      <c r="I6708" s="8"/>
      <c r="J6708" s="7"/>
      <c r="K6708" s="7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</row>
    <row r="6709" hidden="1">
      <c r="A6709" s="7"/>
      <c r="B6709" s="7"/>
      <c r="C6709" s="7"/>
      <c r="D6709" s="7"/>
      <c r="E6709" s="7"/>
      <c r="F6709" s="7"/>
      <c r="G6709" s="7"/>
      <c r="H6709" s="8"/>
      <c r="I6709" s="8"/>
      <c r="J6709" s="7"/>
      <c r="K6709" s="7"/>
      <c r="L6709" s="7"/>
      <c r="M6709" s="7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7"/>
      <c r="Z6709" s="7"/>
    </row>
    <row r="6710" hidden="1">
      <c r="A6710" s="7"/>
      <c r="B6710" s="7"/>
      <c r="C6710" s="7"/>
      <c r="D6710" s="7"/>
      <c r="E6710" s="7"/>
      <c r="F6710" s="7"/>
      <c r="G6710" s="7"/>
      <c r="H6710" s="8"/>
      <c r="I6710" s="8"/>
      <c r="J6710" s="7"/>
      <c r="K6710" s="7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</row>
    <row r="6711" hidden="1">
      <c r="A6711" s="7"/>
      <c r="B6711" s="7"/>
      <c r="C6711" s="7"/>
      <c r="D6711" s="7"/>
      <c r="E6711" s="7"/>
      <c r="F6711" s="7"/>
      <c r="G6711" s="7"/>
      <c r="H6711" s="8"/>
      <c r="I6711" s="8"/>
      <c r="J6711" s="7"/>
      <c r="K6711" s="7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7"/>
      <c r="Z6711" s="7"/>
    </row>
    <row r="6712" hidden="1">
      <c r="A6712" s="7"/>
      <c r="B6712" s="7"/>
      <c r="C6712" s="7"/>
      <c r="D6712" s="7"/>
      <c r="E6712" s="7"/>
      <c r="F6712" s="7"/>
      <c r="G6712" s="7"/>
      <c r="H6712" s="8"/>
      <c r="I6712" s="8"/>
      <c r="J6712" s="7"/>
      <c r="K6712" s="7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</row>
    <row r="6713" hidden="1">
      <c r="A6713" s="7"/>
      <c r="B6713" s="7"/>
      <c r="C6713" s="7"/>
      <c r="D6713" s="7"/>
      <c r="E6713" s="7"/>
      <c r="F6713" s="7"/>
      <c r="G6713" s="7"/>
      <c r="H6713" s="8"/>
      <c r="I6713" s="8"/>
      <c r="J6713" s="7"/>
      <c r="K6713" s="7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</row>
    <row r="6714" hidden="1">
      <c r="A6714" s="7"/>
      <c r="B6714" s="7"/>
      <c r="C6714" s="7"/>
      <c r="D6714" s="7"/>
      <c r="E6714" s="7"/>
      <c r="F6714" s="7"/>
      <c r="G6714" s="7"/>
      <c r="H6714" s="8"/>
      <c r="I6714" s="8"/>
      <c r="J6714" s="7"/>
      <c r="K6714" s="7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</row>
    <row r="6715" hidden="1">
      <c r="A6715" s="7"/>
      <c r="B6715" s="7"/>
      <c r="C6715" s="7"/>
      <c r="D6715" s="7"/>
      <c r="E6715" s="7"/>
      <c r="F6715" s="7"/>
      <c r="G6715" s="7"/>
      <c r="H6715" s="8"/>
      <c r="I6715" s="8"/>
      <c r="J6715" s="7"/>
      <c r="K6715" s="7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</row>
    <row r="6716" hidden="1">
      <c r="A6716" s="7"/>
      <c r="B6716" s="7"/>
      <c r="C6716" s="7"/>
      <c r="D6716" s="7"/>
      <c r="E6716" s="7"/>
      <c r="F6716" s="7"/>
      <c r="G6716" s="7"/>
      <c r="H6716" s="8"/>
      <c r="I6716" s="8"/>
      <c r="J6716" s="7"/>
      <c r="K6716" s="7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</row>
    <row r="6717" hidden="1">
      <c r="A6717" s="7"/>
      <c r="B6717" s="7"/>
      <c r="C6717" s="7"/>
      <c r="D6717" s="7"/>
      <c r="E6717" s="7"/>
      <c r="F6717" s="7"/>
      <c r="G6717" s="7"/>
      <c r="H6717" s="8"/>
      <c r="I6717" s="8"/>
      <c r="J6717" s="7"/>
      <c r="K6717" s="7"/>
      <c r="L6717" s="7"/>
      <c r="M6717" s="7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</row>
    <row r="6718" hidden="1">
      <c r="A6718" s="7"/>
      <c r="B6718" s="7"/>
      <c r="C6718" s="7"/>
      <c r="D6718" s="7"/>
      <c r="E6718" s="7"/>
      <c r="F6718" s="7"/>
      <c r="G6718" s="7"/>
      <c r="H6718" s="8"/>
      <c r="I6718" s="8"/>
      <c r="J6718" s="7"/>
      <c r="K6718" s="7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</row>
    <row r="6719" hidden="1">
      <c r="A6719" s="7"/>
      <c r="B6719" s="7"/>
      <c r="C6719" s="7"/>
      <c r="D6719" s="7"/>
      <c r="E6719" s="7"/>
      <c r="F6719" s="7"/>
      <c r="G6719" s="7"/>
      <c r="H6719" s="8"/>
      <c r="I6719" s="8"/>
      <c r="J6719" s="7"/>
      <c r="K6719" s="7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</row>
    <row r="6720" hidden="1">
      <c r="A6720" s="7"/>
      <c r="B6720" s="7"/>
      <c r="C6720" s="7"/>
      <c r="D6720" s="7"/>
      <c r="E6720" s="7"/>
      <c r="F6720" s="7"/>
      <c r="G6720" s="7"/>
      <c r="H6720" s="8"/>
      <c r="I6720" s="8"/>
      <c r="J6720" s="7"/>
      <c r="K6720" s="7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</row>
    <row r="6721" hidden="1">
      <c r="A6721" s="7"/>
      <c r="B6721" s="7"/>
      <c r="C6721" s="7"/>
      <c r="D6721" s="7"/>
      <c r="E6721" s="7"/>
      <c r="F6721" s="7"/>
      <c r="G6721" s="7"/>
      <c r="H6721" s="8"/>
      <c r="I6721" s="8"/>
      <c r="J6721" s="7"/>
      <c r="K6721" s="7"/>
      <c r="L6721" s="7"/>
      <c r="M6721" s="7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</row>
    <row r="6722" hidden="1">
      <c r="A6722" s="7"/>
      <c r="B6722" s="7"/>
      <c r="C6722" s="7"/>
      <c r="D6722" s="7"/>
      <c r="E6722" s="7"/>
      <c r="F6722" s="7"/>
      <c r="G6722" s="7"/>
      <c r="H6722" s="8"/>
      <c r="I6722" s="8"/>
      <c r="J6722" s="7"/>
      <c r="K6722" s="7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</row>
    <row r="6723" hidden="1">
      <c r="A6723" s="7"/>
      <c r="B6723" s="7"/>
      <c r="C6723" s="7"/>
      <c r="D6723" s="7"/>
      <c r="E6723" s="7"/>
      <c r="F6723" s="7"/>
      <c r="G6723" s="7"/>
      <c r="H6723" s="8"/>
      <c r="I6723" s="8"/>
      <c r="J6723" s="7"/>
      <c r="K6723" s="7"/>
      <c r="L6723" s="7"/>
      <c r="M6723" s="7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</row>
    <row r="6724" hidden="1">
      <c r="A6724" s="7"/>
      <c r="B6724" s="7"/>
      <c r="C6724" s="7"/>
      <c r="D6724" s="7"/>
      <c r="E6724" s="7"/>
      <c r="F6724" s="7"/>
      <c r="G6724" s="7"/>
      <c r="H6724" s="8"/>
      <c r="I6724" s="8"/>
      <c r="J6724" s="7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</row>
    <row r="6725" hidden="1">
      <c r="A6725" s="7"/>
      <c r="B6725" s="7"/>
      <c r="C6725" s="7"/>
      <c r="D6725" s="7"/>
      <c r="E6725" s="7"/>
      <c r="F6725" s="7"/>
      <c r="G6725" s="7"/>
      <c r="H6725" s="8"/>
      <c r="I6725" s="8"/>
      <c r="J6725" s="7"/>
      <c r="K6725" s="7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</row>
    <row r="6726" hidden="1">
      <c r="A6726" s="7"/>
      <c r="B6726" s="7"/>
      <c r="C6726" s="7"/>
      <c r="D6726" s="7"/>
      <c r="E6726" s="7"/>
      <c r="F6726" s="7"/>
      <c r="G6726" s="7"/>
      <c r="H6726" s="8"/>
      <c r="I6726" s="8"/>
      <c r="J6726" s="7"/>
      <c r="K6726" s="7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</row>
    <row r="6727" hidden="1">
      <c r="A6727" s="7"/>
      <c r="B6727" s="7"/>
      <c r="C6727" s="7"/>
      <c r="D6727" s="7"/>
      <c r="E6727" s="7"/>
      <c r="F6727" s="7"/>
      <c r="G6727" s="7"/>
      <c r="H6727" s="8"/>
      <c r="I6727" s="8"/>
      <c r="J6727" s="7"/>
      <c r="K6727" s="7"/>
      <c r="L6727" s="7"/>
      <c r="M6727" s="7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7"/>
      <c r="Z6727" s="7"/>
    </row>
    <row r="6728" hidden="1">
      <c r="A6728" s="7"/>
      <c r="B6728" s="7"/>
      <c r="C6728" s="7"/>
      <c r="D6728" s="7"/>
      <c r="E6728" s="7"/>
      <c r="F6728" s="7"/>
      <c r="G6728" s="7"/>
      <c r="H6728" s="8"/>
      <c r="I6728" s="8"/>
      <c r="J6728" s="7"/>
      <c r="K6728" s="7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</row>
    <row r="6729" hidden="1">
      <c r="A6729" s="7"/>
      <c r="B6729" s="7"/>
      <c r="C6729" s="7"/>
      <c r="D6729" s="7"/>
      <c r="E6729" s="7"/>
      <c r="F6729" s="7"/>
      <c r="G6729" s="7"/>
      <c r="H6729" s="8"/>
      <c r="I6729" s="8"/>
      <c r="J6729" s="7"/>
      <c r="K6729" s="7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</row>
    <row r="6730" hidden="1">
      <c r="A6730" s="7"/>
      <c r="B6730" s="7"/>
      <c r="C6730" s="7"/>
      <c r="D6730" s="7"/>
      <c r="E6730" s="7"/>
      <c r="F6730" s="7"/>
      <c r="G6730" s="7"/>
      <c r="H6730" s="8"/>
      <c r="I6730" s="8"/>
      <c r="J6730" s="7"/>
      <c r="K6730" s="7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</row>
    <row r="6731" hidden="1">
      <c r="A6731" s="7"/>
      <c r="B6731" s="7"/>
      <c r="C6731" s="7"/>
      <c r="D6731" s="7"/>
      <c r="E6731" s="7"/>
      <c r="F6731" s="7"/>
      <c r="G6731" s="7"/>
      <c r="H6731" s="8"/>
      <c r="I6731" s="8"/>
      <c r="J6731" s="7"/>
      <c r="K6731" s="7"/>
      <c r="L6731" s="7"/>
      <c r="M6731" s="7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7"/>
      <c r="Z6731" s="7"/>
    </row>
    <row r="6732" hidden="1">
      <c r="A6732" s="7"/>
      <c r="B6732" s="7"/>
      <c r="C6732" s="7"/>
      <c r="D6732" s="7"/>
      <c r="E6732" s="7"/>
      <c r="F6732" s="7"/>
      <c r="G6732" s="7"/>
      <c r="H6732" s="8"/>
      <c r="I6732" s="8"/>
      <c r="J6732" s="7"/>
      <c r="K6732" s="7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</row>
    <row r="6733" hidden="1">
      <c r="A6733" s="7"/>
      <c r="B6733" s="7"/>
      <c r="C6733" s="7"/>
      <c r="D6733" s="7"/>
      <c r="E6733" s="7"/>
      <c r="F6733" s="7"/>
      <c r="G6733" s="7"/>
      <c r="H6733" s="8"/>
      <c r="I6733" s="8"/>
      <c r="J6733" s="7"/>
      <c r="K6733" s="7"/>
      <c r="L6733" s="7"/>
      <c r="M6733" s="7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7"/>
      <c r="Z6733" s="7"/>
    </row>
    <row r="6734" hidden="1">
      <c r="A6734" s="7"/>
      <c r="B6734" s="7"/>
      <c r="C6734" s="7"/>
      <c r="D6734" s="7"/>
      <c r="E6734" s="7"/>
      <c r="F6734" s="7"/>
      <c r="G6734" s="7"/>
      <c r="H6734" s="8"/>
      <c r="I6734" s="8"/>
      <c r="J6734" s="7"/>
      <c r="K6734" s="7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</row>
    <row r="6735" hidden="1">
      <c r="A6735" s="7"/>
      <c r="B6735" s="7"/>
      <c r="C6735" s="7"/>
      <c r="D6735" s="7"/>
      <c r="E6735" s="7"/>
      <c r="F6735" s="7"/>
      <c r="G6735" s="7"/>
      <c r="H6735" s="8"/>
      <c r="I6735" s="8"/>
      <c r="J6735" s="7"/>
      <c r="K6735" s="7"/>
      <c r="L6735" s="7"/>
      <c r="M6735" s="7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7"/>
      <c r="Z6735" s="7"/>
    </row>
    <row r="6736" hidden="1">
      <c r="A6736" s="7"/>
      <c r="B6736" s="7"/>
      <c r="C6736" s="7"/>
      <c r="D6736" s="7"/>
      <c r="E6736" s="7"/>
      <c r="F6736" s="7"/>
      <c r="G6736" s="7"/>
      <c r="H6736" s="8"/>
      <c r="I6736" s="8"/>
      <c r="J6736" s="7"/>
      <c r="K6736" s="7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</row>
    <row r="6737" hidden="1">
      <c r="A6737" s="7"/>
      <c r="B6737" s="7"/>
      <c r="C6737" s="7"/>
      <c r="D6737" s="7"/>
      <c r="E6737" s="7"/>
      <c r="F6737" s="7"/>
      <c r="G6737" s="7"/>
      <c r="H6737" s="8"/>
      <c r="I6737" s="8"/>
      <c r="J6737" s="7"/>
      <c r="K6737" s="7"/>
      <c r="L6737" s="7"/>
      <c r="M6737" s="7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7"/>
      <c r="Z6737" s="7"/>
    </row>
    <row r="6738" hidden="1">
      <c r="A6738" s="7"/>
      <c r="B6738" s="7"/>
      <c r="C6738" s="7"/>
      <c r="D6738" s="7"/>
      <c r="E6738" s="7"/>
      <c r="F6738" s="7"/>
      <c r="G6738" s="7"/>
      <c r="H6738" s="8"/>
      <c r="I6738" s="8"/>
      <c r="J6738" s="7"/>
      <c r="K6738" s="7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</row>
    <row r="6739" hidden="1">
      <c r="A6739" s="7"/>
      <c r="B6739" s="7"/>
      <c r="C6739" s="7"/>
      <c r="D6739" s="7"/>
      <c r="E6739" s="7"/>
      <c r="F6739" s="7"/>
      <c r="G6739" s="7"/>
      <c r="H6739" s="8"/>
      <c r="I6739" s="8"/>
      <c r="J6739" s="7"/>
      <c r="K6739" s="7"/>
      <c r="L6739" s="7"/>
      <c r="M6739" s="7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</row>
    <row r="6740" hidden="1">
      <c r="A6740" s="7"/>
      <c r="B6740" s="7"/>
      <c r="C6740" s="7"/>
      <c r="D6740" s="7"/>
      <c r="E6740" s="7"/>
      <c r="F6740" s="7"/>
      <c r="G6740" s="7"/>
      <c r="H6740" s="8"/>
      <c r="I6740" s="8"/>
      <c r="J6740" s="7"/>
      <c r="K6740" s="7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</row>
    <row r="6741" hidden="1">
      <c r="A6741" s="7"/>
      <c r="B6741" s="7"/>
      <c r="C6741" s="7"/>
      <c r="D6741" s="7"/>
      <c r="E6741" s="7"/>
      <c r="F6741" s="7"/>
      <c r="G6741" s="7"/>
      <c r="H6741" s="8"/>
      <c r="I6741" s="8"/>
      <c r="J6741" s="7"/>
      <c r="K6741" s="7"/>
      <c r="L6741" s="7"/>
      <c r="M6741" s="7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</row>
    <row r="6742" hidden="1">
      <c r="A6742" s="7"/>
      <c r="B6742" s="7"/>
      <c r="C6742" s="7"/>
      <c r="D6742" s="7"/>
      <c r="E6742" s="7"/>
      <c r="F6742" s="7"/>
      <c r="G6742" s="7"/>
      <c r="H6742" s="8"/>
      <c r="I6742" s="8"/>
      <c r="J6742" s="7"/>
      <c r="K6742" s="7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</row>
    <row r="6743" hidden="1">
      <c r="A6743" s="7"/>
      <c r="B6743" s="7"/>
      <c r="C6743" s="7"/>
      <c r="D6743" s="7"/>
      <c r="E6743" s="7"/>
      <c r="F6743" s="7"/>
      <c r="G6743" s="7"/>
      <c r="H6743" s="8"/>
      <c r="I6743" s="8"/>
      <c r="J6743" s="7"/>
      <c r="K6743" s="7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</row>
    <row r="6744" hidden="1">
      <c r="A6744" s="7"/>
      <c r="B6744" s="7"/>
      <c r="C6744" s="7"/>
      <c r="D6744" s="7"/>
      <c r="E6744" s="7"/>
      <c r="F6744" s="7"/>
      <c r="G6744" s="7"/>
      <c r="H6744" s="8"/>
      <c r="I6744" s="8"/>
      <c r="J6744" s="7"/>
      <c r="K6744" s="7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</row>
    <row r="6745" hidden="1">
      <c r="A6745" s="7"/>
      <c r="B6745" s="7"/>
      <c r="C6745" s="7"/>
      <c r="D6745" s="7"/>
      <c r="E6745" s="7"/>
      <c r="F6745" s="7"/>
      <c r="G6745" s="7"/>
      <c r="H6745" s="8"/>
      <c r="I6745" s="8"/>
      <c r="J6745" s="7"/>
      <c r="K6745" s="7"/>
      <c r="L6745" s="7"/>
      <c r="M6745" s="7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7"/>
      <c r="Z6745" s="7"/>
    </row>
    <row r="6746" hidden="1">
      <c r="A6746" s="7"/>
      <c r="B6746" s="7"/>
      <c r="C6746" s="7"/>
      <c r="D6746" s="7"/>
      <c r="E6746" s="7"/>
      <c r="F6746" s="7"/>
      <c r="G6746" s="7"/>
      <c r="H6746" s="8"/>
      <c r="I6746" s="8"/>
      <c r="J6746" s="7"/>
      <c r="K6746" s="7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7"/>
      <c r="Z6746" s="7"/>
    </row>
    <row r="6747" hidden="1">
      <c r="A6747" s="7"/>
      <c r="B6747" s="7"/>
      <c r="C6747" s="7"/>
      <c r="D6747" s="7"/>
      <c r="E6747" s="7"/>
      <c r="F6747" s="7"/>
      <c r="G6747" s="7"/>
      <c r="H6747" s="8"/>
      <c r="I6747" s="8"/>
      <c r="J6747" s="7"/>
      <c r="K6747" s="7"/>
      <c r="L6747" s="7"/>
      <c r="M6747" s="7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7"/>
      <c r="Z6747" s="7"/>
    </row>
    <row r="6748" hidden="1">
      <c r="A6748" s="7"/>
      <c r="B6748" s="7"/>
      <c r="C6748" s="7"/>
      <c r="D6748" s="7"/>
      <c r="E6748" s="7"/>
      <c r="F6748" s="7"/>
      <c r="G6748" s="7"/>
      <c r="H6748" s="8"/>
      <c r="I6748" s="8"/>
      <c r="J6748" s="7"/>
      <c r="K6748" s="7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</row>
    <row r="6749" hidden="1">
      <c r="A6749" s="7"/>
      <c r="B6749" s="7"/>
      <c r="C6749" s="7"/>
      <c r="D6749" s="7"/>
      <c r="E6749" s="7"/>
      <c r="F6749" s="7"/>
      <c r="G6749" s="7"/>
      <c r="H6749" s="8"/>
      <c r="I6749" s="8"/>
      <c r="J6749" s="7"/>
      <c r="K6749" s="7"/>
      <c r="L6749" s="7"/>
      <c r="M6749" s="7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7"/>
      <c r="Z6749" s="7"/>
    </row>
    <row r="6750" hidden="1">
      <c r="A6750" s="7"/>
      <c r="B6750" s="7"/>
      <c r="C6750" s="7"/>
      <c r="D6750" s="7"/>
      <c r="E6750" s="7"/>
      <c r="F6750" s="7"/>
      <c r="G6750" s="7"/>
      <c r="H6750" s="8"/>
      <c r="I6750" s="8"/>
      <c r="J6750" s="7"/>
      <c r="K6750" s="7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</row>
    <row r="6751" hidden="1">
      <c r="A6751" s="7"/>
      <c r="B6751" s="7"/>
      <c r="C6751" s="7"/>
      <c r="D6751" s="7"/>
      <c r="E6751" s="7"/>
      <c r="F6751" s="7"/>
      <c r="G6751" s="7"/>
      <c r="H6751" s="8"/>
      <c r="I6751" s="8"/>
      <c r="J6751" s="7"/>
      <c r="K6751" s="7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</row>
    <row r="6752" hidden="1">
      <c r="A6752" s="7"/>
      <c r="B6752" s="7"/>
      <c r="C6752" s="7"/>
      <c r="D6752" s="7"/>
      <c r="E6752" s="7"/>
      <c r="F6752" s="7"/>
      <c r="G6752" s="7"/>
      <c r="H6752" s="8"/>
      <c r="I6752" s="8"/>
      <c r="J6752" s="7"/>
      <c r="K6752" s="7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</row>
    <row r="6753" hidden="1">
      <c r="A6753" s="7"/>
      <c r="B6753" s="7"/>
      <c r="C6753" s="7"/>
      <c r="D6753" s="7"/>
      <c r="E6753" s="7"/>
      <c r="F6753" s="7"/>
      <c r="G6753" s="7"/>
      <c r="H6753" s="8"/>
      <c r="I6753" s="8"/>
      <c r="J6753" s="7"/>
      <c r="K6753" s="7"/>
      <c r="L6753" s="7"/>
      <c r="M6753" s="7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</row>
    <row r="6754" hidden="1">
      <c r="A6754" s="7"/>
      <c r="B6754" s="7"/>
      <c r="C6754" s="7"/>
      <c r="D6754" s="7"/>
      <c r="E6754" s="7"/>
      <c r="F6754" s="7"/>
      <c r="G6754" s="7"/>
      <c r="H6754" s="8"/>
      <c r="I6754" s="8"/>
      <c r="J6754" s="7"/>
      <c r="K6754" s="7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</row>
    <row r="6755" hidden="1">
      <c r="A6755" s="7"/>
      <c r="B6755" s="7"/>
      <c r="C6755" s="7"/>
      <c r="D6755" s="7"/>
      <c r="E6755" s="7"/>
      <c r="F6755" s="7"/>
      <c r="G6755" s="7"/>
      <c r="H6755" s="8"/>
      <c r="I6755" s="8"/>
      <c r="J6755" s="7"/>
      <c r="K6755" s="7"/>
      <c r="L6755" s="7"/>
      <c r="M6755" s="7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</row>
    <row r="6756" hidden="1">
      <c r="A6756" s="7"/>
      <c r="B6756" s="7"/>
      <c r="C6756" s="7"/>
      <c r="D6756" s="7"/>
      <c r="E6756" s="7"/>
      <c r="F6756" s="7"/>
      <c r="G6756" s="7"/>
      <c r="H6756" s="8"/>
      <c r="I6756" s="8"/>
      <c r="J6756" s="7"/>
      <c r="K6756" s="7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</row>
    <row r="6757" hidden="1">
      <c r="A6757" s="7"/>
      <c r="B6757" s="7"/>
      <c r="C6757" s="7"/>
      <c r="D6757" s="7"/>
      <c r="E6757" s="7"/>
      <c r="F6757" s="7"/>
      <c r="G6757" s="7"/>
      <c r="H6757" s="8"/>
      <c r="I6757" s="8"/>
      <c r="J6757" s="7"/>
      <c r="K6757" s="7"/>
      <c r="L6757" s="7"/>
      <c r="M6757" s="7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</row>
    <row r="6758" hidden="1">
      <c r="A6758" s="7"/>
      <c r="B6758" s="7"/>
      <c r="C6758" s="7"/>
      <c r="D6758" s="7"/>
      <c r="E6758" s="7"/>
      <c r="F6758" s="7"/>
      <c r="G6758" s="7"/>
      <c r="H6758" s="8"/>
      <c r="I6758" s="8"/>
      <c r="J6758" s="7"/>
      <c r="K6758" s="7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</row>
    <row r="6759" hidden="1">
      <c r="A6759" s="7"/>
      <c r="B6759" s="7"/>
      <c r="C6759" s="7"/>
      <c r="D6759" s="7"/>
      <c r="E6759" s="7"/>
      <c r="F6759" s="7"/>
      <c r="G6759" s="7"/>
      <c r="H6759" s="8"/>
      <c r="I6759" s="8"/>
      <c r="J6759" s="7"/>
      <c r="K6759" s="7"/>
      <c r="L6759" s="7"/>
      <c r="M6759" s="7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</row>
    <row r="6760" hidden="1">
      <c r="A6760" s="7"/>
      <c r="B6760" s="7"/>
      <c r="C6760" s="7"/>
      <c r="D6760" s="7"/>
      <c r="E6760" s="7"/>
      <c r="F6760" s="7"/>
      <c r="G6760" s="7"/>
      <c r="H6760" s="8"/>
      <c r="I6760" s="8"/>
      <c r="J6760" s="7"/>
      <c r="K6760" s="7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</row>
    <row r="6761" hidden="1">
      <c r="A6761" s="7"/>
      <c r="B6761" s="7"/>
      <c r="C6761" s="7"/>
      <c r="D6761" s="7"/>
      <c r="E6761" s="7"/>
      <c r="F6761" s="7"/>
      <c r="G6761" s="7"/>
      <c r="H6761" s="8"/>
      <c r="I6761" s="8"/>
      <c r="J6761" s="7"/>
      <c r="K6761" s="7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</row>
    <row r="6762" hidden="1">
      <c r="A6762" s="7"/>
      <c r="B6762" s="7"/>
      <c r="C6762" s="7"/>
      <c r="D6762" s="7"/>
      <c r="E6762" s="7"/>
      <c r="F6762" s="7"/>
      <c r="G6762" s="7"/>
      <c r="H6762" s="8"/>
      <c r="I6762" s="8"/>
      <c r="J6762" s="7"/>
      <c r="K6762" s="7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</row>
    <row r="6763" hidden="1">
      <c r="A6763" s="7"/>
      <c r="B6763" s="7"/>
      <c r="C6763" s="7"/>
      <c r="D6763" s="7"/>
      <c r="E6763" s="7"/>
      <c r="F6763" s="7"/>
      <c r="G6763" s="7"/>
      <c r="H6763" s="8"/>
      <c r="I6763" s="8"/>
      <c r="J6763" s="7"/>
      <c r="K6763" s="7"/>
      <c r="L6763" s="7"/>
      <c r="M6763" s="7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</row>
    <row r="6764" hidden="1">
      <c r="A6764" s="7"/>
      <c r="B6764" s="7"/>
      <c r="C6764" s="7"/>
      <c r="D6764" s="7"/>
      <c r="E6764" s="7"/>
      <c r="F6764" s="7"/>
      <c r="G6764" s="7"/>
      <c r="H6764" s="8"/>
      <c r="I6764" s="8"/>
      <c r="J6764" s="7"/>
      <c r="K6764" s="7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</row>
    <row r="6765" hidden="1">
      <c r="A6765" s="7"/>
      <c r="B6765" s="7"/>
      <c r="C6765" s="7"/>
      <c r="D6765" s="7"/>
      <c r="E6765" s="7"/>
      <c r="F6765" s="7"/>
      <c r="G6765" s="7"/>
      <c r="H6765" s="8"/>
      <c r="I6765" s="8"/>
      <c r="J6765" s="7"/>
      <c r="K6765" s="7"/>
      <c r="L6765" s="7"/>
      <c r="M6765" s="7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</row>
    <row r="6766" hidden="1">
      <c r="A6766" s="7"/>
      <c r="B6766" s="7"/>
      <c r="C6766" s="7"/>
      <c r="D6766" s="7"/>
      <c r="E6766" s="7"/>
      <c r="F6766" s="7"/>
      <c r="G6766" s="7"/>
      <c r="H6766" s="8"/>
      <c r="I6766" s="8"/>
      <c r="J6766" s="7"/>
      <c r="K6766" s="7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</row>
    <row r="6767" hidden="1">
      <c r="A6767" s="7"/>
      <c r="B6767" s="7"/>
      <c r="C6767" s="7"/>
      <c r="D6767" s="7"/>
      <c r="E6767" s="7"/>
      <c r="F6767" s="7"/>
      <c r="G6767" s="7"/>
      <c r="H6767" s="8"/>
      <c r="I6767" s="8"/>
      <c r="J6767" s="7"/>
      <c r="K6767" s="7"/>
      <c r="L6767" s="7"/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</row>
    <row r="6768" hidden="1">
      <c r="A6768" s="7"/>
      <c r="B6768" s="7"/>
      <c r="C6768" s="7"/>
      <c r="D6768" s="7"/>
      <c r="E6768" s="7"/>
      <c r="F6768" s="7"/>
      <c r="G6768" s="7"/>
      <c r="H6768" s="8"/>
      <c r="I6768" s="8"/>
      <c r="J6768" s="7"/>
      <c r="K6768" s="7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</row>
    <row r="6769" hidden="1">
      <c r="A6769" s="7"/>
      <c r="B6769" s="7"/>
      <c r="C6769" s="7"/>
      <c r="D6769" s="7"/>
      <c r="E6769" s="7"/>
      <c r="F6769" s="7"/>
      <c r="G6769" s="7"/>
      <c r="H6769" s="8"/>
      <c r="I6769" s="8"/>
      <c r="J6769" s="7"/>
      <c r="K6769" s="7"/>
      <c r="L6769" s="7"/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</row>
    <row r="6770" hidden="1">
      <c r="A6770" s="7"/>
      <c r="B6770" s="7"/>
      <c r="C6770" s="7"/>
      <c r="D6770" s="7"/>
      <c r="E6770" s="7"/>
      <c r="F6770" s="7"/>
      <c r="G6770" s="7"/>
      <c r="H6770" s="8"/>
      <c r="I6770" s="8"/>
      <c r="J6770" s="7"/>
      <c r="K6770" s="7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</row>
    <row r="6771" hidden="1">
      <c r="A6771" s="7"/>
      <c r="B6771" s="7"/>
      <c r="C6771" s="7"/>
      <c r="D6771" s="7"/>
      <c r="E6771" s="7"/>
      <c r="F6771" s="7"/>
      <c r="G6771" s="7"/>
      <c r="H6771" s="8"/>
      <c r="I6771" s="8"/>
      <c r="J6771" s="7"/>
      <c r="K6771" s="7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</row>
    <row r="6772" hidden="1">
      <c r="A6772" s="7"/>
      <c r="B6772" s="7"/>
      <c r="C6772" s="7"/>
      <c r="D6772" s="7"/>
      <c r="E6772" s="7"/>
      <c r="F6772" s="7"/>
      <c r="G6772" s="7"/>
      <c r="H6772" s="8"/>
      <c r="I6772" s="8"/>
      <c r="J6772" s="7"/>
      <c r="K6772" s="7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</row>
    <row r="6773" hidden="1">
      <c r="A6773" s="7"/>
      <c r="B6773" s="7"/>
      <c r="C6773" s="7"/>
      <c r="D6773" s="7"/>
      <c r="E6773" s="7"/>
      <c r="F6773" s="7"/>
      <c r="G6773" s="7"/>
      <c r="H6773" s="8"/>
      <c r="I6773" s="8"/>
      <c r="J6773" s="7"/>
      <c r="K6773" s="7"/>
      <c r="L6773" s="7"/>
      <c r="M6773" s="7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7"/>
      <c r="Z6773" s="7"/>
    </row>
    <row r="6774" hidden="1">
      <c r="A6774" s="7"/>
      <c r="B6774" s="7"/>
      <c r="C6774" s="7"/>
      <c r="D6774" s="7"/>
      <c r="E6774" s="7"/>
      <c r="F6774" s="7"/>
      <c r="G6774" s="7"/>
      <c r="H6774" s="8"/>
      <c r="I6774" s="8"/>
      <c r="J6774" s="7"/>
      <c r="K6774" s="7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</row>
    <row r="6775" hidden="1">
      <c r="A6775" s="7"/>
      <c r="B6775" s="7"/>
      <c r="C6775" s="7"/>
      <c r="D6775" s="7"/>
      <c r="E6775" s="7"/>
      <c r="F6775" s="7"/>
      <c r="G6775" s="7"/>
      <c r="H6775" s="8"/>
      <c r="I6775" s="8"/>
      <c r="J6775" s="7"/>
      <c r="K6775" s="7"/>
      <c r="L6775" s="7"/>
      <c r="M6775" s="7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</row>
    <row r="6776" hidden="1">
      <c r="A6776" s="7"/>
      <c r="B6776" s="7"/>
      <c r="C6776" s="7"/>
      <c r="D6776" s="7"/>
      <c r="E6776" s="7"/>
      <c r="F6776" s="7"/>
      <c r="G6776" s="7"/>
      <c r="H6776" s="8"/>
      <c r="I6776" s="8"/>
      <c r="J6776" s="7"/>
      <c r="K6776" s="7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7"/>
      <c r="Z6776" s="7"/>
    </row>
    <row r="6777" hidden="1">
      <c r="A6777" s="7"/>
      <c r="B6777" s="7"/>
      <c r="C6777" s="7"/>
      <c r="D6777" s="7"/>
      <c r="E6777" s="7"/>
      <c r="F6777" s="7"/>
      <c r="G6777" s="7"/>
      <c r="H6777" s="8"/>
      <c r="I6777" s="8"/>
      <c r="J6777" s="7"/>
      <c r="K6777" s="7"/>
      <c r="L6777" s="7"/>
      <c r="M6777" s="7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7"/>
      <c r="Z6777" s="7"/>
    </row>
    <row r="6778" hidden="1">
      <c r="A6778" s="7"/>
      <c r="B6778" s="7"/>
      <c r="C6778" s="7"/>
      <c r="D6778" s="7"/>
      <c r="E6778" s="7"/>
      <c r="F6778" s="7"/>
      <c r="G6778" s="7"/>
      <c r="H6778" s="8"/>
      <c r="I6778" s="8"/>
      <c r="J6778" s="7"/>
      <c r="K6778" s="7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</row>
    <row r="6779" hidden="1">
      <c r="A6779" s="7"/>
      <c r="B6779" s="7"/>
      <c r="C6779" s="7"/>
      <c r="D6779" s="7"/>
      <c r="E6779" s="7"/>
      <c r="F6779" s="7"/>
      <c r="G6779" s="7"/>
      <c r="H6779" s="8"/>
      <c r="I6779" s="8"/>
      <c r="J6779" s="7"/>
      <c r="K6779" s="7"/>
      <c r="L6779" s="7"/>
      <c r="M6779" s="7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7"/>
      <c r="Z6779" s="7"/>
    </row>
    <row r="6780" hidden="1">
      <c r="A6780" s="7"/>
      <c r="B6780" s="7"/>
      <c r="C6780" s="7"/>
      <c r="D6780" s="7"/>
      <c r="E6780" s="7"/>
      <c r="F6780" s="7"/>
      <c r="G6780" s="7"/>
      <c r="H6780" s="8"/>
      <c r="I6780" s="8"/>
      <c r="J6780" s="7"/>
      <c r="K6780" s="7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</row>
    <row r="6781" hidden="1">
      <c r="A6781" s="7"/>
      <c r="B6781" s="7"/>
      <c r="C6781" s="7"/>
      <c r="D6781" s="7"/>
      <c r="E6781" s="7"/>
      <c r="F6781" s="7"/>
      <c r="G6781" s="7"/>
      <c r="H6781" s="8"/>
      <c r="I6781" s="8"/>
      <c r="J6781" s="7"/>
      <c r="K6781" s="7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</row>
    <row r="6782" hidden="1">
      <c r="A6782" s="7"/>
      <c r="B6782" s="7"/>
      <c r="C6782" s="7"/>
      <c r="D6782" s="7"/>
      <c r="E6782" s="7"/>
      <c r="F6782" s="7"/>
      <c r="G6782" s="7"/>
      <c r="H6782" s="8"/>
      <c r="I6782" s="8"/>
      <c r="J6782" s="7"/>
      <c r="K6782" s="7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</row>
    <row r="6783" hidden="1">
      <c r="A6783" s="7"/>
      <c r="B6783" s="7"/>
      <c r="C6783" s="7"/>
      <c r="D6783" s="7"/>
      <c r="E6783" s="7"/>
      <c r="F6783" s="7"/>
      <c r="G6783" s="7"/>
      <c r="H6783" s="8"/>
      <c r="I6783" s="8"/>
      <c r="J6783" s="7"/>
      <c r="K6783" s="7"/>
      <c r="L6783" s="7"/>
      <c r="M6783" s="7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7"/>
      <c r="Z6783" s="7"/>
    </row>
    <row r="6784" hidden="1">
      <c r="A6784" s="7"/>
      <c r="B6784" s="7"/>
      <c r="C6784" s="7"/>
      <c r="D6784" s="7"/>
      <c r="E6784" s="7"/>
      <c r="F6784" s="7"/>
      <c r="G6784" s="7"/>
      <c r="H6784" s="8"/>
      <c r="I6784" s="8"/>
      <c r="J6784" s="7"/>
      <c r="K6784" s="7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</row>
    <row r="6785" hidden="1">
      <c r="A6785" s="7"/>
      <c r="B6785" s="7"/>
      <c r="C6785" s="7"/>
      <c r="D6785" s="7"/>
      <c r="E6785" s="7"/>
      <c r="F6785" s="7"/>
      <c r="G6785" s="7"/>
      <c r="H6785" s="8"/>
      <c r="I6785" s="8"/>
      <c r="J6785" s="7"/>
      <c r="K6785" s="7"/>
      <c r="L6785" s="7"/>
      <c r="M6785" s="7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7"/>
      <c r="Z6785" s="7"/>
    </row>
    <row r="6786" hidden="1">
      <c r="A6786" s="7"/>
      <c r="B6786" s="7"/>
      <c r="C6786" s="7"/>
      <c r="D6786" s="7"/>
      <c r="E6786" s="7"/>
      <c r="F6786" s="7"/>
      <c r="G6786" s="7"/>
      <c r="H6786" s="8"/>
      <c r="I6786" s="8"/>
      <c r="J6786" s="7"/>
      <c r="K6786" s="7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</row>
    <row r="6787" hidden="1">
      <c r="A6787" s="7"/>
      <c r="B6787" s="7"/>
      <c r="C6787" s="7"/>
      <c r="D6787" s="7"/>
      <c r="E6787" s="7"/>
      <c r="F6787" s="7"/>
      <c r="G6787" s="7"/>
      <c r="H6787" s="8"/>
      <c r="I6787" s="8"/>
      <c r="J6787" s="7"/>
      <c r="K6787" s="7"/>
      <c r="L6787" s="7"/>
      <c r="M6787" s="7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7"/>
      <c r="Z6787" s="7"/>
    </row>
    <row r="6788" hidden="1">
      <c r="A6788" s="7"/>
      <c r="B6788" s="7"/>
      <c r="C6788" s="7"/>
      <c r="D6788" s="7"/>
      <c r="E6788" s="7"/>
      <c r="F6788" s="7"/>
      <c r="G6788" s="7"/>
      <c r="H6788" s="8"/>
      <c r="I6788" s="8"/>
      <c r="J6788" s="7"/>
      <c r="K6788" s="7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</row>
    <row r="6789" hidden="1">
      <c r="A6789" s="7"/>
      <c r="B6789" s="7"/>
      <c r="C6789" s="7"/>
      <c r="D6789" s="7"/>
      <c r="E6789" s="7"/>
      <c r="F6789" s="7"/>
      <c r="G6789" s="7"/>
      <c r="H6789" s="8"/>
      <c r="I6789" s="8"/>
      <c r="J6789" s="7"/>
      <c r="K6789" s="7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</row>
    <row r="6790" hidden="1">
      <c r="A6790" s="7"/>
      <c r="B6790" s="7"/>
      <c r="C6790" s="7"/>
      <c r="D6790" s="7"/>
      <c r="E6790" s="7"/>
      <c r="F6790" s="7"/>
      <c r="G6790" s="7"/>
      <c r="H6790" s="8"/>
      <c r="I6790" s="8"/>
      <c r="J6790" s="7"/>
      <c r="K6790" s="7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</row>
    <row r="6791" hidden="1">
      <c r="A6791" s="7"/>
      <c r="B6791" s="7"/>
      <c r="C6791" s="7"/>
      <c r="D6791" s="7"/>
      <c r="E6791" s="7"/>
      <c r="F6791" s="7"/>
      <c r="G6791" s="7"/>
      <c r="H6791" s="8"/>
      <c r="I6791" s="8"/>
      <c r="J6791" s="7"/>
      <c r="K6791" s="7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</row>
    <row r="6792" hidden="1">
      <c r="A6792" s="7"/>
      <c r="B6792" s="7"/>
      <c r="C6792" s="7"/>
      <c r="D6792" s="7"/>
      <c r="E6792" s="7"/>
      <c r="F6792" s="7"/>
      <c r="G6792" s="7"/>
      <c r="H6792" s="8"/>
      <c r="I6792" s="8"/>
      <c r="J6792" s="7"/>
      <c r="K6792" s="7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</row>
    <row r="6793" hidden="1">
      <c r="A6793" s="7"/>
      <c r="B6793" s="7"/>
      <c r="C6793" s="7"/>
      <c r="D6793" s="7"/>
      <c r="E6793" s="7"/>
      <c r="F6793" s="7"/>
      <c r="G6793" s="7"/>
      <c r="H6793" s="8"/>
      <c r="I6793" s="8"/>
      <c r="J6793" s="7"/>
      <c r="K6793" s="7"/>
      <c r="L6793" s="7"/>
      <c r="M6793" s="7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</row>
    <row r="6794" hidden="1">
      <c r="A6794" s="7"/>
      <c r="B6794" s="7"/>
      <c r="C6794" s="7"/>
      <c r="D6794" s="7"/>
      <c r="E6794" s="7"/>
      <c r="F6794" s="7"/>
      <c r="G6794" s="7"/>
      <c r="H6794" s="8"/>
      <c r="I6794" s="8"/>
      <c r="J6794" s="7"/>
      <c r="K6794" s="7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</row>
    <row r="6795" hidden="1">
      <c r="A6795" s="7"/>
      <c r="B6795" s="7"/>
      <c r="C6795" s="7"/>
      <c r="D6795" s="7"/>
      <c r="E6795" s="7"/>
      <c r="F6795" s="7"/>
      <c r="G6795" s="7"/>
      <c r="H6795" s="8"/>
      <c r="I6795" s="8"/>
      <c r="J6795" s="7"/>
      <c r="K6795" s="7"/>
      <c r="L6795" s="7"/>
      <c r="M6795" s="7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</row>
    <row r="6796" hidden="1">
      <c r="A6796" s="7"/>
      <c r="B6796" s="7"/>
      <c r="C6796" s="7"/>
      <c r="D6796" s="7"/>
      <c r="E6796" s="7"/>
      <c r="F6796" s="7"/>
      <c r="G6796" s="7"/>
      <c r="H6796" s="8"/>
      <c r="I6796" s="8"/>
      <c r="J6796" s="7"/>
      <c r="K6796" s="7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</row>
    <row r="6797" hidden="1">
      <c r="A6797" s="7"/>
      <c r="B6797" s="7"/>
      <c r="C6797" s="7"/>
      <c r="D6797" s="7"/>
      <c r="E6797" s="7"/>
      <c r="F6797" s="7"/>
      <c r="G6797" s="7"/>
      <c r="H6797" s="8"/>
      <c r="I6797" s="8"/>
      <c r="J6797" s="7"/>
      <c r="K6797" s="7"/>
      <c r="L6797" s="7"/>
      <c r="M6797" s="7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7"/>
      <c r="Z6797" s="7"/>
    </row>
    <row r="6798" hidden="1">
      <c r="A6798" s="7"/>
      <c r="B6798" s="7"/>
      <c r="C6798" s="7"/>
      <c r="D6798" s="7"/>
      <c r="E6798" s="7"/>
      <c r="F6798" s="7"/>
      <c r="G6798" s="7"/>
      <c r="H6798" s="8"/>
      <c r="I6798" s="8"/>
      <c r="J6798" s="7"/>
      <c r="K6798" s="7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</row>
    <row r="6799" hidden="1">
      <c r="A6799" s="7"/>
      <c r="B6799" s="7"/>
      <c r="C6799" s="7"/>
      <c r="D6799" s="7"/>
      <c r="E6799" s="7"/>
      <c r="F6799" s="7"/>
      <c r="G6799" s="7"/>
      <c r="H6799" s="8"/>
      <c r="I6799" s="8"/>
      <c r="J6799" s="7"/>
      <c r="K6799" s="7"/>
      <c r="L6799" s="7"/>
      <c r="M6799" s="7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</row>
    <row r="6800" hidden="1">
      <c r="A6800" s="7"/>
      <c r="B6800" s="7"/>
      <c r="C6800" s="7"/>
      <c r="D6800" s="7"/>
      <c r="E6800" s="7"/>
      <c r="F6800" s="7"/>
      <c r="G6800" s="7"/>
      <c r="H6800" s="8"/>
      <c r="I6800" s="8"/>
      <c r="J6800" s="7"/>
      <c r="K6800" s="7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</row>
    <row r="6801" hidden="1">
      <c r="A6801" s="7"/>
      <c r="B6801" s="7"/>
      <c r="C6801" s="7"/>
      <c r="D6801" s="7"/>
      <c r="E6801" s="7"/>
      <c r="F6801" s="7"/>
      <c r="G6801" s="7"/>
      <c r="H6801" s="8"/>
      <c r="I6801" s="8"/>
      <c r="J6801" s="7"/>
      <c r="K6801" s="7"/>
      <c r="L6801" s="7"/>
      <c r="M6801" s="7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</row>
    <row r="6802" hidden="1">
      <c r="A6802" s="7"/>
      <c r="B6802" s="7"/>
      <c r="C6802" s="7"/>
      <c r="D6802" s="7"/>
      <c r="E6802" s="7"/>
      <c r="F6802" s="7"/>
      <c r="G6802" s="7"/>
      <c r="H6802" s="8"/>
      <c r="I6802" s="8"/>
      <c r="J6802" s="7"/>
      <c r="K6802" s="7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</row>
    <row r="6803" hidden="1">
      <c r="A6803" s="7"/>
      <c r="B6803" s="7"/>
      <c r="C6803" s="7"/>
      <c r="D6803" s="7"/>
      <c r="E6803" s="7"/>
      <c r="F6803" s="7"/>
      <c r="G6803" s="7"/>
      <c r="H6803" s="8"/>
      <c r="I6803" s="8"/>
      <c r="J6803" s="7"/>
      <c r="K6803" s="7"/>
      <c r="L6803" s="7"/>
      <c r="M6803" s="7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7"/>
      <c r="Z6803" s="7"/>
    </row>
    <row r="6804" hidden="1">
      <c r="A6804" s="7"/>
      <c r="B6804" s="7"/>
      <c r="C6804" s="7"/>
      <c r="D6804" s="7"/>
      <c r="E6804" s="7"/>
      <c r="F6804" s="7"/>
      <c r="G6804" s="7"/>
      <c r="H6804" s="8"/>
      <c r="I6804" s="8"/>
      <c r="J6804" s="7"/>
      <c r="K6804" s="7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</row>
    <row r="6805" hidden="1">
      <c r="A6805" s="7"/>
      <c r="B6805" s="7"/>
      <c r="C6805" s="7"/>
      <c r="D6805" s="7"/>
      <c r="E6805" s="7"/>
      <c r="F6805" s="7"/>
      <c r="G6805" s="7"/>
      <c r="H6805" s="8"/>
      <c r="I6805" s="8"/>
      <c r="J6805" s="7"/>
      <c r="K6805" s="7"/>
      <c r="L6805" s="7"/>
      <c r="M6805" s="7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7"/>
      <c r="Z6805" s="7"/>
    </row>
    <row r="6806" hidden="1">
      <c r="A6806" s="7"/>
      <c r="B6806" s="7"/>
      <c r="C6806" s="7"/>
      <c r="D6806" s="7"/>
      <c r="E6806" s="7"/>
      <c r="F6806" s="7"/>
      <c r="G6806" s="7"/>
      <c r="H6806" s="8"/>
      <c r="I6806" s="8"/>
      <c r="J6806" s="7"/>
      <c r="K6806" s="7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7"/>
      <c r="Z6806" s="7"/>
    </row>
    <row r="6807" hidden="1">
      <c r="A6807" s="7"/>
      <c r="B6807" s="7"/>
      <c r="C6807" s="7"/>
      <c r="D6807" s="7"/>
      <c r="E6807" s="7"/>
      <c r="F6807" s="7"/>
      <c r="G6807" s="7"/>
      <c r="H6807" s="8"/>
      <c r="I6807" s="8"/>
      <c r="J6807" s="7"/>
      <c r="K6807" s="7"/>
      <c r="L6807" s="7"/>
      <c r="M6807" s="7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7"/>
      <c r="Z6807" s="7"/>
    </row>
    <row r="6808" hidden="1">
      <c r="A6808" s="7"/>
      <c r="B6808" s="7"/>
      <c r="C6808" s="7"/>
      <c r="D6808" s="7"/>
      <c r="E6808" s="7"/>
      <c r="F6808" s="7"/>
      <c r="G6808" s="7"/>
      <c r="H6808" s="8"/>
      <c r="I6808" s="8"/>
      <c r="J6808" s="7"/>
      <c r="K6808" s="7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</row>
    <row r="6809" hidden="1">
      <c r="A6809" s="7"/>
      <c r="B6809" s="7"/>
      <c r="C6809" s="7"/>
      <c r="D6809" s="7"/>
      <c r="E6809" s="7"/>
      <c r="F6809" s="7"/>
      <c r="G6809" s="7"/>
      <c r="H6809" s="8"/>
      <c r="I6809" s="8"/>
      <c r="J6809" s="7"/>
      <c r="K6809" s="7"/>
      <c r="L6809" s="7"/>
      <c r="M6809" s="7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7"/>
      <c r="Z6809" s="7"/>
    </row>
    <row r="6810" hidden="1">
      <c r="A6810" s="7"/>
      <c r="B6810" s="7"/>
      <c r="C6810" s="7"/>
      <c r="D6810" s="7"/>
      <c r="E6810" s="7"/>
      <c r="F6810" s="7"/>
      <c r="G6810" s="7"/>
      <c r="H6810" s="8"/>
      <c r="I6810" s="8"/>
      <c r="J6810" s="7"/>
      <c r="K6810" s="7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</row>
    <row r="6811" hidden="1">
      <c r="A6811" s="7"/>
      <c r="B6811" s="7"/>
      <c r="C6811" s="7"/>
      <c r="D6811" s="7"/>
      <c r="E6811" s="7"/>
      <c r="F6811" s="7"/>
      <c r="G6811" s="7"/>
      <c r="H6811" s="8"/>
      <c r="I6811" s="8"/>
      <c r="J6811" s="7"/>
      <c r="K6811" s="7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7"/>
      <c r="Z6811" s="7"/>
    </row>
    <row r="6812" hidden="1">
      <c r="A6812" s="7"/>
      <c r="B6812" s="7"/>
      <c r="C6812" s="7"/>
      <c r="D6812" s="7"/>
      <c r="E6812" s="7"/>
      <c r="F6812" s="7"/>
      <c r="G6812" s="7"/>
      <c r="H6812" s="8"/>
      <c r="I6812" s="8"/>
      <c r="J6812" s="7"/>
      <c r="K6812" s="7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</row>
    <row r="6813" hidden="1">
      <c r="A6813" s="7"/>
      <c r="B6813" s="7"/>
      <c r="C6813" s="7"/>
      <c r="D6813" s="7"/>
      <c r="E6813" s="7"/>
      <c r="F6813" s="7"/>
      <c r="G6813" s="7"/>
      <c r="H6813" s="8"/>
      <c r="I6813" s="8"/>
      <c r="J6813" s="7"/>
      <c r="K6813" s="7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</row>
    <row r="6814" hidden="1">
      <c r="A6814" s="7"/>
      <c r="B6814" s="7"/>
      <c r="C6814" s="7"/>
      <c r="D6814" s="7"/>
      <c r="E6814" s="7"/>
      <c r="F6814" s="7"/>
      <c r="G6814" s="7"/>
      <c r="H6814" s="8"/>
      <c r="I6814" s="8"/>
      <c r="J6814" s="7"/>
      <c r="K6814" s="7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</row>
    <row r="6815" hidden="1">
      <c r="A6815" s="7"/>
      <c r="B6815" s="7"/>
      <c r="C6815" s="7"/>
      <c r="D6815" s="7"/>
      <c r="E6815" s="7"/>
      <c r="F6815" s="7"/>
      <c r="G6815" s="7"/>
      <c r="H6815" s="8"/>
      <c r="I6815" s="8"/>
      <c r="J6815" s="7"/>
      <c r="K6815" s="7"/>
      <c r="L6815" s="7"/>
      <c r="M6815" s="7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</row>
    <row r="6816" hidden="1">
      <c r="A6816" s="7"/>
      <c r="B6816" s="7"/>
      <c r="C6816" s="7"/>
      <c r="D6816" s="7"/>
      <c r="E6816" s="7"/>
      <c r="F6816" s="7"/>
      <c r="G6816" s="7"/>
      <c r="H6816" s="8"/>
      <c r="I6816" s="8"/>
      <c r="J6816" s="7"/>
      <c r="K6816" s="7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</row>
    <row r="6817" hidden="1">
      <c r="A6817" s="7"/>
      <c r="B6817" s="7"/>
      <c r="C6817" s="7"/>
      <c r="D6817" s="7"/>
      <c r="E6817" s="7"/>
      <c r="F6817" s="7"/>
      <c r="G6817" s="7"/>
      <c r="H6817" s="8"/>
      <c r="I6817" s="8"/>
      <c r="J6817" s="7"/>
      <c r="K6817" s="7"/>
      <c r="L6817" s="7"/>
      <c r="M6817" s="7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</row>
    <row r="6818" hidden="1">
      <c r="A6818" s="7"/>
      <c r="B6818" s="7"/>
      <c r="C6818" s="7"/>
      <c r="D6818" s="7"/>
      <c r="E6818" s="7"/>
      <c r="F6818" s="7"/>
      <c r="G6818" s="7"/>
      <c r="H6818" s="8"/>
      <c r="I6818" s="8"/>
      <c r="J6818" s="7"/>
      <c r="K6818" s="7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7"/>
      <c r="Z6818" s="7"/>
    </row>
    <row r="6819" hidden="1">
      <c r="A6819" s="7"/>
      <c r="B6819" s="7"/>
      <c r="C6819" s="7"/>
      <c r="D6819" s="7"/>
      <c r="E6819" s="7"/>
      <c r="F6819" s="7"/>
      <c r="G6819" s="7"/>
      <c r="H6819" s="8"/>
      <c r="I6819" s="8"/>
      <c r="J6819" s="7"/>
      <c r="K6819" s="7"/>
      <c r="L6819" s="7"/>
      <c r="M6819" s="7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</row>
    <row r="6820" hidden="1">
      <c r="A6820" s="7"/>
      <c r="B6820" s="7"/>
      <c r="C6820" s="7"/>
      <c r="D6820" s="7"/>
      <c r="E6820" s="7"/>
      <c r="F6820" s="7"/>
      <c r="G6820" s="7"/>
      <c r="H6820" s="8"/>
      <c r="I6820" s="8"/>
      <c r="J6820" s="7"/>
      <c r="K6820" s="7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</row>
    <row r="6821" hidden="1">
      <c r="A6821" s="7"/>
      <c r="B6821" s="7"/>
      <c r="C6821" s="7"/>
      <c r="D6821" s="7"/>
      <c r="E6821" s="7"/>
      <c r="F6821" s="7"/>
      <c r="G6821" s="7"/>
      <c r="H6821" s="8"/>
      <c r="I6821" s="8"/>
      <c r="J6821" s="7"/>
      <c r="K6821" s="7"/>
      <c r="L6821" s="7"/>
      <c r="M6821" s="7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</row>
    <row r="6822" hidden="1">
      <c r="A6822" s="7"/>
      <c r="B6822" s="7"/>
      <c r="C6822" s="7"/>
      <c r="D6822" s="7"/>
      <c r="E6822" s="7"/>
      <c r="F6822" s="7"/>
      <c r="G6822" s="7"/>
      <c r="H6822" s="8"/>
      <c r="I6822" s="8"/>
      <c r="J6822" s="7"/>
      <c r="K6822" s="7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</row>
    <row r="6823" hidden="1">
      <c r="A6823" s="7"/>
      <c r="B6823" s="7"/>
      <c r="C6823" s="7"/>
      <c r="D6823" s="7"/>
      <c r="E6823" s="7"/>
      <c r="F6823" s="7"/>
      <c r="G6823" s="7"/>
      <c r="H6823" s="8"/>
      <c r="I6823" s="8"/>
      <c r="J6823" s="7"/>
      <c r="K6823" s="7"/>
      <c r="L6823" s="7"/>
      <c r="M6823" s="7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</row>
    <row r="6824" hidden="1">
      <c r="A6824" s="7"/>
      <c r="B6824" s="7"/>
      <c r="C6824" s="7"/>
      <c r="D6824" s="7"/>
      <c r="E6824" s="7"/>
      <c r="F6824" s="7"/>
      <c r="G6824" s="7"/>
      <c r="H6824" s="8"/>
      <c r="I6824" s="8"/>
      <c r="J6824" s="7"/>
      <c r="K6824" s="7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</row>
    <row r="6825" hidden="1">
      <c r="A6825" s="7"/>
      <c r="B6825" s="7"/>
      <c r="C6825" s="7"/>
      <c r="D6825" s="7"/>
      <c r="E6825" s="7"/>
      <c r="F6825" s="7"/>
      <c r="G6825" s="7"/>
      <c r="H6825" s="8"/>
      <c r="I6825" s="8"/>
      <c r="J6825" s="7"/>
      <c r="K6825" s="7"/>
      <c r="L6825" s="7"/>
      <c r="M6825" s="7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</row>
    <row r="6826" hidden="1">
      <c r="A6826" s="7"/>
      <c r="B6826" s="7"/>
      <c r="C6826" s="7"/>
      <c r="D6826" s="7"/>
      <c r="E6826" s="7"/>
      <c r="F6826" s="7"/>
      <c r="G6826" s="7"/>
      <c r="H6826" s="8"/>
      <c r="I6826" s="8"/>
      <c r="J6826" s="7"/>
      <c r="K6826" s="7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</row>
    <row r="6827" hidden="1">
      <c r="A6827" s="7"/>
      <c r="B6827" s="7"/>
      <c r="C6827" s="7"/>
      <c r="D6827" s="7"/>
      <c r="E6827" s="7"/>
      <c r="F6827" s="7"/>
      <c r="G6827" s="7"/>
      <c r="H6827" s="8"/>
      <c r="I6827" s="8"/>
      <c r="J6827" s="7"/>
      <c r="K6827" s="7"/>
      <c r="L6827" s="7"/>
      <c r="M6827" s="7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</row>
    <row r="6828" hidden="1">
      <c r="A6828" s="7"/>
      <c r="B6828" s="7"/>
      <c r="C6828" s="7"/>
      <c r="D6828" s="7"/>
      <c r="E6828" s="7"/>
      <c r="F6828" s="7"/>
      <c r="G6828" s="7"/>
      <c r="H6828" s="8"/>
      <c r="I6828" s="8"/>
      <c r="J6828" s="7"/>
      <c r="K6828" s="7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</row>
    <row r="6829" hidden="1">
      <c r="A6829" s="7"/>
      <c r="B6829" s="7"/>
      <c r="C6829" s="7"/>
      <c r="D6829" s="7"/>
      <c r="E6829" s="7"/>
      <c r="F6829" s="7"/>
      <c r="G6829" s="7"/>
      <c r="H6829" s="8"/>
      <c r="I6829" s="8"/>
      <c r="J6829" s="7"/>
      <c r="K6829" s="7"/>
      <c r="L6829" s="7"/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</row>
    <row r="6830" hidden="1">
      <c r="A6830" s="7"/>
      <c r="B6830" s="7"/>
      <c r="C6830" s="7"/>
      <c r="D6830" s="7"/>
      <c r="E6830" s="7"/>
      <c r="F6830" s="7"/>
      <c r="G6830" s="7"/>
      <c r="H6830" s="8"/>
      <c r="I6830" s="8"/>
      <c r="J6830" s="7"/>
      <c r="K6830" s="7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</row>
    <row r="6831" hidden="1">
      <c r="A6831" s="7"/>
      <c r="B6831" s="7"/>
      <c r="C6831" s="7"/>
      <c r="D6831" s="7"/>
      <c r="E6831" s="7"/>
      <c r="F6831" s="7"/>
      <c r="G6831" s="7"/>
      <c r="H6831" s="8"/>
      <c r="I6831" s="8"/>
      <c r="J6831" s="7"/>
      <c r="K6831" s="7"/>
      <c r="L6831" s="7"/>
      <c r="M6831" s="7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7"/>
      <c r="Z6831" s="7"/>
    </row>
    <row r="6832" hidden="1">
      <c r="A6832" s="7"/>
      <c r="B6832" s="7"/>
      <c r="C6832" s="7"/>
      <c r="D6832" s="7"/>
      <c r="E6832" s="7"/>
      <c r="F6832" s="7"/>
      <c r="G6832" s="7"/>
      <c r="H6832" s="8"/>
      <c r="I6832" s="8"/>
      <c r="J6832" s="7"/>
      <c r="K6832" s="7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</row>
    <row r="6833" hidden="1">
      <c r="A6833" s="7"/>
      <c r="B6833" s="7"/>
      <c r="C6833" s="7"/>
      <c r="D6833" s="7"/>
      <c r="E6833" s="7"/>
      <c r="F6833" s="7"/>
      <c r="G6833" s="7"/>
      <c r="H6833" s="8"/>
      <c r="I6833" s="8"/>
      <c r="J6833" s="7"/>
      <c r="K6833" s="7"/>
      <c r="L6833" s="7"/>
      <c r="M6833" s="7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7"/>
      <c r="Z6833" s="7"/>
    </row>
    <row r="6834" hidden="1">
      <c r="A6834" s="7"/>
      <c r="B6834" s="7"/>
      <c r="C6834" s="7"/>
      <c r="D6834" s="7"/>
      <c r="E6834" s="7"/>
      <c r="F6834" s="7"/>
      <c r="G6834" s="7"/>
      <c r="H6834" s="8"/>
      <c r="I6834" s="8"/>
      <c r="J6834" s="7"/>
      <c r="K6834" s="7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</row>
    <row r="6835" hidden="1">
      <c r="A6835" s="7"/>
      <c r="B6835" s="7"/>
      <c r="C6835" s="7"/>
      <c r="D6835" s="7"/>
      <c r="E6835" s="7"/>
      <c r="F6835" s="7"/>
      <c r="G6835" s="7"/>
      <c r="H6835" s="8"/>
      <c r="I6835" s="8"/>
      <c r="J6835" s="7"/>
      <c r="K6835" s="7"/>
      <c r="L6835" s="7"/>
      <c r="M6835" s="7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</row>
    <row r="6836" hidden="1">
      <c r="A6836" s="7"/>
      <c r="B6836" s="7"/>
      <c r="C6836" s="7"/>
      <c r="D6836" s="7"/>
      <c r="E6836" s="7"/>
      <c r="F6836" s="7"/>
      <c r="G6836" s="7"/>
      <c r="H6836" s="8"/>
      <c r="I6836" s="8"/>
      <c r="J6836" s="7"/>
      <c r="K6836" s="7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</row>
    <row r="6837" hidden="1">
      <c r="A6837" s="7"/>
      <c r="B6837" s="7"/>
      <c r="C6837" s="7"/>
      <c r="D6837" s="7"/>
      <c r="E6837" s="7"/>
      <c r="F6837" s="7"/>
      <c r="G6837" s="7"/>
      <c r="H6837" s="8"/>
      <c r="I6837" s="8"/>
      <c r="J6837" s="7"/>
      <c r="K6837" s="7"/>
      <c r="L6837" s="7"/>
      <c r="M6837" s="7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7"/>
      <c r="Z6837" s="7"/>
    </row>
    <row r="6838" hidden="1">
      <c r="A6838" s="7"/>
      <c r="B6838" s="7"/>
      <c r="C6838" s="7"/>
      <c r="D6838" s="7"/>
      <c r="E6838" s="7"/>
      <c r="F6838" s="7"/>
      <c r="G6838" s="7"/>
      <c r="H6838" s="8"/>
      <c r="I6838" s="8"/>
      <c r="J6838" s="7"/>
      <c r="K6838" s="7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</row>
    <row r="6839" hidden="1">
      <c r="A6839" s="7"/>
      <c r="B6839" s="7"/>
      <c r="C6839" s="7"/>
      <c r="D6839" s="7"/>
      <c r="E6839" s="7"/>
      <c r="F6839" s="7"/>
      <c r="G6839" s="7"/>
      <c r="H6839" s="8"/>
      <c r="I6839" s="8"/>
      <c r="J6839" s="7"/>
      <c r="K6839" s="7"/>
      <c r="L6839" s="7"/>
      <c r="M6839" s="7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7"/>
      <c r="Z6839" s="7"/>
    </row>
    <row r="6840" hidden="1">
      <c r="A6840" s="7"/>
      <c r="B6840" s="7"/>
      <c r="C6840" s="7"/>
      <c r="D6840" s="7"/>
      <c r="E6840" s="7"/>
      <c r="F6840" s="7"/>
      <c r="G6840" s="7"/>
      <c r="H6840" s="8"/>
      <c r="I6840" s="8"/>
      <c r="J6840" s="7"/>
      <c r="K6840" s="7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</row>
    <row r="6841" hidden="1">
      <c r="A6841" s="7"/>
      <c r="B6841" s="7"/>
      <c r="C6841" s="7"/>
      <c r="D6841" s="7"/>
      <c r="E6841" s="7"/>
      <c r="F6841" s="7"/>
      <c r="G6841" s="7"/>
      <c r="H6841" s="8"/>
      <c r="I6841" s="8"/>
      <c r="J6841" s="7"/>
      <c r="K6841" s="7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7"/>
      <c r="Z6841" s="7"/>
    </row>
    <row r="6842" hidden="1">
      <c r="A6842" s="7"/>
      <c r="B6842" s="7"/>
      <c r="C6842" s="7"/>
      <c r="D6842" s="7"/>
      <c r="E6842" s="7"/>
      <c r="F6842" s="7"/>
      <c r="G6842" s="7"/>
      <c r="H6842" s="8"/>
      <c r="I6842" s="8"/>
      <c r="J6842" s="7"/>
      <c r="K6842" s="7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</row>
    <row r="6843" hidden="1">
      <c r="A6843" s="7"/>
      <c r="B6843" s="7"/>
      <c r="C6843" s="7"/>
      <c r="D6843" s="7"/>
      <c r="E6843" s="7"/>
      <c r="F6843" s="7"/>
      <c r="G6843" s="7"/>
      <c r="H6843" s="8"/>
      <c r="I6843" s="8"/>
      <c r="J6843" s="7"/>
      <c r="K6843" s="7"/>
      <c r="L6843" s="7"/>
      <c r="M6843" s="7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7"/>
      <c r="Z6843" s="7"/>
    </row>
    <row r="6844" hidden="1">
      <c r="A6844" s="7"/>
      <c r="B6844" s="7"/>
      <c r="C6844" s="7"/>
      <c r="D6844" s="7"/>
      <c r="E6844" s="7"/>
      <c r="F6844" s="7"/>
      <c r="G6844" s="7"/>
      <c r="H6844" s="8"/>
      <c r="I6844" s="8"/>
      <c r="J6844" s="7"/>
      <c r="K6844" s="7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</row>
    <row r="6845" hidden="1">
      <c r="A6845" s="7"/>
      <c r="B6845" s="7"/>
      <c r="C6845" s="7"/>
      <c r="D6845" s="7"/>
      <c r="E6845" s="7"/>
      <c r="F6845" s="7"/>
      <c r="G6845" s="7"/>
      <c r="H6845" s="8"/>
      <c r="I6845" s="8"/>
      <c r="J6845" s="7"/>
      <c r="K6845" s="7"/>
      <c r="L6845" s="7"/>
      <c r="M6845" s="7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  <c r="Y6845" s="7"/>
      <c r="Z6845" s="7"/>
    </row>
    <row r="6846" hidden="1">
      <c r="A6846" s="7"/>
      <c r="B6846" s="7"/>
      <c r="C6846" s="7"/>
      <c r="D6846" s="7"/>
      <c r="E6846" s="7"/>
      <c r="F6846" s="7"/>
      <c r="G6846" s="7"/>
      <c r="H6846" s="8"/>
      <c r="I6846" s="8"/>
      <c r="J6846" s="7"/>
      <c r="K6846" s="7"/>
      <c r="L6846" s="7"/>
      <c r="M6846" s="7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7"/>
      <c r="Z6846" s="7"/>
    </row>
    <row r="6847" hidden="1">
      <c r="A6847" s="7"/>
      <c r="B6847" s="7"/>
      <c r="C6847" s="7"/>
      <c r="D6847" s="7"/>
      <c r="E6847" s="7"/>
      <c r="F6847" s="7"/>
      <c r="G6847" s="7"/>
      <c r="H6847" s="8"/>
      <c r="I6847" s="8"/>
      <c r="J6847" s="7"/>
      <c r="K6847" s="7"/>
      <c r="L6847" s="7"/>
      <c r="M6847" s="7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  <c r="Y6847" s="7"/>
      <c r="Z6847" s="7"/>
    </row>
    <row r="6848" hidden="1">
      <c r="A6848" s="7"/>
      <c r="B6848" s="7"/>
      <c r="C6848" s="7"/>
      <c r="D6848" s="7"/>
      <c r="E6848" s="7"/>
      <c r="F6848" s="7"/>
      <c r="G6848" s="7"/>
      <c r="H6848" s="8"/>
      <c r="I6848" s="8"/>
      <c r="J6848" s="7"/>
      <c r="K6848" s="7"/>
      <c r="L6848" s="7"/>
      <c r="M6848" s="7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7"/>
      <c r="Z6848" s="7"/>
    </row>
    <row r="6849" hidden="1">
      <c r="A6849" s="7"/>
      <c r="B6849" s="7"/>
      <c r="C6849" s="7"/>
      <c r="D6849" s="7"/>
      <c r="E6849" s="7"/>
      <c r="F6849" s="7"/>
      <c r="G6849" s="7"/>
      <c r="H6849" s="8"/>
      <c r="I6849" s="8"/>
      <c r="J6849" s="7"/>
      <c r="K6849" s="7"/>
      <c r="L6849" s="7"/>
      <c r="M6849" s="7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  <c r="Y6849" s="7"/>
      <c r="Z6849" s="7"/>
    </row>
    <row r="6850" hidden="1">
      <c r="A6850" s="7"/>
      <c r="B6850" s="7"/>
      <c r="C6850" s="7"/>
      <c r="D6850" s="7"/>
      <c r="E6850" s="7"/>
      <c r="F6850" s="7"/>
      <c r="G6850" s="7"/>
      <c r="H6850" s="8"/>
      <c r="I6850" s="8"/>
      <c r="J6850" s="7"/>
      <c r="K6850" s="7"/>
      <c r="L6850" s="7"/>
      <c r="M6850" s="7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7"/>
      <c r="Z6850" s="7"/>
    </row>
    <row r="6851" hidden="1">
      <c r="A6851" s="7"/>
      <c r="B6851" s="7"/>
      <c r="C6851" s="7"/>
      <c r="D6851" s="7"/>
      <c r="E6851" s="7"/>
      <c r="F6851" s="7"/>
      <c r="G6851" s="7"/>
      <c r="H6851" s="8"/>
      <c r="I6851" s="8"/>
      <c r="J6851" s="7"/>
      <c r="K6851" s="7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7"/>
      <c r="Z6851" s="7"/>
    </row>
    <row r="6852" hidden="1">
      <c r="A6852" s="7"/>
      <c r="B6852" s="7"/>
      <c r="C6852" s="7"/>
      <c r="D6852" s="7"/>
      <c r="E6852" s="7"/>
      <c r="F6852" s="7"/>
      <c r="G6852" s="7"/>
      <c r="H6852" s="8"/>
      <c r="I6852" s="8"/>
      <c r="J6852" s="7"/>
      <c r="K6852" s="7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</row>
    <row r="6853" hidden="1">
      <c r="A6853" s="7"/>
      <c r="B6853" s="7"/>
      <c r="C6853" s="7"/>
      <c r="D6853" s="7"/>
      <c r="E6853" s="7"/>
      <c r="F6853" s="7"/>
      <c r="G6853" s="7"/>
      <c r="H6853" s="8"/>
      <c r="I6853" s="8"/>
      <c r="J6853" s="7"/>
      <c r="K6853" s="7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7"/>
      <c r="Z6853" s="7"/>
    </row>
    <row r="6854" hidden="1">
      <c r="A6854" s="7"/>
      <c r="B6854" s="7"/>
      <c r="C6854" s="7"/>
      <c r="D6854" s="7"/>
      <c r="E6854" s="7"/>
      <c r="F6854" s="7"/>
      <c r="G6854" s="7"/>
      <c r="H6854" s="8"/>
      <c r="I6854" s="8"/>
      <c r="J6854" s="7"/>
      <c r="K6854" s="7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</row>
    <row r="6855" hidden="1">
      <c r="A6855" s="7"/>
      <c r="B6855" s="7"/>
      <c r="C6855" s="7"/>
      <c r="D6855" s="7"/>
      <c r="E6855" s="7"/>
      <c r="F6855" s="7"/>
      <c r="G6855" s="7"/>
      <c r="H6855" s="8"/>
      <c r="I6855" s="8"/>
      <c r="J6855" s="7"/>
      <c r="K6855" s="7"/>
      <c r="L6855" s="7"/>
      <c r="M6855" s="7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  <c r="Y6855" s="7"/>
      <c r="Z6855" s="7"/>
    </row>
    <row r="6856" hidden="1">
      <c r="A6856" s="7"/>
      <c r="B6856" s="7"/>
      <c r="C6856" s="7"/>
      <c r="D6856" s="7"/>
      <c r="E6856" s="7"/>
      <c r="F6856" s="7"/>
      <c r="G6856" s="7"/>
      <c r="H6856" s="8"/>
      <c r="I6856" s="8"/>
      <c r="J6856" s="7"/>
      <c r="K6856" s="7"/>
      <c r="L6856" s="7"/>
      <c r="M6856" s="7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</row>
    <row r="6857" hidden="1">
      <c r="A6857" s="7"/>
      <c r="B6857" s="7"/>
      <c r="C6857" s="7"/>
      <c r="D6857" s="7"/>
      <c r="E6857" s="7"/>
      <c r="F6857" s="7"/>
      <c r="G6857" s="7"/>
      <c r="H6857" s="8"/>
      <c r="I6857" s="8"/>
      <c r="J6857" s="7"/>
      <c r="K6857" s="7"/>
      <c r="L6857" s="7"/>
      <c r="M6857" s="7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</row>
    <row r="6858" hidden="1">
      <c r="A6858" s="7"/>
      <c r="B6858" s="7"/>
      <c r="C6858" s="7"/>
      <c r="D6858" s="7"/>
      <c r="E6858" s="7"/>
      <c r="F6858" s="7"/>
      <c r="G6858" s="7"/>
      <c r="H6858" s="8"/>
      <c r="I6858" s="8"/>
      <c r="J6858" s="7"/>
      <c r="K6858" s="7"/>
      <c r="L6858" s="7"/>
      <c r="M6858" s="7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</row>
    <row r="6859" hidden="1">
      <c r="A6859" s="7"/>
      <c r="B6859" s="7"/>
      <c r="C6859" s="7"/>
      <c r="D6859" s="7"/>
      <c r="E6859" s="7"/>
      <c r="F6859" s="7"/>
      <c r="G6859" s="7"/>
      <c r="H6859" s="8"/>
      <c r="I6859" s="8"/>
      <c r="J6859" s="7"/>
      <c r="K6859" s="7"/>
      <c r="L6859" s="7"/>
      <c r="M6859" s="7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  <c r="Y6859" s="7"/>
      <c r="Z6859" s="7"/>
    </row>
    <row r="6860" hidden="1">
      <c r="A6860" s="7"/>
      <c r="B6860" s="7"/>
      <c r="C6860" s="7"/>
      <c r="D6860" s="7"/>
      <c r="E6860" s="7"/>
      <c r="F6860" s="7"/>
      <c r="G6860" s="7"/>
      <c r="H6860" s="8"/>
      <c r="I6860" s="8"/>
      <c r="J6860" s="7"/>
      <c r="K6860" s="7"/>
      <c r="L6860" s="7"/>
      <c r="M6860" s="7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</row>
    <row r="6861" hidden="1">
      <c r="A6861" s="7"/>
      <c r="B6861" s="7"/>
      <c r="C6861" s="7"/>
      <c r="D6861" s="7"/>
      <c r="E6861" s="7"/>
      <c r="F6861" s="7"/>
      <c r="G6861" s="7"/>
      <c r="H6861" s="8"/>
      <c r="I6861" s="8"/>
      <c r="J6861" s="7"/>
      <c r="K6861" s="7"/>
      <c r="L6861" s="7"/>
      <c r="M6861" s="7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  <c r="Y6861" s="7"/>
      <c r="Z6861" s="7"/>
    </row>
    <row r="6862" hidden="1">
      <c r="A6862" s="7"/>
      <c r="B6862" s="7"/>
      <c r="C6862" s="7"/>
      <c r="D6862" s="7"/>
      <c r="E6862" s="7"/>
      <c r="F6862" s="7"/>
      <c r="G6862" s="7"/>
      <c r="H6862" s="8"/>
      <c r="I6862" s="8"/>
      <c r="J6862" s="7"/>
      <c r="K6862" s="7"/>
      <c r="L6862" s="7"/>
      <c r="M6862" s="7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</row>
    <row r="6863" hidden="1">
      <c r="A6863" s="7"/>
      <c r="B6863" s="7"/>
      <c r="C6863" s="7"/>
      <c r="D6863" s="7"/>
      <c r="E6863" s="7"/>
      <c r="F6863" s="7"/>
      <c r="G6863" s="7"/>
      <c r="H6863" s="8"/>
      <c r="I6863" s="8"/>
      <c r="J6863" s="7"/>
      <c r="K6863" s="7"/>
      <c r="L6863" s="7"/>
      <c r="M6863" s="7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7"/>
      <c r="Z6863" s="7"/>
    </row>
    <row r="6864" hidden="1">
      <c r="A6864" s="7"/>
      <c r="B6864" s="7"/>
      <c r="C6864" s="7"/>
      <c r="D6864" s="7"/>
      <c r="E6864" s="7"/>
      <c r="F6864" s="7"/>
      <c r="G6864" s="7"/>
      <c r="H6864" s="8"/>
      <c r="I6864" s="8"/>
      <c r="J6864" s="7"/>
      <c r="K6864" s="7"/>
      <c r="L6864" s="7"/>
      <c r="M6864" s="7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</row>
    <row r="6865" hidden="1">
      <c r="A6865" s="7"/>
      <c r="B6865" s="7"/>
      <c r="C6865" s="7"/>
      <c r="D6865" s="7"/>
      <c r="E6865" s="7"/>
      <c r="F6865" s="7"/>
      <c r="G6865" s="7"/>
      <c r="H6865" s="8"/>
      <c r="I6865" s="8"/>
      <c r="J6865" s="7"/>
      <c r="K6865" s="7"/>
      <c r="L6865" s="7"/>
      <c r="M6865" s="7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  <c r="Y6865" s="7"/>
      <c r="Z6865" s="7"/>
    </row>
    <row r="6866" hidden="1">
      <c r="A6866" s="7"/>
      <c r="B6866" s="7"/>
      <c r="C6866" s="7"/>
      <c r="D6866" s="7"/>
      <c r="E6866" s="7"/>
      <c r="F6866" s="7"/>
      <c r="G6866" s="7"/>
      <c r="H6866" s="8"/>
      <c r="I6866" s="8"/>
      <c r="J6866" s="7"/>
      <c r="K6866" s="7"/>
      <c r="L6866" s="7"/>
      <c r="M6866" s="7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</row>
    <row r="6867" hidden="1">
      <c r="A6867" s="7"/>
      <c r="B6867" s="7"/>
      <c r="C6867" s="7"/>
      <c r="D6867" s="7"/>
      <c r="E6867" s="7"/>
      <c r="F6867" s="7"/>
      <c r="G6867" s="7"/>
      <c r="H6867" s="8"/>
      <c r="I6867" s="8"/>
      <c r="J6867" s="7"/>
      <c r="K6867" s="7"/>
      <c r="L6867" s="7"/>
      <c r="M6867" s="7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</row>
    <row r="6868" hidden="1">
      <c r="A6868" s="7"/>
      <c r="B6868" s="7"/>
      <c r="C6868" s="7"/>
      <c r="D6868" s="7"/>
      <c r="E6868" s="7"/>
      <c r="F6868" s="7"/>
      <c r="G6868" s="7"/>
      <c r="H6868" s="8"/>
      <c r="I6868" s="8"/>
      <c r="J6868" s="7"/>
      <c r="K6868" s="7"/>
      <c r="L6868" s="7"/>
      <c r="M6868" s="7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</row>
    <row r="6869" hidden="1">
      <c r="A6869" s="7"/>
      <c r="B6869" s="7"/>
      <c r="C6869" s="7"/>
      <c r="D6869" s="7"/>
      <c r="E6869" s="7"/>
      <c r="F6869" s="7"/>
      <c r="G6869" s="7"/>
      <c r="H6869" s="8"/>
      <c r="I6869" s="8"/>
      <c r="J6869" s="7"/>
      <c r="K6869" s="7"/>
      <c r="L6869" s="7"/>
      <c r="M6869" s="7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7"/>
      <c r="Z6869" s="7"/>
    </row>
    <row r="6870" hidden="1">
      <c r="A6870" s="7"/>
      <c r="B6870" s="7"/>
      <c r="C6870" s="7"/>
      <c r="D6870" s="7"/>
      <c r="E6870" s="7"/>
      <c r="F6870" s="7"/>
      <c r="G6870" s="7"/>
      <c r="H6870" s="8"/>
      <c r="I6870" s="8"/>
      <c r="J6870" s="7"/>
      <c r="K6870" s="7"/>
      <c r="L6870" s="7"/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</row>
    <row r="6871" hidden="1">
      <c r="A6871" s="7"/>
      <c r="B6871" s="7"/>
      <c r="C6871" s="7"/>
      <c r="D6871" s="7"/>
      <c r="E6871" s="7"/>
      <c r="F6871" s="7"/>
      <c r="G6871" s="7"/>
      <c r="H6871" s="8"/>
      <c r="I6871" s="8"/>
      <c r="J6871" s="7"/>
      <c r="K6871" s="7"/>
      <c r="L6871" s="7"/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</row>
    <row r="6872" hidden="1">
      <c r="A6872" s="7"/>
      <c r="B6872" s="7"/>
      <c r="C6872" s="7"/>
      <c r="D6872" s="7"/>
      <c r="E6872" s="7"/>
      <c r="F6872" s="7"/>
      <c r="G6872" s="7"/>
      <c r="H6872" s="8"/>
      <c r="I6872" s="8"/>
      <c r="J6872" s="7"/>
      <c r="K6872" s="7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</row>
    <row r="6873" hidden="1">
      <c r="A6873" s="7"/>
      <c r="B6873" s="7"/>
      <c r="C6873" s="7"/>
      <c r="D6873" s="7"/>
      <c r="E6873" s="7"/>
      <c r="F6873" s="7"/>
      <c r="G6873" s="7"/>
      <c r="H6873" s="8"/>
      <c r="I6873" s="8"/>
      <c r="J6873" s="7"/>
      <c r="K6873" s="7"/>
      <c r="L6873" s="7"/>
      <c r="M6873" s="7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  <c r="Y6873" s="7"/>
      <c r="Z6873" s="7"/>
    </row>
    <row r="6874" hidden="1">
      <c r="A6874" s="7"/>
      <c r="B6874" s="7"/>
      <c r="C6874" s="7"/>
      <c r="D6874" s="7"/>
      <c r="E6874" s="7"/>
      <c r="F6874" s="7"/>
      <c r="G6874" s="7"/>
      <c r="H6874" s="8"/>
      <c r="I6874" s="8"/>
      <c r="J6874" s="7"/>
      <c r="K6874" s="7"/>
      <c r="L6874" s="7"/>
      <c r="M6874" s="7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7"/>
      <c r="Z6874" s="7"/>
    </row>
    <row r="6875" hidden="1">
      <c r="A6875" s="7"/>
      <c r="B6875" s="7"/>
      <c r="C6875" s="7"/>
      <c r="D6875" s="7"/>
      <c r="E6875" s="7"/>
      <c r="F6875" s="7"/>
      <c r="G6875" s="7"/>
      <c r="H6875" s="8"/>
      <c r="I6875" s="8"/>
      <c r="J6875" s="7"/>
      <c r="K6875" s="7"/>
      <c r="L6875" s="7"/>
      <c r="M6875" s="7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  <c r="Y6875" s="7"/>
      <c r="Z6875" s="7"/>
    </row>
    <row r="6876" hidden="1">
      <c r="A6876" s="7"/>
      <c r="B6876" s="7"/>
      <c r="C6876" s="7"/>
      <c r="D6876" s="7"/>
      <c r="E6876" s="7"/>
      <c r="F6876" s="7"/>
      <c r="G6876" s="7"/>
      <c r="H6876" s="8"/>
      <c r="I6876" s="8"/>
      <c r="J6876" s="7"/>
      <c r="K6876" s="7"/>
      <c r="L6876" s="7"/>
      <c r="M6876" s="7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</row>
    <row r="6877" hidden="1">
      <c r="A6877" s="7"/>
      <c r="B6877" s="7"/>
      <c r="C6877" s="7"/>
      <c r="D6877" s="7"/>
      <c r="E6877" s="7"/>
      <c r="F6877" s="7"/>
      <c r="G6877" s="7"/>
      <c r="H6877" s="8"/>
      <c r="I6877" s="8"/>
      <c r="J6877" s="7"/>
      <c r="K6877" s="7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7"/>
      <c r="Z6877" s="7"/>
    </row>
    <row r="6878" hidden="1">
      <c r="A6878" s="7"/>
      <c r="B6878" s="7"/>
      <c r="C6878" s="7"/>
      <c r="D6878" s="7"/>
      <c r="E6878" s="7"/>
      <c r="F6878" s="7"/>
      <c r="G6878" s="7"/>
      <c r="H6878" s="8"/>
      <c r="I6878" s="8"/>
      <c r="J6878" s="7"/>
      <c r="K6878" s="7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7"/>
      <c r="Z6878" s="7"/>
    </row>
    <row r="6879" hidden="1">
      <c r="A6879" s="7"/>
      <c r="B6879" s="7"/>
      <c r="C6879" s="7"/>
      <c r="D6879" s="7"/>
      <c r="E6879" s="7"/>
      <c r="F6879" s="7"/>
      <c r="G6879" s="7"/>
      <c r="H6879" s="8"/>
      <c r="I6879" s="8"/>
      <c r="J6879" s="7"/>
      <c r="K6879" s="7"/>
      <c r="L6879" s="7"/>
      <c r="M6879" s="7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  <c r="Y6879" s="7"/>
      <c r="Z6879" s="7"/>
    </row>
    <row r="6880" hidden="1">
      <c r="A6880" s="7"/>
      <c r="B6880" s="7"/>
      <c r="C6880" s="7"/>
      <c r="D6880" s="7"/>
      <c r="E6880" s="7"/>
      <c r="F6880" s="7"/>
      <c r="G6880" s="7"/>
      <c r="H6880" s="8"/>
      <c r="I6880" s="8"/>
      <c r="J6880" s="7"/>
      <c r="K6880" s="7"/>
      <c r="L6880" s="7"/>
      <c r="M6880" s="7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7"/>
      <c r="Z6880" s="7"/>
    </row>
    <row r="6881" hidden="1">
      <c r="A6881" s="7"/>
      <c r="B6881" s="7"/>
      <c r="C6881" s="7"/>
      <c r="D6881" s="7"/>
      <c r="E6881" s="7"/>
      <c r="F6881" s="7"/>
      <c r="G6881" s="7"/>
      <c r="H6881" s="8"/>
      <c r="I6881" s="8"/>
      <c r="J6881" s="7"/>
      <c r="K6881" s="7"/>
      <c r="L6881" s="7"/>
      <c r="M6881" s="7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  <c r="Y6881" s="7"/>
      <c r="Z6881" s="7"/>
    </row>
    <row r="6882" hidden="1">
      <c r="A6882" s="7"/>
      <c r="B6882" s="7"/>
      <c r="C6882" s="7"/>
      <c r="D6882" s="7"/>
      <c r="E6882" s="7"/>
      <c r="F6882" s="7"/>
      <c r="G6882" s="7"/>
      <c r="H6882" s="8"/>
      <c r="I6882" s="8"/>
      <c r="J6882" s="7"/>
      <c r="K6882" s="7"/>
      <c r="L6882" s="7"/>
      <c r="M6882" s="7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7"/>
      <c r="Z6882" s="7"/>
    </row>
    <row r="6883" hidden="1">
      <c r="A6883" s="7"/>
      <c r="B6883" s="7"/>
      <c r="C6883" s="7"/>
      <c r="D6883" s="7"/>
      <c r="E6883" s="7"/>
      <c r="F6883" s="7"/>
      <c r="G6883" s="7"/>
      <c r="H6883" s="8"/>
      <c r="I6883" s="8"/>
      <c r="J6883" s="7"/>
      <c r="K6883" s="7"/>
      <c r="L6883" s="7"/>
      <c r="M6883" s="7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  <c r="Y6883" s="7"/>
      <c r="Z6883" s="7"/>
    </row>
    <row r="6884" hidden="1">
      <c r="A6884" s="7"/>
      <c r="B6884" s="7"/>
      <c r="C6884" s="7"/>
      <c r="D6884" s="7"/>
      <c r="E6884" s="7"/>
      <c r="F6884" s="7"/>
      <c r="G6884" s="7"/>
      <c r="H6884" s="8"/>
      <c r="I6884" s="8"/>
      <c r="J6884" s="7"/>
      <c r="K6884" s="7"/>
      <c r="L6884" s="7"/>
      <c r="M6884" s="7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7"/>
      <c r="Z6884" s="7"/>
    </row>
    <row r="6885" hidden="1">
      <c r="A6885" s="7"/>
      <c r="B6885" s="7"/>
      <c r="C6885" s="7"/>
      <c r="D6885" s="7"/>
      <c r="E6885" s="7"/>
      <c r="F6885" s="7"/>
      <c r="G6885" s="7"/>
      <c r="H6885" s="8"/>
      <c r="I6885" s="8"/>
      <c r="J6885" s="7"/>
      <c r="K6885" s="7"/>
      <c r="L6885" s="7"/>
      <c r="M6885" s="7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  <c r="Y6885" s="7"/>
      <c r="Z6885" s="7"/>
    </row>
    <row r="6886" hidden="1">
      <c r="A6886" s="7"/>
      <c r="B6886" s="7"/>
      <c r="C6886" s="7"/>
      <c r="D6886" s="7"/>
      <c r="E6886" s="7"/>
      <c r="F6886" s="7"/>
      <c r="G6886" s="7"/>
      <c r="H6886" s="8"/>
      <c r="I6886" s="8"/>
      <c r="J6886" s="7"/>
      <c r="K6886" s="7"/>
      <c r="L6886" s="7"/>
      <c r="M6886" s="7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7"/>
      <c r="Z6886" s="7"/>
    </row>
    <row r="6887" hidden="1">
      <c r="A6887" s="7"/>
      <c r="B6887" s="7"/>
      <c r="C6887" s="7"/>
      <c r="D6887" s="7"/>
      <c r="E6887" s="7"/>
      <c r="F6887" s="7"/>
      <c r="G6887" s="7"/>
      <c r="H6887" s="8"/>
      <c r="I6887" s="8"/>
      <c r="J6887" s="7"/>
      <c r="K6887" s="7"/>
      <c r="L6887" s="7"/>
      <c r="M6887" s="7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  <c r="Y6887" s="7"/>
      <c r="Z6887" s="7"/>
    </row>
    <row r="6888" hidden="1">
      <c r="A6888" s="7"/>
      <c r="B6888" s="7"/>
      <c r="C6888" s="7"/>
      <c r="D6888" s="7"/>
      <c r="E6888" s="7"/>
      <c r="F6888" s="7"/>
      <c r="G6888" s="7"/>
      <c r="H6888" s="8"/>
      <c r="I6888" s="8"/>
      <c r="J6888" s="7"/>
      <c r="K6888" s="7"/>
      <c r="L6888" s="7"/>
      <c r="M6888" s="7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7"/>
      <c r="Z6888" s="7"/>
    </row>
    <row r="6889" hidden="1">
      <c r="A6889" s="7"/>
      <c r="B6889" s="7"/>
      <c r="C6889" s="7"/>
      <c r="D6889" s="7"/>
      <c r="E6889" s="7"/>
      <c r="F6889" s="7"/>
      <c r="G6889" s="7"/>
      <c r="H6889" s="8"/>
      <c r="I6889" s="8"/>
      <c r="J6889" s="7"/>
      <c r="K6889" s="7"/>
      <c r="L6889" s="7"/>
      <c r="M6889" s="7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  <c r="Y6889" s="7"/>
      <c r="Z6889" s="7"/>
    </row>
    <row r="6890" hidden="1">
      <c r="A6890" s="7"/>
      <c r="B6890" s="7"/>
      <c r="C6890" s="7"/>
      <c r="D6890" s="7"/>
      <c r="E6890" s="7"/>
      <c r="F6890" s="7"/>
      <c r="G6890" s="7"/>
      <c r="H6890" s="8"/>
      <c r="I6890" s="8"/>
      <c r="J6890" s="7"/>
      <c r="K6890" s="7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</row>
    <row r="6891" hidden="1">
      <c r="A6891" s="7"/>
      <c r="B6891" s="7"/>
      <c r="C6891" s="7"/>
      <c r="D6891" s="7"/>
      <c r="E6891" s="7"/>
      <c r="F6891" s="7"/>
      <c r="G6891" s="7"/>
      <c r="H6891" s="8"/>
      <c r="I6891" s="8"/>
      <c r="J6891" s="7"/>
      <c r="K6891" s="7"/>
      <c r="L6891" s="7"/>
      <c r="M6891" s="7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7"/>
      <c r="Z6891" s="7"/>
    </row>
    <row r="6892" hidden="1">
      <c r="A6892" s="7"/>
      <c r="B6892" s="7"/>
      <c r="C6892" s="7"/>
      <c r="D6892" s="7"/>
      <c r="E6892" s="7"/>
      <c r="F6892" s="7"/>
      <c r="G6892" s="7"/>
      <c r="H6892" s="8"/>
      <c r="I6892" s="8"/>
      <c r="J6892" s="7"/>
      <c r="K6892" s="7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</row>
    <row r="6893" hidden="1">
      <c r="A6893" s="7"/>
      <c r="B6893" s="7"/>
      <c r="C6893" s="7"/>
      <c r="D6893" s="7"/>
      <c r="E6893" s="7"/>
      <c r="F6893" s="7"/>
      <c r="G6893" s="7"/>
      <c r="H6893" s="8"/>
      <c r="I6893" s="8"/>
      <c r="J6893" s="7"/>
      <c r="K6893" s="7"/>
      <c r="L6893" s="7"/>
      <c r="M6893" s="7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7"/>
      <c r="Z6893" s="7"/>
    </row>
    <row r="6894" hidden="1">
      <c r="A6894" s="7"/>
      <c r="B6894" s="7"/>
      <c r="C6894" s="7"/>
      <c r="D6894" s="7"/>
      <c r="E6894" s="7"/>
      <c r="F6894" s="7"/>
      <c r="G6894" s="7"/>
      <c r="H6894" s="8"/>
      <c r="I6894" s="8"/>
      <c r="J6894" s="7"/>
      <c r="K6894" s="7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</row>
    <row r="6895" hidden="1">
      <c r="A6895" s="7"/>
      <c r="B6895" s="7"/>
      <c r="C6895" s="7"/>
      <c r="D6895" s="7"/>
      <c r="E6895" s="7"/>
      <c r="F6895" s="7"/>
      <c r="G6895" s="7"/>
      <c r="H6895" s="8"/>
      <c r="I6895" s="8"/>
      <c r="J6895" s="7"/>
      <c r="K6895" s="7"/>
      <c r="L6895" s="7"/>
      <c r="M6895" s="7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  <c r="Y6895" s="7"/>
      <c r="Z6895" s="7"/>
    </row>
    <row r="6896" hidden="1">
      <c r="A6896" s="7"/>
      <c r="B6896" s="7"/>
      <c r="C6896" s="7"/>
      <c r="D6896" s="7"/>
      <c r="E6896" s="7"/>
      <c r="F6896" s="7"/>
      <c r="G6896" s="7"/>
      <c r="H6896" s="8"/>
      <c r="I6896" s="8"/>
      <c r="J6896" s="7"/>
      <c r="K6896" s="7"/>
      <c r="L6896" s="7"/>
      <c r="M6896" s="7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</row>
    <row r="6897" hidden="1">
      <c r="A6897" s="7"/>
      <c r="B6897" s="7"/>
      <c r="C6897" s="7"/>
      <c r="D6897" s="7"/>
      <c r="E6897" s="7"/>
      <c r="F6897" s="7"/>
      <c r="G6897" s="7"/>
      <c r="H6897" s="8"/>
      <c r="I6897" s="8"/>
      <c r="J6897" s="7"/>
      <c r="K6897" s="7"/>
      <c r="L6897" s="7"/>
      <c r="M6897" s="7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  <c r="Y6897" s="7"/>
      <c r="Z6897" s="7"/>
    </row>
    <row r="6898" hidden="1">
      <c r="A6898" s="7"/>
      <c r="B6898" s="7"/>
      <c r="C6898" s="7"/>
      <c r="D6898" s="7"/>
      <c r="E6898" s="7"/>
      <c r="F6898" s="7"/>
      <c r="G6898" s="7"/>
      <c r="H6898" s="8"/>
      <c r="I6898" s="8"/>
      <c r="J6898" s="7"/>
      <c r="K6898" s="7"/>
      <c r="L6898" s="7"/>
      <c r="M6898" s="7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</row>
    <row r="6899" hidden="1">
      <c r="A6899" s="7"/>
      <c r="B6899" s="7"/>
      <c r="C6899" s="7"/>
      <c r="D6899" s="7"/>
      <c r="E6899" s="7"/>
      <c r="F6899" s="7"/>
      <c r="G6899" s="7"/>
      <c r="H6899" s="8"/>
      <c r="I6899" s="8"/>
      <c r="J6899" s="7"/>
      <c r="K6899" s="7"/>
      <c r="L6899" s="7"/>
      <c r="M6899" s="7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  <c r="Y6899" s="7"/>
      <c r="Z6899" s="7"/>
    </row>
    <row r="6900" hidden="1">
      <c r="A6900" s="7"/>
      <c r="B6900" s="7"/>
      <c r="C6900" s="7"/>
      <c r="D6900" s="7"/>
      <c r="E6900" s="7"/>
      <c r="F6900" s="7"/>
      <c r="G6900" s="7"/>
      <c r="H6900" s="8"/>
      <c r="I6900" s="8"/>
      <c r="J6900" s="7"/>
      <c r="K6900" s="7"/>
      <c r="L6900" s="7"/>
      <c r="M6900" s="7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</row>
    <row r="6901" hidden="1">
      <c r="A6901" s="7"/>
      <c r="B6901" s="7"/>
      <c r="C6901" s="7"/>
      <c r="D6901" s="7"/>
      <c r="E6901" s="7"/>
      <c r="F6901" s="7"/>
      <c r="G6901" s="7"/>
      <c r="H6901" s="8"/>
      <c r="I6901" s="8"/>
      <c r="J6901" s="7"/>
      <c r="K6901" s="7"/>
      <c r="L6901" s="7"/>
      <c r="M6901" s="7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  <c r="Y6901" s="7"/>
      <c r="Z6901" s="7"/>
    </row>
    <row r="6902" hidden="1">
      <c r="A6902" s="7"/>
      <c r="B6902" s="7"/>
      <c r="C6902" s="7"/>
      <c r="D6902" s="7"/>
      <c r="E6902" s="7"/>
      <c r="F6902" s="7"/>
      <c r="G6902" s="7"/>
      <c r="H6902" s="8"/>
      <c r="I6902" s="8"/>
      <c r="J6902" s="7"/>
      <c r="K6902" s="7"/>
      <c r="L6902" s="7"/>
      <c r="M6902" s="7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</row>
    <row r="6903" hidden="1">
      <c r="A6903" s="7"/>
      <c r="B6903" s="7"/>
      <c r="C6903" s="7"/>
      <c r="D6903" s="7"/>
      <c r="E6903" s="7"/>
      <c r="F6903" s="7"/>
      <c r="G6903" s="7"/>
      <c r="H6903" s="8"/>
      <c r="I6903" s="8"/>
      <c r="J6903" s="7"/>
      <c r="K6903" s="7"/>
      <c r="L6903" s="7"/>
      <c r="M6903" s="7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  <c r="Y6903" s="7"/>
      <c r="Z6903" s="7"/>
    </row>
    <row r="6904" hidden="1">
      <c r="A6904" s="7"/>
      <c r="B6904" s="7"/>
      <c r="C6904" s="7"/>
      <c r="D6904" s="7"/>
      <c r="E6904" s="7"/>
      <c r="F6904" s="7"/>
      <c r="G6904" s="7"/>
      <c r="H6904" s="8"/>
      <c r="I6904" s="8"/>
      <c r="J6904" s="7"/>
      <c r="K6904" s="7"/>
      <c r="L6904" s="7"/>
      <c r="M6904" s="7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</row>
    <row r="6905" hidden="1">
      <c r="A6905" s="7"/>
      <c r="B6905" s="7"/>
      <c r="C6905" s="7"/>
      <c r="D6905" s="7"/>
      <c r="E6905" s="7"/>
      <c r="F6905" s="7"/>
      <c r="G6905" s="7"/>
      <c r="H6905" s="8"/>
      <c r="I6905" s="8"/>
      <c r="J6905" s="7"/>
      <c r="K6905" s="7"/>
      <c r="L6905" s="7"/>
      <c r="M6905" s="7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  <c r="Y6905" s="7"/>
      <c r="Z6905" s="7"/>
    </row>
    <row r="6906" hidden="1">
      <c r="A6906" s="7"/>
      <c r="B6906" s="7"/>
      <c r="C6906" s="7"/>
      <c r="D6906" s="7"/>
      <c r="E6906" s="7"/>
      <c r="F6906" s="7"/>
      <c r="G6906" s="7"/>
      <c r="H6906" s="8"/>
      <c r="I6906" s="8"/>
      <c r="J6906" s="7"/>
      <c r="K6906" s="7"/>
      <c r="L6906" s="7"/>
      <c r="M6906" s="7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</row>
    <row r="6907" hidden="1">
      <c r="A6907" s="7"/>
      <c r="B6907" s="7"/>
      <c r="C6907" s="7"/>
      <c r="D6907" s="7"/>
      <c r="E6907" s="7"/>
      <c r="F6907" s="7"/>
      <c r="G6907" s="7"/>
      <c r="H6907" s="8"/>
      <c r="I6907" s="8"/>
      <c r="J6907" s="7"/>
      <c r="K6907" s="7"/>
      <c r="L6907" s="7"/>
      <c r="M6907" s="7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  <c r="Y6907" s="7"/>
      <c r="Z6907" s="7"/>
    </row>
    <row r="6908" hidden="1">
      <c r="A6908" s="7"/>
      <c r="B6908" s="7"/>
      <c r="C6908" s="7"/>
      <c r="D6908" s="7"/>
      <c r="E6908" s="7"/>
      <c r="F6908" s="7"/>
      <c r="G6908" s="7"/>
      <c r="H6908" s="8"/>
      <c r="I6908" s="8"/>
      <c r="J6908" s="7"/>
      <c r="K6908" s="7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</row>
    <row r="6909" hidden="1">
      <c r="A6909" s="7"/>
      <c r="B6909" s="7"/>
      <c r="C6909" s="7"/>
      <c r="D6909" s="7"/>
      <c r="E6909" s="7"/>
      <c r="F6909" s="7"/>
      <c r="G6909" s="7"/>
      <c r="H6909" s="8"/>
      <c r="I6909" s="8"/>
      <c r="J6909" s="7"/>
      <c r="K6909" s="7"/>
      <c r="L6909" s="7"/>
      <c r="M6909" s="7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  <c r="Y6909" s="7"/>
      <c r="Z6909" s="7"/>
    </row>
    <row r="6910" hidden="1">
      <c r="A6910" s="7"/>
      <c r="B6910" s="7"/>
      <c r="C6910" s="7"/>
      <c r="D6910" s="7"/>
      <c r="E6910" s="7"/>
      <c r="F6910" s="7"/>
      <c r="G6910" s="7"/>
      <c r="H6910" s="8"/>
      <c r="I6910" s="8"/>
      <c r="J6910" s="7"/>
      <c r="K6910" s="7"/>
      <c r="L6910" s="7"/>
      <c r="M6910" s="7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</row>
    <row r="6911" hidden="1">
      <c r="A6911" s="7"/>
      <c r="B6911" s="7"/>
      <c r="C6911" s="7"/>
      <c r="D6911" s="7"/>
      <c r="E6911" s="7"/>
      <c r="F6911" s="7"/>
      <c r="G6911" s="7"/>
      <c r="H6911" s="8"/>
      <c r="I6911" s="8"/>
      <c r="J6911" s="7"/>
      <c r="K6911" s="7"/>
      <c r="L6911" s="7"/>
      <c r="M6911" s="7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  <c r="Y6911" s="7"/>
      <c r="Z6911" s="7"/>
    </row>
    <row r="6912" hidden="1">
      <c r="A6912" s="7"/>
      <c r="B6912" s="7"/>
      <c r="C6912" s="7"/>
      <c r="D6912" s="7"/>
      <c r="E6912" s="7"/>
      <c r="F6912" s="7"/>
      <c r="G6912" s="7"/>
      <c r="H6912" s="8"/>
      <c r="I6912" s="8"/>
      <c r="J6912" s="7"/>
      <c r="K6912" s="7"/>
      <c r="L6912" s="7"/>
      <c r="M6912" s="7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</row>
    <row r="6913" hidden="1">
      <c r="A6913" s="7"/>
      <c r="B6913" s="7"/>
      <c r="C6913" s="7"/>
      <c r="D6913" s="7"/>
      <c r="E6913" s="7"/>
      <c r="F6913" s="7"/>
      <c r="G6913" s="7"/>
      <c r="H6913" s="8"/>
      <c r="I6913" s="8"/>
      <c r="J6913" s="7"/>
      <c r="K6913" s="7"/>
      <c r="L6913" s="7"/>
      <c r="M6913" s="7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7"/>
      <c r="Z6913" s="7"/>
    </row>
    <row r="6914" hidden="1">
      <c r="A6914" s="7"/>
      <c r="B6914" s="7"/>
      <c r="C6914" s="7"/>
      <c r="D6914" s="7"/>
      <c r="E6914" s="7"/>
      <c r="F6914" s="7"/>
      <c r="G6914" s="7"/>
      <c r="H6914" s="8"/>
      <c r="I6914" s="8"/>
      <c r="J6914" s="7"/>
      <c r="K6914" s="7"/>
      <c r="L6914" s="7"/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</row>
    <row r="6915" hidden="1">
      <c r="A6915" s="7"/>
      <c r="B6915" s="7"/>
      <c r="C6915" s="7"/>
      <c r="D6915" s="7"/>
      <c r="E6915" s="7"/>
      <c r="F6915" s="7"/>
      <c r="G6915" s="7"/>
      <c r="H6915" s="8"/>
      <c r="I6915" s="8"/>
      <c r="J6915" s="7"/>
      <c r="K6915" s="7"/>
      <c r="L6915" s="7"/>
      <c r="M6915" s="7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7"/>
      <c r="Z6915" s="7"/>
    </row>
    <row r="6916" hidden="1">
      <c r="A6916" s="7"/>
      <c r="B6916" s="7"/>
      <c r="C6916" s="7"/>
      <c r="D6916" s="7"/>
      <c r="E6916" s="7"/>
      <c r="F6916" s="7"/>
      <c r="G6916" s="7"/>
      <c r="H6916" s="8"/>
      <c r="I6916" s="8"/>
      <c r="J6916" s="7"/>
      <c r="K6916" s="7"/>
      <c r="L6916" s="7"/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</row>
    <row r="6917" hidden="1">
      <c r="A6917" s="7"/>
      <c r="B6917" s="7"/>
      <c r="C6917" s="7"/>
      <c r="D6917" s="7"/>
      <c r="E6917" s="7"/>
      <c r="F6917" s="7"/>
      <c r="G6917" s="7"/>
      <c r="H6917" s="8"/>
      <c r="I6917" s="8"/>
      <c r="J6917" s="7"/>
      <c r="K6917" s="7"/>
      <c r="L6917" s="7"/>
      <c r="M6917" s="7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  <c r="Y6917" s="7"/>
      <c r="Z6917" s="7"/>
    </row>
    <row r="6918" hidden="1">
      <c r="A6918" s="7"/>
      <c r="B6918" s="7"/>
      <c r="C6918" s="7"/>
      <c r="D6918" s="7"/>
      <c r="E6918" s="7"/>
      <c r="F6918" s="7"/>
      <c r="G6918" s="7"/>
      <c r="H6918" s="8"/>
      <c r="I6918" s="8"/>
      <c r="J6918" s="7"/>
      <c r="K6918" s="7"/>
      <c r="L6918" s="7"/>
      <c r="M6918" s="7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7"/>
      <c r="Z6918" s="7"/>
    </row>
    <row r="6919" hidden="1">
      <c r="A6919" s="7"/>
      <c r="B6919" s="7"/>
      <c r="C6919" s="7"/>
      <c r="D6919" s="7"/>
      <c r="E6919" s="7"/>
      <c r="F6919" s="7"/>
      <c r="G6919" s="7"/>
      <c r="H6919" s="8"/>
      <c r="I6919" s="8"/>
      <c r="J6919" s="7"/>
      <c r="K6919" s="7"/>
      <c r="L6919" s="7"/>
      <c r="M6919" s="7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  <c r="Y6919" s="7"/>
      <c r="Z6919" s="7"/>
    </row>
    <row r="6920" hidden="1">
      <c r="A6920" s="7"/>
      <c r="B6920" s="7"/>
      <c r="C6920" s="7"/>
      <c r="D6920" s="7"/>
      <c r="E6920" s="7"/>
      <c r="F6920" s="7"/>
      <c r="G6920" s="7"/>
      <c r="H6920" s="8"/>
      <c r="I6920" s="8"/>
      <c r="J6920" s="7"/>
      <c r="K6920" s="7"/>
      <c r="L6920" s="7"/>
      <c r="M6920" s="7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7"/>
      <c r="Z6920" s="7"/>
    </row>
    <row r="6921" hidden="1">
      <c r="A6921" s="7"/>
      <c r="B6921" s="7"/>
      <c r="C6921" s="7"/>
      <c r="D6921" s="7"/>
      <c r="E6921" s="7"/>
      <c r="F6921" s="7"/>
      <c r="G6921" s="7"/>
      <c r="H6921" s="8"/>
      <c r="I6921" s="8"/>
      <c r="J6921" s="7"/>
      <c r="K6921" s="7"/>
      <c r="L6921" s="7"/>
      <c r="M6921" s="7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  <c r="Y6921" s="7"/>
      <c r="Z6921" s="7"/>
    </row>
    <row r="6922" hidden="1">
      <c r="A6922" s="7"/>
      <c r="B6922" s="7"/>
      <c r="C6922" s="7"/>
      <c r="D6922" s="7"/>
      <c r="E6922" s="7"/>
      <c r="F6922" s="7"/>
      <c r="G6922" s="7"/>
      <c r="H6922" s="8"/>
      <c r="I6922" s="8"/>
      <c r="J6922" s="7"/>
      <c r="K6922" s="7"/>
      <c r="L6922" s="7"/>
      <c r="M6922" s="7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7"/>
      <c r="Z6922" s="7"/>
    </row>
    <row r="6923" hidden="1">
      <c r="A6923" s="7"/>
      <c r="B6923" s="7"/>
      <c r="C6923" s="7"/>
      <c r="D6923" s="7"/>
      <c r="E6923" s="7"/>
      <c r="F6923" s="7"/>
      <c r="G6923" s="7"/>
      <c r="H6923" s="8"/>
      <c r="I6923" s="8"/>
      <c r="J6923" s="7"/>
      <c r="K6923" s="7"/>
      <c r="L6923" s="7"/>
      <c r="M6923" s="7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  <c r="Y6923" s="7"/>
      <c r="Z6923" s="7"/>
    </row>
    <row r="6924" hidden="1">
      <c r="A6924" s="7"/>
      <c r="B6924" s="7"/>
      <c r="C6924" s="7"/>
      <c r="D6924" s="7"/>
      <c r="E6924" s="7"/>
      <c r="F6924" s="7"/>
      <c r="G6924" s="7"/>
      <c r="H6924" s="8"/>
      <c r="I6924" s="8"/>
      <c r="J6924" s="7"/>
      <c r="K6924" s="7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7"/>
      <c r="Z6924" s="7"/>
    </row>
    <row r="6925" hidden="1">
      <c r="A6925" s="7"/>
      <c r="B6925" s="7"/>
      <c r="C6925" s="7"/>
      <c r="D6925" s="7"/>
      <c r="E6925" s="7"/>
      <c r="F6925" s="7"/>
      <c r="G6925" s="7"/>
      <c r="H6925" s="8"/>
      <c r="I6925" s="8"/>
      <c r="J6925" s="7"/>
      <c r="K6925" s="7"/>
      <c r="L6925" s="7"/>
      <c r="M6925" s="7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  <c r="Y6925" s="7"/>
      <c r="Z6925" s="7"/>
    </row>
    <row r="6926" hidden="1">
      <c r="A6926" s="7"/>
      <c r="B6926" s="7"/>
      <c r="C6926" s="7"/>
      <c r="D6926" s="7"/>
      <c r="E6926" s="7"/>
      <c r="F6926" s="7"/>
      <c r="G6926" s="7"/>
      <c r="H6926" s="8"/>
      <c r="I6926" s="8"/>
      <c r="J6926" s="7"/>
      <c r="K6926" s="7"/>
      <c r="L6926" s="7"/>
      <c r="M6926" s="7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7"/>
      <c r="Z6926" s="7"/>
    </row>
    <row r="6927" hidden="1">
      <c r="A6927" s="7"/>
      <c r="B6927" s="7"/>
      <c r="C6927" s="7"/>
      <c r="D6927" s="7"/>
      <c r="E6927" s="7"/>
      <c r="F6927" s="7"/>
      <c r="G6927" s="7"/>
      <c r="H6927" s="8"/>
      <c r="I6927" s="8"/>
      <c r="J6927" s="7"/>
      <c r="K6927" s="7"/>
      <c r="L6927" s="7"/>
      <c r="M6927" s="7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  <c r="Y6927" s="7"/>
      <c r="Z6927" s="7"/>
    </row>
    <row r="6928" hidden="1">
      <c r="A6928" s="7"/>
      <c r="B6928" s="7"/>
      <c r="C6928" s="7"/>
      <c r="D6928" s="7"/>
      <c r="E6928" s="7"/>
      <c r="F6928" s="7"/>
      <c r="G6928" s="7"/>
      <c r="H6928" s="8"/>
      <c r="I6928" s="8"/>
      <c r="J6928" s="7"/>
      <c r="K6928" s="7"/>
      <c r="L6928" s="7"/>
      <c r="M6928" s="7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7"/>
      <c r="Z6928" s="7"/>
    </row>
    <row r="6929" hidden="1">
      <c r="A6929" s="7"/>
      <c r="B6929" s="7"/>
      <c r="C6929" s="7"/>
      <c r="D6929" s="7"/>
      <c r="E6929" s="7"/>
      <c r="F6929" s="7"/>
      <c r="G6929" s="7"/>
      <c r="H6929" s="8"/>
      <c r="I6929" s="8"/>
      <c r="J6929" s="7"/>
      <c r="K6929" s="7"/>
      <c r="L6929" s="7"/>
      <c r="M6929" s="7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  <c r="Y6929" s="7"/>
      <c r="Z6929" s="7"/>
    </row>
    <row r="6930" hidden="1">
      <c r="A6930" s="7"/>
      <c r="B6930" s="7"/>
      <c r="C6930" s="7"/>
      <c r="D6930" s="7"/>
      <c r="E6930" s="7"/>
      <c r="F6930" s="7"/>
      <c r="G6930" s="7"/>
      <c r="H6930" s="8"/>
      <c r="I6930" s="8"/>
      <c r="J6930" s="7"/>
      <c r="K6930" s="7"/>
      <c r="L6930" s="7"/>
      <c r="M6930" s="7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7"/>
      <c r="Z6930" s="7"/>
    </row>
    <row r="6931" hidden="1">
      <c r="A6931" s="7"/>
      <c r="B6931" s="7"/>
      <c r="C6931" s="7"/>
      <c r="D6931" s="7"/>
      <c r="E6931" s="7"/>
      <c r="F6931" s="7"/>
      <c r="G6931" s="7"/>
      <c r="H6931" s="8"/>
      <c r="I6931" s="8"/>
      <c r="J6931" s="7"/>
      <c r="K6931" s="7"/>
      <c r="L6931" s="7"/>
      <c r="M6931" s="7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  <c r="Y6931" s="7"/>
      <c r="Z6931" s="7"/>
    </row>
    <row r="6932" hidden="1">
      <c r="A6932" s="7"/>
      <c r="B6932" s="7"/>
      <c r="C6932" s="7"/>
      <c r="D6932" s="7"/>
      <c r="E6932" s="7"/>
      <c r="F6932" s="7"/>
      <c r="G6932" s="7"/>
      <c r="H6932" s="8"/>
      <c r="I6932" s="8"/>
      <c r="J6932" s="7"/>
      <c r="K6932" s="7"/>
      <c r="L6932" s="7"/>
      <c r="M6932" s="7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7"/>
      <c r="Z6932" s="7"/>
    </row>
    <row r="6933" hidden="1">
      <c r="A6933" s="7"/>
      <c r="B6933" s="7"/>
      <c r="C6933" s="7"/>
      <c r="D6933" s="7"/>
      <c r="E6933" s="7"/>
      <c r="F6933" s="7"/>
      <c r="G6933" s="7"/>
      <c r="H6933" s="8"/>
      <c r="I6933" s="8"/>
      <c r="J6933" s="7"/>
      <c r="K6933" s="7"/>
      <c r="L6933" s="7"/>
      <c r="M6933" s="7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  <c r="Y6933" s="7"/>
      <c r="Z6933" s="7"/>
    </row>
    <row r="6934" hidden="1">
      <c r="A6934" s="7"/>
      <c r="B6934" s="7"/>
      <c r="C6934" s="7"/>
      <c r="D6934" s="7"/>
      <c r="E6934" s="7"/>
      <c r="F6934" s="7"/>
      <c r="G6934" s="7"/>
      <c r="H6934" s="8"/>
      <c r="I6934" s="8"/>
      <c r="J6934" s="7"/>
      <c r="K6934" s="7"/>
      <c r="L6934" s="7"/>
      <c r="M6934" s="7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7"/>
      <c r="Z6934" s="7"/>
    </row>
    <row r="6935" hidden="1">
      <c r="A6935" s="7"/>
      <c r="B6935" s="7"/>
      <c r="C6935" s="7"/>
      <c r="D6935" s="7"/>
      <c r="E6935" s="7"/>
      <c r="F6935" s="7"/>
      <c r="G6935" s="7"/>
      <c r="H6935" s="8"/>
      <c r="I6935" s="8"/>
      <c r="J6935" s="7"/>
      <c r="K6935" s="7"/>
      <c r="L6935" s="7"/>
      <c r="M6935" s="7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  <c r="Y6935" s="7"/>
      <c r="Z6935" s="7"/>
    </row>
    <row r="6936" hidden="1">
      <c r="A6936" s="7"/>
      <c r="B6936" s="7"/>
      <c r="C6936" s="7"/>
      <c r="D6936" s="7"/>
      <c r="E6936" s="7"/>
      <c r="F6936" s="7"/>
      <c r="G6936" s="7"/>
      <c r="H6936" s="8"/>
      <c r="I6936" s="8"/>
      <c r="J6936" s="7"/>
      <c r="K6936" s="7"/>
      <c r="L6936" s="7"/>
      <c r="M6936" s="7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7"/>
      <c r="Z6936" s="7"/>
    </row>
    <row r="6937" hidden="1">
      <c r="A6937" s="7"/>
      <c r="B6937" s="7"/>
      <c r="C6937" s="7"/>
      <c r="D6937" s="7"/>
      <c r="E6937" s="7"/>
      <c r="F6937" s="7"/>
      <c r="G6937" s="7"/>
      <c r="H6937" s="8"/>
      <c r="I6937" s="8"/>
      <c r="J6937" s="7"/>
      <c r="K6937" s="7"/>
      <c r="L6937" s="7"/>
      <c r="M6937" s="7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  <c r="Y6937" s="7"/>
      <c r="Z6937" s="7"/>
    </row>
    <row r="6938" hidden="1">
      <c r="A6938" s="7"/>
      <c r="B6938" s="7"/>
      <c r="C6938" s="7"/>
      <c r="D6938" s="7"/>
      <c r="E6938" s="7"/>
      <c r="F6938" s="7"/>
      <c r="G6938" s="7"/>
      <c r="H6938" s="8"/>
      <c r="I6938" s="8"/>
      <c r="J6938" s="7"/>
      <c r="K6938" s="7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</row>
    <row r="6939" hidden="1">
      <c r="A6939" s="7"/>
      <c r="B6939" s="7"/>
      <c r="C6939" s="7"/>
      <c r="D6939" s="7"/>
      <c r="E6939" s="7"/>
      <c r="F6939" s="7"/>
      <c r="G6939" s="7"/>
      <c r="H6939" s="8"/>
      <c r="I6939" s="8"/>
      <c r="J6939" s="7"/>
      <c r="K6939" s="7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</row>
    <row r="6940" hidden="1">
      <c r="A6940" s="7"/>
      <c r="B6940" s="7"/>
      <c r="C6940" s="7"/>
      <c r="D6940" s="7"/>
      <c r="E6940" s="7"/>
      <c r="F6940" s="7"/>
      <c r="G6940" s="7"/>
      <c r="H6940" s="8"/>
      <c r="I6940" s="8"/>
      <c r="J6940" s="7"/>
      <c r="K6940" s="7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</row>
    <row r="6941" hidden="1">
      <c r="A6941" s="7"/>
      <c r="B6941" s="7"/>
      <c r="C6941" s="7"/>
      <c r="D6941" s="7"/>
      <c r="E6941" s="7"/>
      <c r="F6941" s="7"/>
      <c r="G6941" s="7"/>
      <c r="H6941" s="8"/>
      <c r="I6941" s="8"/>
      <c r="J6941" s="7"/>
      <c r="K6941" s="7"/>
      <c r="L6941" s="7"/>
      <c r="M6941" s="7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  <c r="Y6941" s="7"/>
      <c r="Z6941" s="7"/>
    </row>
    <row r="6942" hidden="1">
      <c r="A6942" s="7"/>
      <c r="B6942" s="7"/>
      <c r="C6942" s="7"/>
      <c r="D6942" s="7"/>
      <c r="E6942" s="7"/>
      <c r="F6942" s="7"/>
      <c r="G6942" s="7"/>
      <c r="H6942" s="8"/>
      <c r="I6942" s="8"/>
      <c r="J6942" s="7"/>
      <c r="K6942" s="7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</row>
    <row r="6943" hidden="1">
      <c r="A6943" s="7"/>
      <c r="B6943" s="7"/>
      <c r="C6943" s="7"/>
      <c r="D6943" s="7"/>
      <c r="E6943" s="7"/>
      <c r="F6943" s="7"/>
      <c r="G6943" s="7"/>
      <c r="H6943" s="8"/>
      <c r="I6943" s="8"/>
      <c r="J6943" s="7"/>
      <c r="K6943" s="7"/>
      <c r="L6943" s="7"/>
      <c r="M6943" s="7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  <c r="Y6943" s="7"/>
      <c r="Z6943" s="7"/>
    </row>
    <row r="6944" hidden="1">
      <c r="A6944" s="7"/>
      <c r="B6944" s="7"/>
      <c r="C6944" s="7"/>
      <c r="D6944" s="7"/>
      <c r="E6944" s="7"/>
      <c r="F6944" s="7"/>
      <c r="G6944" s="7"/>
      <c r="H6944" s="8"/>
      <c r="I6944" s="8"/>
      <c r="J6944" s="7"/>
      <c r="K6944" s="7"/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</row>
    <row r="6945" hidden="1">
      <c r="A6945" s="7"/>
      <c r="B6945" s="7"/>
      <c r="C6945" s="7"/>
      <c r="D6945" s="7"/>
      <c r="E6945" s="7"/>
      <c r="F6945" s="7"/>
      <c r="G6945" s="7"/>
      <c r="H6945" s="8"/>
      <c r="I6945" s="8"/>
      <c r="J6945" s="7"/>
      <c r="K6945" s="7"/>
      <c r="L6945" s="7"/>
      <c r="M6945" s="7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  <c r="Y6945" s="7"/>
      <c r="Z6945" s="7"/>
    </row>
    <row r="6946" hidden="1">
      <c r="A6946" s="7"/>
      <c r="B6946" s="7"/>
      <c r="C6946" s="7"/>
      <c r="D6946" s="7"/>
      <c r="E6946" s="7"/>
      <c r="F6946" s="7"/>
      <c r="G6946" s="7"/>
      <c r="H6946" s="8"/>
      <c r="I6946" s="8"/>
      <c r="J6946" s="7"/>
      <c r="K6946" s="7"/>
      <c r="L6946" s="7"/>
      <c r="M6946" s="7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</row>
    <row r="6947" hidden="1">
      <c r="A6947" s="7"/>
      <c r="B6947" s="7"/>
      <c r="C6947" s="7"/>
      <c r="D6947" s="7"/>
      <c r="E6947" s="7"/>
      <c r="F6947" s="7"/>
      <c r="G6947" s="7"/>
      <c r="H6947" s="8"/>
      <c r="I6947" s="8"/>
      <c r="J6947" s="7"/>
      <c r="K6947" s="7"/>
      <c r="L6947" s="7"/>
      <c r="M6947" s="7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  <c r="Y6947" s="7"/>
      <c r="Z6947" s="7"/>
    </row>
    <row r="6948" hidden="1">
      <c r="A6948" s="7"/>
      <c r="B6948" s="7"/>
      <c r="C6948" s="7"/>
      <c r="D6948" s="7"/>
      <c r="E6948" s="7"/>
      <c r="F6948" s="7"/>
      <c r="G6948" s="7"/>
      <c r="H6948" s="8"/>
      <c r="I6948" s="8"/>
      <c r="J6948" s="7"/>
      <c r="K6948" s="7"/>
      <c r="L6948" s="7"/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</row>
    <row r="6949" hidden="1">
      <c r="A6949" s="7"/>
      <c r="B6949" s="7"/>
      <c r="C6949" s="7"/>
      <c r="D6949" s="7"/>
      <c r="E6949" s="7"/>
      <c r="F6949" s="7"/>
      <c r="G6949" s="7"/>
      <c r="H6949" s="8"/>
      <c r="I6949" s="8"/>
      <c r="J6949" s="7"/>
      <c r="K6949" s="7"/>
      <c r="L6949" s="7"/>
      <c r="M6949" s="7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  <c r="Y6949" s="7"/>
      <c r="Z6949" s="7"/>
    </row>
    <row r="6950" hidden="1">
      <c r="A6950" s="7"/>
      <c r="B6950" s="7"/>
      <c r="C6950" s="7"/>
      <c r="D6950" s="7"/>
      <c r="E6950" s="7"/>
      <c r="F6950" s="7"/>
      <c r="G6950" s="7"/>
      <c r="H6950" s="8"/>
      <c r="I6950" s="8"/>
      <c r="J6950" s="7"/>
      <c r="K6950" s="7"/>
      <c r="L6950" s="7"/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</row>
    <row r="6951" hidden="1">
      <c r="A6951" s="7"/>
      <c r="B6951" s="7"/>
      <c r="C6951" s="7"/>
      <c r="D6951" s="7"/>
      <c r="E6951" s="7"/>
      <c r="F6951" s="7"/>
      <c r="G6951" s="7"/>
      <c r="H6951" s="8"/>
      <c r="I6951" s="8"/>
      <c r="J6951" s="7"/>
      <c r="K6951" s="7"/>
      <c r="L6951" s="7"/>
      <c r="M6951" s="7"/>
      <c r="N6951" s="7"/>
      <c r="O6951" s="7"/>
      <c r="P6951" s="7"/>
      <c r="Q6951" s="7"/>
      <c r="R6951" s="7"/>
      <c r="S6951" s="7"/>
      <c r="T6951" s="7"/>
      <c r="U6951" s="7"/>
      <c r="V6951" s="7"/>
      <c r="W6951" s="7"/>
      <c r="X6951" s="7"/>
      <c r="Y6951" s="7"/>
      <c r="Z6951" s="7"/>
    </row>
    <row r="6952" hidden="1">
      <c r="A6952" s="7"/>
      <c r="B6952" s="7"/>
      <c r="C6952" s="7"/>
      <c r="D6952" s="7"/>
      <c r="E6952" s="7"/>
      <c r="F6952" s="7"/>
      <c r="G6952" s="7"/>
      <c r="H6952" s="8"/>
      <c r="I6952" s="8"/>
      <c r="J6952" s="7"/>
      <c r="K6952" s="7"/>
      <c r="L6952" s="7"/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</row>
    <row r="6953" hidden="1">
      <c r="A6953" s="7"/>
      <c r="B6953" s="7"/>
      <c r="C6953" s="7"/>
      <c r="D6953" s="7"/>
      <c r="E6953" s="7"/>
      <c r="F6953" s="7"/>
      <c r="G6953" s="7"/>
      <c r="H6953" s="8"/>
      <c r="I6953" s="8"/>
      <c r="J6953" s="7"/>
      <c r="K6953" s="7"/>
      <c r="L6953" s="7"/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7"/>
      <c r="Z6953" s="7"/>
    </row>
    <row r="6954" hidden="1">
      <c r="A6954" s="7"/>
      <c r="B6954" s="7"/>
      <c r="C6954" s="7"/>
      <c r="D6954" s="7"/>
      <c r="E6954" s="7"/>
      <c r="F6954" s="7"/>
      <c r="G6954" s="7"/>
      <c r="H6954" s="8"/>
      <c r="I6954" s="8"/>
      <c r="J6954" s="7"/>
      <c r="K6954" s="7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</row>
    <row r="6955" hidden="1">
      <c r="A6955" s="7"/>
      <c r="B6955" s="7"/>
      <c r="C6955" s="7"/>
      <c r="D6955" s="7"/>
      <c r="E6955" s="7"/>
      <c r="F6955" s="7"/>
      <c r="G6955" s="7"/>
      <c r="H6955" s="8"/>
      <c r="I6955" s="8"/>
      <c r="J6955" s="7"/>
      <c r="K6955" s="7"/>
      <c r="L6955" s="7"/>
      <c r="M6955" s="7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7"/>
      <c r="Z6955" s="7"/>
    </row>
    <row r="6956" hidden="1">
      <c r="A6956" s="7"/>
      <c r="B6956" s="7"/>
      <c r="C6956" s="7"/>
      <c r="D6956" s="7"/>
      <c r="E6956" s="7"/>
      <c r="F6956" s="7"/>
      <c r="G6956" s="7"/>
      <c r="H6956" s="8"/>
      <c r="I6956" s="8"/>
      <c r="J6956" s="7"/>
      <c r="K6956" s="7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</row>
    <row r="6957" hidden="1">
      <c r="A6957" s="7"/>
      <c r="B6957" s="7"/>
      <c r="C6957" s="7"/>
      <c r="D6957" s="7"/>
      <c r="E6957" s="7"/>
      <c r="F6957" s="7"/>
      <c r="G6957" s="7"/>
      <c r="H6957" s="8"/>
      <c r="I6957" s="8"/>
      <c r="J6957" s="7"/>
      <c r="K6957" s="7"/>
      <c r="L6957" s="7"/>
      <c r="M6957" s="7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7"/>
      <c r="Z6957" s="7"/>
    </row>
    <row r="6958" hidden="1">
      <c r="A6958" s="7"/>
      <c r="B6958" s="7"/>
      <c r="C6958" s="7"/>
      <c r="D6958" s="7"/>
      <c r="E6958" s="7"/>
      <c r="F6958" s="7"/>
      <c r="G6958" s="7"/>
      <c r="H6958" s="8"/>
      <c r="I6958" s="8"/>
      <c r="J6958" s="7"/>
      <c r="K6958" s="7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</row>
    <row r="6959" hidden="1">
      <c r="A6959" s="7"/>
      <c r="B6959" s="7"/>
      <c r="C6959" s="7"/>
      <c r="D6959" s="7"/>
      <c r="E6959" s="7"/>
      <c r="F6959" s="7"/>
      <c r="G6959" s="7"/>
      <c r="H6959" s="8"/>
      <c r="I6959" s="8"/>
      <c r="J6959" s="7"/>
      <c r="K6959" s="7"/>
      <c r="L6959" s="7"/>
      <c r="M6959" s="7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7"/>
      <c r="Z6959" s="7"/>
    </row>
    <row r="6960" hidden="1">
      <c r="A6960" s="7"/>
      <c r="B6960" s="7"/>
      <c r="C6960" s="7"/>
      <c r="D6960" s="7"/>
      <c r="E6960" s="7"/>
      <c r="F6960" s="7"/>
      <c r="G6960" s="7"/>
      <c r="H6960" s="8"/>
      <c r="I6960" s="8"/>
      <c r="J6960" s="7"/>
      <c r="K6960" s="7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</row>
    <row r="6961" hidden="1">
      <c r="A6961" s="7"/>
      <c r="B6961" s="7"/>
      <c r="C6961" s="7"/>
      <c r="D6961" s="7"/>
      <c r="E6961" s="7"/>
      <c r="F6961" s="7"/>
      <c r="G6961" s="7"/>
      <c r="H6961" s="8"/>
      <c r="I6961" s="8"/>
      <c r="J6961" s="7"/>
      <c r="K6961" s="7"/>
      <c r="L6961" s="7"/>
      <c r="M6961" s="7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7"/>
      <c r="Z6961" s="7"/>
    </row>
    <row r="6962" hidden="1">
      <c r="A6962" s="7"/>
      <c r="B6962" s="7"/>
      <c r="C6962" s="7"/>
      <c r="D6962" s="7"/>
      <c r="E6962" s="7"/>
      <c r="F6962" s="7"/>
      <c r="G6962" s="7"/>
      <c r="H6962" s="8"/>
      <c r="I6962" s="8"/>
      <c r="J6962" s="7"/>
      <c r="K6962" s="7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</row>
    <row r="6963" hidden="1">
      <c r="A6963" s="7"/>
      <c r="B6963" s="7"/>
      <c r="C6963" s="7"/>
      <c r="D6963" s="7"/>
      <c r="E6963" s="7"/>
      <c r="F6963" s="7"/>
      <c r="G6963" s="7"/>
      <c r="H6963" s="8"/>
      <c r="I6963" s="8"/>
      <c r="J6963" s="7"/>
      <c r="K6963" s="7"/>
      <c r="L6963" s="7"/>
      <c r="M6963" s="7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  <c r="Y6963" s="7"/>
      <c r="Z6963" s="7"/>
    </row>
    <row r="6964" hidden="1">
      <c r="A6964" s="7"/>
      <c r="B6964" s="7"/>
      <c r="C6964" s="7"/>
      <c r="D6964" s="7"/>
      <c r="E6964" s="7"/>
      <c r="F6964" s="7"/>
      <c r="G6964" s="7"/>
      <c r="H6964" s="8"/>
      <c r="I6964" s="8"/>
      <c r="J6964" s="7"/>
      <c r="K6964" s="7"/>
      <c r="L6964" s="7"/>
      <c r="M6964" s="7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7"/>
      <c r="Z6964" s="7"/>
    </row>
    <row r="6965" hidden="1">
      <c r="A6965" s="7"/>
      <c r="B6965" s="7"/>
      <c r="C6965" s="7"/>
      <c r="D6965" s="7"/>
      <c r="E6965" s="7"/>
      <c r="F6965" s="7"/>
      <c r="G6965" s="7"/>
      <c r="H6965" s="8"/>
      <c r="I6965" s="8"/>
      <c r="J6965" s="7"/>
      <c r="K6965" s="7"/>
      <c r="L6965" s="7"/>
      <c r="M6965" s="7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  <c r="Y6965" s="7"/>
      <c r="Z6965" s="7"/>
    </row>
    <row r="6966" hidden="1">
      <c r="A6966" s="7"/>
      <c r="B6966" s="7"/>
      <c r="C6966" s="7"/>
      <c r="D6966" s="7"/>
      <c r="E6966" s="7"/>
      <c r="F6966" s="7"/>
      <c r="G6966" s="7"/>
      <c r="H6966" s="8"/>
      <c r="I6966" s="8"/>
      <c r="J6966" s="7"/>
      <c r="K6966" s="7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7"/>
      <c r="Z6966" s="7"/>
    </row>
    <row r="6967" hidden="1">
      <c r="A6967" s="7"/>
      <c r="B6967" s="7"/>
      <c r="C6967" s="7"/>
      <c r="D6967" s="7"/>
      <c r="E6967" s="7"/>
      <c r="F6967" s="7"/>
      <c r="G6967" s="7"/>
      <c r="H6967" s="8"/>
      <c r="I6967" s="8"/>
      <c r="J6967" s="7"/>
      <c r="K6967" s="7"/>
      <c r="L6967" s="7"/>
      <c r="M6967" s="7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  <c r="Y6967" s="7"/>
      <c r="Z6967" s="7"/>
    </row>
    <row r="6968" hidden="1">
      <c r="A6968" s="7"/>
      <c r="B6968" s="7"/>
      <c r="C6968" s="7"/>
      <c r="D6968" s="7"/>
      <c r="E6968" s="7"/>
      <c r="F6968" s="7"/>
      <c r="G6968" s="7"/>
      <c r="H6968" s="8"/>
      <c r="I6968" s="8"/>
      <c r="J6968" s="7"/>
      <c r="K6968" s="7"/>
      <c r="L6968" s="7"/>
      <c r="M6968" s="7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</row>
    <row r="6969" hidden="1">
      <c r="A6969" s="7"/>
      <c r="B6969" s="7"/>
      <c r="C6969" s="7"/>
      <c r="D6969" s="7"/>
      <c r="E6969" s="7"/>
      <c r="F6969" s="7"/>
      <c r="G6969" s="7"/>
      <c r="H6969" s="8"/>
      <c r="I6969" s="8"/>
      <c r="J6969" s="7"/>
      <c r="K6969" s="7"/>
      <c r="L6969" s="7"/>
      <c r="M6969" s="7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  <c r="Y6969" s="7"/>
      <c r="Z6969" s="7"/>
    </row>
    <row r="6970" hidden="1">
      <c r="A6970" s="7"/>
      <c r="B6970" s="7"/>
      <c r="C6970" s="7"/>
      <c r="D6970" s="7"/>
      <c r="E6970" s="7"/>
      <c r="F6970" s="7"/>
      <c r="G6970" s="7"/>
      <c r="H6970" s="8"/>
      <c r="I6970" s="8"/>
      <c r="J6970" s="7"/>
      <c r="K6970" s="7"/>
      <c r="L6970" s="7"/>
      <c r="M6970" s="7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7"/>
      <c r="Z6970" s="7"/>
    </row>
    <row r="6971" hidden="1">
      <c r="A6971" s="7"/>
      <c r="B6971" s="7"/>
      <c r="C6971" s="7"/>
      <c r="D6971" s="7"/>
      <c r="E6971" s="7"/>
      <c r="F6971" s="7"/>
      <c r="G6971" s="7"/>
      <c r="H6971" s="8"/>
      <c r="I6971" s="8"/>
      <c r="J6971" s="7"/>
      <c r="K6971" s="7"/>
      <c r="L6971" s="7"/>
      <c r="M6971" s="7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  <c r="Y6971" s="7"/>
      <c r="Z6971" s="7"/>
    </row>
    <row r="6972" hidden="1">
      <c r="A6972" s="7"/>
      <c r="B6972" s="7"/>
      <c r="C6972" s="7"/>
      <c r="D6972" s="7"/>
      <c r="E6972" s="7"/>
      <c r="F6972" s="7"/>
      <c r="G6972" s="7"/>
      <c r="H6972" s="8"/>
      <c r="I6972" s="8"/>
      <c r="J6972" s="7"/>
      <c r="K6972" s="7"/>
      <c r="L6972" s="7"/>
      <c r="M6972" s="7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7"/>
      <c r="Z6972" s="7"/>
    </row>
    <row r="6973" hidden="1">
      <c r="A6973" s="7"/>
      <c r="B6973" s="7"/>
      <c r="C6973" s="7"/>
      <c r="D6973" s="7"/>
      <c r="E6973" s="7"/>
      <c r="F6973" s="7"/>
      <c r="G6973" s="7"/>
      <c r="H6973" s="8"/>
      <c r="I6973" s="8"/>
      <c r="J6973" s="7"/>
      <c r="K6973" s="7"/>
      <c r="L6973" s="7"/>
      <c r="M6973" s="7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  <c r="Y6973" s="7"/>
      <c r="Z6973" s="7"/>
    </row>
    <row r="6974" hidden="1">
      <c r="A6974" s="7"/>
      <c r="B6974" s="7"/>
      <c r="C6974" s="7"/>
      <c r="D6974" s="7"/>
      <c r="E6974" s="7"/>
      <c r="F6974" s="7"/>
      <c r="G6974" s="7"/>
      <c r="H6974" s="8"/>
      <c r="I6974" s="8"/>
      <c r="J6974" s="7"/>
      <c r="K6974" s="7"/>
      <c r="L6974" s="7"/>
      <c r="M6974" s="7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7"/>
      <c r="Z6974" s="7"/>
    </row>
    <row r="6975" hidden="1">
      <c r="A6975" s="7"/>
      <c r="B6975" s="7"/>
      <c r="C6975" s="7"/>
      <c r="D6975" s="7"/>
      <c r="E6975" s="7"/>
      <c r="F6975" s="7"/>
      <c r="G6975" s="7"/>
      <c r="H6975" s="8"/>
      <c r="I6975" s="8"/>
      <c r="J6975" s="7"/>
      <c r="K6975" s="7"/>
      <c r="L6975" s="7"/>
      <c r="M6975" s="7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  <c r="Y6975" s="7"/>
      <c r="Z6975" s="7"/>
    </row>
    <row r="6976" hidden="1">
      <c r="A6976" s="7"/>
      <c r="B6976" s="7"/>
      <c r="C6976" s="7"/>
      <c r="D6976" s="7"/>
      <c r="E6976" s="7"/>
      <c r="F6976" s="7"/>
      <c r="G6976" s="7"/>
      <c r="H6976" s="8"/>
      <c r="I6976" s="8"/>
      <c r="J6976" s="7"/>
      <c r="K6976" s="7"/>
      <c r="L6976" s="7"/>
      <c r="M6976" s="7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7"/>
      <c r="Z6976" s="7"/>
    </row>
    <row r="6977" hidden="1">
      <c r="A6977" s="7"/>
      <c r="B6977" s="7"/>
      <c r="C6977" s="7"/>
      <c r="D6977" s="7"/>
      <c r="E6977" s="7"/>
      <c r="F6977" s="7"/>
      <c r="G6977" s="7"/>
      <c r="H6977" s="8"/>
      <c r="I6977" s="8"/>
      <c r="J6977" s="7"/>
      <c r="K6977" s="7"/>
      <c r="L6977" s="7"/>
      <c r="M6977" s="7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  <c r="Y6977" s="7"/>
      <c r="Z6977" s="7"/>
    </row>
    <row r="6978" hidden="1">
      <c r="A6978" s="7"/>
      <c r="B6978" s="7"/>
      <c r="C6978" s="7"/>
      <c r="D6978" s="7"/>
      <c r="E6978" s="7"/>
      <c r="F6978" s="7"/>
      <c r="G6978" s="7"/>
      <c r="H6978" s="8"/>
      <c r="I6978" s="8"/>
      <c r="J6978" s="7"/>
      <c r="K6978" s="7"/>
      <c r="L6978" s="7"/>
      <c r="M6978" s="7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7"/>
      <c r="Z6978" s="7"/>
    </row>
    <row r="6979" hidden="1">
      <c r="A6979" s="7"/>
      <c r="B6979" s="7"/>
      <c r="C6979" s="7"/>
      <c r="D6979" s="7"/>
      <c r="E6979" s="7"/>
      <c r="F6979" s="7"/>
      <c r="G6979" s="7"/>
      <c r="H6979" s="8"/>
      <c r="I6979" s="8"/>
      <c r="J6979" s="7"/>
      <c r="K6979" s="7"/>
      <c r="L6979" s="7"/>
      <c r="M6979" s="7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  <c r="Y6979" s="7"/>
      <c r="Z6979" s="7"/>
    </row>
    <row r="6980" hidden="1">
      <c r="A6980" s="7"/>
      <c r="B6980" s="7"/>
      <c r="C6980" s="7"/>
      <c r="D6980" s="7"/>
      <c r="E6980" s="7"/>
      <c r="F6980" s="7"/>
      <c r="G6980" s="7"/>
      <c r="H6980" s="8"/>
      <c r="I6980" s="8"/>
      <c r="J6980" s="7"/>
      <c r="K6980" s="7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7"/>
      <c r="Z6980" s="7"/>
    </row>
    <row r="6981" hidden="1">
      <c r="A6981" s="7"/>
      <c r="B6981" s="7"/>
      <c r="C6981" s="7"/>
      <c r="D6981" s="7"/>
      <c r="E6981" s="7"/>
      <c r="F6981" s="7"/>
      <c r="G6981" s="7"/>
      <c r="H6981" s="8"/>
      <c r="I6981" s="8"/>
      <c r="J6981" s="7"/>
      <c r="K6981" s="7"/>
      <c r="L6981" s="7"/>
      <c r="M6981" s="7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  <c r="Y6981" s="7"/>
      <c r="Z6981" s="7"/>
    </row>
    <row r="6982" hidden="1">
      <c r="A6982" s="7"/>
      <c r="B6982" s="7"/>
      <c r="C6982" s="7"/>
      <c r="D6982" s="7"/>
      <c r="E6982" s="7"/>
      <c r="F6982" s="7"/>
      <c r="G6982" s="7"/>
      <c r="H6982" s="8"/>
      <c r="I6982" s="8"/>
      <c r="J6982" s="7"/>
      <c r="K6982" s="7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</row>
    <row r="6983" hidden="1">
      <c r="A6983" s="7"/>
      <c r="B6983" s="7"/>
      <c r="C6983" s="7"/>
      <c r="D6983" s="7"/>
      <c r="E6983" s="7"/>
      <c r="F6983" s="7"/>
      <c r="G6983" s="7"/>
      <c r="H6983" s="8"/>
      <c r="I6983" s="8"/>
      <c r="J6983" s="7"/>
      <c r="K6983" s="7"/>
      <c r="L6983" s="7"/>
      <c r="M6983" s="7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  <c r="Y6983" s="7"/>
      <c r="Z6983" s="7"/>
    </row>
    <row r="6984" hidden="1">
      <c r="A6984" s="7"/>
      <c r="B6984" s="7"/>
      <c r="C6984" s="7"/>
      <c r="D6984" s="7"/>
      <c r="E6984" s="7"/>
      <c r="F6984" s="7"/>
      <c r="G6984" s="7"/>
      <c r="H6984" s="8"/>
      <c r="I6984" s="8"/>
      <c r="J6984" s="7"/>
      <c r="K6984" s="7"/>
      <c r="L6984" s="7"/>
      <c r="M6984" s="7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</row>
    <row r="6985" hidden="1">
      <c r="A6985" s="7"/>
      <c r="B6985" s="7"/>
      <c r="C6985" s="7"/>
      <c r="D6985" s="7"/>
      <c r="E6985" s="7"/>
      <c r="F6985" s="7"/>
      <c r="G6985" s="7"/>
      <c r="H6985" s="8"/>
      <c r="I6985" s="8"/>
      <c r="J6985" s="7"/>
      <c r="K6985" s="7"/>
      <c r="L6985" s="7"/>
      <c r="M6985" s="7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  <c r="Y6985" s="7"/>
      <c r="Z6985" s="7"/>
    </row>
    <row r="6986" hidden="1">
      <c r="A6986" s="7"/>
      <c r="B6986" s="7"/>
      <c r="C6986" s="7"/>
      <c r="D6986" s="7"/>
      <c r="E6986" s="7"/>
      <c r="F6986" s="7"/>
      <c r="G6986" s="7"/>
      <c r="H6986" s="8"/>
      <c r="I6986" s="8"/>
      <c r="J6986" s="7"/>
      <c r="K6986" s="7"/>
      <c r="L6986" s="7"/>
      <c r="M6986" s="7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</row>
    <row r="6987" hidden="1">
      <c r="A6987" s="7"/>
      <c r="B6987" s="7"/>
      <c r="C6987" s="7"/>
      <c r="D6987" s="7"/>
      <c r="E6987" s="7"/>
      <c r="F6987" s="7"/>
      <c r="G6987" s="7"/>
      <c r="H6987" s="8"/>
      <c r="I6987" s="8"/>
      <c r="J6987" s="7"/>
      <c r="K6987" s="7"/>
      <c r="L6987" s="7"/>
      <c r="M6987" s="7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  <c r="Y6987" s="7"/>
      <c r="Z6987" s="7"/>
    </row>
    <row r="6988" hidden="1">
      <c r="A6988" s="7"/>
      <c r="B6988" s="7"/>
      <c r="C6988" s="7"/>
      <c r="D6988" s="7"/>
      <c r="E6988" s="7"/>
      <c r="F6988" s="7"/>
      <c r="G6988" s="7"/>
      <c r="H6988" s="8"/>
      <c r="I6988" s="8"/>
      <c r="J6988" s="7"/>
      <c r="K6988" s="7"/>
      <c r="L6988" s="7"/>
      <c r="M6988" s="7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</row>
    <row r="6989" hidden="1">
      <c r="A6989" s="7"/>
      <c r="B6989" s="7"/>
      <c r="C6989" s="7"/>
      <c r="D6989" s="7"/>
      <c r="E6989" s="7"/>
      <c r="F6989" s="7"/>
      <c r="G6989" s="7"/>
      <c r="H6989" s="8"/>
      <c r="I6989" s="8"/>
      <c r="J6989" s="7"/>
      <c r="K6989" s="7"/>
      <c r="L6989" s="7"/>
      <c r="M6989" s="7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  <c r="Y6989" s="7"/>
      <c r="Z6989" s="7"/>
    </row>
    <row r="6990" hidden="1">
      <c r="A6990" s="7"/>
      <c r="B6990" s="7"/>
      <c r="C6990" s="7"/>
      <c r="D6990" s="7"/>
      <c r="E6990" s="7"/>
      <c r="F6990" s="7"/>
      <c r="G6990" s="7"/>
      <c r="H6990" s="8"/>
      <c r="I6990" s="8"/>
      <c r="J6990" s="7"/>
      <c r="K6990" s="7"/>
      <c r="L6990" s="7"/>
      <c r="M6990" s="7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</row>
    <row r="6991" hidden="1">
      <c r="A6991" s="7"/>
      <c r="B6991" s="7"/>
      <c r="C6991" s="7"/>
      <c r="D6991" s="7"/>
      <c r="E6991" s="7"/>
      <c r="F6991" s="7"/>
      <c r="G6991" s="7"/>
      <c r="H6991" s="8"/>
      <c r="I6991" s="8"/>
      <c r="J6991" s="7"/>
      <c r="K6991" s="7"/>
      <c r="L6991" s="7"/>
      <c r="M6991" s="7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  <c r="Y6991" s="7"/>
      <c r="Z6991" s="7"/>
    </row>
    <row r="6992" hidden="1">
      <c r="A6992" s="7"/>
      <c r="B6992" s="7"/>
      <c r="C6992" s="7"/>
      <c r="D6992" s="7"/>
      <c r="E6992" s="7"/>
      <c r="F6992" s="7"/>
      <c r="G6992" s="7"/>
      <c r="H6992" s="8"/>
      <c r="I6992" s="8"/>
      <c r="J6992" s="7"/>
      <c r="K6992" s="7"/>
      <c r="L6992" s="7"/>
      <c r="M6992" s="7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</row>
    <row r="6993" hidden="1">
      <c r="A6993" s="7"/>
      <c r="B6993" s="7"/>
      <c r="C6993" s="7"/>
      <c r="D6993" s="7"/>
      <c r="E6993" s="7"/>
      <c r="F6993" s="7"/>
      <c r="G6993" s="7"/>
      <c r="H6993" s="8"/>
      <c r="I6993" s="8"/>
      <c r="J6993" s="7"/>
      <c r="K6993" s="7"/>
      <c r="L6993" s="7"/>
      <c r="M6993" s="7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  <c r="Y6993" s="7"/>
      <c r="Z6993" s="7"/>
    </row>
    <row r="6994" hidden="1">
      <c r="A6994" s="7"/>
      <c r="B6994" s="7"/>
      <c r="C6994" s="7"/>
      <c r="D6994" s="7"/>
      <c r="E6994" s="7"/>
      <c r="F6994" s="7"/>
      <c r="G6994" s="7"/>
      <c r="H6994" s="8"/>
      <c r="I6994" s="8"/>
      <c r="J6994" s="7"/>
      <c r="K6994" s="7"/>
      <c r="L6994" s="7"/>
      <c r="M6994" s="7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</row>
    <row r="6995" hidden="1">
      <c r="A6995" s="7"/>
      <c r="B6995" s="7"/>
      <c r="C6995" s="7"/>
      <c r="D6995" s="7"/>
      <c r="E6995" s="7"/>
      <c r="F6995" s="7"/>
      <c r="G6995" s="7"/>
      <c r="H6995" s="8"/>
      <c r="I6995" s="8"/>
      <c r="J6995" s="7"/>
      <c r="K6995" s="7"/>
      <c r="L6995" s="7"/>
      <c r="M6995" s="7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  <c r="Y6995" s="7"/>
      <c r="Z6995" s="7"/>
    </row>
    <row r="6996" hidden="1">
      <c r="A6996" s="7"/>
      <c r="B6996" s="7"/>
      <c r="C6996" s="7"/>
      <c r="D6996" s="7"/>
      <c r="E6996" s="7"/>
      <c r="F6996" s="7"/>
      <c r="G6996" s="7"/>
      <c r="H6996" s="8"/>
      <c r="I6996" s="8"/>
      <c r="J6996" s="7"/>
      <c r="K6996" s="7"/>
      <c r="L6996" s="7"/>
      <c r="M6996" s="7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</row>
    <row r="6997" hidden="1">
      <c r="A6997" s="7"/>
      <c r="B6997" s="7"/>
      <c r="C6997" s="7"/>
      <c r="D6997" s="7"/>
      <c r="E6997" s="7"/>
      <c r="F6997" s="7"/>
      <c r="G6997" s="7"/>
      <c r="H6997" s="8"/>
      <c r="I6997" s="8"/>
      <c r="J6997" s="7"/>
      <c r="K6997" s="7"/>
      <c r="L6997" s="7"/>
      <c r="M6997" s="7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7"/>
      <c r="Z6997" s="7"/>
    </row>
    <row r="6998" hidden="1">
      <c r="A6998" s="7"/>
      <c r="B6998" s="7"/>
      <c r="C6998" s="7"/>
      <c r="D6998" s="7"/>
      <c r="E6998" s="7"/>
      <c r="F6998" s="7"/>
      <c r="G6998" s="7"/>
      <c r="H6998" s="8"/>
      <c r="I6998" s="8"/>
      <c r="J6998" s="7"/>
      <c r="K6998" s="7"/>
      <c r="L6998" s="7"/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</row>
    <row r="6999" hidden="1">
      <c r="A6999" s="7"/>
      <c r="B6999" s="7"/>
      <c r="C6999" s="7"/>
      <c r="D6999" s="7"/>
      <c r="E6999" s="7"/>
      <c r="F6999" s="7"/>
      <c r="G6999" s="7"/>
      <c r="H6999" s="8"/>
      <c r="I6999" s="8"/>
      <c r="J6999" s="7"/>
      <c r="K6999" s="7"/>
      <c r="L6999" s="7"/>
      <c r="M6999" s="7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7"/>
      <c r="Z6999" s="7"/>
    </row>
    <row r="7000" hidden="1">
      <c r="A7000" s="7"/>
      <c r="B7000" s="7"/>
      <c r="C7000" s="7"/>
      <c r="D7000" s="7"/>
      <c r="E7000" s="7"/>
      <c r="F7000" s="7"/>
      <c r="G7000" s="7"/>
      <c r="H7000" s="8"/>
      <c r="I7000" s="8"/>
      <c r="J7000" s="7"/>
      <c r="K7000" s="7"/>
      <c r="L7000" s="7"/>
      <c r="M7000" s="7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7"/>
      <c r="Z7000" s="7"/>
    </row>
    <row r="7001" hidden="1">
      <c r="A7001" s="7"/>
      <c r="B7001" s="7"/>
      <c r="C7001" s="7"/>
      <c r="D7001" s="7"/>
      <c r="E7001" s="7"/>
      <c r="F7001" s="7"/>
      <c r="G7001" s="7"/>
      <c r="H7001" s="8"/>
      <c r="I7001" s="8"/>
      <c r="J7001" s="7"/>
      <c r="K7001" s="7"/>
      <c r="L7001" s="7"/>
      <c r="M7001" s="7"/>
      <c r="N7001" s="7"/>
      <c r="O7001" s="7"/>
      <c r="P7001" s="7"/>
      <c r="Q7001" s="7"/>
      <c r="R7001" s="7"/>
      <c r="S7001" s="7"/>
      <c r="T7001" s="7"/>
      <c r="U7001" s="7"/>
      <c r="V7001" s="7"/>
      <c r="W7001" s="7"/>
      <c r="X7001" s="7"/>
      <c r="Y7001" s="7"/>
      <c r="Z7001" s="7"/>
    </row>
    <row r="7002" hidden="1">
      <c r="A7002" s="7"/>
      <c r="B7002" s="7"/>
      <c r="C7002" s="7"/>
      <c r="D7002" s="7"/>
      <c r="E7002" s="7"/>
      <c r="F7002" s="7"/>
      <c r="G7002" s="7"/>
      <c r="H7002" s="8"/>
      <c r="I7002" s="8"/>
      <c r="J7002" s="7"/>
      <c r="K7002" s="7"/>
      <c r="L7002" s="7"/>
      <c r="M7002" s="7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  <c r="Y7002" s="7"/>
      <c r="Z7002" s="7"/>
    </row>
    <row r="7003" hidden="1">
      <c r="A7003" s="7"/>
      <c r="B7003" s="7"/>
      <c r="C7003" s="7"/>
      <c r="D7003" s="7"/>
      <c r="E7003" s="7"/>
      <c r="F7003" s="7"/>
      <c r="G7003" s="7"/>
      <c r="H7003" s="8"/>
      <c r="I7003" s="8"/>
      <c r="J7003" s="7"/>
      <c r="K7003" s="7"/>
      <c r="L7003" s="7"/>
      <c r="M7003" s="7"/>
      <c r="N7003" s="7"/>
      <c r="O7003" s="7"/>
      <c r="P7003" s="7"/>
      <c r="Q7003" s="7"/>
      <c r="R7003" s="7"/>
      <c r="S7003" s="7"/>
      <c r="T7003" s="7"/>
      <c r="U7003" s="7"/>
      <c r="V7003" s="7"/>
      <c r="W7003" s="7"/>
      <c r="X7003" s="7"/>
      <c r="Y7003" s="7"/>
      <c r="Z7003" s="7"/>
    </row>
    <row r="7004" hidden="1">
      <c r="A7004" s="7"/>
      <c r="B7004" s="7"/>
      <c r="C7004" s="7"/>
      <c r="D7004" s="7"/>
      <c r="E7004" s="7"/>
      <c r="F7004" s="7"/>
      <c r="G7004" s="7"/>
      <c r="H7004" s="8"/>
      <c r="I7004" s="8"/>
      <c r="J7004" s="7"/>
      <c r="K7004" s="7"/>
      <c r="L7004" s="7"/>
      <c r="M7004" s="7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  <c r="Y7004" s="7"/>
      <c r="Z7004" s="7"/>
    </row>
    <row r="7005" hidden="1">
      <c r="A7005" s="7"/>
      <c r="B7005" s="7"/>
      <c r="C7005" s="7"/>
      <c r="D7005" s="7"/>
      <c r="E7005" s="7"/>
      <c r="F7005" s="7"/>
      <c r="G7005" s="7"/>
      <c r="H7005" s="8"/>
      <c r="I7005" s="8"/>
      <c r="J7005" s="7"/>
      <c r="K7005" s="7"/>
      <c r="L7005" s="7"/>
      <c r="M7005" s="7"/>
      <c r="N7005" s="7"/>
      <c r="O7005" s="7"/>
      <c r="P7005" s="7"/>
      <c r="Q7005" s="7"/>
      <c r="R7005" s="7"/>
      <c r="S7005" s="7"/>
      <c r="T7005" s="7"/>
      <c r="U7005" s="7"/>
      <c r="V7005" s="7"/>
      <c r="W7005" s="7"/>
      <c r="X7005" s="7"/>
      <c r="Y7005" s="7"/>
      <c r="Z7005" s="7"/>
    </row>
    <row r="7006" hidden="1">
      <c r="A7006" s="7"/>
      <c r="B7006" s="7"/>
      <c r="C7006" s="7"/>
      <c r="D7006" s="7"/>
      <c r="E7006" s="7"/>
      <c r="F7006" s="7"/>
      <c r="G7006" s="7"/>
      <c r="H7006" s="8"/>
      <c r="I7006" s="8"/>
      <c r="J7006" s="7"/>
      <c r="K7006" s="7"/>
      <c r="L7006" s="7"/>
      <c r="M7006" s="7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  <c r="Y7006" s="7"/>
      <c r="Z7006" s="7"/>
    </row>
    <row r="7007" hidden="1">
      <c r="A7007" s="7"/>
      <c r="B7007" s="7"/>
      <c r="C7007" s="7"/>
      <c r="D7007" s="7"/>
      <c r="E7007" s="7"/>
      <c r="F7007" s="7"/>
      <c r="G7007" s="7"/>
      <c r="H7007" s="8"/>
      <c r="I7007" s="8"/>
      <c r="J7007" s="7"/>
      <c r="K7007" s="7"/>
      <c r="L7007" s="7"/>
      <c r="M7007" s="7"/>
      <c r="N7007" s="7"/>
      <c r="O7007" s="7"/>
      <c r="P7007" s="7"/>
      <c r="Q7007" s="7"/>
      <c r="R7007" s="7"/>
      <c r="S7007" s="7"/>
      <c r="T7007" s="7"/>
      <c r="U7007" s="7"/>
      <c r="V7007" s="7"/>
      <c r="W7007" s="7"/>
      <c r="X7007" s="7"/>
      <c r="Y7007" s="7"/>
      <c r="Z7007" s="7"/>
    </row>
    <row r="7008" hidden="1">
      <c r="A7008" s="7"/>
      <c r="B7008" s="7"/>
      <c r="C7008" s="7"/>
      <c r="D7008" s="7"/>
      <c r="E7008" s="7"/>
      <c r="F7008" s="7"/>
      <c r="G7008" s="7"/>
      <c r="H7008" s="8"/>
      <c r="I7008" s="8"/>
      <c r="J7008" s="7"/>
      <c r="K7008" s="7"/>
      <c r="L7008" s="7"/>
      <c r="M7008" s="7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  <c r="Y7008" s="7"/>
      <c r="Z7008" s="7"/>
    </row>
    <row r="7009" hidden="1">
      <c r="A7009" s="7"/>
      <c r="B7009" s="7"/>
      <c r="C7009" s="7"/>
      <c r="D7009" s="7"/>
      <c r="E7009" s="7"/>
      <c r="F7009" s="7"/>
      <c r="G7009" s="7"/>
      <c r="H7009" s="8"/>
      <c r="I7009" s="8"/>
      <c r="J7009" s="7"/>
      <c r="K7009" s="7"/>
      <c r="L7009" s="7"/>
      <c r="M7009" s="7"/>
      <c r="N7009" s="7"/>
      <c r="O7009" s="7"/>
      <c r="P7009" s="7"/>
      <c r="Q7009" s="7"/>
      <c r="R7009" s="7"/>
      <c r="S7009" s="7"/>
      <c r="T7009" s="7"/>
      <c r="U7009" s="7"/>
      <c r="V7009" s="7"/>
      <c r="W7009" s="7"/>
      <c r="X7009" s="7"/>
      <c r="Y7009" s="7"/>
      <c r="Z7009" s="7"/>
    </row>
    <row r="7010" hidden="1">
      <c r="A7010" s="7"/>
      <c r="B7010" s="7"/>
      <c r="C7010" s="7"/>
      <c r="D7010" s="7"/>
      <c r="E7010" s="7"/>
      <c r="F7010" s="7"/>
      <c r="G7010" s="7"/>
      <c r="H7010" s="8"/>
      <c r="I7010" s="8"/>
      <c r="J7010" s="7"/>
      <c r="K7010" s="7"/>
      <c r="L7010" s="7"/>
      <c r="M7010" s="7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  <c r="Y7010" s="7"/>
      <c r="Z7010" s="7"/>
    </row>
    <row r="7011" hidden="1">
      <c r="A7011" s="7"/>
      <c r="B7011" s="7"/>
      <c r="C7011" s="7"/>
      <c r="D7011" s="7"/>
      <c r="E7011" s="7"/>
      <c r="F7011" s="7"/>
      <c r="G7011" s="7"/>
      <c r="H7011" s="8"/>
      <c r="I7011" s="8"/>
      <c r="J7011" s="7"/>
      <c r="K7011" s="7"/>
      <c r="L7011" s="7"/>
      <c r="M7011" s="7"/>
      <c r="N7011" s="7"/>
      <c r="O7011" s="7"/>
      <c r="P7011" s="7"/>
      <c r="Q7011" s="7"/>
      <c r="R7011" s="7"/>
      <c r="S7011" s="7"/>
      <c r="T7011" s="7"/>
      <c r="U7011" s="7"/>
      <c r="V7011" s="7"/>
      <c r="W7011" s="7"/>
      <c r="X7011" s="7"/>
      <c r="Y7011" s="7"/>
      <c r="Z7011" s="7"/>
    </row>
    <row r="7012" hidden="1">
      <c r="A7012" s="7"/>
      <c r="B7012" s="7"/>
      <c r="C7012" s="7"/>
      <c r="D7012" s="7"/>
      <c r="E7012" s="7"/>
      <c r="F7012" s="7"/>
      <c r="G7012" s="7"/>
      <c r="H7012" s="8"/>
      <c r="I7012" s="8"/>
      <c r="J7012" s="7"/>
      <c r="K7012" s="7"/>
      <c r="L7012" s="7"/>
      <c r="M7012" s="7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  <c r="Y7012" s="7"/>
      <c r="Z7012" s="7"/>
    </row>
    <row r="7013" hidden="1">
      <c r="A7013" s="7"/>
      <c r="B7013" s="7"/>
      <c r="C7013" s="7"/>
      <c r="D7013" s="7"/>
      <c r="E7013" s="7"/>
      <c r="F7013" s="7"/>
      <c r="G7013" s="7"/>
      <c r="H7013" s="8"/>
      <c r="I7013" s="8"/>
      <c r="J7013" s="7"/>
      <c r="K7013" s="7"/>
      <c r="L7013" s="7"/>
      <c r="M7013" s="7"/>
      <c r="N7013" s="7"/>
      <c r="O7013" s="7"/>
      <c r="P7013" s="7"/>
      <c r="Q7013" s="7"/>
      <c r="R7013" s="7"/>
      <c r="S7013" s="7"/>
      <c r="T7013" s="7"/>
      <c r="U7013" s="7"/>
      <c r="V7013" s="7"/>
      <c r="W7013" s="7"/>
      <c r="X7013" s="7"/>
      <c r="Y7013" s="7"/>
      <c r="Z7013" s="7"/>
    </row>
    <row r="7014" hidden="1">
      <c r="A7014" s="7"/>
      <c r="B7014" s="7"/>
      <c r="C7014" s="7"/>
      <c r="D7014" s="7"/>
      <c r="E7014" s="7"/>
      <c r="F7014" s="7"/>
      <c r="G7014" s="7"/>
      <c r="H7014" s="8"/>
      <c r="I7014" s="8"/>
      <c r="J7014" s="7"/>
      <c r="K7014" s="7"/>
      <c r="L7014" s="7"/>
      <c r="M7014" s="7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  <c r="Y7014" s="7"/>
      <c r="Z7014" s="7"/>
    </row>
    <row r="7015" hidden="1">
      <c r="A7015" s="7"/>
      <c r="B7015" s="7"/>
      <c r="C7015" s="7"/>
      <c r="D7015" s="7"/>
      <c r="E7015" s="7"/>
      <c r="F7015" s="7"/>
      <c r="G7015" s="7"/>
      <c r="H7015" s="8"/>
      <c r="I7015" s="8"/>
      <c r="J7015" s="7"/>
      <c r="K7015" s="7"/>
      <c r="L7015" s="7"/>
      <c r="M7015" s="7"/>
      <c r="N7015" s="7"/>
      <c r="O7015" s="7"/>
      <c r="P7015" s="7"/>
      <c r="Q7015" s="7"/>
      <c r="R7015" s="7"/>
      <c r="S7015" s="7"/>
      <c r="T7015" s="7"/>
      <c r="U7015" s="7"/>
      <c r="V7015" s="7"/>
      <c r="W7015" s="7"/>
      <c r="X7015" s="7"/>
      <c r="Y7015" s="7"/>
      <c r="Z7015" s="7"/>
    </row>
    <row r="7016" hidden="1">
      <c r="A7016" s="7"/>
      <c r="B7016" s="7"/>
      <c r="C7016" s="7"/>
      <c r="D7016" s="7"/>
      <c r="E7016" s="7"/>
      <c r="F7016" s="7"/>
      <c r="G7016" s="7"/>
      <c r="H7016" s="8"/>
      <c r="I7016" s="8"/>
      <c r="J7016" s="7"/>
      <c r="K7016" s="7"/>
      <c r="L7016" s="7"/>
      <c r="M7016" s="7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7"/>
      <c r="Z7016" s="7"/>
    </row>
    <row r="7017" hidden="1">
      <c r="A7017" s="7"/>
      <c r="B7017" s="7"/>
      <c r="C7017" s="7"/>
      <c r="D7017" s="7"/>
      <c r="E7017" s="7"/>
      <c r="F7017" s="7"/>
      <c r="G7017" s="7"/>
      <c r="H7017" s="8"/>
      <c r="I7017" s="8"/>
      <c r="J7017" s="7"/>
      <c r="K7017" s="7"/>
      <c r="L7017" s="7"/>
      <c r="M7017" s="7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  <c r="Y7017" s="7"/>
      <c r="Z7017" s="7"/>
    </row>
    <row r="7018" hidden="1">
      <c r="A7018" s="7"/>
      <c r="B7018" s="7"/>
      <c r="C7018" s="7"/>
      <c r="D7018" s="7"/>
      <c r="E7018" s="7"/>
      <c r="F7018" s="7"/>
      <c r="G7018" s="7"/>
      <c r="H7018" s="8"/>
      <c r="I7018" s="8"/>
      <c r="J7018" s="7"/>
      <c r="K7018" s="7"/>
      <c r="L7018" s="7"/>
      <c r="M7018" s="7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</row>
    <row r="7019" hidden="1">
      <c r="A7019" s="7"/>
      <c r="B7019" s="7"/>
      <c r="C7019" s="7"/>
      <c r="D7019" s="7"/>
      <c r="E7019" s="7"/>
      <c r="F7019" s="7"/>
      <c r="G7019" s="7"/>
      <c r="H7019" s="8"/>
      <c r="I7019" s="8"/>
      <c r="J7019" s="7"/>
      <c r="K7019" s="7"/>
      <c r="L7019" s="7"/>
      <c r="M7019" s="7"/>
      <c r="N7019" s="7"/>
      <c r="O7019" s="7"/>
      <c r="P7019" s="7"/>
      <c r="Q7019" s="7"/>
      <c r="R7019" s="7"/>
      <c r="S7019" s="7"/>
      <c r="T7019" s="7"/>
      <c r="U7019" s="7"/>
      <c r="V7019" s="7"/>
      <c r="W7019" s="7"/>
      <c r="X7019" s="7"/>
      <c r="Y7019" s="7"/>
      <c r="Z7019" s="7"/>
    </row>
    <row r="7020" hidden="1">
      <c r="A7020" s="7"/>
      <c r="B7020" s="7"/>
      <c r="C7020" s="7"/>
      <c r="D7020" s="7"/>
      <c r="E7020" s="7"/>
      <c r="F7020" s="7"/>
      <c r="G7020" s="7"/>
      <c r="H7020" s="8"/>
      <c r="I7020" s="8"/>
      <c r="J7020" s="7"/>
      <c r="K7020" s="7"/>
      <c r="L7020" s="7"/>
      <c r="M7020" s="7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  <c r="Y7020" s="7"/>
      <c r="Z7020" s="7"/>
    </row>
    <row r="7021" hidden="1">
      <c r="A7021" s="7"/>
      <c r="B7021" s="7"/>
      <c r="C7021" s="7"/>
      <c r="D7021" s="7"/>
      <c r="E7021" s="7"/>
      <c r="F7021" s="7"/>
      <c r="G7021" s="7"/>
      <c r="H7021" s="8"/>
      <c r="I7021" s="8"/>
      <c r="J7021" s="7"/>
      <c r="K7021" s="7"/>
      <c r="L7021" s="7"/>
      <c r="M7021" s="7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  <c r="Y7021" s="7"/>
      <c r="Z7021" s="7"/>
    </row>
    <row r="7022" hidden="1">
      <c r="A7022" s="7"/>
      <c r="B7022" s="7"/>
      <c r="C7022" s="7"/>
      <c r="D7022" s="7"/>
      <c r="E7022" s="7"/>
      <c r="F7022" s="7"/>
      <c r="G7022" s="7"/>
      <c r="H7022" s="8"/>
      <c r="I7022" s="8"/>
      <c r="J7022" s="7"/>
      <c r="K7022" s="7"/>
      <c r="L7022" s="7"/>
      <c r="M7022" s="7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  <c r="Y7022" s="7"/>
      <c r="Z7022" s="7"/>
    </row>
    <row r="7023" hidden="1">
      <c r="A7023" s="7"/>
      <c r="B7023" s="7"/>
      <c r="C7023" s="7"/>
      <c r="D7023" s="7"/>
      <c r="E7023" s="7"/>
      <c r="F7023" s="7"/>
      <c r="G7023" s="7"/>
      <c r="H7023" s="8"/>
      <c r="I7023" s="8"/>
      <c r="J7023" s="7"/>
      <c r="K7023" s="7"/>
      <c r="L7023" s="7"/>
      <c r="M7023" s="7"/>
      <c r="N7023" s="7"/>
      <c r="O7023" s="7"/>
      <c r="P7023" s="7"/>
      <c r="Q7023" s="7"/>
      <c r="R7023" s="7"/>
      <c r="S7023" s="7"/>
      <c r="T7023" s="7"/>
      <c r="U7023" s="7"/>
      <c r="V7023" s="7"/>
      <c r="W7023" s="7"/>
      <c r="X7023" s="7"/>
      <c r="Y7023" s="7"/>
      <c r="Z7023" s="7"/>
    </row>
    <row r="7024" hidden="1">
      <c r="A7024" s="7"/>
      <c r="B7024" s="7"/>
      <c r="C7024" s="7"/>
      <c r="D7024" s="7"/>
      <c r="E7024" s="7"/>
      <c r="F7024" s="7"/>
      <c r="G7024" s="7"/>
      <c r="H7024" s="8"/>
      <c r="I7024" s="8"/>
      <c r="J7024" s="7"/>
      <c r="K7024" s="7"/>
      <c r="L7024" s="7"/>
      <c r="M7024" s="7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  <c r="Y7024" s="7"/>
      <c r="Z7024" s="7"/>
    </row>
    <row r="7025" hidden="1">
      <c r="A7025" s="7"/>
      <c r="B7025" s="7"/>
      <c r="C7025" s="7"/>
      <c r="D7025" s="7"/>
      <c r="E7025" s="7"/>
      <c r="F7025" s="7"/>
      <c r="G7025" s="7"/>
      <c r="H7025" s="8"/>
      <c r="I7025" s="8"/>
      <c r="J7025" s="7"/>
      <c r="K7025" s="7"/>
      <c r="L7025" s="7"/>
      <c r="M7025" s="7"/>
      <c r="N7025" s="7"/>
      <c r="O7025" s="7"/>
      <c r="P7025" s="7"/>
      <c r="Q7025" s="7"/>
      <c r="R7025" s="7"/>
      <c r="S7025" s="7"/>
      <c r="T7025" s="7"/>
      <c r="U7025" s="7"/>
      <c r="V7025" s="7"/>
      <c r="W7025" s="7"/>
      <c r="X7025" s="7"/>
      <c r="Y7025" s="7"/>
      <c r="Z7025" s="7"/>
    </row>
    <row r="7026" hidden="1">
      <c r="A7026" s="7"/>
      <c r="B7026" s="7"/>
      <c r="C7026" s="7"/>
      <c r="D7026" s="7"/>
      <c r="E7026" s="7"/>
      <c r="F7026" s="7"/>
      <c r="G7026" s="7"/>
      <c r="H7026" s="8"/>
      <c r="I7026" s="8"/>
      <c r="J7026" s="7"/>
      <c r="K7026" s="7"/>
      <c r="L7026" s="7"/>
      <c r="M7026" s="7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  <c r="Y7026" s="7"/>
      <c r="Z7026" s="7"/>
    </row>
    <row r="7027" hidden="1">
      <c r="A7027" s="7"/>
      <c r="B7027" s="7"/>
      <c r="C7027" s="7"/>
      <c r="D7027" s="7"/>
      <c r="E7027" s="7"/>
      <c r="F7027" s="7"/>
      <c r="G7027" s="7"/>
      <c r="H7027" s="8"/>
      <c r="I7027" s="8"/>
      <c r="J7027" s="7"/>
      <c r="K7027" s="7"/>
      <c r="L7027" s="7"/>
      <c r="M7027" s="7"/>
      <c r="N7027" s="7"/>
      <c r="O7027" s="7"/>
      <c r="P7027" s="7"/>
      <c r="Q7027" s="7"/>
      <c r="R7027" s="7"/>
      <c r="S7027" s="7"/>
      <c r="T7027" s="7"/>
      <c r="U7027" s="7"/>
      <c r="V7027" s="7"/>
      <c r="W7027" s="7"/>
      <c r="X7027" s="7"/>
      <c r="Y7027" s="7"/>
      <c r="Z7027" s="7"/>
    </row>
    <row r="7028" hidden="1">
      <c r="A7028" s="7"/>
      <c r="B7028" s="7"/>
      <c r="C7028" s="7"/>
      <c r="D7028" s="7"/>
      <c r="E7028" s="7"/>
      <c r="F7028" s="7"/>
      <c r="G7028" s="7"/>
      <c r="H7028" s="8"/>
      <c r="I7028" s="8"/>
      <c r="J7028" s="7"/>
      <c r="K7028" s="7"/>
      <c r="L7028" s="7"/>
      <c r="M7028" s="7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  <c r="Y7028" s="7"/>
      <c r="Z7028" s="7"/>
    </row>
    <row r="7029" hidden="1">
      <c r="A7029" s="7"/>
      <c r="B7029" s="7"/>
      <c r="C7029" s="7"/>
      <c r="D7029" s="7"/>
      <c r="E7029" s="7"/>
      <c r="F7029" s="7"/>
      <c r="G7029" s="7"/>
      <c r="H7029" s="8"/>
      <c r="I7029" s="8"/>
      <c r="J7029" s="7"/>
      <c r="K7029" s="7"/>
      <c r="L7029" s="7"/>
      <c r="M7029" s="7"/>
      <c r="N7029" s="7"/>
      <c r="O7029" s="7"/>
      <c r="P7029" s="7"/>
      <c r="Q7029" s="7"/>
      <c r="R7029" s="7"/>
      <c r="S7029" s="7"/>
      <c r="T7029" s="7"/>
      <c r="U7029" s="7"/>
      <c r="V7029" s="7"/>
      <c r="W7029" s="7"/>
      <c r="X7029" s="7"/>
      <c r="Y7029" s="7"/>
      <c r="Z7029" s="7"/>
    </row>
    <row r="7030" hidden="1">
      <c r="A7030" s="7"/>
      <c r="B7030" s="7"/>
      <c r="C7030" s="7"/>
      <c r="D7030" s="7"/>
      <c r="E7030" s="7"/>
      <c r="F7030" s="7"/>
      <c r="G7030" s="7"/>
      <c r="H7030" s="8"/>
      <c r="I7030" s="8"/>
      <c r="J7030" s="7"/>
      <c r="K7030" s="7"/>
      <c r="L7030" s="7"/>
      <c r="M7030" s="7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  <c r="Y7030" s="7"/>
      <c r="Z7030" s="7"/>
    </row>
    <row r="7031" hidden="1">
      <c r="A7031" s="7"/>
      <c r="B7031" s="7"/>
      <c r="C7031" s="7"/>
      <c r="D7031" s="7"/>
      <c r="E7031" s="7"/>
      <c r="F7031" s="7"/>
      <c r="G7031" s="7"/>
      <c r="H7031" s="8"/>
      <c r="I7031" s="8"/>
      <c r="J7031" s="7"/>
      <c r="K7031" s="7"/>
      <c r="L7031" s="7"/>
      <c r="M7031" s="7"/>
      <c r="N7031" s="7"/>
      <c r="O7031" s="7"/>
      <c r="P7031" s="7"/>
      <c r="Q7031" s="7"/>
      <c r="R7031" s="7"/>
      <c r="S7031" s="7"/>
      <c r="T7031" s="7"/>
      <c r="U7031" s="7"/>
      <c r="V7031" s="7"/>
      <c r="W7031" s="7"/>
      <c r="X7031" s="7"/>
      <c r="Y7031" s="7"/>
      <c r="Z7031" s="7"/>
    </row>
    <row r="7032" hidden="1">
      <c r="A7032" s="7"/>
      <c r="B7032" s="7"/>
      <c r="C7032" s="7"/>
      <c r="D7032" s="7"/>
      <c r="E7032" s="7"/>
      <c r="F7032" s="7"/>
      <c r="G7032" s="7"/>
      <c r="H7032" s="8"/>
      <c r="I7032" s="8"/>
      <c r="J7032" s="7"/>
      <c r="K7032" s="7"/>
      <c r="L7032" s="7"/>
      <c r="M7032" s="7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  <c r="Y7032" s="7"/>
      <c r="Z7032" s="7"/>
    </row>
    <row r="7033" hidden="1">
      <c r="A7033" s="7"/>
      <c r="B7033" s="7"/>
      <c r="C7033" s="7"/>
      <c r="D7033" s="7"/>
      <c r="E7033" s="7"/>
      <c r="F7033" s="7"/>
      <c r="G7033" s="7"/>
      <c r="H7033" s="8"/>
      <c r="I7033" s="8"/>
      <c r="J7033" s="7"/>
      <c r="K7033" s="7"/>
      <c r="L7033" s="7"/>
      <c r="M7033" s="7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  <c r="Y7033" s="7"/>
      <c r="Z7033" s="7"/>
    </row>
    <row r="7034" hidden="1">
      <c r="A7034" s="7"/>
      <c r="B7034" s="7"/>
      <c r="C7034" s="7"/>
      <c r="D7034" s="7"/>
      <c r="E7034" s="7"/>
      <c r="F7034" s="7"/>
      <c r="G7034" s="7"/>
      <c r="H7034" s="8"/>
      <c r="I7034" s="8"/>
      <c r="J7034" s="7"/>
      <c r="K7034" s="7"/>
      <c r="L7034" s="7"/>
      <c r="M7034" s="7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7"/>
      <c r="Z7034" s="7"/>
    </row>
    <row r="7035" hidden="1">
      <c r="A7035" s="7"/>
      <c r="B7035" s="7"/>
      <c r="C7035" s="7"/>
      <c r="D7035" s="7"/>
      <c r="E7035" s="7"/>
      <c r="F7035" s="7"/>
      <c r="G7035" s="7"/>
      <c r="H7035" s="8"/>
      <c r="I7035" s="8"/>
      <c r="J7035" s="7"/>
      <c r="K7035" s="7"/>
      <c r="L7035" s="7"/>
      <c r="M7035" s="7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  <c r="Y7035" s="7"/>
      <c r="Z7035" s="7"/>
    </row>
    <row r="7036" hidden="1">
      <c r="A7036" s="7"/>
      <c r="B7036" s="7"/>
      <c r="C7036" s="7"/>
      <c r="D7036" s="7"/>
      <c r="E7036" s="7"/>
      <c r="F7036" s="7"/>
      <c r="G7036" s="7"/>
      <c r="H7036" s="8"/>
      <c r="I7036" s="8"/>
      <c r="J7036" s="7"/>
      <c r="K7036" s="7"/>
      <c r="L7036" s="7"/>
      <c r="M7036" s="7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7"/>
      <c r="Z7036" s="7"/>
    </row>
    <row r="7037" hidden="1">
      <c r="A7037" s="7"/>
      <c r="B7037" s="7"/>
      <c r="C7037" s="7"/>
      <c r="D7037" s="7"/>
      <c r="E7037" s="7"/>
      <c r="F7037" s="7"/>
      <c r="G7037" s="7"/>
      <c r="H7037" s="8"/>
      <c r="I7037" s="8"/>
      <c r="J7037" s="7"/>
      <c r="K7037" s="7"/>
      <c r="L7037" s="7"/>
      <c r="M7037" s="7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  <c r="Y7037" s="7"/>
      <c r="Z7037" s="7"/>
    </row>
    <row r="7038" hidden="1">
      <c r="A7038" s="7"/>
      <c r="B7038" s="7"/>
      <c r="C7038" s="7"/>
      <c r="D7038" s="7"/>
      <c r="E7038" s="7"/>
      <c r="F7038" s="7"/>
      <c r="G7038" s="7"/>
      <c r="H7038" s="8"/>
      <c r="I7038" s="8"/>
      <c r="J7038" s="7"/>
      <c r="K7038" s="7"/>
      <c r="L7038" s="7"/>
      <c r="M7038" s="7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7"/>
      <c r="Z7038" s="7"/>
    </row>
    <row r="7039" hidden="1">
      <c r="A7039" s="7"/>
      <c r="B7039" s="7"/>
      <c r="C7039" s="7"/>
      <c r="D7039" s="7"/>
      <c r="E7039" s="7"/>
      <c r="F7039" s="7"/>
      <c r="G7039" s="7"/>
      <c r="H7039" s="8"/>
      <c r="I7039" s="8"/>
      <c r="J7039" s="7"/>
      <c r="K7039" s="7"/>
      <c r="L7039" s="7"/>
      <c r="M7039" s="7"/>
      <c r="N7039" s="7"/>
      <c r="O7039" s="7"/>
      <c r="P7039" s="7"/>
      <c r="Q7039" s="7"/>
      <c r="R7039" s="7"/>
      <c r="S7039" s="7"/>
      <c r="T7039" s="7"/>
      <c r="U7039" s="7"/>
      <c r="V7039" s="7"/>
      <c r="W7039" s="7"/>
      <c r="X7039" s="7"/>
      <c r="Y7039" s="7"/>
      <c r="Z7039" s="7"/>
    </row>
    <row r="7040" hidden="1">
      <c r="A7040" s="7"/>
      <c r="B7040" s="7"/>
      <c r="C7040" s="7"/>
      <c r="D7040" s="7"/>
      <c r="E7040" s="7"/>
      <c r="F7040" s="7"/>
      <c r="G7040" s="7"/>
      <c r="H7040" s="8"/>
      <c r="I7040" s="8"/>
      <c r="J7040" s="7"/>
      <c r="K7040" s="7"/>
      <c r="L7040" s="7"/>
      <c r="M7040" s="7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  <c r="Y7040" s="7"/>
      <c r="Z7040" s="7"/>
    </row>
    <row r="7041" hidden="1">
      <c r="A7041" s="7"/>
      <c r="B7041" s="7"/>
      <c r="C7041" s="7"/>
      <c r="D7041" s="7"/>
      <c r="E7041" s="7"/>
      <c r="F7041" s="7"/>
      <c r="G7041" s="7"/>
      <c r="H7041" s="8"/>
      <c r="I7041" s="8"/>
      <c r="J7041" s="7"/>
      <c r="K7041" s="7"/>
      <c r="L7041" s="7"/>
      <c r="M7041" s="7"/>
      <c r="N7041" s="7"/>
      <c r="O7041" s="7"/>
      <c r="P7041" s="7"/>
      <c r="Q7041" s="7"/>
      <c r="R7041" s="7"/>
      <c r="S7041" s="7"/>
      <c r="T7041" s="7"/>
      <c r="U7041" s="7"/>
      <c r="V7041" s="7"/>
      <c r="W7041" s="7"/>
      <c r="X7041" s="7"/>
      <c r="Y7041" s="7"/>
      <c r="Z7041" s="7"/>
    </row>
    <row r="7042" hidden="1">
      <c r="A7042" s="7"/>
      <c r="B7042" s="7"/>
      <c r="C7042" s="7"/>
      <c r="D7042" s="7"/>
      <c r="E7042" s="7"/>
      <c r="F7042" s="7"/>
      <c r="G7042" s="7"/>
      <c r="H7042" s="8"/>
      <c r="I7042" s="8"/>
      <c r="J7042" s="7"/>
      <c r="K7042" s="7"/>
      <c r="L7042" s="7"/>
      <c r="M7042" s="7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  <c r="Y7042" s="7"/>
      <c r="Z7042" s="7"/>
    </row>
    <row r="7043" hidden="1">
      <c r="A7043" s="7"/>
      <c r="B7043" s="7"/>
      <c r="C7043" s="7"/>
      <c r="D7043" s="7"/>
      <c r="E7043" s="7"/>
      <c r="F7043" s="7"/>
      <c r="G7043" s="7"/>
      <c r="H7043" s="8"/>
      <c r="I7043" s="8"/>
      <c r="J7043" s="7"/>
      <c r="K7043" s="7"/>
      <c r="L7043" s="7"/>
      <c r="M7043" s="7"/>
      <c r="N7043" s="7"/>
      <c r="O7043" s="7"/>
      <c r="P7043" s="7"/>
      <c r="Q7043" s="7"/>
      <c r="R7043" s="7"/>
      <c r="S7043" s="7"/>
      <c r="T7043" s="7"/>
      <c r="U7043" s="7"/>
      <c r="V7043" s="7"/>
      <c r="W7043" s="7"/>
      <c r="X7043" s="7"/>
      <c r="Y7043" s="7"/>
      <c r="Z7043" s="7"/>
    </row>
    <row r="7044" hidden="1">
      <c r="A7044" s="7"/>
      <c r="B7044" s="7"/>
      <c r="C7044" s="7"/>
      <c r="D7044" s="7"/>
      <c r="E7044" s="7"/>
      <c r="F7044" s="7"/>
      <c r="G7044" s="7"/>
      <c r="H7044" s="8"/>
      <c r="I7044" s="8"/>
      <c r="J7044" s="7"/>
      <c r="K7044" s="7"/>
      <c r="L7044" s="7"/>
      <c r="M7044" s="7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  <c r="Y7044" s="7"/>
      <c r="Z7044" s="7"/>
    </row>
    <row r="7045" hidden="1">
      <c r="A7045" s="7"/>
      <c r="B7045" s="7"/>
      <c r="C7045" s="7"/>
      <c r="D7045" s="7"/>
      <c r="E7045" s="7"/>
      <c r="F7045" s="7"/>
      <c r="G7045" s="7"/>
      <c r="H7045" s="8"/>
      <c r="I7045" s="8"/>
      <c r="J7045" s="7"/>
      <c r="K7045" s="7"/>
      <c r="L7045" s="7"/>
      <c r="M7045" s="7"/>
      <c r="N7045" s="7"/>
      <c r="O7045" s="7"/>
      <c r="P7045" s="7"/>
      <c r="Q7045" s="7"/>
      <c r="R7045" s="7"/>
      <c r="S7045" s="7"/>
      <c r="T7045" s="7"/>
      <c r="U7045" s="7"/>
      <c r="V7045" s="7"/>
      <c r="W7045" s="7"/>
      <c r="X7045" s="7"/>
      <c r="Y7045" s="7"/>
      <c r="Z7045" s="7"/>
    </row>
    <row r="7046" hidden="1">
      <c r="A7046" s="7"/>
      <c r="B7046" s="7"/>
      <c r="C7046" s="7"/>
      <c r="D7046" s="7"/>
      <c r="E7046" s="7"/>
      <c r="F7046" s="7"/>
      <c r="G7046" s="7"/>
      <c r="H7046" s="8"/>
      <c r="I7046" s="8"/>
      <c r="J7046" s="7"/>
      <c r="K7046" s="7"/>
      <c r="L7046" s="7"/>
      <c r="M7046" s="7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  <c r="Y7046" s="7"/>
      <c r="Z7046" s="7"/>
    </row>
    <row r="7047" hidden="1">
      <c r="A7047" s="7"/>
      <c r="B7047" s="7"/>
      <c r="C7047" s="7"/>
      <c r="D7047" s="7"/>
      <c r="E7047" s="7"/>
      <c r="F7047" s="7"/>
      <c r="G7047" s="7"/>
      <c r="H7047" s="8"/>
      <c r="I7047" s="8"/>
      <c r="J7047" s="7"/>
      <c r="K7047" s="7"/>
      <c r="L7047" s="7"/>
      <c r="M7047" s="7"/>
      <c r="N7047" s="7"/>
      <c r="O7047" s="7"/>
      <c r="P7047" s="7"/>
      <c r="Q7047" s="7"/>
      <c r="R7047" s="7"/>
      <c r="S7047" s="7"/>
      <c r="T7047" s="7"/>
      <c r="U7047" s="7"/>
      <c r="V7047" s="7"/>
      <c r="W7047" s="7"/>
      <c r="X7047" s="7"/>
      <c r="Y7047" s="7"/>
      <c r="Z7047" s="7"/>
    </row>
    <row r="7048" hidden="1">
      <c r="A7048" s="7"/>
      <c r="B7048" s="7"/>
      <c r="C7048" s="7"/>
      <c r="D7048" s="7"/>
      <c r="E7048" s="7"/>
      <c r="F7048" s="7"/>
      <c r="G7048" s="7"/>
      <c r="H7048" s="8"/>
      <c r="I7048" s="8"/>
      <c r="J7048" s="7"/>
      <c r="K7048" s="7"/>
      <c r="L7048" s="7"/>
      <c r="M7048" s="7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  <c r="Y7048" s="7"/>
      <c r="Z7048" s="7"/>
    </row>
    <row r="7049" hidden="1">
      <c r="A7049" s="7"/>
      <c r="B7049" s="7"/>
      <c r="C7049" s="7"/>
      <c r="D7049" s="7"/>
      <c r="E7049" s="7"/>
      <c r="F7049" s="7"/>
      <c r="G7049" s="7"/>
      <c r="H7049" s="8"/>
      <c r="I7049" s="8"/>
      <c r="J7049" s="7"/>
      <c r="K7049" s="7"/>
      <c r="L7049" s="7"/>
      <c r="M7049" s="7"/>
      <c r="N7049" s="7"/>
      <c r="O7049" s="7"/>
      <c r="P7049" s="7"/>
      <c r="Q7049" s="7"/>
      <c r="R7049" s="7"/>
      <c r="S7049" s="7"/>
      <c r="T7049" s="7"/>
      <c r="U7049" s="7"/>
      <c r="V7049" s="7"/>
      <c r="W7049" s="7"/>
      <c r="X7049" s="7"/>
      <c r="Y7049" s="7"/>
      <c r="Z7049" s="7"/>
    </row>
    <row r="7050" hidden="1">
      <c r="A7050" s="7"/>
      <c r="B7050" s="7"/>
      <c r="C7050" s="7"/>
      <c r="D7050" s="7"/>
      <c r="E7050" s="7"/>
      <c r="F7050" s="7"/>
      <c r="G7050" s="7"/>
      <c r="H7050" s="8"/>
      <c r="I7050" s="8"/>
      <c r="J7050" s="7"/>
      <c r="K7050" s="7"/>
      <c r="L7050" s="7"/>
      <c r="M7050" s="7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  <c r="Y7050" s="7"/>
      <c r="Z7050" s="7"/>
    </row>
    <row r="7051" hidden="1">
      <c r="A7051" s="7"/>
      <c r="B7051" s="7"/>
      <c r="C7051" s="7"/>
      <c r="D7051" s="7"/>
      <c r="E7051" s="7"/>
      <c r="F7051" s="7"/>
      <c r="G7051" s="7"/>
      <c r="H7051" s="8"/>
      <c r="I7051" s="8"/>
      <c r="J7051" s="7"/>
      <c r="K7051" s="7"/>
      <c r="L7051" s="7"/>
      <c r="M7051" s="7"/>
      <c r="N7051" s="7"/>
      <c r="O7051" s="7"/>
      <c r="P7051" s="7"/>
      <c r="Q7051" s="7"/>
      <c r="R7051" s="7"/>
      <c r="S7051" s="7"/>
      <c r="T7051" s="7"/>
      <c r="U7051" s="7"/>
      <c r="V7051" s="7"/>
      <c r="W7051" s="7"/>
      <c r="X7051" s="7"/>
      <c r="Y7051" s="7"/>
      <c r="Z7051" s="7"/>
    </row>
    <row r="7052" hidden="1">
      <c r="A7052" s="7"/>
      <c r="B7052" s="7"/>
      <c r="C7052" s="7"/>
      <c r="D7052" s="7"/>
      <c r="E7052" s="7"/>
      <c r="F7052" s="7"/>
      <c r="G7052" s="7"/>
      <c r="H7052" s="8"/>
      <c r="I7052" s="8"/>
      <c r="J7052" s="7"/>
      <c r="K7052" s="7"/>
      <c r="L7052" s="7"/>
      <c r="M7052" s="7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  <c r="Y7052" s="7"/>
      <c r="Z7052" s="7"/>
    </row>
    <row r="7053" hidden="1">
      <c r="A7053" s="7"/>
      <c r="B7053" s="7"/>
      <c r="C7053" s="7"/>
      <c r="D7053" s="7"/>
      <c r="E7053" s="7"/>
      <c r="F7053" s="7"/>
      <c r="G7053" s="7"/>
      <c r="H7053" s="8"/>
      <c r="I7053" s="8"/>
      <c r="J7053" s="7"/>
      <c r="K7053" s="7"/>
      <c r="L7053" s="7"/>
      <c r="M7053" s="7"/>
      <c r="N7053" s="7"/>
      <c r="O7053" s="7"/>
      <c r="P7053" s="7"/>
      <c r="Q7053" s="7"/>
      <c r="R7053" s="7"/>
      <c r="S7053" s="7"/>
      <c r="T7053" s="7"/>
      <c r="U7053" s="7"/>
      <c r="V7053" s="7"/>
      <c r="W7053" s="7"/>
      <c r="X7053" s="7"/>
      <c r="Y7053" s="7"/>
      <c r="Z7053" s="7"/>
    </row>
    <row r="7054" hidden="1">
      <c r="A7054" s="7"/>
      <c r="B7054" s="7"/>
      <c r="C7054" s="7"/>
      <c r="D7054" s="7"/>
      <c r="E7054" s="7"/>
      <c r="F7054" s="7"/>
      <c r="G7054" s="7"/>
      <c r="H7054" s="8"/>
      <c r="I7054" s="8"/>
      <c r="J7054" s="7"/>
      <c r="K7054" s="7"/>
      <c r="L7054" s="7"/>
      <c r="M7054" s="7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  <c r="Y7054" s="7"/>
      <c r="Z7054" s="7"/>
    </row>
    <row r="7055" hidden="1">
      <c r="A7055" s="7"/>
      <c r="B7055" s="7"/>
      <c r="C7055" s="7"/>
      <c r="D7055" s="7"/>
      <c r="E7055" s="7"/>
      <c r="F7055" s="7"/>
      <c r="G7055" s="7"/>
      <c r="H7055" s="8"/>
      <c r="I7055" s="8"/>
      <c r="J7055" s="7"/>
      <c r="K7055" s="7"/>
      <c r="L7055" s="7"/>
      <c r="M7055" s="7"/>
      <c r="N7055" s="7"/>
      <c r="O7055" s="7"/>
      <c r="P7055" s="7"/>
      <c r="Q7055" s="7"/>
      <c r="R7055" s="7"/>
      <c r="S7055" s="7"/>
      <c r="T7055" s="7"/>
      <c r="U7055" s="7"/>
      <c r="V7055" s="7"/>
      <c r="W7055" s="7"/>
      <c r="X7055" s="7"/>
      <c r="Y7055" s="7"/>
      <c r="Z7055" s="7"/>
    </row>
    <row r="7056" hidden="1">
      <c r="A7056" s="7"/>
      <c r="B7056" s="7"/>
      <c r="C7056" s="7"/>
      <c r="D7056" s="7"/>
      <c r="E7056" s="7"/>
      <c r="F7056" s="7"/>
      <c r="G7056" s="7"/>
      <c r="H7056" s="8"/>
      <c r="I7056" s="8"/>
      <c r="J7056" s="7"/>
      <c r="K7056" s="7"/>
      <c r="L7056" s="7"/>
      <c r="M7056" s="7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  <c r="Y7056" s="7"/>
      <c r="Z7056" s="7"/>
    </row>
    <row r="7057" hidden="1">
      <c r="A7057" s="7"/>
      <c r="B7057" s="7"/>
      <c r="C7057" s="7"/>
      <c r="D7057" s="7"/>
      <c r="E7057" s="7"/>
      <c r="F7057" s="7"/>
      <c r="G7057" s="7"/>
      <c r="H7057" s="8"/>
      <c r="I7057" s="8"/>
      <c r="J7057" s="7"/>
      <c r="K7057" s="7"/>
      <c r="L7057" s="7"/>
      <c r="M7057" s="7"/>
      <c r="N7057" s="7"/>
      <c r="O7057" s="7"/>
      <c r="P7057" s="7"/>
      <c r="Q7057" s="7"/>
      <c r="R7057" s="7"/>
      <c r="S7057" s="7"/>
      <c r="T7057" s="7"/>
      <c r="U7057" s="7"/>
      <c r="V7057" s="7"/>
      <c r="W7057" s="7"/>
      <c r="X7057" s="7"/>
      <c r="Y7057" s="7"/>
      <c r="Z7057" s="7"/>
    </row>
    <row r="7058" hidden="1">
      <c r="A7058" s="7"/>
      <c r="B7058" s="7"/>
      <c r="C7058" s="7"/>
      <c r="D7058" s="7"/>
      <c r="E7058" s="7"/>
      <c r="F7058" s="7"/>
      <c r="G7058" s="7"/>
      <c r="H7058" s="8"/>
      <c r="I7058" s="8"/>
      <c r="J7058" s="7"/>
      <c r="K7058" s="7"/>
      <c r="L7058" s="7"/>
      <c r="M7058" s="7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  <c r="Y7058" s="7"/>
      <c r="Z7058" s="7"/>
    </row>
    <row r="7059" hidden="1">
      <c r="A7059" s="7"/>
      <c r="B7059" s="7"/>
      <c r="C7059" s="7"/>
      <c r="D7059" s="7"/>
      <c r="E7059" s="7"/>
      <c r="F7059" s="7"/>
      <c r="G7059" s="7"/>
      <c r="H7059" s="8"/>
      <c r="I7059" s="8"/>
      <c r="J7059" s="7"/>
      <c r="K7059" s="7"/>
      <c r="L7059" s="7"/>
      <c r="M7059" s="7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  <c r="Y7059" s="7"/>
      <c r="Z7059" s="7"/>
    </row>
    <row r="7060" hidden="1">
      <c r="A7060" s="7"/>
      <c r="B7060" s="7"/>
      <c r="C7060" s="7"/>
      <c r="D7060" s="7"/>
      <c r="E7060" s="7"/>
      <c r="F7060" s="7"/>
      <c r="G7060" s="7"/>
      <c r="H7060" s="8"/>
      <c r="I7060" s="8"/>
      <c r="J7060" s="7"/>
      <c r="K7060" s="7"/>
      <c r="L7060" s="7"/>
      <c r="M7060" s="7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7"/>
      <c r="Z7060" s="7"/>
    </row>
    <row r="7061" hidden="1">
      <c r="A7061" s="7"/>
      <c r="B7061" s="7"/>
      <c r="C7061" s="7"/>
      <c r="D7061" s="7"/>
      <c r="E7061" s="7"/>
      <c r="F7061" s="7"/>
      <c r="G7061" s="7"/>
      <c r="H7061" s="8"/>
      <c r="I7061" s="8"/>
      <c r="J7061" s="7"/>
      <c r="K7061" s="7"/>
      <c r="L7061" s="7"/>
      <c r="M7061" s="7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  <c r="Y7061" s="7"/>
      <c r="Z7061" s="7"/>
    </row>
    <row r="7062" hidden="1">
      <c r="A7062" s="7"/>
      <c r="B7062" s="7"/>
      <c r="C7062" s="7"/>
      <c r="D7062" s="7"/>
      <c r="E7062" s="7"/>
      <c r="F7062" s="7"/>
      <c r="G7062" s="7"/>
      <c r="H7062" s="8"/>
      <c r="I7062" s="8"/>
      <c r="J7062" s="7"/>
      <c r="K7062" s="7"/>
      <c r="L7062" s="7"/>
      <c r="M7062" s="7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7"/>
      <c r="Z7062" s="7"/>
    </row>
    <row r="7063" hidden="1">
      <c r="A7063" s="7"/>
      <c r="B7063" s="7"/>
      <c r="C7063" s="7"/>
      <c r="D7063" s="7"/>
      <c r="E7063" s="7"/>
      <c r="F7063" s="7"/>
      <c r="G7063" s="7"/>
      <c r="H7063" s="8"/>
      <c r="I7063" s="8"/>
      <c r="J7063" s="7"/>
      <c r="K7063" s="7"/>
      <c r="L7063" s="7"/>
      <c r="M7063" s="7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  <c r="Y7063" s="7"/>
      <c r="Z7063" s="7"/>
    </row>
    <row r="7064" hidden="1">
      <c r="A7064" s="7"/>
      <c r="B7064" s="7"/>
      <c r="C7064" s="7"/>
      <c r="D7064" s="7"/>
      <c r="E7064" s="7"/>
      <c r="F7064" s="7"/>
      <c r="G7064" s="7"/>
      <c r="H7064" s="8"/>
      <c r="I7064" s="8"/>
      <c r="J7064" s="7"/>
      <c r="K7064" s="7"/>
      <c r="L7064" s="7"/>
      <c r="M7064" s="7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  <c r="Y7064" s="7"/>
      <c r="Z7064" s="7"/>
    </row>
    <row r="7065" hidden="1">
      <c r="A7065" s="7"/>
      <c r="B7065" s="7"/>
      <c r="C7065" s="7"/>
      <c r="D7065" s="7"/>
      <c r="E7065" s="7"/>
      <c r="F7065" s="7"/>
      <c r="G7065" s="7"/>
      <c r="H7065" s="8"/>
      <c r="I7065" s="8"/>
      <c r="J7065" s="7"/>
      <c r="K7065" s="7"/>
      <c r="L7065" s="7"/>
      <c r="M7065" s="7"/>
      <c r="N7065" s="7"/>
      <c r="O7065" s="7"/>
      <c r="P7065" s="7"/>
      <c r="Q7065" s="7"/>
      <c r="R7065" s="7"/>
      <c r="S7065" s="7"/>
      <c r="T7065" s="7"/>
      <c r="U7065" s="7"/>
      <c r="V7065" s="7"/>
      <c r="W7065" s="7"/>
      <c r="X7065" s="7"/>
      <c r="Y7065" s="7"/>
      <c r="Z7065" s="7"/>
    </row>
    <row r="7066" hidden="1">
      <c r="A7066" s="7"/>
      <c r="B7066" s="7"/>
      <c r="C7066" s="7"/>
      <c r="D7066" s="7"/>
      <c r="E7066" s="7"/>
      <c r="F7066" s="7"/>
      <c r="G7066" s="7"/>
      <c r="H7066" s="8"/>
      <c r="I7066" s="8"/>
      <c r="J7066" s="7"/>
      <c r="K7066" s="7"/>
      <c r="L7066" s="7"/>
      <c r="M7066" s="7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  <c r="Y7066" s="7"/>
      <c r="Z7066" s="7"/>
    </row>
    <row r="7067" hidden="1">
      <c r="A7067" s="7"/>
      <c r="B7067" s="7"/>
      <c r="C7067" s="7"/>
      <c r="D7067" s="7"/>
      <c r="E7067" s="7"/>
      <c r="F7067" s="7"/>
      <c r="G7067" s="7"/>
      <c r="H7067" s="8"/>
      <c r="I7067" s="8"/>
      <c r="J7067" s="7"/>
      <c r="K7067" s="7"/>
      <c r="L7067" s="7"/>
      <c r="M7067" s="7"/>
      <c r="N7067" s="7"/>
      <c r="O7067" s="7"/>
      <c r="P7067" s="7"/>
      <c r="Q7067" s="7"/>
      <c r="R7067" s="7"/>
      <c r="S7067" s="7"/>
      <c r="T7067" s="7"/>
      <c r="U7067" s="7"/>
      <c r="V7067" s="7"/>
      <c r="W7067" s="7"/>
      <c r="X7067" s="7"/>
      <c r="Y7067" s="7"/>
      <c r="Z7067" s="7"/>
    </row>
    <row r="7068" hidden="1">
      <c r="A7068" s="7"/>
      <c r="B7068" s="7"/>
      <c r="C7068" s="7"/>
      <c r="D7068" s="7"/>
      <c r="E7068" s="7"/>
      <c r="F7068" s="7"/>
      <c r="G7068" s="7"/>
      <c r="H7068" s="8"/>
      <c r="I7068" s="8"/>
      <c r="J7068" s="7"/>
      <c r="K7068" s="7"/>
      <c r="L7068" s="7"/>
      <c r="M7068" s="7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  <c r="Y7068" s="7"/>
      <c r="Z7068" s="7"/>
    </row>
    <row r="7069" hidden="1">
      <c r="A7069" s="7"/>
      <c r="B7069" s="7"/>
      <c r="C7069" s="7"/>
      <c r="D7069" s="7"/>
      <c r="E7069" s="7"/>
      <c r="F7069" s="7"/>
      <c r="G7069" s="7"/>
      <c r="H7069" s="8"/>
      <c r="I7069" s="8"/>
      <c r="J7069" s="7"/>
      <c r="K7069" s="7"/>
      <c r="L7069" s="7"/>
      <c r="M7069" s="7"/>
      <c r="N7069" s="7"/>
      <c r="O7069" s="7"/>
      <c r="P7069" s="7"/>
      <c r="Q7069" s="7"/>
      <c r="R7069" s="7"/>
      <c r="S7069" s="7"/>
      <c r="T7069" s="7"/>
      <c r="U7069" s="7"/>
      <c r="V7069" s="7"/>
      <c r="W7069" s="7"/>
      <c r="X7069" s="7"/>
      <c r="Y7069" s="7"/>
      <c r="Z7069" s="7"/>
    </row>
    <row r="7070" hidden="1">
      <c r="A7070" s="7"/>
      <c r="B7070" s="7"/>
      <c r="C7070" s="7"/>
      <c r="D7070" s="7"/>
      <c r="E7070" s="7"/>
      <c r="F7070" s="7"/>
      <c r="G7070" s="7"/>
      <c r="H7070" s="8"/>
      <c r="I7070" s="8"/>
      <c r="J7070" s="7"/>
      <c r="K7070" s="7"/>
      <c r="L7070" s="7"/>
      <c r="M7070" s="7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  <c r="Y7070" s="7"/>
      <c r="Z7070" s="7"/>
    </row>
    <row r="7071" hidden="1">
      <c r="A7071" s="7"/>
      <c r="B7071" s="7"/>
      <c r="C7071" s="7"/>
      <c r="D7071" s="7"/>
      <c r="E7071" s="7"/>
      <c r="F7071" s="7"/>
      <c r="G7071" s="7"/>
      <c r="H7071" s="8"/>
      <c r="I7071" s="8"/>
      <c r="J7071" s="7"/>
      <c r="K7071" s="7"/>
      <c r="L7071" s="7"/>
      <c r="M7071" s="7"/>
      <c r="N7071" s="7"/>
      <c r="O7071" s="7"/>
      <c r="P7071" s="7"/>
      <c r="Q7071" s="7"/>
      <c r="R7071" s="7"/>
      <c r="S7071" s="7"/>
      <c r="T7071" s="7"/>
      <c r="U7071" s="7"/>
      <c r="V7071" s="7"/>
      <c r="W7071" s="7"/>
      <c r="X7071" s="7"/>
      <c r="Y7071" s="7"/>
      <c r="Z7071" s="7"/>
    </row>
    <row r="7072" hidden="1">
      <c r="A7072" s="7"/>
      <c r="B7072" s="7"/>
      <c r="C7072" s="7"/>
      <c r="D7072" s="7"/>
      <c r="E7072" s="7"/>
      <c r="F7072" s="7"/>
      <c r="G7072" s="7"/>
      <c r="H7072" s="8"/>
      <c r="I7072" s="8"/>
      <c r="J7072" s="7"/>
      <c r="K7072" s="7"/>
      <c r="L7072" s="7"/>
      <c r="M7072" s="7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  <c r="Y7072" s="7"/>
      <c r="Z7072" s="7"/>
    </row>
    <row r="7073" hidden="1">
      <c r="A7073" s="7"/>
      <c r="B7073" s="7"/>
      <c r="C7073" s="7"/>
      <c r="D7073" s="7"/>
      <c r="E7073" s="7"/>
      <c r="F7073" s="7"/>
      <c r="G7073" s="7"/>
      <c r="H7073" s="8"/>
      <c r="I7073" s="8"/>
      <c r="J7073" s="7"/>
      <c r="K7073" s="7"/>
      <c r="L7073" s="7"/>
      <c r="M7073" s="7"/>
      <c r="N7073" s="7"/>
      <c r="O7073" s="7"/>
      <c r="P7073" s="7"/>
      <c r="Q7073" s="7"/>
      <c r="R7073" s="7"/>
      <c r="S7073" s="7"/>
      <c r="T7073" s="7"/>
      <c r="U7073" s="7"/>
      <c r="V7073" s="7"/>
      <c r="W7073" s="7"/>
      <c r="X7073" s="7"/>
      <c r="Y7073" s="7"/>
      <c r="Z7073" s="7"/>
    </row>
    <row r="7074" hidden="1">
      <c r="A7074" s="7"/>
      <c r="B7074" s="7"/>
      <c r="C7074" s="7"/>
      <c r="D7074" s="7"/>
      <c r="E7074" s="7"/>
      <c r="F7074" s="7"/>
      <c r="G7074" s="7"/>
      <c r="H7074" s="8"/>
      <c r="I7074" s="8"/>
      <c r="J7074" s="7"/>
      <c r="K7074" s="7"/>
      <c r="L7074" s="7"/>
      <c r="M7074" s="7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  <c r="Y7074" s="7"/>
      <c r="Z7074" s="7"/>
    </row>
    <row r="7075" hidden="1">
      <c r="A7075" s="7"/>
      <c r="B7075" s="7"/>
      <c r="C7075" s="7"/>
      <c r="D7075" s="7"/>
      <c r="E7075" s="7"/>
      <c r="F7075" s="7"/>
      <c r="G7075" s="7"/>
      <c r="H7075" s="8"/>
      <c r="I7075" s="8"/>
      <c r="J7075" s="7"/>
      <c r="K7075" s="7"/>
      <c r="L7075" s="7"/>
      <c r="M7075" s="7"/>
      <c r="N7075" s="7"/>
      <c r="O7075" s="7"/>
      <c r="P7075" s="7"/>
      <c r="Q7075" s="7"/>
      <c r="R7075" s="7"/>
      <c r="S7075" s="7"/>
      <c r="T7075" s="7"/>
      <c r="U7075" s="7"/>
      <c r="V7075" s="7"/>
      <c r="W7075" s="7"/>
      <c r="X7075" s="7"/>
      <c r="Y7075" s="7"/>
      <c r="Z7075" s="7"/>
    </row>
    <row r="7076" hidden="1">
      <c r="A7076" s="7"/>
      <c r="B7076" s="7"/>
      <c r="C7076" s="7"/>
      <c r="D7076" s="7"/>
      <c r="E7076" s="7"/>
      <c r="F7076" s="7"/>
      <c r="G7076" s="7"/>
      <c r="H7076" s="8"/>
      <c r="I7076" s="8"/>
      <c r="J7076" s="7"/>
      <c r="K7076" s="7"/>
      <c r="L7076" s="7"/>
      <c r="M7076" s="7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  <c r="Y7076" s="7"/>
      <c r="Z7076" s="7"/>
    </row>
    <row r="7077" hidden="1">
      <c r="A7077" s="7"/>
      <c r="B7077" s="7"/>
      <c r="C7077" s="7"/>
      <c r="D7077" s="7"/>
      <c r="E7077" s="7"/>
      <c r="F7077" s="7"/>
      <c r="G7077" s="7"/>
      <c r="H7077" s="8"/>
      <c r="I7077" s="8"/>
      <c r="J7077" s="7"/>
      <c r="K7077" s="7"/>
      <c r="L7077" s="7"/>
      <c r="M7077" s="7"/>
      <c r="N7077" s="7"/>
      <c r="O7077" s="7"/>
      <c r="P7077" s="7"/>
      <c r="Q7077" s="7"/>
      <c r="R7077" s="7"/>
      <c r="S7077" s="7"/>
      <c r="T7077" s="7"/>
      <c r="U7077" s="7"/>
      <c r="V7077" s="7"/>
      <c r="W7077" s="7"/>
      <c r="X7077" s="7"/>
      <c r="Y7077" s="7"/>
      <c r="Z7077" s="7"/>
    </row>
    <row r="7078" hidden="1">
      <c r="A7078" s="7"/>
      <c r="B7078" s="7"/>
      <c r="C7078" s="7"/>
      <c r="D7078" s="7"/>
      <c r="E7078" s="7"/>
      <c r="F7078" s="7"/>
      <c r="G7078" s="7"/>
      <c r="H7078" s="8"/>
      <c r="I7078" s="8"/>
      <c r="J7078" s="7"/>
      <c r="K7078" s="7"/>
      <c r="L7078" s="7"/>
      <c r="M7078" s="7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  <c r="Y7078" s="7"/>
      <c r="Z7078" s="7"/>
    </row>
    <row r="7079" hidden="1">
      <c r="A7079" s="7"/>
      <c r="B7079" s="7"/>
      <c r="C7079" s="7"/>
      <c r="D7079" s="7"/>
      <c r="E7079" s="7"/>
      <c r="F7079" s="7"/>
      <c r="G7079" s="7"/>
      <c r="H7079" s="8"/>
      <c r="I7079" s="8"/>
      <c r="J7079" s="7"/>
      <c r="K7079" s="7"/>
      <c r="L7079" s="7"/>
      <c r="M7079" s="7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  <c r="Y7079" s="7"/>
      <c r="Z7079" s="7"/>
    </row>
    <row r="7080" hidden="1">
      <c r="A7080" s="7"/>
      <c r="B7080" s="7"/>
      <c r="C7080" s="7"/>
      <c r="D7080" s="7"/>
      <c r="E7080" s="7"/>
      <c r="F7080" s="7"/>
      <c r="G7080" s="7"/>
      <c r="H7080" s="8"/>
      <c r="I7080" s="8"/>
      <c r="J7080" s="7"/>
      <c r="K7080" s="7"/>
      <c r="L7080" s="7"/>
      <c r="M7080" s="7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7"/>
      <c r="Z7080" s="7"/>
    </row>
    <row r="7081" hidden="1">
      <c r="A7081" s="7"/>
      <c r="B7081" s="7"/>
      <c r="C7081" s="7"/>
      <c r="D7081" s="7"/>
      <c r="E7081" s="7"/>
      <c r="F7081" s="7"/>
      <c r="G7081" s="7"/>
      <c r="H7081" s="8"/>
      <c r="I7081" s="8"/>
      <c r="J7081" s="7"/>
      <c r="K7081" s="7"/>
      <c r="L7081" s="7"/>
      <c r="M7081" s="7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  <c r="Y7081" s="7"/>
      <c r="Z7081" s="7"/>
    </row>
    <row r="7082" hidden="1">
      <c r="A7082" s="7"/>
      <c r="B7082" s="7"/>
      <c r="C7082" s="7"/>
      <c r="D7082" s="7"/>
      <c r="E7082" s="7"/>
      <c r="F7082" s="7"/>
      <c r="G7082" s="7"/>
      <c r="H7082" s="8"/>
      <c r="I7082" s="8"/>
      <c r="J7082" s="7"/>
      <c r="K7082" s="7"/>
      <c r="L7082" s="7"/>
      <c r="M7082" s="7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7"/>
      <c r="Z7082" s="7"/>
    </row>
    <row r="7083" hidden="1">
      <c r="A7083" s="7"/>
      <c r="B7083" s="7"/>
      <c r="C7083" s="7"/>
      <c r="D7083" s="7"/>
      <c r="E7083" s="7"/>
      <c r="F7083" s="7"/>
      <c r="G7083" s="7"/>
      <c r="H7083" s="8"/>
      <c r="I7083" s="8"/>
      <c r="J7083" s="7"/>
      <c r="K7083" s="7"/>
      <c r="L7083" s="7"/>
      <c r="M7083" s="7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  <c r="Y7083" s="7"/>
      <c r="Z7083" s="7"/>
    </row>
    <row r="7084" hidden="1">
      <c r="A7084" s="7"/>
      <c r="B7084" s="7"/>
      <c r="C7084" s="7"/>
      <c r="D7084" s="7"/>
      <c r="E7084" s="7"/>
      <c r="F7084" s="7"/>
      <c r="G7084" s="7"/>
      <c r="H7084" s="8"/>
      <c r="I7084" s="8"/>
      <c r="J7084" s="7"/>
      <c r="K7084" s="7"/>
      <c r="L7084" s="7"/>
      <c r="M7084" s="7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7"/>
      <c r="Z7084" s="7"/>
    </row>
    <row r="7085" hidden="1">
      <c r="A7085" s="7"/>
      <c r="B7085" s="7"/>
      <c r="C7085" s="7"/>
      <c r="D7085" s="7"/>
      <c r="E7085" s="7"/>
      <c r="F7085" s="7"/>
      <c r="G7085" s="7"/>
      <c r="H7085" s="8"/>
      <c r="I7085" s="8"/>
      <c r="J7085" s="7"/>
      <c r="K7085" s="7"/>
      <c r="L7085" s="7"/>
      <c r="M7085" s="7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  <c r="Y7085" s="7"/>
      <c r="Z7085" s="7"/>
    </row>
    <row r="7086" hidden="1">
      <c r="A7086" s="7"/>
      <c r="B7086" s="7"/>
      <c r="C7086" s="7"/>
      <c r="D7086" s="7"/>
      <c r="E7086" s="7"/>
      <c r="F7086" s="7"/>
      <c r="G7086" s="7"/>
      <c r="H7086" s="8"/>
      <c r="I7086" s="8"/>
      <c r="J7086" s="7"/>
      <c r="K7086" s="7"/>
      <c r="L7086" s="7"/>
      <c r="M7086" s="7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7"/>
      <c r="Z7086" s="7"/>
    </row>
    <row r="7087" hidden="1">
      <c r="A7087" s="7"/>
      <c r="B7087" s="7"/>
      <c r="C7087" s="7"/>
      <c r="D7087" s="7"/>
      <c r="E7087" s="7"/>
      <c r="F7087" s="7"/>
      <c r="G7087" s="7"/>
      <c r="H7087" s="8"/>
      <c r="I7087" s="8"/>
      <c r="J7087" s="7"/>
      <c r="K7087" s="7"/>
      <c r="L7087" s="7"/>
      <c r="M7087" s="7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  <c r="Y7087" s="7"/>
      <c r="Z7087" s="7"/>
    </row>
    <row r="7088" hidden="1">
      <c r="A7088" s="7"/>
      <c r="B7088" s="7"/>
      <c r="C7088" s="7"/>
      <c r="D7088" s="7"/>
      <c r="E7088" s="7"/>
      <c r="F7088" s="7"/>
      <c r="G7088" s="7"/>
      <c r="H7088" s="8"/>
      <c r="I7088" s="8"/>
      <c r="J7088" s="7"/>
      <c r="K7088" s="7"/>
      <c r="L7088" s="7"/>
      <c r="M7088" s="7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7"/>
      <c r="Z7088" s="7"/>
    </row>
    <row r="7089" hidden="1">
      <c r="A7089" s="7"/>
      <c r="B7089" s="7"/>
      <c r="C7089" s="7"/>
      <c r="D7089" s="7"/>
      <c r="E7089" s="7"/>
      <c r="F7089" s="7"/>
      <c r="G7089" s="7"/>
      <c r="H7089" s="8"/>
      <c r="I7089" s="8"/>
      <c r="J7089" s="7"/>
      <c r="K7089" s="7"/>
      <c r="L7089" s="7"/>
      <c r="M7089" s="7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  <c r="Y7089" s="7"/>
      <c r="Z7089" s="7"/>
    </row>
    <row r="7090" hidden="1">
      <c r="A7090" s="7"/>
      <c r="B7090" s="7"/>
      <c r="C7090" s="7"/>
      <c r="D7090" s="7"/>
      <c r="E7090" s="7"/>
      <c r="F7090" s="7"/>
      <c r="G7090" s="7"/>
      <c r="H7090" s="8"/>
      <c r="I7090" s="8"/>
      <c r="J7090" s="7"/>
      <c r="K7090" s="7"/>
      <c r="L7090" s="7"/>
      <c r="M7090" s="7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7"/>
      <c r="Z7090" s="7"/>
    </row>
    <row r="7091" hidden="1">
      <c r="A7091" s="7"/>
      <c r="B7091" s="7"/>
      <c r="C7091" s="7"/>
      <c r="D7091" s="7"/>
      <c r="E7091" s="7"/>
      <c r="F7091" s="7"/>
      <c r="G7091" s="7"/>
      <c r="H7091" s="8"/>
      <c r="I7091" s="8"/>
      <c r="J7091" s="7"/>
      <c r="K7091" s="7"/>
      <c r="L7091" s="7"/>
      <c r="M7091" s="7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  <c r="Y7091" s="7"/>
      <c r="Z7091" s="7"/>
    </row>
    <row r="7092" hidden="1">
      <c r="A7092" s="7"/>
      <c r="B7092" s="7"/>
      <c r="C7092" s="7"/>
      <c r="D7092" s="7"/>
      <c r="E7092" s="7"/>
      <c r="F7092" s="7"/>
      <c r="G7092" s="7"/>
      <c r="H7092" s="8"/>
      <c r="I7092" s="8"/>
      <c r="J7092" s="7"/>
      <c r="K7092" s="7"/>
      <c r="L7092" s="7"/>
      <c r="M7092" s="7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7"/>
      <c r="Z7092" s="7"/>
    </row>
    <row r="7093" hidden="1">
      <c r="A7093" s="7"/>
      <c r="B7093" s="7"/>
      <c r="C7093" s="7"/>
      <c r="D7093" s="7"/>
      <c r="E7093" s="7"/>
      <c r="F7093" s="7"/>
      <c r="G7093" s="7"/>
      <c r="H7093" s="8"/>
      <c r="I7093" s="8"/>
      <c r="J7093" s="7"/>
      <c r="K7093" s="7"/>
      <c r="L7093" s="7"/>
      <c r="M7093" s="7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  <c r="Y7093" s="7"/>
      <c r="Z7093" s="7"/>
    </row>
    <row r="7094" hidden="1">
      <c r="A7094" s="7"/>
      <c r="B7094" s="7"/>
      <c r="C7094" s="7"/>
      <c r="D7094" s="7"/>
      <c r="E7094" s="7"/>
      <c r="F7094" s="7"/>
      <c r="G7094" s="7"/>
      <c r="H7094" s="8"/>
      <c r="I7094" s="8"/>
      <c r="J7094" s="7"/>
      <c r="K7094" s="7"/>
      <c r="L7094" s="7"/>
      <c r="M7094" s="7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  <c r="Y7094" s="7"/>
      <c r="Z7094" s="7"/>
    </row>
    <row r="7095" hidden="1">
      <c r="A7095" s="7"/>
      <c r="B7095" s="7"/>
      <c r="C7095" s="7"/>
      <c r="D7095" s="7"/>
      <c r="E7095" s="7"/>
      <c r="F7095" s="7"/>
      <c r="G7095" s="7"/>
      <c r="H7095" s="8"/>
      <c r="I7095" s="8"/>
      <c r="J7095" s="7"/>
      <c r="K7095" s="7"/>
      <c r="L7095" s="7"/>
      <c r="M7095" s="7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  <c r="Y7095" s="7"/>
      <c r="Z7095" s="7"/>
    </row>
    <row r="7096" hidden="1">
      <c r="A7096" s="7"/>
      <c r="B7096" s="7"/>
      <c r="C7096" s="7"/>
      <c r="D7096" s="7"/>
      <c r="E7096" s="7"/>
      <c r="F7096" s="7"/>
      <c r="G7096" s="7"/>
      <c r="H7096" s="8"/>
      <c r="I7096" s="8"/>
      <c r="J7096" s="7"/>
      <c r="K7096" s="7"/>
      <c r="L7096" s="7"/>
      <c r="M7096" s="7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7"/>
      <c r="Z7096" s="7"/>
    </row>
    <row r="7097" hidden="1">
      <c r="A7097" s="7"/>
      <c r="B7097" s="7"/>
      <c r="C7097" s="7"/>
      <c r="D7097" s="7"/>
      <c r="E7097" s="7"/>
      <c r="F7097" s="7"/>
      <c r="G7097" s="7"/>
      <c r="H7097" s="8"/>
      <c r="I7097" s="8"/>
      <c r="J7097" s="7"/>
      <c r="K7097" s="7"/>
      <c r="L7097" s="7"/>
      <c r="M7097" s="7"/>
      <c r="N7097" s="7"/>
      <c r="O7097" s="7"/>
      <c r="P7097" s="7"/>
      <c r="Q7097" s="7"/>
      <c r="R7097" s="7"/>
      <c r="S7097" s="7"/>
      <c r="T7097" s="7"/>
      <c r="U7097" s="7"/>
      <c r="V7097" s="7"/>
      <c r="W7097" s="7"/>
      <c r="X7097" s="7"/>
      <c r="Y7097" s="7"/>
      <c r="Z7097" s="7"/>
    </row>
    <row r="7098" hidden="1">
      <c r="A7098" s="7"/>
      <c r="B7098" s="7"/>
      <c r="C7098" s="7"/>
      <c r="D7098" s="7"/>
      <c r="E7098" s="7"/>
      <c r="F7098" s="7"/>
      <c r="G7098" s="7"/>
      <c r="H7098" s="8"/>
      <c r="I7098" s="8"/>
      <c r="J7098" s="7"/>
      <c r="K7098" s="7"/>
      <c r="L7098" s="7"/>
      <c r="M7098" s="7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7"/>
      <c r="Z7098" s="7"/>
    </row>
    <row r="7099" hidden="1">
      <c r="A7099" s="7"/>
      <c r="B7099" s="7"/>
      <c r="C7099" s="7"/>
      <c r="D7099" s="7"/>
      <c r="E7099" s="7"/>
      <c r="F7099" s="7"/>
      <c r="G7099" s="7"/>
      <c r="H7099" s="8"/>
      <c r="I7099" s="8"/>
      <c r="J7099" s="7"/>
      <c r="K7099" s="7"/>
      <c r="L7099" s="7"/>
      <c r="M7099" s="7"/>
      <c r="N7099" s="7"/>
      <c r="O7099" s="7"/>
      <c r="P7099" s="7"/>
      <c r="Q7099" s="7"/>
      <c r="R7099" s="7"/>
      <c r="S7099" s="7"/>
      <c r="T7099" s="7"/>
      <c r="U7099" s="7"/>
      <c r="V7099" s="7"/>
      <c r="W7099" s="7"/>
      <c r="X7099" s="7"/>
      <c r="Y7099" s="7"/>
      <c r="Z7099" s="7"/>
    </row>
    <row r="7100" hidden="1">
      <c r="A7100" s="7"/>
      <c r="B7100" s="7"/>
      <c r="C7100" s="7"/>
      <c r="D7100" s="7"/>
      <c r="E7100" s="7"/>
      <c r="F7100" s="7"/>
      <c r="G7100" s="7"/>
      <c r="H7100" s="8"/>
      <c r="I7100" s="8"/>
      <c r="J7100" s="7"/>
      <c r="K7100" s="7"/>
      <c r="L7100" s="7"/>
      <c r="M7100" s="7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7"/>
      <c r="Z7100" s="7"/>
    </row>
    <row r="7101" hidden="1">
      <c r="A7101" s="7"/>
      <c r="B7101" s="7"/>
      <c r="C7101" s="7"/>
      <c r="D7101" s="7"/>
      <c r="E7101" s="7"/>
      <c r="F7101" s="7"/>
      <c r="G7101" s="7"/>
      <c r="H7101" s="8"/>
      <c r="I7101" s="8"/>
      <c r="J7101" s="7"/>
      <c r="K7101" s="7"/>
      <c r="L7101" s="7"/>
      <c r="M7101" s="7"/>
      <c r="N7101" s="7"/>
      <c r="O7101" s="7"/>
      <c r="P7101" s="7"/>
      <c r="Q7101" s="7"/>
      <c r="R7101" s="7"/>
      <c r="S7101" s="7"/>
      <c r="T7101" s="7"/>
      <c r="U7101" s="7"/>
      <c r="V7101" s="7"/>
      <c r="W7101" s="7"/>
      <c r="X7101" s="7"/>
      <c r="Y7101" s="7"/>
      <c r="Z7101" s="7"/>
    </row>
    <row r="7102" hidden="1">
      <c r="A7102" s="7"/>
      <c r="B7102" s="7"/>
      <c r="C7102" s="7"/>
      <c r="D7102" s="7"/>
      <c r="E7102" s="7"/>
      <c r="F7102" s="7"/>
      <c r="G7102" s="7"/>
      <c r="H7102" s="8"/>
      <c r="I7102" s="8"/>
      <c r="J7102" s="7"/>
      <c r="K7102" s="7"/>
      <c r="L7102" s="7"/>
      <c r="M7102" s="7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  <c r="Y7102" s="7"/>
      <c r="Z7102" s="7"/>
    </row>
    <row r="7103" hidden="1">
      <c r="A7103" s="7"/>
      <c r="B7103" s="7"/>
      <c r="C7103" s="7"/>
      <c r="D7103" s="7"/>
      <c r="E7103" s="7"/>
      <c r="F7103" s="7"/>
      <c r="G7103" s="7"/>
      <c r="H7103" s="8"/>
      <c r="I7103" s="8"/>
      <c r="J7103" s="7"/>
      <c r="K7103" s="7"/>
      <c r="L7103" s="7"/>
      <c r="M7103" s="7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  <c r="Y7103" s="7"/>
      <c r="Z7103" s="7"/>
    </row>
    <row r="7104" hidden="1">
      <c r="A7104" s="7"/>
      <c r="B7104" s="7"/>
      <c r="C7104" s="7"/>
      <c r="D7104" s="7"/>
      <c r="E7104" s="7"/>
      <c r="F7104" s="7"/>
      <c r="G7104" s="7"/>
      <c r="H7104" s="8"/>
      <c r="I7104" s="8"/>
      <c r="J7104" s="7"/>
      <c r="K7104" s="7"/>
      <c r="L7104" s="7"/>
      <c r="M7104" s="7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7"/>
      <c r="Z7104" s="7"/>
    </row>
    <row r="7105" hidden="1">
      <c r="A7105" s="7"/>
      <c r="B7105" s="7"/>
      <c r="C7105" s="7"/>
      <c r="D7105" s="7"/>
      <c r="E7105" s="7"/>
      <c r="F7105" s="7"/>
      <c r="G7105" s="7"/>
      <c r="H7105" s="8"/>
      <c r="I7105" s="8"/>
      <c r="J7105" s="7"/>
      <c r="K7105" s="7"/>
      <c r="L7105" s="7"/>
      <c r="M7105" s="7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  <c r="Y7105" s="7"/>
      <c r="Z7105" s="7"/>
    </row>
    <row r="7106" hidden="1">
      <c r="A7106" s="7"/>
      <c r="B7106" s="7"/>
      <c r="C7106" s="7"/>
      <c r="D7106" s="7"/>
      <c r="E7106" s="7"/>
      <c r="F7106" s="7"/>
      <c r="G7106" s="7"/>
      <c r="H7106" s="8"/>
      <c r="I7106" s="8"/>
      <c r="J7106" s="7"/>
      <c r="K7106" s="7"/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7"/>
      <c r="Z7106" s="7"/>
    </row>
    <row r="7107" hidden="1">
      <c r="A7107" s="7"/>
      <c r="B7107" s="7"/>
      <c r="C7107" s="7"/>
      <c r="D7107" s="7"/>
      <c r="E7107" s="7"/>
      <c r="F7107" s="7"/>
      <c r="G7107" s="7"/>
      <c r="H7107" s="8"/>
      <c r="I7107" s="8"/>
      <c r="J7107" s="7"/>
      <c r="K7107" s="7"/>
      <c r="L7107" s="7"/>
      <c r="M7107" s="7"/>
      <c r="N7107" s="7"/>
      <c r="O7107" s="7"/>
      <c r="P7107" s="7"/>
      <c r="Q7107" s="7"/>
      <c r="R7107" s="7"/>
      <c r="S7107" s="7"/>
      <c r="T7107" s="7"/>
      <c r="U7107" s="7"/>
      <c r="V7107" s="7"/>
      <c r="W7107" s="7"/>
      <c r="X7107" s="7"/>
      <c r="Y7107" s="7"/>
      <c r="Z7107" s="7"/>
    </row>
    <row r="7108" hidden="1">
      <c r="A7108" s="7"/>
      <c r="B7108" s="7"/>
      <c r="C7108" s="7"/>
      <c r="D7108" s="7"/>
      <c r="E7108" s="7"/>
      <c r="F7108" s="7"/>
      <c r="G7108" s="7"/>
      <c r="H7108" s="8"/>
      <c r="I7108" s="8"/>
      <c r="J7108" s="7"/>
      <c r="K7108" s="7"/>
      <c r="L7108" s="7"/>
      <c r="M7108" s="7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  <c r="Y7108" s="7"/>
      <c r="Z7108" s="7"/>
    </row>
    <row r="7109" hidden="1">
      <c r="A7109" s="7"/>
      <c r="B7109" s="7"/>
      <c r="C7109" s="7"/>
      <c r="D7109" s="7"/>
      <c r="E7109" s="7"/>
      <c r="F7109" s="7"/>
      <c r="G7109" s="7"/>
      <c r="H7109" s="8"/>
      <c r="I7109" s="8"/>
      <c r="J7109" s="7"/>
      <c r="K7109" s="7"/>
      <c r="L7109" s="7"/>
      <c r="M7109" s="7"/>
      <c r="N7109" s="7"/>
      <c r="O7109" s="7"/>
      <c r="P7109" s="7"/>
      <c r="Q7109" s="7"/>
      <c r="R7109" s="7"/>
      <c r="S7109" s="7"/>
      <c r="T7109" s="7"/>
      <c r="U7109" s="7"/>
      <c r="V7109" s="7"/>
      <c r="W7109" s="7"/>
      <c r="X7109" s="7"/>
      <c r="Y7109" s="7"/>
      <c r="Z7109" s="7"/>
    </row>
    <row r="7110" hidden="1">
      <c r="A7110" s="7"/>
      <c r="B7110" s="7"/>
      <c r="C7110" s="7"/>
      <c r="D7110" s="7"/>
      <c r="E7110" s="7"/>
      <c r="F7110" s="7"/>
      <c r="G7110" s="7"/>
      <c r="H7110" s="8"/>
      <c r="I7110" s="8"/>
      <c r="J7110" s="7"/>
      <c r="K7110" s="7"/>
      <c r="L7110" s="7"/>
      <c r="M7110" s="7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  <c r="Y7110" s="7"/>
      <c r="Z7110" s="7"/>
    </row>
    <row r="7111" hidden="1">
      <c r="A7111" s="7"/>
      <c r="B7111" s="7"/>
      <c r="C7111" s="7"/>
      <c r="D7111" s="7"/>
      <c r="E7111" s="7"/>
      <c r="F7111" s="7"/>
      <c r="G7111" s="7"/>
      <c r="H7111" s="8"/>
      <c r="I7111" s="8"/>
      <c r="J7111" s="7"/>
      <c r="K7111" s="7"/>
      <c r="L7111" s="7"/>
      <c r="M7111" s="7"/>
      <c r="N7111" s="7"/>
      <c r="O7111" s="7"/>
      <c r="P7111" s="7"/>
      <c r="Q7111" s="7"/>
      <c r="R7111" s="7"/>
      <c r="S7111" s="7"/>
      <c r="T7111" s="7"/>
      <c r="U7111" s="7"/>
      <c r="V7111" s="7"/>
      <c r="W7111" s="7"/>
      <c r="X7111" s="7"/>
      <c r="Y7111" s="7"/>
      <c r="Z7111" s="7"/>
    </row>
    <row r="7112" hidden="1">
      <c r="A7112" s="7"/>
      <c r="B7112" s="7"/>
      <c r="C7112" s="7"/>
      <c r="D7112" s="7"/>
      <c r="E7112" s="7"/>
      <c r="F7112" s="7"/>
      <c r="G7112" s="7"/>
      <c r="H7112" s="8"/>
      <c r="I7112" s="8"/>
      <c r="J7112" s="7"/>
      <c r="K7112" s="7"/>
      <c r="L7112" s="7"/>
      <c r="M7112" s="7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  <c r="Y7112" s="7"/>
      <c r="Z7112" s="7"/>
    </row>
    <row r="7113" hidden="1">
      <c r="A7113" s="7"/>
      <c r="B7113" s="7"/>
      <c r="C7113" s="7"/>
      <c r="D7113" s="7"/>
      <c r="E7113" s="7"/>
      <c r="F7113" s="7"/>
      <c r="G7113" s="7"/>
      <c r="H7113" s="8"/>
      <c r="I7113" s="8"/>
      <c r="J7113" s="7"/>
      <c r="K7113" s="7"/>
      <c r="L7113" s="7"/>
      <c r="M7113" s="7"/>
      <c r="N7113" s="7"/>
      <c r="O7113" s="7"/>
      <c r="P7113" s="7"/>
      <c r="Q7113" s="7"/>
      <c r="R7113" s="7"/>
      <c r="S7113" s="7"/>
      <c r="T7113" s="7"/>
      <c r="U7113" s="7"/>
      <c r="V7113" s="7"/>
      <c r="W7113" s="7"/>
      <c r="X7113" s="7"/>
      <c r="Y7113" s="7"/>
      <c r="Z7113" s="7"/>
    </row>
    <row r="7114" hidden="1">
      <c r="A7114" s="7"/>
      <c r="B7114" s="7"/>
      <c r="C7114" s="7"/>
      <c r="D7114" s="7"/>
      <c r="E7114" s="7"/>
      <c r="F7114" s="7"/>
      <c r="G7114" s="7"/>
      <c r="H7114" s="8"/>
      <c r="I7114" s="8"/>
      <c r="J7114" s="7"/>
      <c r="K7114" s="7"/>
      <c r="L7114" s="7"/>
      <c r="M7114" s="7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  <c r="Y7114" s="7"/>
      <c r="Z7114" s="7"/>
    </row>
    <row r="7115" hidden="1">
      <c r="A7115" s="7"/>
      <c r="B7115" s="7"/>
      <c r="C7115" s="7"/>
      <c r="D7115" s="7"/>
      <c r="E7115" s="7"/>
      <c r="F7115" s="7"/>
      <c r="G7115" s="7"/>
      <c r="H7115" s="8"/>
      <c r="I7115" s="8"/>
      <c r="J7115" s="7"/>
      <c r="K7115" s="7"/>
      <c r="L7115" s="7"/>
      <c r="M7115" s="7"/>
      <c r="N7115" s="7"/>
      <c r="O7115" s="7"/>
      <c r="P7115" s="7"/>
      <c r="Q7115" s="7"/>
      <c r="R7115" s="7"/>
      <c r="S7115" s="7"/>
      <c r="T7115" s="7"/>
      <c r="U7115" s="7"/>
      <c r="V7115" s="7"/>
      <c r="W7115" s="7"/>
      <c r="X7115" s="7"/>
      <c r="Y7115" s="7"/>
      <c r="Z7115" s="7"/>
    </row>
    <row r="7116" hidden="1">
      <c r="A7116" s="7"/>
      <c r="B7116" s="7"/>
      <c r="C7116" s="7"/>
      <c r="D7116" s="7"/>
      <c r="E7116" s="7"/>
      <c r="F7116" s="7"/>
      <c r="G7116" s="7"/>
      <c r="H7116" s="8"/>
      <c r="I7116" s="8"/>
      <c r="J7116" s="7"/>
      <c r="K7116" s="7"/>
      <c r="L7116" s="7"/>
      <c r="M7116" s="7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  <c r="Y7116" s="7"/>
      <c r="Z7116" s="7"/>
    </row>
    <row r="7117" hidden="1">
      <c r="A7117" s="7"/>
      <c r="B7117" s="7"/>
      <c r="C7117" s="7"/>
      <c r="D7117" s="7"/>
      <c r="E7117" s="7"/>
      <c r="F7117" s="7"/>
      <c r="G7117" s="7"/>
      <c r="H7117" s="8"/>
      <c r="I7117" s="8"/>
      <c r="J7117" s="7"/>
      <c r="K7117" s="7"/>
      <c r="L7117" s="7"/>
      <c r="M7117" s="7"/>
      <c r="N7117" s="7"/>
      <c r="O7117" s="7"/>
      <c r="P7117" s="7"/>
      <c r="Q7117" s="7"/>
      <c r="R7117" s="7"/>
      <c r="S7117" s="7"/>
      <c r="T7117" s="7"/>
      <c r="U7117" s="7"/>
      <c r="V7117" s="7"/>
      <c r="W7117" s="7"/>
      <c r="X7117" s="7"/>
      <c r="Y7117" s="7"/>
      <c r="Z7117" s="7"/>
    </row>
    <row r="7118" hidden="1">
      <c r="A7118" s="7"/>
      <c r="B7118" s="7"/>
      <c r="C7118" s="7"/>
      <c r="D7118" s="7"/>
      <c r="E7118" s="7"/>
      <c r="F7118" s="7"/>
      <c r="G7118" s="7"/>
      <c r="H7118" s="8"/>
      <c r="I7118" s="8"/>
      <c r="J7118" s="7"/>
      <c r="K7118" s="7"/>
      <c r="L7118" s="7"/>
      <c r="M7118" s="7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  <c r="Y7118" s="7"/>
      <c r="Z7118" s="7"/>
    </row>
    <row r="7119" hidden="1">
      <c r="A7119" s="7"/>
      <c r="B7119" s="7"/>
      <c r="C7119" s="7"/>
      <c r="D7119" s="7"/>
      <c r="E7119" s="7"/>
      <c r="F7119" s="7"/>
      <c r="G7119" s="7"/>
      <c r="H7119" s="8"/>
      <c r="I7119" s="8"/>
      <c r="J7119" s="7"/>
      <c r="K7119" s="7"/>
      <c r="L7119" s="7"/>
      <c r="M7119" s="7"/>
      <c r="N7119" s="7"/>
      <c r="O7119" s="7"/>
      <c r="P7119" s="7"/>
      <c r="Q7119" s="7"/>
      <c r="R7119" s="7"/>
      <c r="S7119" s="7"/>
      <c r="T7119" s="7"/>
      <c r="U7119" s="7"/>
      <c r="V7119" s="7"/>
      <c r="W7119" s="7"/>
      <c r="X7119" s="7"/>
      <c r="Y7119" s="7"/>
      <c r="Z7119" s="7"/>
    </row>
    <row r="7120" hidden="1">
      <c r="A7120" s="7"/>
      <c r="B7120" s="7"/>
      <c r="C7120" s="7"/>
      <c r="D7120" s="7"/>
      <c r="E7120" s="7"/>
      <c r="F7120" s="7"/>
      <c r="G7120" s="7"/>
      <c r="H7120" s="8"/>
      <c r="I7120" s="8"/>
      <c r="J7120" s="7"/>
      <c r="K7120" s="7"/>
      <c r="L7120" s="7"/>
      <c r="M7120" s="7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  <c r="Y7120" s="7"/>
      <c r="Z7120" s="7"/>
    </row>
    <row r="7121" hidden="1">
      <c r="A7121" s="7"/>
      <c r="B7121" s="7"/>
      <c r="C7121" s="7"/>
      <c r="D7121" s="7"/>
      <c r="E7121" s="7"/>
      <c r="F7121" s="7"/>
      <c r="G7121" s="7"/>
      <c r="H7121" s="8"/>
      <c r="I7121" s="8"/>
      <c r="J7121" s="7"/>
      <c r="K7121" s="7"/>
      <c r="L7121" s="7"/>
      <c r="M7121" s="7"/>
      <c r="N7121" s="7"/>
      <c r="O7121" s="7"/>
      <c r="P7121" s="7"/>
      <c r="Q7121" s="7"/>
      <c r="R7121" s="7"/>
      <c r="S7121" s="7"/>
      <c r="T7121" s="7"/>
      <c r="U7121" s="7"/>
      <c r="V7121" s="7"/>
      <c r="W7121" s="7"/>
      <c r="X7121" s="7"/>
      <c r="Y7121" s="7"/>
      <c r="Z7121" s="7"/>
    </row>
    <row r="7122" hidden="1">
      <c r="A7122" s="7"/>
      <c r="B7122" s="7"/>
      <c r="C7122" s="7"/>
      <c r="D7122" s="7"/>
      <c r="E7122" s="7"/>
      <c r="F7122" s="7"/>
      <c r="G7122" s="7"/>
      <c r="H7122" s="8"/>
      <c r="I7122" s="8"/>
      <c r="J7122" s="7"/>
      <c r="K7122" s="7"/>
      <c r="L7122" s="7"/>
      <c r="M7122" s="7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  <c r="Y7122" s="7"/>
      <c r="Z7122" s="7"/>
    </row>
    <row r="7123" hidden="1">
      <c r="A7123" s="7"/>
      <c r="B7123" s="7"/>
      <c r="C7123" s="7"/>
      <c r="D7123" s="7"/>
      <c r="E7123" s="7"/>
      <c r="F7123" s="7"/>
      <c r="G7123" s="7"/>
      <c r="H7123" s="8"/>
      <c r="I7123" s="8"/>
      <c r="J7123" s="7"/>
      <c r="K7123" s="7"/>
      <c r="L7123" s="7"/>
      <c r="M7123" s="7"/>
      <c r="N7123" s="7"/>
      <c r="O7123" s="7"/>
      <c r="P7123" s="7"/>
      <c r="Q7123" s="7"/>
      <c r="R7123" s="7"/>
      <c r="S7123" s="7"/>
      <c r="T7123" s="7"/>
      <c r="U7123" s="7"/>
      <c r="V7123" s="7"/>
      <c r="W7123" s="7"/>
      <c r="X7123" s="7"/>
      <c r="Y7123" s="7"/>
      <c r="Z7123" s="7"/>
    </row>
    <row r="7124" hidden="1">
      <c r="A7124" s="7"/>
      <c r="B7124" s="7"/>
      <c r="C7124" s="7"/>
      <c r="D7124" s="7"/>
      <c r="E7124" s="7"/>
      <c r="F7124" s="7"/>
      <c r="G7124" s="7"/>
      <c r="H7124" s="8"/>
      <c r="I7124" s="8"/>
      <c r="J7124" s="7"/>
      <c r="K7124" s="7"/>
      <c r="L7124" s="7"/>
      <c r="M7124" s="7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7"/>
      <c r="Z7124" s="7"/>
    </row>
    <row r="7125" hidden="1">
      <c r="A7125" s="7"/>
      <c r="B7125" s="7"/>
      <c r="C7125" s="7"/>
      <c r="D7125" s="7"/>
      <c r="E7125" s="7"/>
      <c r="F7125" s="7"/>
      <c r="G7125" s="7"/>
      <c r="H7125" s="8"/>
      <c r="I7125" s="8"/>
      <c r="J7125" s="7"/>
      <c r="K7125" s="7"/>
      <c r="L7125" s="7"/>
      <c r="M7125" s="7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  <c r="Y7125" s="7"/>
      <c r="Z7125" s="7"/>
    </row>
    <row r="7126" hidden="1">
      <c r="A7126" s="7"/>
      <c r="B7126" s="7"/>
      <c r="C7126" s="7"/>
      <c r="D7126" s="7"/>
      <c r="E7126" s="7"/>
      <c r="F7126" s="7"/>
      <c r="G7126" s="7"/>
      <c r="H7126" s="8"/>
      <c r="I7126" s="8"/>
      <c r="J7126" s="7"/>
      <c r="K7126" s="7"/>
      <c r="L7126" s="7"/>
      <c r="M7126" s="7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7"/>
      <c r="Z7126" s="7"/>
    </row>
    <row r="7127" hidden="1">
      <c r="A7127" s="7"/>
      <c r="B7127" s="7"/>
      <c r="C7127" s="7"/>
      <c r="D7127" s="7"/>
      <c r="E7127" s="7"/>
      <c r="F7127" s="7"/>
      <c r="G7127" s="7"/>
      <c r="H7127" s="8"/>
      <c r="I7127" s="8"/>
      <c r="J7127" s="7"/>
      <c r="K7127" s="7"/>
      <c r="L7127" s="7"/>
      <c r="M7127" s="7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  <c r="Y7127" s="7"/>
      <c r="Z7127" s="7"/>
    </row>
    <row r="7128" hidden="1">
      <c r="A7128" s="7"/>
      <c r="B7128" s="7"/>
      <c r="C7128" s="7"/>
      <c r="D7128" s="7"/>
      <c r="E7128" s="7"/>
      <c r="F7128" s="7"/>
      <c r="G7128" s="7"/>
      <c r="H7128" s="8"/>
      <c r="I7128" s="8"/>
      <c r="J7128" s="7"/>
      <c r="K7128" s="7"/>
      <c r="L7128" s="7"/>
      <c r="M7128" s="7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  <c r="Y7128" s="7"/>
      <c r="Z7128" s="7"/>
    </row>
    <row r="7129" hidden="1">
      <c r="A7129" s="7"/>
      <c r="B7129" s="7"/>
      <c r="C7129" s="7"/>
      <c r="D7129" s="7"/>
      <c r="E7129" s="7"/>
      <c r="F7129" s="7"/>
      <c r="G7129" s="7"/>
      <c r="H7129" s="8"/>
      <c r="I7129" s="8"/>
      <c r="J7129" s="7"/>
      <c r="K7129" s="7"/>
      <c r="L7129" s="7"/>
      <c r="M7129" s="7"/>
      <c r="N7129" s="7"/>
      <c r="O7129" s="7"/>
      <c r="P7129" s="7"/>
      <c r="Q7129" s="7"/>
      <c r="R7129" s="7"/>
      <c r="S7129" s="7"/>
      <c r="T7129" s="7"/>
      <c r="U7129" s="7"/>
      <c r="V7129" s="7"/>
      <c r="W7129" s="7"/>
      <c r="X7129" s="7"/>
      <c r="Y7129" s="7"/>
      <c r="Z7129" s="7"/>
    </row>
    <row r="7130" hidden="1">
      <c r="A7130" s="7"/>
      <c r="B7130" s="7"/>
      <c r="C7130" s="7"/>
      <c r="D7130" s="7"/>
      <c r="E7130" s="7"/>
      <c r="F7130" s="7"/>
      <c r="G7130" s="7"/>
      <c r="H7130" s="8"/>
      <c r="I7130" s="8"/>
      <c r="J7130" s="7"/>
      <c r="K7130" s="7"/>
      <c r="L7130" s="7"/>
      <c r="M7130" s="7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  <c r="Y7130" s="7"/>
      <c r="Z7130" s="7"/>
    </row>
    <row r="7131" hidden="1">
      <c r="A7131" s="7"/>
      <c r="B7131" s="7"/>
      <c r="C7131" s="7"/>
      <c r="D7131" s="7"/>
      <c r="E7131" s="7"/>
      <c r="F7131" s="7"/>
      <c r="G7131" s="7"/>
      <c r="H7131" s="8"/>
      <c r="I7131" s="8"/>
      <c r="J7131" s="7"/>
      <c r="K7131" s="7"/>
      <c r="L7131" s="7"/>
      <c r="M7131" s="7"/>
      <c r="N7131" s="7"/>
      <c r="O7131" s="7"/>
      <c r="P7131" s="7"/>
      <c r="Q7131" s="7"/>
      <c r="R7131" s="7"/>
      <c r="S7131" s="7"/>
      <c r="T7131" s="7"/>
      <c r="U7131" s="7"/>
      <c r="V7131" s="7"/>
      <c r="W7131" s="7"/>
      <c r="X7131" s="7"/>
      <c r="Y7131" s="7"/>
      <c r="Z7131" s="7"/>
    </row>
    <row r="7132" hidden="1">
      <c r="A7132" s="7"/>
      <c r="B7132" s="7"/>
      <c r="C7132" s="7"/>
      <c r="D7132" s="7"/>
      <c r="E7132" s="7"/>
      <c r="F7132" s="7"/>
      <c r="G7132" s="7"/>
      <c r="H7132" s="8"/>
      <c r="I7132" s="8"/>
      <c r="J7132" s="7"/>
      <c r="K7132" s="7"/>
      <c r="L7132" s="7"/>
      <c r="M7132" s="7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  <c r="Y7132" s="7"/>
      <c r="Z7132" s="7"/>
    </row>
    <row r="7133" hidden="1">
      <c r="A7133" s="7"/>
      <c r="B7133" s="7"/>
      <c r="C7133" s="7"/>
      <c r="D7133" s="7"/>
      <c r="E7133" s="7"/>
      <c r="F7133" s="7"/>
      <c r="G7133" s="7"/>
      <c r="H7133" s="8"/>
      <c r="I7133" s="8"/>
      <c r="J7133" s="7"/>
      <c r="K7133" s="7"/>
      <c r="L7133" s="7"/>
      <c r="M7133" s="7"/>
      <c r="N7133" s="7"/>
      <c r="O7133" s="7"/>
      <c r="P7133" s="7"/>
      <c r="Q7133" s="7"/>
      <c r="R7133" s="7"/>
      <c r="S7133" s="7"/>
      <c r="T7133" s="7"/>
      <c r="U7133" s="7"/>
      <c r="V7133" s="7"/>
      <c r="W7133" s="7"/>
      <c r="X7133" s="7"/>
      <c r="Y7133" s="7"/>
      <c r="Z7133" s="7"/>
    </row>
    <row r="7134" hidden="1">
      <c r="A7134" s="7"/>
      <c r="B7134" s="7"/>
      <c r="C7134" s="7"/>
      <c r="D7134" s="7"/>
      <c r="E7134" s="7"/>
      <c r="F7134" s="7"/>
      <c r="G7134" s="7"/>
      <c r="H7134" s="8"/>
      <c r="I7134" s="8"/>
      <c r="J7134" s="7"/>
      <c r="K7134" s="7"/>
      <c r="L7134" s="7"/>
      <c r="M7134" s="7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</row>
    <row r="7135" hidden="1">
      <c r="A7135" s="7"/>
      <c r="B7135" s="7"/>
      <c r="C7135" s="7"/>
      <c r="D7135" s="7"/>
      <c r="E7135" s="7"/>
      <c r="F7135" s="7"/>
      <c r="G7135" s="7"/>
      <c r="H7135" s="8"/>
      <c r="I7135" s="8"/>
      <c r="J7135" s="7"/>
      <c r="K7135" s="7"/>
      <c r="L7135" s="7"/>
      <c r="M7135" s="7"/>
      <c r="N7135" s="7"/>
      <c r="O7135" s="7"/>
      <c r="P7135" s="7"/>
      <c r="Q7135" s="7"/>
      <c r="R7135" s="7"/>
      <c r="S7135" s="7"/>
      <c r="T7135" s="7"/>
      <c r="U7135" s="7"/>
      <c r="V7135" s="7"/>
      <c r="W7135" s="7"/>
      <c r="X7135" s="7"/>
      <c r="Y7135" s="7"/>
      <c r="Z7135" s="7"/>
    </row>
    <row r="7136" hidden="1">
      <c r="A7136" s="7"/>
      <c r="B7136" s="7"/>
      <c r="C7136" s="7"/>
      <c r="D7136" s="7"/>
      <c r="E7136" s="7"/>
      <c r="F7136" s="7"/>
      <c r="G7136" s="7"/>
      <c r="H7136" s="8"/>
      <c r="I7136" s="8"/>
      <c r="J7136" s="7"/>
      <c r="K7136" s="7"/>
      <c r="L7136" s="7"/>
      <c r="M7136" s="7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  <c r="Y7136" s="7"/>
      <c r="Z7136" s="7"/>
    </row>
    <row r="7137" hidden="1">
      <c r="A7137" s="7"/>
      <c r="B7137" s="7"/>
      <c r="C7137" s="7"/>
      <c r="D7137" s="7"/>
      <c r="E7137" s="7"/>
      <c r="F7137" s="7"/>
      <c r="G7137" s="7"/>
      <c r="H7137" s="8"/>
      <c r="I7137" s="8"/>
      <c r="J7137" s="7"/>
      <c r="K7137" s="7"/>
      <c r="L7137" s="7"/>
      <c r="M7137" s="7"/>
      <c r="N7137" s="7"/>
      <c r="O7137" s="7"/>
      <c r="P7137" s="7"/>
      <c r="Q7137" s="7"/>
      <c r="R7137" s="7"/>
      <c r="S7137" s="7"/>
      <c r="T7137" s="7"/>
      <c r="U7137" s="7"/>
      <c r="V7137" s="7"/>
      <c r="W7137" s="7"/>
      <c r="X7137" s="7"/>
      <c r="Y7137" s="7"/>
      <c r="Z7137" s="7"/>
    </row>
    <row r="7138" hidden="1">
      <c r="A7138" s="7"/>
      <c r="B7138" s="7"/>
      <c r="C7138" s="7"/>
      <c r="D7138" s="7"/>
      <c r="E7138" s="7"/>
      <c r="F7138" s="7"/>
      <c r="G7138" s="7"/>
      <c r="H7138" s="8"/>
      <c r="I7138" s="8"/>
      <c r="J7138" s="7"/>
      <c r="K7138" s="7"/>
      <c r="L7138" s="7"/>
      <c r="M7138" s="7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  <c r="Y7138" s="7"/>
      <c r="Z7138" s="7"/>
    </row>
    <row r="7139" hidden="1">
      <c r="A7139" s="7"/>
      <c r="B7139" s="7"/>
      <c r="C7139" s="7"/>
      <c r="D7139" s="7"/>
      <c r="E7139" s="7"/>
      <c r="F7139" s="7"/>
      <c r="G7139" s="7"/>
      <c r="H7139" s="8"/>
      <c r="I7139" s="8"/>
      <c r="J7139" s="7"/>
      <c r="K7139" s="7"/>
      <c r="L7139" s="7"/>
      <c r="M7139" s="7"/>
      <c r="N7139" s="7"/>
      <c r="O7139" s="7"/>
      <c r="P7139" s="7"/>
      <c r="Q7139" s="7"/>
      <c r="R7139" s="7"/>
      <c r="S7139" s="7"/>
      <c r="T7139" s="7"/>
      <c r="U7139" s="7"/>
      <c r="V7139" s="7"/>
      <c r="W7139" s="7"/>
      <c r="X7139" s="7"/>
      <c r="Y7139" s="7"/>
      <c r="Z7139" s="7"/>
    </row>
    <row r="7140" hidden="1">
      <c r="A7140" s="7"/>
      <c r="B7140" s="7"/>
      <c r="C7140" s="7"/>
      <c r="D7140" s="7"/>
      <c r="E7140" s="7"/>
      <c r="F7140" s="7"/>
      <c r="G7140" s="7"/>
      <c r="H7140" s="8"/>
      <c r="I7140" s="8"/>
      <c r="J7140" s="7"/>
      <c r="K7140" s="7"/>
      <c r="L7140" s="7"/>
      <c r="M7140" s="7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  <c r="Y7140" s="7"/>
      <c r="Z7140" s="7"/>
    </row>
    <row r="7141" hidden="1">
      <c r="A7141" s="7"/>
      <c r="B7141" s="7"/>
      <c r="C7141" s="7"/>
      <c r="D7141" s="7"/>
      <c r="E7141" s="7"/>
      <c r="F7141" s="7"/>
      <c r="G7141" s="7"/>
      <c r="H7141" s="8"/>
      <c r="I7141" s="8"/>
      <c r="J7141" s="7"/>
      <c r="K7141" s="7"/>
      <c r="L7141" s="7"/>
      <c r="M7141" s="7"/>
      <c r="N7141" s="7"/>
      <c r="O7141" s="7"/>
      <c r="P7141" s="7"/>
      <c r="Q7141" s="7"/>
      <c r="R7141" s="7"/>
      <c r="S7141" s="7"/>
      <c r="T7141" s="7"/>
      <c r="U7141" s="7"/>
      <c r="V7141" s="7"/>
      <c r="W7141" s="7"/>
      <c r="X7141" s="7"/>
      <c r="Y7141" s="7"/>
      <c r="Z7141" s="7"/>
    </row>
    <row r="7142" hidden="1">
      <c r="A7142" s="7"/>
      <c r="B7142" s="7"/>
      <c r="C7142" s="7"/>
      <c r="D7142" s="7"/>
      <c r="E7142" s="7"/>
      <c r="F7142" s="7"/>
      <c r="G7142" s="7"/>
      <c r="H7142" s="8"/>
      <c r="I7142" s="8"/>
      <c r="J7142" s="7"/>
      <c r="K7142" s="7"/>
      <c r="L7142" s="7"/>
      <c r="M7142" s="7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  <c r="Y7142" s="7"/>
      <c r="Z7142" s="7"/>
    </row>
    <row r="7143" hidden="1">
      <c r="A7143" s="7"/>
      <c r="B7143" s="7"/>
      <c r="C7143" s="7"/>
      <c r="D7143" s="7"/>
      <c r="E7143" s="7"/>
      <c r="F7143" s="7"/>
      <c r="G7143" s="7"/>
      <c r="H7143" s="8"/>
      <c r="I7143" s="8"/>
      <c r="J7143" s="7"/>
      <c r="K7143" s="7"/>
      <c r="L7143" s="7"/>
      <c r="M7143" s="7"/>
      <c r="N7143" s="7"/>
      <c r="O7143" s="7"/>
      <c r="P7143" s="7"/>
      <c r="Q7143" s="7"/>
      <c r="R7143" s="7"/>
      <c r="S7143" s="7"/>
      <c r="T7143" s="7"/>
      <c r="U7143" s="7"/>
      <c r="V7143" s="7"/>
      <c r="W7143" s="7"/>
      <c r="X7143" s="7"/>
      <c r="Y7143" s="7"/>
      <c r="Z7143" s="7"/>
    </row>
    <row r="7144" hidden="1">
      <c r="A7144" s="7"/>
      <c r="B7144" s="7"/>
      <c r="C7144" s="7"/>
      <c r="D7144" s="7"/>
      <c r="E7144" s="7"/>
      <c r="F7144" s="7"/>
      <c r="G7144" s="7"/>
      <c r="H7144" s="8"/>
      <c r="I7144" s="8"/>
      <c r="J7144" s="7"/>
      <c r="K7144" s="7"/>
      <c r="L7144" s="7"/>
      <c r="M7144" s="7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  <c r="Y7144" s="7"/>
      <c r="Z7144" s="7"/>
    </row>
    <row r="7145" hidden="1">
      <c r="A7145" s="7"/>
      <c r="B7145" s="7"/>
      <c r="C7145" s="7"/>
      <c r="D7145" s="7"/>
      <c r="E7145" s="7"/>
      <c r="F7145" s="7"/>
      <c r="G7145" s="7"/>
      <c r="H7145" s="8"/>
      <c r="I7145" s="8"/>
      <c r="J7145" s="7"/>
      <c r="K7145" s="7"/>
      <c r="L7145" s="7"/>
      <c r="M7145" s="7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  <c r="Y7145" s="7"/>
      <c r="Z7145" s="7"/>
    </row>
    <row r="7146" hidden="1">
      <c r="A7146" s="7"/>
      <c r="B7146" s="7"/>
      <c r="C7146" s="7"/>
      <c r="D7146" s="7"/>
      <c r="E7146" s="7"/>
      <c r="F7146" s="7"/>
      <c r="G7146" s="7"/>
      <c r="H7146" s="8"/>
      <c r="I7146" s="8"/>
      <c r="J7146" s="7"/>
      <c r="K7146" s="7"/>
      <c r="L7146" s="7"/>
      <c r="M7146" s="7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7"/>
      <c r="Z7146" s="7"/>
    </row>
    <row r="7147" hidden="1">
      <c r="A7147" s="7"/>
      <c r="B7147" s="7"/>
      <c r="C7147" s="7"/>
      <c r="D7147" s="7"/>
      <c r="E7147" s="7"/>
      <c r="F7147" s="7"/>
      <c r="G7147" s="7"/>
      <c r="H7147" s="8"/>
      <c r="I7147" s="8"/>
      <c r="J7147" s="7"/>
      <c r="K7147" s="7"/>
      <c r="L7147" s="7"/>
      <c r="M7147" s="7"/>
      <c r="N7147" s="7"/>
      <c r="O7147" s="7"/>
      <c r="P7147" s="7"/>
      <c r="Q7147" s="7"/>
      <c r="R7147" s="7"/>
      <c r="S7147" s="7"/>
      <c r="T7147" s="7"/>
      <c r="U7147" s="7"/>
      <c r="V7147" s="7"/>
      <c r="W7147" s="7"/>
      <c r="X7147" s="7"/>
      <c r="Y7147" s="7"/>
      <c r="Z7147" s="7"/>
    </row>
    <row r="7148" hidden="1">
      <c r="A7148" s="7"/>
      <c r="B7148" s="7"/>
      <c r="C7148" s="7"/>
      <c r="D7148" s="7"/>
      <c r="E7148" s="7"/>
      <c r="F7148" s="7"/>
      <c r="G7148" s="7"/>
      <c r="H7148" s="8"/>
      <c r="I7148" s="8"/>
      <c r="J7148" s="7"/>
      <c r="K7148" s="7"/>
      <c r="L7148" s="7"/>
      <c r="M7148" s="7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  <c r="Y7148" s="7"/>
      <c r="Z7148" s="7"/>
    </row>
    <row r="7149" hidden="1">
      <c r="A7149" s="7"/>
      <c r="B7149" s="7"/>
      <c r="C7149" s="7"/>
      <c r="D7149" s="7"/>
      <c r="E7149" s="7"/>
      <c r="F7149" s="7"/>
      <c r="G7149" s="7"/>
      <c r="H7149" s="8"/>
      <c r="I7149" s="8"/>
      <c r="J7149" s="7"/>
      <c r="K7149" s="7"/>
      <c r="L7149" s="7"/>
      <c r="M7149" s="7"/>
      <c r="N7149" s="7"/>
      <c r="O7149" s="7"/>
      <c r="P7149" s="7"/>
      <c r="Q7149" s="7"/>
      <c r="R7149" s="7"/>
      <c r="S7149" s="7"/>
      <c r="T7149" s="7"/>
      <c r="U7149" s="7"/>
      <c r="V7149" s="7"/>
      <c r="W7149" s="7"/>
      <c r="X7149" s="7"/>
      <c r="Y7149" s="7"/>
      <c r="Z7149" s="7"/>
    </row>
    <row r="7150" hidden="1">
      <c r="A7150" s="7"/>
      <c r="B7150" s="7"/>
      <c r="C7150" s="7"/>
      <c r="D7150" s="7"/>
      <c r="E7150" s="7"/>
      <c r="F7150" s="7"/>
      <c r="G7150" s="7"/>
      <c r="H7150" s="8"/>
      <c r="I7150" s="8"/>
      <c r="J7150" s="7"/>
      <c r="K7150" s="7"/>
      <c r="L7150" s="7"/>
      <c r="M7150" s="7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  <c r="Y7150" s="7"/>
      <c r="Z7150" s="7"/>
    </row>
    <row r="7151" hidden="1">
      <c r="A7151" s="7"/>
      <c r="B7151" s="7"/>
      <c r="C7151" s="7"/>
      <c r="D7151" s="7"/>
      <c r="E7151" s="7"/>
      <c r="F7151" s="7"/>
      <c r="G7151" s="7"/>
      <c r="H7151" s="8"/>
      <c r="I7151" s="8"/>
      <c r="J7151" s="7"/>
      <c r="K7151" s="7"/>
      <c r="L7151" s="7"/>
      <c r="M7151" s="7"/>
      <c r="N7151" s="7"/>
      <c r="O7151" s="7"/>
      <c r="P7151" s="7"/>
      <c r="Q7151" s="7"/>
      <c r="R7151" s="7"/>
      <c r="S7151" s="7"/>
      <c r="T7151" s="7"/>
      <c r="U7151" s="7"/>
      <c r="V7151" s="7"/>
      <c r="W7151" s="7"/>
      <c r="X7151" s="7"/>
      <c r="Y7151" s="7"/>
      <c r="Z7151" s="7"/>
    </row>
    <row r="7152" hidden="1">
      <c r="A7152" s="7"/>
      <c r="B7152" s="7"/>
      <c r="C7152" s="7"/>
      <c r="D7152" s="7"/>
      <c r="E7152" s="7"/>
      <c r="F7152" s="7"/>
      <c r="G7152" s="7"/>
      <c r="H7152" s="8"/>
      <c r="I7152" s="8"/>
      <c r="J7152" s="7"/>
      <c r="K7152" s="7"/>
      <c r="L7152" s="7"/>
      <c r="M7152" s="7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  <c r="Y7152" s="7"/>
      <c r="Z7152" s="7"/>
    </row>
    <row r="7153" hidden="1">
      <c r="A7153" s="7"/>
      <c r="B7153" s="7"/>
      <c r="C7153" s="7"/>
      <c r="D7153" s="7"/>
      <c r="E7153" s="7"/>
      <c r="F7153" s="7"/>
      <c r="G7153" s="7"/>
      <c r="H7153" s="8"/>
      <c r="I7153" s="8"/>
      <c r="J7153" s="7"/>
      <c r="K7153" s="7"/>
      <c r="L7153" s="7"/>
      <c r="M7153" s="7"/>
      <c r="N7153" s="7"/>
      <c r="O7153" s="7"/>
      <c r="P7153" s="7"/>
      <c r="Q7153" s="7"/>
      <c r="R7153" s="7"/>
      <c r="S7153" s="7"/>
      <c r="T7153" s="7"/>
      <c r="U7153" s="7"/>
      <c r="V7153" s="7"/>
      <c r="W7153" s="7"/>
      <c r="X7153" s="7"/>
      <c r="Y7153" s="7"/>
      <c r="Z7153" s="7"/>
    </row>
    <row r="7154" hidden="1">
      <c r="A7154" s="7"/>
      <c r="B7154" s="7"/>
      <c r="C7154" s="7"/>
      <c r="D7154" s="7"/>
      <c r="E7154" s="7"/>
      <c r="F7154" s="7"/>
      <c r="G7154" s="7"/>
      <c r="H7154" s="8"/>
      <c r="I7154" s="8"/>
      <c r="J7154" s="7"/>
      <c r="K7154" s="7"/>
      <c r="L7154" s="7"/>
      <c r="M7154" s="7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  <c r="Y7154" s="7"/>
      <c r="Z7154" s="7"/>
    </row>
    <row r="7155" hidden="1">
      <c r="A7155" s="7"/>
      <c r="B7155" s="7"/>
      <c r="C7155" s="7"/>
      <c r="D7155" s="7"/>
      <c r="E7155" s="7"/>
      <c r="F7155" s="7"/>
      <c r="G7155" s="7"/>
      <c r="H7155" s="8"/>
      <c r="I7155" s="8"/>
      <c r="J7155" s="7"/>
      <c r="K7155" s="7"/>
      <c r="L7155" s="7"/>
      <c r="M7155" s="7"/>
      <c r="N7155" s="7"/>
      <c r="O7155" s="7"/>
      <c r="P7155" s="7"/>
      <c r="Q7155" s="7"/>
      <c r="R7155" s="7"/>
      <c r="S7155" s="7"/>
      <c r="T7155" s="7"/>
      <c r="U7155" s="7"/>
      <c r="V7155" s="7"/>
      <c r="W7155" s="7"/>
      <c r="X7155" s="7"/>
      <c r="Y7155" s="7"/>
      <c r="Z7155" s="7"/>
    </row>
    <row r="7156" hidden="1">
      <c r="A7156" s="7"/>
      <c r="B7156" s="7"/>
      <c r="C7156" s="7"/>
      <c r="D7156" s="7"/>
      <c r="E7156" s="7"/>
      <c r="F7156" s="7"/>
      <c r="G7156" s="7"/>
      <c r="H7156" s="8"/>
      <c r="I7156" s="8"/>
      <c r="J7156" s="7"/>
      <c r="K7156" s="7"/>
      <c r="L7156" s="7"/>
      <c r="M7156" s="7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  <c r="Y7156" s="7"/>
      <c r="Z7156" s="7"/>
    </row>
    <row r="7157" hidden="1">
      <c r="A7157" s="7"/>
      <c r="B7157" s="7"/>
      <c r="C7157" s="7"/>
      <c r="D7157" s="7"/>
      <c r="E7157" s="7"/>
      <c r="F7157" s="7"/>
      <c r="G7157" s="7"/>
      <c r="H7157" s="8"/>
      <c r="I7157" s="8"/>
      <c r="J7157" s="7"/>
      <c r="K7157" s="7"/>
      <c r="L7157" s="7"/>
      <c r="M7157" s="7"/>
      <c r="N7157" s="7"/>
      <c r="O7157" s="7"/>
      <c r="P7157" s="7"/>
      <c r="Q7157" s="7"/>
      <c r="R7157" s="7"/>
      <c r="S7157" s="7"/>
      <c r="T7157" s="7"/>
      <c r="U7157" s="7"/>
      <c r="V7157" s="7"/>
      <c r="W7157" s="7"/>
      <c r="X7157" s="7"/>
      <c r="Y7157" s="7"/>
      <c r="Z7157" s="7"/>
    </row>
    <row r="7158" hidden="1">
      <c r="A7158" s="7"/>
      <c r="B7158" s="7"/>
      <c r="C7158" s="7"/>
      <c r="D7158" s="7"/>
      <c r="E7158" s="7"/>
      <c r="F7158" s="7"/>
      <c r="G7158" s="7"/>
      <c r="H7158" s="8"/>
      <c r="I7158" s="8"/>
      <c r="J7158" s="7"/>
      <c r="K7158" s="7"/>
      <c r="L7158" s="7"/>
      <c r="M7158" s="7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  <c r="Y7158" s="7"/>
      <c r="Z7158" s="7"/>
    </row>
    <row r="7159" hidden="1">
      <c r="A7159" s="7"/>
      <c r="B7159" s="7"/>
      <c r="C7159" s="7"/>
      <c r="D7159" s="7"/>
      <c r="E7159" s="7"/>
      <c r="F7159" s="7"/>
      <c r="G7159" s="7"/>
      <c r="H7159" s="8"/>
      <c r="I7159" s="8"/>
      <c r="J7159" s="7"/>
      <c r="K7159" s="7"/>
      <c r="L7159" s="7"/>
      <c r="M7159" s="7"/>
      <c r="N7159" s="7"/>
      <c r="O7159" s="7"/>
      <c r="P7159" s="7"/>
      <c r="Q7159" s="7"/>
      <c r="R7159" s="7"/>
      <c r="S7159" s="7"/>
      <c r="T7159" s="7"/>
      <c r="U7159" s="7"/>
      <c r="V7159" s="7"/>
      <c r="W7159" s="7"/>
      <c r="X7159" s="7"/>
      <c r="Y7159" s="7"/>
      <c r="Z7159" s="7"/>
    </row>
    <row r="7160" hidden="1">
      <c r="A7160" s="7"/>
      <c r="B7160" s="7"/>
      <c r="C7160" s="7"/>
      <c r="D7160" s="7"/>
      <c r="E7160" s="7"/>
      <c r="F7160" s="7"/>
      <c r="G7160" s="7"/>
      <c r="H7160" s="8"/>
      <c r="I7160" s="8"/>
      <c r="J7160" s="7"/>
      <c r="K7160" s="7"/>
      <c r="L7160" s="7"/>
      <c r="M7160" s="7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  <c r="Y7160" s="7"/>
      <c r="Z7160" s="7"/>
    </row>
    <row r="7161" hidden="1">
      <c r="A7161" s="7"/>
      <c r="B7161" s="7"/>
      <c r="C7161" s="7"/>
      <c r="D7161" s="7"/>
      <c r="E7161" s="7"/>
      <c r="F7161" s="7"/>
      <c r="G7161" s="7"/>
      <c r="H7161" s="8"/>
      <c r="I7161" s="8"/>
      <c r="J7161" s="7"/>
      <c r="K7161" s="7"/>
      <c r="L7161" s="7"/>
      <c r="M7161" s="7"/>
      <c r="N7161" s="7"/>
      <c r="O7161" s="7"/>
      <c r="P7161" s="7"/>
      <c r="Q7161" s="7"/>
      <c r="R7161" s="7"/>
      <c r="S7161" s="7"/>
      <c r="T7161" s="7"/>
      <c r="U7161" s="7"/>
      <c r="V7161" s="7"/>
      <c r="W7161" s="7"/>
      <c r="X7161" s="7"/>
      <c r="Y7161" s="7"/>
      <c r="Z7161" s="7"/>
    </row>
    <row r="7162" hidden="1">
      <c r="A7162" s="7"/>
      <c r="B7162" s="7"/>
      <c r="C7162" s="7"/>
      <c r="D7162" s="7"/>
      <c r="E7162" s="7"/>
      <c r="F7162" s="7"/>
      <c r="G7162" s="7"/>
      <c r="H7162" s="8"/>
      <c r="I7162" s="8"/>
      <c r="J7162" s="7"/>
      <c r="K7162" s="7"/>
      <c r="L7162" s="7"/>
      <c r="M7162" s="7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7"/>
      <c r="Z7162" s="7"/>
    </row>
    <row r="7163" hidden="1">
      <c r="A7163" s="7"/>
      <c r="B7163" s="7"/>
      <c r="C7163" s="7"/>
      <c r="D7163" s="7"/>
      <c r="E7163" s="7"/>
      <c r="F7163" s="7"/>
      <c r="G7163" s="7"/>
      <c r="H7163" s="8"/>
      <c r="I7163" s="8"/>
      <c r="J7163" s="7"/>
      <c r="K7163" s="7"/>
      <c r="L7163" s="7"/>
      <c r="M7163" s="7"/>
      <c r="N7163" s="7"/>
      <c r="O7163" s="7"/>
      <c r="P7163" s="7"/>
      <c r="Q7163" s="7"/>
      <c r="R7163" s="7"/>
      <c r="S7163" s="7"/>
      <c r="T7163" s="7"/>
      <c r="U7163" s="7"/>
      <c r="V7163" s="7"/>
      <c r="W7163" s="7"/>
      <c r="X7163" s="7"/>
      <c r="Y7163" s="7"/>
      <c r="Z7163" s="7"/>
    </row>
    <row r="7164" hidden="1">
      <c r="A7164" s="7"/>
      <c r="B7164" s="7"/>
      <c r="C7164" s="7"/>
      <c r="D7164" s="7"/>
      <c r="E7164" s="7"/>
      <c r="F7164" s="7"/>
      <c r="G7164" s="7"/>
      <c r="H7164" s="8"/>
      <c r="I7164" s="8"/>
      <c r="J7164" s="7"/>
      <c r="K7164" s="7"/>
      <c r="L7164" s="7"/>
      <c r="M7164" s="7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  <c r="Y7164" s="7"/>
      <c r="Z7164" s="7"/>
    </row>
    <row r="7165" hidden="1">
      <c r="A7165" s="7"/>
      <c r="B7165" s="7"/>
      <c r="C7165" s="7"/>
      <c r="D7165" s="7"/>
      <c r="E7165" s="7"/>
      <c r="F7165" s="7"/>
      <c r="G7165" s="7"/>
      <c r="H7165" s="8"/>
      <c r="I7165" s="8"/>
      <c r="J7165" s="7"/>
      <c r="K7165" s="7"/>
      <c r="L7165" s="7"/>
      <c r="M7165" s="7"/>
      <c r="N7165" s="7"/>
      <c r="O7165" s="7"/>
      <c r="P7165" s="7"/>
      <c r="Q7165" s="7"/>
      <c r="R7165" s="7"/>
      <c r="S7165" s="7"/>
      <c r="T7165" s="7"/>
      <c r="U7165" s="7"/>
      <c r="V7165" s="7"/>
      <c r="W7165" s="7"/>
      <c r="X7165" s="7"/>
      <c r="Y7165" s="7"/>
      <c r="Z7165" s="7"/>
    </row>
    <row r="7166" hidden="1">
      <c r="A7166" s="7"/>
      <c r="B7166" s="7"/>
      <c r="C7166" s="7"/>
      <c r="D7166" s="7"/>
      <c r="E7166" s="7"/>
      <c r="F7166" s="7"/>
      <c r="G7166" s="7"/>
      <c r="H7166" s="8"/>
      <c r="I7166" s="8"/>
      <c r="J7166" s="7"/>
      <c r="K7166" s="7"/>
      <c r="L7166" s="7"/>
      <c r="M7166" s="7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  <c r="Y7166" s="7"/>
      <c r="Z7166" s="7"/>
    </row>
    <row r="7167" hidden="1">
      <c r="A7167" s="7"/>
      <c r="B7167" s="7"/>
      <c r="C7167" s="7"/>
      <c r="D7167" s="7"/>
      <c r="E7167" s="7"/>
      <c r="F7167" s="7"/>
      <c r="G7167" s="7"/>
      <c r="H7167" s="8"/>
      <c r="I7167" s="8"/>
      <c r="J7167" s="7"/>
      <c r="K7167" s="7"/>
      <c r="L7167" s="7"/>
      <c r="M7167" s="7"/>
      <c r="N7167" s="7"/>
      <c r="O7167" s="7"/>
      <c r="P7167" s="7"/>
      <c r="Q7167" s="7"/>
      <c r="R7167" s="7"/>
      <c r="S7167" s="7"/>
      <c r="T7167" s="7"/>
      <c r="U7167" s="7"/>
      <c r="V7167" s="7"/>
      <c r="W7167" s="7"/>
      <c r="X7167" s="7"/>
      <c r="Y7167" s="7"/>
      <c r="Z7167" s="7"/>
    </row>
    <row r="7168" hidden="1">
      <c r="A7168" s="7"/>
      <c r="B7168" s="7"/>
      <c r="C7168" s="7"/>
      <c r="D7168" s="7"/>
      <c r="E7168" s="7"/>
      <c r="F7168" s="7"/>
      <c r="G7168" s="7"/>
      <c r="H7168" s="8"/>
      <c r="I7168" s="8"/>
      <c r="J7168" s="7"/>
      <c r="K7168" s="7"/>
      <c r="L7168" s="7"/>
      <c r="M7168" s="7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  <c r="Y7168" s="7"/>
      <c r="Z7168" s="7"/>
    </row>
    <row r="7169" hidden="1">
      <c r="A7169" s="7"/>
      <c r="B7169" s="7"/>
      <c r="C7169" s="7"/>
      <c r="D7169" s="7"/>
      <c r="E7169" s="7"/>
      <c r="F7169" s="7"/>
      <c r="G7169" s="7"/>
      <c r="H7169" s="8"/>
      <c r="I7169" s="8"/>
      <c r="J7169" s="7"/>
      <c r="K7169" s="7"/>
      <c r="L7169" s="7"/>
      <c r="M7169" s="7"/>
      <c r="N7169" s="7"/>
      <c r="O7169" s="7"/>
      <c r="P7169" s="7"/>
      <c r="Q7169" s="7"/>
      <c r="R7169" s="7"/>
      <c r="S7169" s="7"/>
      <c r="T7169" s="7"/>
      <c r="U7169" s="7"/>
      <c r="V7169" s="7"/>
      <c r="W7169" s="7"/>
      <c r="X7169" s="7"/>
      <c r="Y7169" s="7"/>
      <c r="Z7169" s="7"/>
    </row>
    <row r="7170" hidden="1">
      <c r="A7170" s="7"/>
      <c r="B7170" s="7"/>
      <c r="C7170" s="7"/>
      <c r="D7170" s="7"/>
      <c r="E7170" s="7"/>
      <c r="F7170" s="7"/>
      <c r="G7170" s="7"/>
      <c r="H7170" s="8"/>
      <c r="I7170" s="8"/>
      <c r="J7170" s="7"/>
      <c r="K7170" s="7"/>
      <c r="L7170" s="7"/>
      <c r="M7170" s="7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  <c r="Y7170" s="7"/>
      <c r="Z7170" s="7"/>
    </row>
    <row r="7171" hidden="1">
      <c r="A7171" s="7"/>
      <c r="B7171" s="7"/>
      <c r="C7171" s="7"/>
      <c r="D7171" s="7"/>
      <c r="E7171" s="7"/>
      <c r="F7171" s="7"/>
      <c r="G7171" s="7"/>
      <c r="H7171" s="8"/>
      <c r="I7171" s="8"/>
      <c r="J7171" s="7"/>
      <c r="K7171" s="7"/>
      <c r="L7171" s="7"/>
      <c r="M7171" s="7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  <c r="Y7171" s="7"/>
      <c r="Z7171" s="7"/>
    </row>
    <row r="7172" hidden="1">
      <c r="A7172" s="7"/>
      <c r="B7172" s="7"/>
      <c r="C7172" s="7"/>
      <c r="D7172" s="7"/>
      <c r="E7172" s="7"/>
      <c r="F7172" s="7"/>
      <c r="G7172" s="7"/>
      <c r="H7172" s="8"/>
      <c r="I7172" s="8"/>
      <c r="J7172" s="7"/>
      <c r="K7172" s="7"/>
      <c r="L7172" s="7"/>
      <c r="M7172" s="7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  <c r="Y7172" s="7"/>
      <c r="Z7172" s="7"/>
    </row>
    <row r="7173" hidden="1">
      <c r="A7173" s="7"/>
      <c r="B7173" s="7"/>
      <c r="C7173" s="7"/>
      <c r="D7173" s="7"/>
      <c r="E7173" s="7"/>
      <c r="F7173" s="7"/>
      <c r="G7173" s="7"/>
      <c r="H7173" s="8"/>
      <c r="I7173" s="8"/>
      <c r="J7173" s="7"/>
      <c r="K7173" s="7"/>
      <c r="L7173" s="7"/>
      <c r="M7173" s="7"/>
      <c r="N7173" s="7"/>
      <c r="O7173" s="7"/>
      <c r="P7173" s="7"/>
      <c r="Q7173" s="7"/>
      <c r="R7173" s="7"/>
      <c r="S7173" s="7"/>
      <c r="T7173" s="7"/>
      <c r="U7173" s="7"/>
      <c r="V7173" s="7"/>
      <c r="W7173" s="7"/>
      <c r="X7173" s="7"/>
      <c r="Y7173" s="7"/>
      <c r="Z7173" s="7"/>
    </row>
    <row r="7174" hidden="1">
      <c r="A7174" s="7"/>
      <c r="B7174" s="7"/>
      <c r="C7174" s="7"/>
      <c r="D7174" s="7"/>
      <c r="E7174" s="7"/>
      <c r="F7174" s="7"/>
      <c r="G7174" s="7"/>
      <c r="H7174" s="8"/>
      <c r="I7174" s="8"/>
      <c r="J7174" s="7"/>
      <c r="K7174" s="7"/>
      <c r="L7174" s="7"/>
      <c r="M7174" s="7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  <c r="Y7174" s="7"/>
      <c r="Z7174" s="7"/>
    </row>
    <row r="7175" hidden="1">
      <c r="A7175" s="7"/>
      <c r="B7175" s="7"/>
      <c r="C7175" s="7"/>
      <c r="D7175" s="7"/>
      <c r="E7175" s="7"/>
      <c r="F7175" s="7"/>
      <c r="G7175" s="7"/>
      <c r="H7175" s="8"/>
      <c r="I7175" s="8"/>
      <c r="J7175" s="7"/>
      <c r="K7175" s="7"/>
      <c r="L7175" s="7"/>
      <c r="M7175" s="7"/>
      <c r="N7175" s="7"/>
      <c r="O7175" s="7"/>
      <c r="P7175" s="7"/>
      <c r="Q7175" s="7"/>
      <c r="R7175" s="7"/>
      <c r="S7175" s="7"/>
      <c r="T7175" s="7"/>
      <c r="U7175" s="7"/>
      <c r="V7175" s="7"/>
      <c r="W7175" s="7"/>
      <c r="X7175" s="7"/>
      <c r="Y7175" s="7"/>
      <c r="Z7175" s="7"/>
    </row>
    <row r="7176" hidden="1">
      <c r="A7176" s="7"/>
      <c r="B7176" s="7"/>
      <c r="C7176" s="7"/>
      <c r="D7176" s="7"/>
      <c r="E7176" s="7"/>
      <c r="F7176" s="7"/>
      <c r="G7176" s="7"/>
      <c r="H7176" s="8"/>
      <c r="I7176" s="8"/>
      <c r="J7176" s="7"/>
      <c r="K7176" s="7"/>
      <c r="L7176" s="7"/>
      <c r="M7176" s="7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  <c r="Y7176" s="7"/>
      <c r="Z7176" s="7"/>
    </row>
    <row r="7177" hidden="1">
      <c r="A7177" s="7"/>
      <c r="B7177" s="7"/>
      <c r="C7177" s="7"/>
      <c r="D7177" s="7"/>
      <c r="E7177" s="7"/>
      <c r="F7177" s="7"/>
      <c r="G7177" s="7"/>
      <c r="H7177" s="8"/>
      <c r="I7177" s="8"/>
      <c r="J7177" s="7"/>
      <c r="K7177" s="7"/>
      <c r="L7177" s="7"/>
      <c r="M7177" s="7"/>
      <c r="N7177" s="7"/>
      <c r="O7177" s="7"/>
      <c r="P7177" s="7"/>
      <c r="Q7177" s="7"/>
      <c r="R7177" s="7"/>
      <c r="S7177" s="7"/>
      <c r="T7177" s="7"/>
      <c r="U7177" s="7"/>
      <c r="V7177" s="7"/>
      <c r="W7177" s="7"/>
      <c r="X7177" s="7"/>
      <c r="Y7177" s="7"/>
      <c r="Z7177" s="7"/>
    </row>
    <row r="7178" hidden="1">
      <c r="A7178" s="7"/>
      <c r="B7178" s="7"/>
      <c r="C7178" s="7"/>
      <c r="D7178" s="7"/>
      <c r="E7178" s="7"/>
      <c r="F7178" s="7"/>
      <c r="G7178" s="7"/>
      <c r="H7178" s="8"/>
      <c r="I7178" s="8"/>
      <c r="J7178" s="7"/>
      <c r="K7178" s="7"/>
      <c r="L7178" s="7"/>
      <c r="M7178" s="7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7"/>
      <c r="Z7178" s="7"/>
    </row>
    <row r="7179" hidden="1">
      <c r="A7179" s="7"/>
      <c r="B7179" s="7"/>
      <c r="C7179" s="7"/>
      <c r="D7179" s="7"/>
      <c r="E7179" s="7"/>
      <c r="F7179" s="7"/>
      <c r="G7179" s="7"/>
      <c r="H7179" s="8"/>
      <c r="I7179" s="8"/>
      <c r="J7179" s="7"/>
      <c r="K7179" s="7"/>
      <c r="L7179" s="7"/>
      <c r="M7179" s="7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  <c r="Y7179" s="7"/>
      <c r="Z7179" s="7"/>
    </row>
    <row r="7180" hidden="1">
      <c r="A7180" s="7"/>
      <c r="B7180" s="7"/>
      <c r="C7180" s="7"/>
      <c r="D7180" s="7"/>
      <c r="E7180" s="7"/>
      <c r="F7180" s="7"/>
      <c r="G7180" s="7"/>
      <c r="H7180" s="8"/>
      <c r="I7180" s="8"/>
      <c r="J7180" s="7"/>
      <c r="K7180" s="7"/>
      <c r="L7180" s="7"/>
      <c r="M7180" s="7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7"/>
      <c r="Z7180" s="7"/>
    </row>
    <row r="7181" hidden="1">
      <c r="A7181" s="7"/>
      <c r="B7181" s="7"/>
      <c r="C7181" s="7"/>
      <c r="D7181" s="7"/>
      <c r="E7181" s="7"/>
      <c r="F7181" s="7"/>
      <c r="G7181" s="7"/>
      <c r="H7181" s="8"/>
      <c r="I7181" s="8"/>
      <c r="J7181" s="7"/>
      <c r="K7181" s="7"/>
      <c r="L7181" s="7"/>
      <c r="M7181" s="7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  <c r="Y7181" s="7"/>
      <c r="Z7181" s="7"/>
    </row>
    <row r="7182" hidden="1">
      <c r="A7182" s="7"/>
      <c r="B7182" s="7"/>
      <c r="C7182" s="7"/>
      <c r="D7182" s="7"/>
      <c r="E7182" s="7"/>
      <c r="F7182" s="7"/>
      <c r="G7182" s="7"/>
      <c r="H7182" s="8"/>
      <c r="I7182" s="8"/>
      <c r="J7182" s="7"/>
      <c r="K7182" s="7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</row>
    <row r="7183" hidden="1">
      <c r="A7183" s="7"/>
      <c r="B7183" s="7"/>
      <c r="C7183" s="7"/>
      <c r="D7183" s="7"/>
      <c r="E7183" s="7"/>
      <c r="F7183" s="7"/>
      <c r="G7183" s="7"/>
      <c r="H7183" s="8"/>
      <c r="I7183" s="8"/>
      <c r="J7183" s="7"/>
      <c r="K7183" s="7"/>
      <c r="L7183" s="7"/>
      <c r="M7183" s="7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  <c r="Y7183" s="7"/>
      <c r="Z7183" s="7"/>
    </row>
    <row r="7184" hidden="1">
      <c r="A7184" s="7"/>
      <c r="B7184" s="7"/>
      <c r="C7184" s="7"/>
      <c r="D7184" s="7"/>
      <c r="E7184" s="7"/>
      <c r="F7184" s="7"/>
      <c r="G7184" s="7"/>
      <c r="H7184" s="8"/>
      <c r="I7184" s="8"/>
      <c r="J7184" s="7"/>
      <c r="K7184" s="7"/>
      <c r="L7184" s="7"/>
      <c r="M7184" s="7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7"/>
      <c r="Z7184" s="7"/>
    </row>
    <row r="7185" hidden="1">
      <c r="A7185" s="7"/>
      <c r="B7185" s="7"/>
      <c r="C7185" s="7"/>
      <c r="D7185" s="7"/>
      <c r="E7185" s="7"/>
      <c r="F7185" s="7"/>
      <c r="G7185" s="7"/>
      <c r="H7185" s="8"/>
      <c r="I7185" s="8"/>
      <c r="J7185" s="7"/>
      <c r="K7185" s="7"/>
      <c r="L7185" s="7"/>
      <c r="M7185" s="7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  <c r="Y7185" s="7"/>
      <c r="Z7185" s="7"/>
    </row>
    <row r="7186" hidden="1">
      <c r="A7186" s="7"/>
      <c r="B7186" s="7"/>
      <c r="C7186" s="7"/>
      <c r="D7186" s="7"/>
      <c r="E7186" s="7"/>
      <c r="F7186" s="7"/>
      <c r="G7186" s="7"/>
      <c r="H7186" s="8"/>
      <c r="I7186" s="8"/>
      <c r="J7186" s="7"/>
      <c r="K7186" s="7"/>
      <c r="L7186" s="7"/>
      <c r="M7186" s="7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7"/>
      <c r="Z7186" s="7"/>
    </row>
    <row r="7187" hidden="1">
      <c r="A7187" s="7"/>
      <c r="B7187" s="7"/>
      <c r="C7187" s="7"/>
      <c r="D7187" s="7"/>
      <c r="E7187" s="7"/>
      <c r="F7187" s="7"/>
      <c r="G7187" s="7"/>
      <c r="H7187" s="8"/>
      <c r="I7187" s="8"/>
      <c r="J7187" s="7"/>
      <c r="K7187" s="7"/>
      <c r="L7187" s="7"/>
      <c r="M7187" s="7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  <c r="Y7187" s="7"/>
      <c r="Z7187" s="7"/>
    </row>
    <row r="7188" hidden="1">
      <c r="A7188" s="7"/>
      <c r="B7188" s="7"/>
      <c r="C7188" s="7"/>
      <c r="D7188" s="7"/>
      <c r="E7188" s="7"/>
      <c r="F7188" s="7"/>
      <c r="G7188" s="7"/>
      <c r="H7188" s="8"/>
      <c r="I7188" s="8"/>
      <c r="J7188" s="7"/>
      <c r="K7188" s="7"/>
      <c r="L7188" s="7"/>
      <c r="M7188" s="7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  <c r="Y7188" s="7"/>
      <c r="Z7188" s="7"/>
    </row>
    <row r="7189" hidden="1">
      <c r="A7189" s="7"/>
      <c r="B7189" s="7"/>
      <c r="C7189" s="7"/>
      <c r="D7189" s="7"/>
      <c r="E7189" s="7"/>
      <c r="F7189" s="7"/>
      <c r="G7189" s="7"/>
      <c r="H7189" s="8"/>
      <c r="I7189" s="8"/>
      <c r="J7189" s="7"/>
      <c r="K7189" s="7"/>
      <c r="L7189" s="7"/>
      <c r="M7189" s="7"/>
      <c r="N7189" s="7"/>
      <c r="O7189" s="7"/>
      <c r="P7189" s="7"/>
      <c r="Q7189" s="7"/>
      <c r="R7189" s="7"/>
      <c r="S7189" s="7"/>
      <c r="T7189" s="7"/>
      <c r="U7189" s="7"/>
      <c r="V7189" s="7"/>
      <c r="W7189" s="7"/>
      <c r="X7189" s="7"/>
      <c r="Y7189" s="7"/>
      <c r="Z7189" s="7"/>
    </row>
    <row r="7190" hidden="1">
      <c r="A7190" s="7"/>
      <c r="B7190" s="7"/>
      <c r="C7190" s="7"/>
      <c r="D7190" s="7"/>
      <c r="E7190" s="7"/>
      <c r="F7190" s="7"/>
      <c r="G7190" s="7"/>
      <c r="H7190" s="8"/>
      <c r="I7190" s="8"/>
      <c r="J7190" s="7"/>
      <c r="K7190" s="7"/>
      <c r="L7190" s="7"/>
      <c r="M7190" s="7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  <c r="Y7190" s="7"/>
      <c r="Z7190" s="7"/>
    </row>
    <row r="7191" hidden="1">
      <c r="A7191" s="7"/>
      <c r="B7191" s="7"/>
      <c r="C7191" s="7"/>
      <c r="D7191" s="7"/>
      <c r="E7191" s="7"/>
      <c r="F7191" s="7"/>
      <c r="G7191" s="7"/>
      <c r="H7191" s="8"/>
      <c r="I7191" s="8"/>
      <c r="J7191" s="7"/>
      <c r="K7191" s="7"/>
      <c r="L7191" s="7"/>
      <c r="M7191" s="7"/>
      <c r="N7191" s="7"/>
      <c r="O7191" s="7"/>
      <c r="P7191" s="7"/>
      <c r="Q7191" s="7"/>
      <c r="R7191" s="7"/>
      <c r="S7191" s="7"/>
      <c r="T7191" s="7"/>
      <c r="U7191" s="7"/>
      <c r="V7191" s="7"/>
      <c r="W7191" s="7"/>
      <c r="X7191" s="7"/>
      <c r="Y7191" s="7"/>
      <c r="Z7191" s="7"/>
    </row>
    <row r="7192" hidden="1">
      <c r="A7192" s="7"/>
      <c r="B7192" s="7"/>
      <c r="C7192" s="7"/>
      <c r="D7192" s="7"/>
      <c r="E7192" s="7"/>
      <c r="F7192" s="7"/>
      <c r="G7192" s="7"/>
      <c r="H7192" s="8"/>
      <c r="I7192" s="8"/>
      <c r="J7192" s="7"/>
      <c r="K7192" s="7"/>
      <c r="L7192" s="7"/>
      <c r="M7192" s="7"/>
      <c r="N7192" s="7"/>
      <c r="O7192" s="7"/>
      <c r="P7192" s="7"/>
      <c r="Q7192" s="7"/>
      <c r="R7192" s="7"/>
      <c r="S7192" s="7"/>
      <c r="T7192" s="7"/>
      <c r="U7192" s="7"/>
      <c r="V7192" s="7"/>
      <c r="W7192" s="7"/>
      <c r="X7192" s="7"/>
      <c r="Y7192" s="7"/>
      <c r="Z7192" s="7"/>
    </row>
    <row r="7193" hidden="1">
      <c r="A7193" s="7"/>
      <c r="B7193" s="7"/>
      <c r="C7193" s="7"/>
      <c r="D7193" s="7"/>
      <c r="E7193" s="7"/>
      <c r="F7193" s="7"/>
      <c r="G7193" s="7"/>
      <c r="H7193" s="8"/>
      <c r="I7193" s="8"/>
      <c r="J7193" s="7"/>
      <c r="K7193" s="7"/>
      <c r="L7193" s="7"/>
      <c r="M7193" s="7"/>
      <c r="N7193" s="7"/>
      <c r="O7193" s="7"/>
      <c r="P7193" s="7"/>
      <c r="Q7193" s="7"/>
      <c r="R7193" s="7"/>
      <c r="S7193" s="7"/>
      <c r="T7193" s="7"/>
      <c r="U7193" s="7"/>
      <c r="V7193" s="7"/>
      <c r="W7193" s="7"/>
      <c r="X7193" s="7"/>
      <c r="Y7193" s="7"/>
      <c r="Z7193" s="7"/>
    </row>
    <row r="7194" hidden="1">
      <c r="A7194" s="7"/>
      <c r="B7194" s="7"/>
      <c r="C7194" s="7"/>
      <c r="D7194" s="7"/>
      <c r="E7194" s="7"/>
      <c r="F7194" s="7"/>
      <c r="G7194" s="7"/>
      <c r="H7194" s="8"/>
      <c r="I7194" s="8"/>
      <c r="J7194" s="7"/>
      <c r="K7194" s="7"/>
      <c r="L7194" s="7"/>
      <c r="M7194" s="7"/>
      <c r="N7194" s="7"/>
      <c r="O7194" s="7"/>
      <c r="P7194" s="7"/>
      <c r="Q7194" s="7"/>
      <c r="R7194" s="7"/>
      <c r="S7194" s="7"/>
      <c r="T7194" s="7"/>
      <c r="U7194" s="7"/>
      <c r="V7194" s="7"/>
      <c r="W7194" s="7"/>
      <c r="X7194" s="7"/>
      <c r="Y7194" s="7"/>
      <c r="Z7194" s="7"/>
    </row>
    <row r="7195" hidden="1">
      <c r="A7195" s="7"/>
      <c r="B7195" s="7"/>
      <c r="C7195" s="7"/>
      <c r="D7195" s="7"/>
      <c r="E7195" s="7"/>
      <c r="F7195" s="7"/>
      <c r="G7195" s="7"/>
      <c r="H7195" s="8"/>
      <c r="I7195" s="8"/>
      <c r="J7195" s="7"/>
      <c r="K7195" s="7"/>
      <c r="L7195" s="7"/>
      <c r="M7195" s="7"/>
      <c r="N7195" s="7"/>
      <c r="O7195" s="7"/>
      <c r="P7195" s="7"/>
      <c r="Q7195" s="7"/>
      <c r="R7195" s="7"/>
      <c r="S7195" s="7"/>
      <c r="T7195" s="7"/>
      <c r="U7195" s="7"/>
      <c r="V7195" s="7"/>
      <c r="W7195" s="7"/>
      <c r="X7195" s="7"/>
      <c r="Y7195" s="7"/>
      <c r="Z7195" s="7"/>
    </row>
    <row r="7196" hidden="1">
      <c r="A7196" s="7"/>
      <c r="B7196" s="7"/>
      <c r="C7196" s="7"/>
      <c r="D7196" s="7"/>
      <c r="E7196" s="7"/>
      <c r="F7196" s="7"/>
      <c r="G7196" s="7"/>
      <c r="H7196" s="8"/>
      <c r="I7196" s="8"/>
      <c r="J7196" s="7"/>
      <c r="K7196" s="7"/>
      <c r="L7196" s="7"/>
      <c r="M7196" s="7"/>
      <c r="N7196" s="7"/>
      <c r="O7196" s="7"/>
      <c r="P7196" s="7"/>
      <c r="Q7196" s="7"/>
      <c r="R7196" s="7"/>
      <c r="S7196" s="7"/>
      <c r="T7196" s="7"/>
      <c r="U7196" s="7"/>
      <c r="V7196" s="7"/>
      <c r="W7196" s="7"/>
      <c r="X7196" s="7"/>
      <c r="Y7196" s="7"/>
      <c r="Z7196" s="7"/>
    </row>
    <row r="7197" hidden="1">
      <c r="A7197" s="7"/>
      <c r="B7197" s="7"/>
      <c r="C7197" s="7"/>
      <c r="D7197" s="7"/>
      <c r="E7197" s="7"/>
      <c r="F7197" s="7"/>
      <c r="G7197" s="7"/>
      <c r="H7197" s="8"/>
      <c r="I7197" s="8"/>
      <c r="J7197" s="7"/>
      <c r="K7197" s="7"/>
      <c r="L7197" s="7"/>
      <c r="M7197" s="7"/>
      <c r="N7197" s="7"/>
      <c r="O7197" s="7"/>
      <c r="P7197" s="7"/>
      <c r="Q7197" s="7"/>
      <c r="R7197" s="7"/>
      <c r="S7197" s="7"/>
      <c r="T7197" s="7"/>
      <c r="U7197" s="7"/>
      <c r="V7197" s="7"/>
      <c r="W7197" s="7"/>
      <c r="X7197" s="7"/>
      <c r="Y7197" s="7"/>
      <c r="Z7197" s="7"/>
    </row>
    <row r="7198" hidden="1">
      <c r="A7198" s="7"/>
      <c r="B7198" s="7"/>
      <c r="C7198" s="7"/>
      <c r="D7198" s="7"/>
      <c r="E7198" s="7"/>
      <c r="F7198" s="7"/>
      <c r="G7198" s="7"/>
      <c r="H7198" s="8"/>
      <c r="I7198" s="8"/>
      <c r="J7198" s="7"/>
      <c r="K7198" s="7"/>
      <c r="L7198" s="7"/>
      <c r="M7198" s="7"/>
      <c r="N7198" s="7"/>
      <c r="O7198" s="7"/>
      <c r="P7198" s="7"/>
      <c r="Q7198" s="7"/>
      <c r="R7198" s="7"/>
      <c r="S7198" s="7"/>
      <c r="T7198" s="7"/>
      <c r="U7198" s="7"/>
      <c r="V7198" s="7"/>
      <c r="W7198" s="7"/>
      <c r="X7198" s="7"/>
      <c r="Y7198" s="7"/>
      <c r="Z7198" s="7"/>
    </row>
    <row r="7199" hidden="1">
      <c r="A7199" s="7"/>
      <c r="B7199" s="7"/>
      <c r="C7199" s="7"/>
      <c r="D7199" s="7"/>
      <c r="E7199" s="7"/>
      <c r="F7199" s="7"/>
      <c r="G7199" s="7"/>
      <c r="H7199" s="8"/>
      <c r="I7199" s="8"/>
      <c r="J7199" s="7"/>
      <c r="K7199" s="7"/>
      <c r="L7199" s="7"/>
      <c r="M7199" s="7"/>
      <c r="N7199" s="7"/>
      <c r="O7199" s="7"/>
      <c r="P7199" s="7"/>
      <c r="Q7199" s="7"/>
      <c r="R7199" s="7"/>
      <c r="S7199" s="7"/>
      <c r="T7199" s="7"/>
      <c r="U7199" s="7"/>
      <c r="V7199" s="7"/>
      <c r="W7199" s="7"/>
      <c r="X7199" s="7"/>
      <c r="Y7199" s="7"/>
      <c r="Z7199" s="7"/>
    </row>
    <row r="7200" hidden="1">
      <c r="A7200" s="7"/>
      <c r="B7200" s="7"/>
      <c r="C7200" s="7"/>
      <c r="D7200" s="7"/>
      <c r="E7200" s="7"/>
      <c r="F7200" s="7"/>
      <c r="G7200" s="7"/>
      <c r="H7200" s="8"/>
      <c r="I7200" s="8"/>
      <c r="J7200" s="7"/>
      <c r="K7200" s="7"/>
      <c r="L7200" s="7"/>
      <c r="M7200" s="7"/>
      <c r="N7200" s="7"/>
      <c r="O7200" s="7"/>
      <c r="P7200" s="7"/>
      <c r="Q7200" s="7"/>
      <c r="R7200" s="7"/>
      <c r="S7200" s="7"/>
      <c r="T7200" s="7"/>
      <c r="U7200" s="7"/>
      <c r="V7200" s="7"/>
      <c r="W7200" s="7"/>
      <c r="X7200" s="7"/>
      <c r="Y7200" s="7"/>
      <c r="Z7200" s="7"/>
    </row>
    <row r="7201" hidden="1">
      <c r="A7201" s="7"/>
      <c r="B7201" s="7"/>
      <c r="C7201" s="7"/>
      <c r="D7201" s="7"/>
      <c r="E7201" s="7"/>
      <c r="F7201" s="7"/>
      <c r="G7201" s="7"/>
      <c r="H7201" s="8"/>
      <c r="I7201" s="8"/>
      <c r="J7201" s="7"/>
      <c r="K7201" s="7"/>
      <c r="L7201" s="7"/>
      <c r="M7201" s="7"/>
      <c r="N7201" s="7"/>
      <c r="O7201" s="7"/>
      <c r="P7201" s="7"/>
      <c r="Q7201" s="7"/>
      <c r="R7201" s="7"/>
      <c r="S7201" s="7"/>
      <c r="T7201" s="7"/>
      <c r="U7201" s="7"/>
      <c r="V7201" s="7"/>
      <c r="W7201" s="7"/>
      <c r="X7201" s="7"/>
      <c r="Y7201" s="7"/>
      <c r="Z7201" s="7"/>
    </row>
    <row r="7202" hidden="1">
      <c r="A7202" s="7"/>
      <c r="B7202" s="7"/>
      <c r="C7202" s="7"/>
      <c r="D7202" s="7"/>
      <c r="E7202" s="7"/>
      <c r="F7202" s="7"/>
      <c r="G7202" s="7"/>
      <c r="H7202" s="8"/>
      <c r="I7202" s="8"/>
      <c r="J7202" s="7"/>
      <c r="K7202" s="7"/>
      <c r="L7202" s="7"/>
      <c r="M7202" s="7"/>
      <c r="N7202" s="7"/>
      <c r="O7202" s="7"/>
      <c r="P7202" s="7"/>
      <c r="Q7202" s="7"/>
      <c r="R7202" s="7"/>
      <c r="S7202" s="7"/>
      <c r="T7202" s="7"/>
      <c r="U7202" s="7"/>
      <c r="V7202" s="7"/>
      <c r="W7202" s="7"/>
      <c r="X7202" s="7"/>
      <c r="Y7202" s="7"/>
      <c r="Z7202" s="7"/>
    </row>
    <row r="7203" hidden="1">
      <c r="A7203" s="7"/>
      <c r="B7203" s="7"/>
      <c r="C7203" s="7"/>
      <c r="D7203" s="7"/>
      <c r="E7203" s="7"/>
      <c r="F7203" s="7"/>
      <c r="G7203" s="7"/>
      <c r="H7203" s="8"/>
      <c r="I7203" s="8"/>
      <c r="J7203" s="7"/>
      <c r="K7203" s="7"/>
      <c r="L7203" s="7"/>
      <c r="M7203" s="7"/>
      <c r="N7203" s="7"/>
      <c r="O7203" s="7"/>
      <c r="P7203" s="7"/>
      <c r="Q7203" s="7"/>
      <c r="R7203" s="7"/>
      <c r="S7203" s="7"/>
      <c r="T7203" s="7"/>
      <c r="U7203" s="7"/>
      <c r="V7203" s="7"/>
      <c r="W7203" s="7"/>
      <c r="X7203" s="7"/>
      <c r="Y7203" s="7"/>
      <c r="Z7203" s="7"/>
    </row>
    <row r="7204" hidden="1">
      <c r="A7204" s="7"/>
      <c r="B7204" s="7"/>
      <c r="C7204" s="7"/>
      <c r="D7204" s="7"/>
      <c r="E7204" s="7"/>
      <c r="F7204" s="7"/>
      <c r="G7204" s="7"/>
      <c r="H7204" s="8"/>
      <c r="I7204" s="8"/>
      <c r="J7204" s="7"/>
      <c r="K7204" s="7"/>
      <c r="L7204" s="7"/>
      <c r="M7204" s="7"/>
      <c r="N7204" s="7"/>
      <c r="O7204" s="7"/>
      <c r="P7204" s="7"/>
      <c r="Q7204" s="7"/>
      <c r="R7204" s="7"/>
      <c r="S7204" s="7"/>
      <c r="T7204" s="7"/>
      <c r="U7204" s="7"/>
      <c r="V7204" s="7"/>
      <c r="W7204" s="7"/>
      <c r="X7204" s="7"/>
      <c r="Y7204" s="7"/>
      <c r="Z7204" s="7"/>
    </row>
    <row r="7205" hidden="1">
      <c r="A7205" s="7"/>
      <c r="B7205" s="7"/>
      <c r="C7205" s="7"/>
      <c r="D7205" s="7"/>
      <c r="E7205" s="7"/>
      <c r="F7205" s="7"/>
      <c r="G7205" s="7"/>
      <c r="H7205" s="8"/>
      <c r="I7205" s="8"/>
      <c r="J7205" s="7"/>
      <c r="K7205" s="7"/>
      <c r="L7205" s="7"/>
      <c r="M7205" s="7"/>
      <c r="N7205" s="7"/>
      <c r="O7205" s="7"/>
      <c r="P7205" s="7"/>
      <c r="Q7205" s="7"/>
      <c r="R7205" s="7"/>
      <c r="S7205" s="7"/>
      <c r="T7205" s="7"/>
      <c r="U7205" s="7"/>
      <c r="V7205" s="7"/>
      <c r="W7205" s="7"/>
      <c r="X7205" s="7"/>
      <c r="Y7205" s="7"/>
      <c r="Z7205" s="7"/>
    </row>
    <row r="7206" hidden="1">
      <c r="A7206" s="7"/>
      <c r="B7206" s="7"/>
      <c r="C7206" s="7"/>
      <c r="D7206" s="7"/>
      <c r="E7206" s="7"/>
      <c r="F7206" s="7"/>
      <c r="G7206" s="7"/>
      <c r="H7206" s="8"/>
      <c r="I7206" s="8"/>
      <c r="J7206" s="7"/>
      <c r="K7206" s="7"/>
      <c r="L7206" s="7"/>
      <c r="M7206" s="7"/>
      <c r="N7206" s="7"/>
      <c r="O7206" s="7"/>
      <c r="P7206" s="7"/>
      <c r="Q7206" s="7"/>
      <c r="R7206" s="7"/>
      <c r="S7206" s="7"/>
      <c r="T7206" s="7"/>
      <c r="U7206" s="7"/>
      <c r="V7206" s="7"/>
      <c r="W7206" s="7"/>
      <c r="X7206" s="7"/>
      <c r="Y7206" s="7"/>
      <c r="Z7206" s="7"/>
    </row>
    <row r="7207" hidden="1">
      <c r="A7207" s="7"/>
      <c r="B7207" s="7"/>
      <c r="C7207" s="7"/>
      <c r="D7207" s="7"/>
      <c r="E7207" s="7"/>
      <c r="F7207" s="7"/>
      <c r="G7207" s="7"/>
      <c r="H7207" s="8"/>
      <c r="I7207" s="8"/>
      <c r="J7207" s="7"/>
      <c r="K7207" s="7"/>
      <c r="L7207" s="7"/>
      <c r="M7207" s="7"/>
      <c r="N7207" s="7"/>
      <c r="O7207" s="7"/>
      <c r="P7207" s="7"/>
      <c r="Q7207" s="7"/>
      <c r="R7207" s="7"/>
      <c r="S7207" s="7"/>
      <c r="T7207" s="7"/>
      <c r="U7207" s="7"/>
      <c r="V7207" s="7"/>
      <c r="W7207" s="7"/>
      <c r="X7207" s="7"/>
      <c r="Y7207" s="7"/>
      <c r="Z7207" s="7"/>
    </row>
    <row r="7208" hidden="1">
      <c r="A7208" s="7"/>
      <c r="B7208" s="7"/>
      <c r="C7208" s="7"/>
      <c r="D7208" s="7"/>
      <c r="E7208" s="7"/>
      <c r="F7208" s="7"/>
      <c r="G7208" s="7"/>
      <c r="H7208" s="8"/>
      <c r="I7208" s="8"/>
      <c r="J7208" s="7"/>
      <c r="K7208" s="7"/>
      <c r="L7208" s="7"/>
      <c r="M7208" s="7"/>
      <c r="N7208" s="7"/>
      <c r="O7208" s="7"/>
      <c r="P7208" s="7"/>
      <c r="Q7208" s="7"/>
      <c r="R7208" s="7"/>
      <c r="S7208" s="7"/>
      <c r="T7208" s="7"/>
      <c r="U7208" s="7"/>
      <c r="V7208" s="7"/>
      <c r="W7208" s="7"/>
      <c r="X7208" s="7"/>
      <c r="Y7208" s="7"/>
      <c r="Z7208" s="7"/>
    </row>
    <row r="7209" hidden="1">
      <c r="A7209" s="7"/>
      <c r="B7209" s="7"/>
      <c r="C7209" s="7"/>
      <c r="D7209" s="7"/>
      <c r="E7209" s="7"/>
      <c r="F7209" s="7"/>
      <c r="G7209" s="7"/>
      <c r="H7209" s="8"/>
      <c r="I7209" s="8"/>
      <c r="J7209" s="7"/>
      <c r="K7209" s="7"/>
      <c r="L7209" s="7"/>
      <c r="M7209" s="7"/>
      <c r="N7209" s="7"/>
      <c r="O7209" s="7"/>
      <c r="P7209" s="7"/>
      <c r="Q7209" s="7"/>
      <c r="R7209" s="7"/>
      <c r="S7209" s="7"/>
      <c r="T7209" s="7"/>
      <c r="U7209" s="7"/>
      <c r="V7209" s="7"/>
      <c r="W7209" s="7"/>
      <c r="X7209" s="7"/>
      <c r="Y7209" s="7"/>
      <c r="Z7209" s="7"/>
    </row>
    <row r="7210" hidden="1">
      <c r="A7210" s="7"/>
      <c r="B7210" s="7"/>
      <c r="C7210" s="7"/>
      <c r="D7210" s="7"/>
      <c r="E7210" s="7"/>
      <c r="F7210" s="7"/>
      <c r="G7210" s="7"/>
      <c r="H7210" s="8"/>
      <c r="I7210" s="8"/>
      <c r="J7210" s="7"/>
      <c r="K7210" s="7"/>
      <c r="L7210" s="7"/>
      <c r="M7210" s="7"/>
      <c r="N7210" s="7"/>
      <c r="O7210" s="7"/>
      <c r="P7210" s="7"/>
      <c r="Q7210" s="7"/>
      <c r="R7210" s="7"/>
      <c r="S7210" s="7"/>
      <c r="T7210" s="7"/>
      <c r="U7210" s="7"/>
      <c r="V7210" s="7"/>
      <c r="W7210" s="7"/>
      <c r="X7210" s="7"/>
      <c r="Y7210" s="7"/>
      <c r="Z7210" s="7"/>
    </row>
    <row r="7211" hidden="1">
      <c r="A7211" s="7"/>
      <c r="B7211" s="7"/>
      <c r="C7211" s="7"/>
      <c r="D7211" s="7"/>
      <c r="E7211" s="7"/>
      <c r="F7211" s="7"/>
      <c r="G7211" s="7"/>
      <c r="H7211" s="8"/>
      <c r="I7211" s="8"/>
      <c r="J7211" s="7"/>
      <c r="K7211" s="7"/>
      <c r="L7211" s="7"/>
      <c r="M7211" s="7"/>
      <c r="N7211" s="7"/>
      <c r="O7211" s="7"/>
      <c r="P7211" s="7"/>
      <c r="Q7211" s="7"/>
      <c r="R7211" s="7"/>
      <c r="S7211" s="7"/>
      <c r="T7211" s="7"/>
      <c r="U7211" s="7"/>
      <c r="V7211" s="7"/>
      <c r="W7211" s="7"/>
      <c r="X7211" s="7"/>
      <c r="Y7211" s="7"/>
      <c r="Z7211" s="7"/>
    </row>
    <row r="7212" hidden="1">
      <c r="A7212" s="7"/>
      <c r="B7212" s="7"/>
      <c r="C7212" s="7"/>
      <c r="D7212" s="7"/>
      <c r="E7212" s="7"/>
      <c r="F7212" s="7"/>
      <c r="G7212" s="7"/>
      <c r="H7212" s="8"/>
      <c r="I7212" s="8"/>
      <c r="J7212" s="7"/>
      <c r="K7212" s="7"/>
      <c r="L7212" s="7"/>
      <c r="M7212" s="7"/>
      <c r="N7212" s="7"/>
      <c r="O7212" s="7"/>
      <c r="P7212" s="7"/>
      <c r="Q7212" s="7"/>
      <c r="R7212" s="7"/>
      <c r="S7212" s="7"/>
      <c r="T7212" s="7"/>
      <c r="U7212" s="7"/>
      <c r="V7212" s="7"/>
      <c r="W7212" s="7"/>
      <c r="X7212" s="7"/>
      <c r="Y7212" s="7"/>
      <c r="Z7212" s="7"/>
    </row>
    <row r="7213" hidden="1">
      <c r="A7213" s="7"/>
      <c r="B7213" s="7"/>
      <c r="C7213" s="7"/>
      <c r="D7213" s="7"/>
      <c r="E7213" s="7"/>
      <c r="F7213" s="7"/>
      <c r="G7213" s="7"/>
      <c r="H7213" s="8"/>
      <c r="I7213" s="8"/>
      <c r="J7213" s="7"/>
      <c r="K7213" s="7"/>
      <c r="L7213" s="7"/>
      <c r="M7213" s="7"/>
      <c r="N7213" s="7"/>
      <c r="O7213" s="7"/>
      <c r="P7213" s="7"/>
      <c r="Q7213" s="7"/>
      <c r="R7213" s="7"/>
      <c r="S7213" s="7"/>
      <c r="T7213" s="7"/>
      <c r="U7213" s="7"/>
      <c r="V7213" s="7"/>
      <c r="W7213" s="7"/>
      <c r="X7213" s="7"/>
      <c r="Y7213" s="7"/>
      <c r="Z7213" s="7"/>
    </row>
    <row r="7214" hidden="1">
      <c r="A7214" s="7"/>
      <c r="B7214" s="7"/>
      <c r="C7214" s="7"/>
      <c r="D7214" s="7"/>
      <c r="E7214" s="7"/>
      <c r="F7214" s="7"/>
      <c r="G7214" s="7"/>
      <c r="H7214" s="8"/>
      <c r="I7214" s="8"/>
      <c r="J7214" s="7"/>
      <c r="K7214" s="7"/>
      <c r="L7214" s="7"/>
      <c r="M7214" s="7"/>
      <c r="N7214" s="7"/>
      <c r="O7214" s="7"/>
      <c r="P7214" s="7"/>
      <c r="Q7214" s="7"/>
      <c r="R7214" s="7"/>
      <c r="S7214" s="7"/>
      <c r="T7214" s="7"/>
      <c r="U7214" s="7"/>
      <c r="V7214" s="7"/>
      <c r="W7214" s="7"/>
      <c r="X7214" s="7"/>
      <c r="Y7214" s="7"/>
      <c r="Z7214" s="7"/>
    </row>
    <row r="7215" hidden="1">
      <c r="A7215" s="7"/>
      <c r="B7215" s="7"/>
      <c r="C7215" s="7"/>
      <c r="D7215" s="7"/>
      <c r="E7215" s="7"/>
      <c r="F7215" s="7"/>
      <c r="G7215" s="7"/>
      <c r="H7215" s="8"/>
      <c r="I7215" s="8"/>
      <c r="J7215" s="7"/>
      <c r="K7215" s="7"/>
      <c r="L7215" s="7"/>
      <c r="M7215" s="7"/>
      <c r="N7215" s="7"/>
      <c r="O7215" s="7"/>
      <c r="P7215" s="7"/>
      <c r="Q7215" s="7"/>
      <c r="R7215" s="7"/>
      <c r="S7215" s="7"/>
      <c r="T7215" s="7"/>
      <c r="U7215" s="7"/>
      <c r="V7215" s="7"/>
      <c r="W7215" s="7"/>
      <c r="X7215" s="7"/>
      <c r="Y7215" s="7"/>
      <c r="Z7215" s="7"/>
    </row>
    <row r="7216" hidden="1">
      <c r="A7216" s="7"/>
      <c r="B7216" s="7"/>
      <c r="C7216" s="7"/>
      <c r="D7216" s="7"/>
      <c r="E7216" s="7"/>
      <c r="F7216" s="7"/>
      <c r="G7216" s="7"/>
      <c r="H7216" s="8"/>
      <c r="I7216" s="8"/>
      <c r="J7216" s="7"/>
      <c r="K7216" s="7"/>
      <c r="L7216" s="7"/>
      <c r="M7216" s="7"/>
      <c r="N7216" s="7"/>
      <c r="O7216" s="7"/>
      <c r="P7216" s="7"/>
      <c r="Q7216" s="7"/>
      <c r="R7216" s="7"/>
      <c r="S7216" s="7"/>
      <c r="T7216" s="7"/>
      <c r="U7216" s="7"/>
      <c r="V7216" s="7"/>
      <c r="W7216" s="7"/>
      <c r="X7216" s="7"/>
      <c r="Y7216" s="7"/>
      <c r="Z7216" s="7"/>
    </row>
    <row r="7217" hidden="1">
      <c r="A7217" s="7"/>
      <c r="B7217" s="7"/>
      <c r="C7217" s="7"/>
      <c r="D7217" s="7"/>
      <c r="E7217" s="7"/>
      <c r="F7217" s="7"/>
      <c r="G7217" s="7"/>
      <c r="H7217" s="8"/>
      <c r="I7217" s="8"/>
      <c r="J7217" s="7"/>
      <c r="K7217" s="7"/>
      <c r="L7217" s="7"/>
      <c r="M7217" s="7"/>
      <c r="N7217" s="7"/>
      <c r="O7217" s="7"/>
      <c r="P7217" s="7"/>
      <c r="Q7217" s="7"/>
      <c r="R7217" s="7"/>
      <c r="S7217" s="7"/>
      <c r="T7217" s="7"/>
      <c r="U7217" s="7"/>
      <c r="V7217" s="7"/>
      <c r="W7217" s="7"/>
      <c r="X7217" s="7"/>
      <c r="Y7217" s="7"/>
      <c r="Z7217" s="7"/>
    </row>
    <row r="7218" hidden="1">
      <c r="A7218" s="7"/>
      <c r="B7218" s="7"/>
      <c r="C7218" s="7"/>
      <c r="D7218" s="7"/>
      <c r="E7218" s="7"/>
      <c r="F7218" s="7"/>
      <c r="G7218" s="7"/>
      <c r="H7218" s="8"/>
      <c r="I7218" s="8"/>
      <c r="J7218" s="7"/>
      <c r="K7218" s="7"/>
      <c r="L7218" s="7"/>
      <c r="M7218" s="7"/>
      <c r="N7218" s="7"/>
      <c r="O7218" s="7"/>
      <c r="P7218" s="7"/>
      <c r="Q7218" s="7"/>
      <c r="R7218" s="7"/>
      <c r="S7218" s="7"/>
      <c r="T7218" s="7"/>
      <c r="U7218" s="7"/>
      <c r="V7218" s="7"/>
      <c r="W7218" s="7"/>
      <c r="X7218" s="7"/>
      <c r="Y7218" s="7"/>
      <c r="Z7218" s="7"/>
    </row>
    <row r="7219" hidden="1">
      <c r="A7219" s="7"/>
      <c r="B7219" s="7"/>
      <c r="C7219" s="7"/>
      <c r="D7219" s="7"/>
      <c r="E7219" s="7"/>
      <c r="F7219" s="7"/>
      <c r="G7219" s="7"/>
      <c r="H7219" s="8"/>
      <c r="I7219" s="8"/>
      <c r="J7219" s="7"/>
      <c r="K7219" s="7"/>
      <c r="L7219" s="7"/>
      <c r="M7219" s="7"/>
      <c r="N7219" s="7"/>
      <c r="O7219" s="7"/>
      <c r="P7219" s="7"/>
      <c r="Q7219" s="7"/>
      <c r="R7219" s="7"/>
      <c r="S7219" s="7"/>
      <c r="T7219" s="7"/>
      <c r="U7219" s="7"/>
      <c r="V7219" s="7"/>
      <c r="W7219" s="7"/>
      <c r="X7219" s="7"/>
      <c r="Y7219" s="7"/>
      <c r="Z7219" s="7"/>
    </row>
    <row r="7220" hidden="1">
      <c r="A7220" s="7"/>
      <c r="B7220" s="7"/>
      <c r="C7220" s="7"/>
      <c r="D7220" s="7"/>
      <c r="E7220" s="7"/>
      <c r="F7220" s="7"/>
      <c r="G7220" s="7"/>
      <c r="H7220" s="8"/>
      <c r="I7220" s="8"/>
      <c r="J7220" s="7"/>
      <c r="K7220" s="7"/>
      <c r="L7220" s="7"/>
      <c r="M7220" s="7"/>
      <c r="N7220" s="7"/>
      <c r="O7220" s="7"/>
      <c r="P7220" s="7"/>
      <c r="Q7220" s="7"/>
      <c r="R7220" s="7"/>
      <c r="S7220" s="7"/>
      <c r="T7220" s="7"/>
      <c r="U7220" s="7"/>
      <c r="V7220" s="7"/>
      <c r="W7220" s="7"/>
      <c r="X7220" s="7"/>
      <c r="Y7220" s="7"/>
      <c r="Z7220" s="7"/>
    </row>
    <row r="7221" hidden="1">
      <c r="A7221" s="7"/>
      <c r="B7221" s="7"/>
      <c r="C7221" s="7"/>
      <c r="D7221" s="7"/>
      <c r="E7221" s="7"/>
      <c r="F7221" s="7"/>
      <c r="G7221" s="7"/>
      <c r="H7221" s="8"/>
      <c r="I7221" s="8"/>
      <c r="J7221" s="7"/>
      <c r="K7221" s="7"/>
      <c r="L7221" s="7"/>
      <c r="M7221" s="7"/>
      <c r="N7221" s="7"/>
      <c r="O7221" s="7"/>
      <c r="P7221" s="7"/>
      <c r="Q7221" s="7"/>
      <c r="R7221" s="7"/>
      <c r="S7221" s="7"/>
      <c r="T7221" s="7"/>
      <c r="U7221" s="7"/>
      <c r="V7221" s="7"/>
      <c r="W7221" s="7"/>
      <c r="X7221" s="7"/>
      <c r="Y7221" s="7"/>
      <c r="Z7221" s="7"/>
    </row>
    <row r="7222" hidden="1">
      <c r="A7222" s="7"/>
      <c r="B7222" s="7"/>
      <c r="C7222" s="7"/>
      <c r="D7222" s="7"/>
      <c r="E7222" s="7"/>
      <c r="F7222" s="7"/>
      <c r="G7222" s="7"/>
      <c r="H7222" s="8"/>
      <c r="I7222" s="8"/>
      <c r="J7222" s="7"/>
      <c r="K7222" s="7"/>
      <c r="L7222" s="7"/>
      <c r="M7222" s="7"/>
      <c r="N7222" s="7"/>
      <c r="O7222" s="7"/>
      <c r="P7222" s="7"/>
      <c r="Q7222" s="7"/>
      <c r="R7222" s="7"/>
      <c r="S7222" s="7"/>
      <c r="T7222" s="7"/>
      <c r="U7222" s="7"/>
      <c r="V7222" s="7"/>
      <c r="W7222" s="7"/>
      <c r="X7222" s="7"/>
      <c r="Y7222" s="7"/>
      <c r="Z7222" s="7"/>
    </row>
    <row r="7223" hidden="1">
      <c r="A7223" s="7"/>
      <c r="B7223" s="7"/>
      <c r="C7223" s="7"/>
      <c r="D7223" s="7"/>
      <c r="E7223" s="7"/>
      <c r="F7223" s="7"/>
      <c r="G7223" s="7"/>
      <c r="H7223" s="8"/>
      <c r="I7223" s="8"/>
      <c r="J7223" s="7"/>
      <c r="K7223" s="7"/>
      <c r="L7223" s="7"/>
      <c r="M7223" s="7"/>
      <c r="N7223" s="7"/>
      <c r="O7223" s="7"/>
      <c r="P7223" s="7"/>
      <c r="Q7223" s="7"/>
      <c r="R7223" s="7"/>
      <c r="S7223" s="7"/>
      <c r="T7223" s="7"/>
      <c r="U7223" s="7"/>
      <c r="V7223" s="7"/>
      <c r="W7223" s="7"/>
      <c r="X7223" s="7"/>
      <c r="Y7223" s="7"/>
      <c r="Z7223" s="7"/>
    </row>
    <row r="7224" hidden="1">
      <c r="A7224" s="7"/>
      <c r="B7224" s="7"/>
      <c r="C7224" s="7"/>
      <c r="D7224" s="7"/>
      <c r="E7224" s="7"/>
      <c r="F7224" s="7"/>
      <c r="G7224" s="7"/>
      <c r="H7224" s="8"/>
      <c r="I7224" s="8"/>
      <c r="J7224" s="7"/>
      <c r="K7224" s="7"/>
      <c r="L7224" s="7"/>
      <c r="M7224" s="7"/>
      <c r="N7224" s="7"/>
      <c r="O7224" s="7"/>
      <c r="P7224" s="7"/>
      <c r="Q7224" s="7"/>
      <c r="R7224" s="7"/>
      <c r="S7224" s="7"/>
      <c r="T7224" s="7"/>
      <c r="U7224" s="7"/>
      <c r="V7224" s="7"/>
      <c r="W7224" s="7"/>
      <c r="X7224" s="7"/>
      <c r="Y7224" s="7"/>
      <c r="Z7224" s="7"/>
    </row>
    <row r="7225" hidden="1">
      <c r="A7225" s="7"/>
      <c r="B7225" s="7"/>
      <c r="C7225" s="7"/>
      <c r="D7225" s="7"/>
      <c r="E7225" s="7"/>
      <c r="F7225" s="7"/>
      <c r="G7225" s="7"/>
      <c r="H7225" s="8"/>
      <c r="I7225" s="8"/>
      <c r="J7225" s="7"/>
      <c r="K7225" s="7"/>
      <c r="L7225" s="7"/>
      <c r="M7225" s="7"/>
      <c r="N7225" s="7"/>
      <c r="O7225" s="7"/>
      <c r="P7225" s="7"/>
      <c r="Q7225" s="7"/>
      <c r="R7225" s="7"/>
      <c r="S7225" s="7"/>
      <c r="T7225" s="7"/>
      <c r="U7225" s="7"/>
      <c r="V7225" s="7"/>
      <c r="W7225" s="7"/>
      <c r="X7225" s="7"/>
      <c r="Y7225" s="7"/>
      <c r="Z7225" s="7"/>
    </row>
    <row r="7226" hidden="1">
      <c r="A7226" s="7"/>
      <c r="B7226" s="7"/>
      <c r="C7226" s="7"/>
      <c r="D7226" s="7"/>
      <c r="E7226" s="7"/>
      <c r="F7226" s="7"/>
      <c r="G7226" s="7"/>
      <c r="H7226" s="8"/>
      <c r="I7226" s="8"/>
      <c r="J7226" s="7"/>
      <c r="K7226" s="7"/>
      <c r="L7226" s="7"/>
      <c r="M7226" s="7"/>
      <c r="N7226" s="7"/>
      <c r="O7226" s="7"/>
      <c r="P7226" s="7"/>
      <c r="Q7226" s="7"/>
      <c r="R7226" s="7"/>
      <c r="S7226" s="7"/>
      <c r="T7226" s="7"/>
      <c r="U7226" s="7"/>
      <c r="V7226" s="7"/>
      <c r="W7226" s="7"/>
      <c r="X7226" s="7"/>
      <c r="Y7226" s="7"/>
      <c r="Z7226" s="7"/>
    </row>
    <row r="7227" hidden="1">
      <c r="A7227" s="7"/>
      <c r="B7227" s="7"/>
      <c r="C7227" s="7"/>
      <c r="D7227" s="7"/>
      <c r="E7227" s="7"/>
      <c r="F7227" s="7"/>
      <c r="G7227" s="7"/>
      <c r="H7227" s="8"/>
      <c r="I7227" s="8"/>
      <c r="J7227" s="7"/>
      <c r="K7227" s="7"/>
      <c r="L7227" s="7"/>
      <c r="M7227" s="7"/>
      <c r="N7227" s="7"/>
      <c r="O7227" s="7"/>
      <c r="P7227" s="7"/>
      <c r="Q7227" s="7"/>
      <c r="R7227" s="7"/>
      <c r="S7227" s="7"/>
      <c r="T7227" s="7"/>
      <c r="U7227" s="7"/>
      <c r="V7227" s="7"/>
      <c r="W7227" s="7"/>
      <c r="X7227" s="7"/>
      <c r="Y7227" s="7"/>
      <c r="Z7227" s="7"/>
    </row>
    <row r="7228" hidden="1">
      <c r="A7228" s="7"/>
      <c r="B7228" s="7"/>
      <c r="C7228" s="7"/>
      <c r="D7228" s="7"/>
      <c r="E7228" s="7"/>
      <c r="F7228" s="7"/>
      <c r="G7228" s="7"/>
      <c r="H7228" s="8"/>
      <c r="I7228" s="8"/>
      <c r="J7228" s="7"/>
      <c r="K7228" s="7"/>
      <c r="L7228" s="7"/>
      <c r="M7228" s="7"/>
      <c r="N7228" s="7"/>
      <c r="O7228" s="7"/>
      <c r="P7228" s="7"/>
      <c r="Q7228" s="7"/>
      <c r="R7228" s="7"/>
      <c r="S7228" s="7"/>
      <c r="T7228" s="7"/>
      <c r="U7228" s="7"/>
      <c r="V7228" s="7"/>
      <c r="W7228" s="7"/>
      <c r="X7228" s="7"/>
      <c r="Y7228" s="7"/>
      <c r="Z7228" s="7"/>
    </row>
    <row r="7229" hidden="1">
      <c r="A7229" s="7"/>
      <c r="B7229" s="7"/>
      <c r="C7229" s="7"/>
      <c r="D7229" s="7"/>
      <c r="E7229" s="7"/>
      <c r="F7229" s="7"/>
      <c r="G7229" s="7"/>
      <c r="H7229" s="8"/>
      <c r="I7229" s="8"/>
      <c r="J7229" s="7"/>
      <c r="K7229" s="7"/>
      <c r="L7229" s="7"/>
      <c r="M7229" s="7"/>
      <c r="N7229" s="7"/>
      <c r="O7229" s="7"/>
      <c r="P7229" s="7"/>
      <c r="Q7229" s="7"/>
      <c r="R7229" s="7"/>
      <c r="S7229" s="7"/>
      <c r="T7229" s="7"/>
      <c r="U7229" s="7"/>
      <c r="V7229" s="7"/>
      <c r="W7229" s="7"/>
      <c r="X7229" s="7"/>
      <c r="Y7229" s="7"/>
      <c r="Z7229" s="7"/>
    </row>
    <row r="7230" hidden="1">
      <c r="A7230" s="7"/>
      <c r="B7230" s="7"/>
      <c r="C7230" s="7"/>
      <c r="D7230" s="7"/>
      <c r="E7230" s="7"/>
      <c r="F7230" s="7"/>
      <c r="G7230" s="7"/>
      <c r="H7230" s="8"/>
      <c r="I7230" s="8"/>
      <c r="J7230" s="7"/>
      <c r="K7230" s="7"/>
      <c r="L7230" s="7"/>
      <c r="M7230" s="7"/>
      <c r="N7230" s="7"/>
      <c r="O7230" s="7"/>
      <c r="P7230" s="7"/>
      <c r="Q7230" s="7"/>
      <c r="R7230" s="7"/>
      <c r="S7230" s="7"/>
      <c r="T7230" s="7"/>
      <c r="U7230" s="7"/>
      <c r="V7230" s="7"/>
      <c r="W7230" s="7"/>
      <c r="X7230" s="7"/>
      <c r="Y7230" s="7"/>
      <c r="Z7230" s="7"/>
    </row>
    <row r="7231" hidden="1">
      <c r="A7231" s="7"/>
      <c r="B7231" s="7"/>
      <c r="C7231" s="7"/>
      <c r="D7231" s="7"/>
      <c r="E7231" s="7"/>
      <c r="F7231" s="7"/>
      <c r="G7231" s="7"/>
      <c r="H7231" s="8"/>
      <c r="I7231" s="8"/>
      <c r="J7231" s="7"/>
      <c r="K7231" s="7"/>
      <c r="L7231" s="7"/>
      <c r="M7231" s="7"/>
      <c r="N7231" s="7"/>
      <c r="O7231" s="7"/>
      <c r="P7231" s="7"/>
      <c r="Q7231" s="7"/>
      <c r="R7231" s="7"/>
      <c r="S7231" s="7"/>
      <c r="T7231" s="7"/>
      <c r="U7231" s="7"/>
      <c r="V7231" s="7"/>
      <c r="W7231" s="7"/>
      <c r="X7231" s="7"/>
      <c r="Y7231" s="7"/>
      <c r="Z7231" s="7"/>
    </row>
    <row r="7232" hidden="1">
      <c r="A7232" s="7"/>
      <c r="B7232" s="7"/>
      <c r="C7232" s="7"/>
      <c r="D7232" s="7"/>
      <c r="E7232" s="7"/>
      <c r="F7232" s="7"/>
      <c r="G7232" s="7"/>
      <c r="H7232" s="8"/>
      <c r="I7232" s="8"/>
      <c r="J7232" s="7"/>
      <c r="K7232" s="7"/>
      <c r="L7232" s="7"/>
      <c r="M7232" s="7"/>
      <c r="N7232" s="7"/>
      <c r="O7232" s="7"/>
      <c r="P7232" s="7"/>
      <c r="Q7232" s="7"/>
      <c r="R7232" s="7"/>
      <c r="S7232" s="7"/>
      <c r="T7232" s="7"/>
      <c r="U7232" s="7"/>
      <c r="V7232" s="7"/>
      <c r="W7232" s="7"/>
      <c r="X7232" s="7"/>
      <c r="Y7232" s="7"/>
      <c r="Z7232" s="7"/>
    </row>
    <row r="7233" hidden="1">
      <c r="A7233" s="7"/>
      <c r="B7233" s="7"/>
      <c r="C7233" s="7"/>
      <c r="D7233" s="7"/>
      <c r="E7233" s="7"/>
      <c r="F7233" s="7"/>
      <c r="G7233" s="7"/>
      <c r="H7233" s="8"/>
      <c r="I7233" s="8"/>
      <c r="J7233" s="7"/>
      <c r="K7233" s="7"/>
      <c r="L7233" s="7"/>
      <c r="M7233" s="7"/>
      <c r="N7233" s="7"/>
      <c r="O7233" s="7"/>
      <c r="P7233" s="7"/>
      <c r="Q7233" s="7"/>
      <c r="R7233" s="7"/>
      <c r="S7233" s="7"/>
      <c r="T7233" s="7"/>
      <c r="U7233" s="7"/>
      <c r="V7233" s="7"/>
      <c r="W7233" s="7"/>
      <c r="X7233" s="7"/>
      <c r="Y7233" s="7"/>
      <c r="Z7233" s="7"/>
    </row>
    <row r="7234" hidden="1">
      <c r="A7234" s="7"/>
      <c r="B7234" s="7"/>
      <c r="C7234" s="7"/>
      <c r="D7234" s="7"/>
      <c r="E7234" s="7"/>
      <c r="F7234" s="7"/>
      <c r="G7234" s="7"/>
      <c r="H7234" s="8"/>
      <c r="I7234" s="8"/>
      <c r="J7234" s="7"/>
      <c r="K7234" s="7"/>
      <c r="L7234" s="7"/>
      <c r="M7234" s="7"/>
      <c r="N7234" s="7"/>
      <c r="O7234" s="7"/>
      <c r="P7234" s="7"/>
      <c r="Q7234" s="7"/>
      <c r="R7234" s="7"/>
      <c r="S7234" s="7"/>
      <c r="T7234" s="7"/>
      <c r="U7234" s="7"/>
      <c r="V7234" s="7"/>
      <c r="W7234" s="7"/>
      <c r="X7234" s="7"/>
      <c r="Y7234" s="7"/>
      <c r="Z7234" s="7"/>
    </row>
    <row r="7235" hidden="1">
      <c r="A7235" s="7"/>
      <c r="B7235" s="7"/>
      <c r="C7235" s="7"/>
      <c r="D7235" s="7"/>
      <c r="E7235" s="7"/>
      <c r="F7235" s="7"/>
      <c r="G7235" s="7"/>
      <c r="H7235" s="8"/>
      <c r="I7235" s="8"/>
      <c r="J7235" s="7"/>
      <c r="K7235" s="7"/>
      <c r="L7235" s="7"/>
      <c r="M7235" s="7"/>
      <c r="N7235" s="7"/>
      <c r="O7235" s="7"/>
      <c r="P7235" s="7"/>
      <c r="Q7235" s="7"/>
      <c r="R7235" s="7"/>
      <c r="S7235" s="7"/>
      <c r="T7235" s="7"/>
      <c r="U7235" s="7"/>
      <c r="V7235" s="7"/>
      <c r="W7235" s="7"/>
      <c r="X7235" s="7"/>
      <c r="Y7235" s="7"/>
      <c r="Z7235" s="7"/>
    </row>
    <row r="7236" hidden="1">
      <c r="A7236" s="7"/>
      <c r="B7236" s="7"/>
      <c r="C7236" s="7"/>
      <c r="D7236" s="7"/>
      <c r="E7236" s="7"/>
      <c r="F7236" s="7"/>
      <c r="G7236" s="7"/>
      <c r="H7236" s="8"/>
      <c r="I7236" s="8"/>
      <c r="J7236" s="7"/>
      <c r="K7236" s="7"/>
      <c r="L7236" s="7"/>
      <c r="M7236" s="7"/>
      <c r="N7236" s="7"/>
      <c r="O7236" s="7"/>
      <c r="P7236" s="7"/>
      <c r="Q7236" s="7"/>
      <c r="R7236" s="7"/>
      <c r="S7236" s="7"/>
      <c r="T7236" s="7"/>
      <c r="U7236" s="7"/>
      <c r="V7236" s="7"/>
      <c r="W7236" s="7"/>
      <c r="X7236" s="7"/>
      <c r="Y7236" s="7"/>
      <c r="Z7236" s="7"/>
    </row>
    <row r="7237" hidden="1">
      <c r="A7237" s="7"/>
      <c r="B7237" s="7"/>
      <c r="C7237" s="7"/>
      <c r="D7237" s="7"/>
      <c r="E7237" s="7"/>
      <c r="F7237" s="7"/>
      <c r="G7237" s="7"/>
      <c r="H7237" s="8"/>
      <c r="I7237" s="8"/>
      <c r="J7237" s="7"/>
      <c r="K7237" s="7"/>
      <c r="L7237" s="7"/>
      <c r="M7237" s="7"/>
      <c r="N7237" s="7"/>
      <c r="O7237" s="7"/>
      <c r="P7237" s="7"/>
      <c r="Q7237" s="7"/>
      <c r="R7237" s="7"/>
      <c r="S7237" s="7"/>
      <c r="T7237" s="7"/>
      <c r="U7237" s="7"/>
      <c r="V7237" s="7"/>
      <c r="W7237" s="7"/>
      <c r="X7237" s="7"/>
      <c r="Y7237" s="7"/>
      <c r="Z7237" s="7"/>
    </row>
    <row r="7238" hidden="1">
      <c r="A7238" s="7"/>
      <c r="B7238" s="7"/>
      <c r="C7238" s="7"/>
      <c r="D7238" s="7"/>
      <c r="E7238" s="7"/>
      <c r="F7238" s="7"/>
      <c r="G7238" s="7"/>
      <c r="H7238" s="8"/>
      <c r="I7238" s="8"/>
      <c r="J7238" s="7"/>
      <c r="K7238" s="7"/>
      <c r="L7238" s="7"/>
      <c r="M7238" s="7"/>
      <c r="N7238" s="7"/>
      <c r="O7238" s="7"/>
      <c r="P7238" s="7"/>
      <c r="Q7238" s="7"/>
      <c r="R7238" s="7"/>
      <c r="S7238" s="7"/>
      <c r="T7238" s="7"/>
      <c r="U7238" s="7"/>
      <c r="V7238" s="7"/>
      <c r="W7238" s="7"/>
      <c r="X7238" s="7"/>
      <c r="Y7238" s="7"/>
      <c r="Z7238" s="7"/>
    </row>
    <row r="7239" hidden="1">
      <c r="A7239" s="7"/>
      <c r="B7239" s="7"/>
      <c r="C7239" s="7"/>
      <c r="D7239" s="7"/>
      <c r="E7239" s="7"/>
      <c r="F7239" s="7"/>
      <c r="G7239" s="7"/>
      <c r="H7239" s="8"/>
      <c r="I7239" s="8"/>
      <c r="J7239" s="7"/>
      <c r="K7239" s="7"/>
      <c r="L7239" s="7"/>
      <c r="M7239" s="7"/>
      <c r="N7239" s="7"/>
      <c r="O7239" s="7"/>
      <c r="P7239" s="7"/>
      <c r="Q7239" s="7"/>
      <c r="R7239" s="7"/>
      <c r="S7239" s="7"/>
      <c r="T7239" s="7"/>
      <c r="U7239" s="7"/>
      <c r="V7239" s="7"/>
      <c r="W7239" s="7"/>
      <c r="X7239" s="7"/>
      <c r="Y7239" s="7"/>
      <c r="Z7239" s="7"/>
    </row>
    <row r="7240" hidden="1">
      <c r="A7240" s="7"/>
      <c r="B7240" s="7"/>
      <c r="C7240" s="7"/>
      <c r="D7240" s="7"/>
      <c r="E7240" s="7"/>
      <c r="F7240" s="7"/>
      <c r="G7240" s="7"/>
      <c r="H7240" s="8"/>
      <c r="I7240" s="8"/>
      <c r="J7240" s="7"/>
      <c r="K7240" s="7"/>
      <c r="L7240" s="7"/>
      <c r="M7240" s="7"/>
      <c r="N7240" s="7"/>
      <c r="O7240" s="7"/>
      <c r="P7240" s="7"/>
      <c r="Q7240" s="7"/>
      <c r="R7240" s="7"/>
      <c r="S7240" s="7"/>
      <c r="T7240" s="7"/>
      <c r="U7240" s="7"/>
      <c r="V7240" s="7"/>
      <c r="W7240" s="7"/>
      <c r="X7240" s="7"/>
      <c r="Y7240" s="7"/>
      <c r="Z7240" s="7"/>
    </row>
    <row r="7241" hidden="1">
      <c r="A7241" s="7"/>
      <c r="B7241" s="7"/>
      <c r="C7241" s="7"/>
      <c r="D7241" s="7"/>
      <c r="E7241" s="7"/>
      <c r="F7241" s="7"/>
      <c r="G7241" s="7"/>
      <c r="H7241" s="8"/>
      <c r="I7241" s="8"/>
      <c r="J7241" s="7"/>
      <c r="K7241" s="7"/>
      <c r="L7241" s="7"/>
      <c r="M7241" s="7"/>
      <c r="N7241" s="7"/>
      <c r="O7241" s="7"/>
      <c r="P7241" s="7"/>
      <c r="Q7241" s="7"/>
      <c r="R7241" s="7"/>
      <c r="S7241" s="7"/>
      <c r="T7241" s="7"/>
      <c r="U7241" s="7"/>
      <c r="V7241" s="7"/>
      <c r="W7241" s="7"/>
      <c r="X7241" s="7"/>
      <c r="Y7241" s="7"/>
      <c r="Z7241" s="7"/>
    </row>
    <row r="7242" hidden="1">
      <c r="A7242" s="7"/>
      <c r="B7242" s="7"/>
      <c r="C7242" s="7"/>
      <c r="D7242" s="7"/>
      <c r="E7242" s="7"/>
      <c r="F7242" s="7"/>
      <c r="G7242" s="7"/>
      <c r="H7242" s="8"/>
      <c r="I7242" s="8"/>
      <c r="J7242" s="7"/>
      <c r="K7242" s="7"/>
      <c r="L7242" s="7"/>
      <c r="M7242" s="7"/>
      <c r="N7242" s="7"/>
      <c r="O7242" s="7"/>
      <c r="P7242" s="7"/>
      <c r="Q7242" s="7"/>
      <c r="R7242" s="7"/>
      <c r="S7242" s="7"/>
      <c r="T7242" s="7"/>
      <c r="U7242" s="7"/>
      <c r="V7242" s="7"/>
      <c r="W7242" s="7"/>
      <c r="X7242" s="7"/>
      <c r="Y7242" s="7"/>
      <c r="Z7242" s="7"/>
    </row>
    <row r="7243" hidden="1">
      <c r="A7243" s="7"/>
      <c r="B7243" s="7"/>
      <c r="C7243" s="7"/>
      <c r="D7243" s="7"/>
      <c r="E7243" s="7"/>
      <c r="F7243" s="7"/>
      <c r="G7243" s="7"/>
      <c r="H7243" s="8"/>
      <c r="I7243" s="8"/>
      <c r="J7243" s="7"/>
      <c r="K7243" s="7"/>
      <c r="L7243" s="7"/>
      <c r="M7243" s="7"/>
      <c r="N7243" s="7"/>
      <c r="O7243" s="7"/>
      <c r="P7243" s="7"/>
      <c r="Q7243" s="7"/>
      <c r="R7243" s="7"/>
      <c r="S7243" s="7"/>
      <c r="T7243" s="7"/>
      <c r="U7243" s="7"/>
      <c r="V7243" s="7"/>
      <c r="W7243" s="7"/>
      <c r="X7243" s="7"/>
      <c r="Y7243" s="7"/>
      <c r="Z7243" s="7"/>
    </row>
    <row r="7244" hidden="1">
      <c r="A7244" s="7"/>
      <c r="B7244" s="7"/>
      <c r="C7244" s="7"/>
      <c r="D7244" s="7"/>
      <c r="E7244" s="7"/>
      <c r="F7244" s="7"/>
      <c r="G7244" s="7"/>
      <c r="H7244" s="8"/>
      <c r="I7244" s="8"/>
      <c r="J7244" s="7"/>
      <c r="K7244" s="7"/>
      <c r="L7244" s="7"/>
      <c r="M7244" s="7"/>
      <c r="N7244" s="7"/>
      <c r="O7244" s="7"/>
      <c r="P7244" s="7"/>
      <c r="Q7244" s="7"/>
      <c r="R7244" s="7"/>
      <c r="S7244" s="7"/>
      <c r="T7244" s="7"/>
      <c r="U7244" s="7"/>
      <c r="V7244" s="7"/>
      <c r="W7244" s="7"/>
      <c r="X7244" s="7"/>
      <c r="Y7244" s="7"/>
      <c r="Z7244" s="7"/>
    </row>
    <row r="7245" hidden="1">
      <c r="A7245" s="7"/>
      <c r="B7245" s="7"/>
      <c r="C7245" s="7"/>
      <c r="D7245" s="7"/>
      <c r="E7245" s="7"/>
      <c r="F7245" s="7"/>
      <c r="G7245" s="7"/>
      <c r="H7245" s="8"/>
      <c r="I7245" s="8"/>
      <c r="J7245" s="7"/>
      <c r="K7245" s="7"/>
      <c r="L7245" s="7"/>
      <c r="M7245" s="7"/>
      <c r="N7245" s="7"/>
      <c r="O7245" s="7"/>
      <c r="P7245" s="7"/>
      <c r="Q7245" s="7"/>
      <c r="R7245" s="7"/>
      <c r="S7245" s="7"/>
      <c r="T7245" s="7"/>
      <c r="U7245" s="7"/>
      <c r="V7245" s="7"/>
      <c r="W7245" s="7"/>
      <c r="X7245" s="7"/>
      <c r="Y7245" s="7"/>
      <c r="Z7245" s="7"/>
    </row>
    <row r="7246" hidden="1">
      <c r="A7246" s="7"/>
      <c r="B7246" s="7"/>
      <c r="C7246" s="7"/>
      <c r="D7246" s="7"/>
      <c r="E7246" s="7"/>
      <c r="F7246" s="7"/>
      <c r="G7246" s="7"/>
      <c r="H7246" s="8"/>
      <c r="I7246" s="8"/>
      <c r="J7246" s="7"/>
      <c r="K7246" s="7"/>
      <c r="L7246" s="7"/>
      <c r="M7246" s="7"/>
      <c r="N7246" s="7"/>
      <c r="O7246" s="7"/>
      <c r="P7246" s="7"/>
      <c r="Q7246" s="7"/>
      <c r="R7246" s="7"/>
      <c r="S7246" s="7"/>
      <c r="T7246" s="7"/>
      <c r="U7246" s="7"/>
      <c r="V7246" s="7"/>
      <c r="W7246" s="7"/>
      <c r="X7246" s="7"/>
      <c r="Y7246" s="7"/>
      <c r="Z7246" s="7"/>
    </row>
    <row r="7247" hidden="1">
      <c r="A7247" s="7"/>
      <c r="B7247" s="7"/>
      <c r="C7247" s="7"/>
      <c r="D7247" s="7"/>
      <c r="E7247" s="7"/>
      <c r="F7247" s="7"/>
      <c r="G7247" s="7"/>
      <c r="H7247" s="8"/>
      <c r="I7247" s="8"/>
      <c r="J7247" s="7"/>
      <c r="K7247" s="7"/>
      <c r="L7247" s="7"/>
      <c r="M7247" s="7"/>
      <c r="N7247" s="7"/>
      <c r="O7247" s="7"/>
      <c r="P7247" s="7"/>
      <c r="Q7247" s="7"/>
      <c r="R7247" s="7"/>
      <c r="S7247" s="7"/>
      <c r="T7247" s="7"/>
      <c r="U7247" s="7"/>
      <c r="V7247" s="7"/>
      <c r="W7247" s="7"/>
      <c r="X7247" s="7"/>
      <c r="Y7247" s="7"/>
      <c r="Z7247" s="7"/>
    </row>
    <row r="7248" hidden="1">
      <c r="A7248" s="7"/>
      <c r="B7248" s="7"/>
      <c r="C7248" s="7"/>
      <c r="D7248" s="7"/>
      <c r="E7248" s="7"/>
      <c r="F7248" s="7"/>
      <c r="G7248" s="7"/>
      <c r="H7248" s="8"/>
      <c r="I7248" s="8"/>
      <c r="J7248" s="7"/>
      <c r="K7248" s="7"/>
      <c r="L7248" s="7"/>
      <c r="M7248" s="7"/>
      <c r="N7248" s="7"/>
      <c r="O7248" s="7"/>
      <c r="P7248" s="7"/>
      <c r="Q7248" s="7"/>
      <c r="R7248" s="7"/>
      <c r="S7248" s="7"/>
      <c r="T7248" s="7"/>
      <c r="U7248" s="7"/>
      <c r="V7248" s="7"/>
      <c r="W7248" s="7"/>
      <c r="X7248" s="7"/>
      <c r="Y7248" s="7"/>
      <c r="Z7248" s="7"/>
    </row>
    <row r="7249" hidden="1">
      <c r="A7249" s="7"/>
      <c r="B7249" s="7"/>
      <c r="C7249" s="7"/>
      <c r="D7249" s="7"/>
      <c r="E7249" s="7"/>
      <c r="F7249" s="7"/>
      <c r="G7249" s="7"/>
      <c r="H7249" s="8"/>
      <c r="I7249" s="8"/>
      <c r="J7249" s="7"/>
      <c r="K7249" s="7"/>
      <c r="L7249" s="7"/>
      <c r="M7249" s="7"/>
      <c r="N7249" s="7"/>
      <c r="O7249" s="7"/>
      <c r="P7249" s="7"/>
      <c r="Q7249" s="7"/>
      <c r="R7249" s="7"/>
      <c r="S7249" s="7"/>
      <c r="T7249" s="7"/>
      <c r="U7249" s="7"/>
      <c r="V7249" s="7"/>
      <c r="W7249" s="7"/>
      <c r="X7249" s="7"/>
      <c r="Y7249" s="7"/>
      <c r="Z7249" s="7"/>
    </row>
    <row r="7250" hidden="1">
      <c r="A7250" s="7"/>
      <c r="B7250" s="7"/>
      <c r="C7250" s="7"/>
      <c r="D7250" s="7"/>
      <c r="E7250" s="7"/>
      <c r="F7250" s="7"/>
      <c r="G7250" s="7"/>
      <c r="H7250" s="8"/>
      <c r="I7250" s="8"/>
      <c r="J7250" s="7"/>
      <c r="K7250" s="7"/>
      <c r="L7250" s="7"/>
      <c r="M7250" s="7"/>
      <c r="N7250" s="7"/>
      <c r="O7250" s="7"/>
      <c r="P7250" s="7"/>
      <c r="Q7250" s="7"/>
      <c r="R7250" s="7"/>
      <c r="S7250" s="7"/>
      <c r="T7250" s="7"/>
      <c r="U7250" s="7"/>
      <c r="V7250" s="7"/>
      <c r="W7250" s="7"/>
      <c r="X7250" s="7"/>
      <c r="Y7250" s="7"/>
      <c r="Z7250" s="7"/>
    </row>
    <row r="7251" hidden="1">
      <c r="A7251" s="7"/>
      <c r="B7251" s="7"/>
      <c r="C7251" s="7"/>
      <c r="D7251" s="7"/>
      <c r="E7251" s="7"/>
      <c r="F7251" s="7"/>
      <c r="G7251" s="7"/>
      <c r="H7251" s="8"/>
      <c r="I7251" s="8"/>
      <c r="J7251" s="7"/>
      <c r="K7251" s="7"/>
      <c r="L7251" s="7"/>
      <c r="M7251" s="7"/>
      <c r="N7251" s="7"/>
      <c r="O7251" s="7"/>
      <c r="P7251" s="7"/>
      <c r="Q7251" s="7"/>
      <c r="R7251" s="7"/>
      <c r="S7251" s="7"/>
      <c r="T7251" s="7"/>
      <c r="U7251" s="7"/>
      <c r="V7251" s="7"/>
      <c r="W7251" s="7"/>
      <c r="X7251" s="7"/>
      <c r="Y7251" s="7"/>
      <c r="Z7251" s="7"/>
    </row>
    <row r="7252" hidden="1">
      <c r="A7252" s="7"/>
      <c r="B7252" s="7"/>
      <c r="C7252" s="7"/>
      <c r="D7252" s="7"/>
      <c r="E7252" s="7"/>
      <c r="F7252" s="7"/>
      <c r="G7252" s="7"/>
      <c r="H7252" s="8"/>
      <c r="I7252" s="8"/>
      <c r="J7252" s="7"/>
      <c r="K7252" s="7"/>
      <c r="L7252" s="7"/>
      <c r="M7252" s="7"/>
      <c r="N7252" s="7"/>
      <c r="O7252" s="7"/>
      <c r="P7252" s="7"/>
      <c r="Q7252" s="7"/>
      <c r="R7252" s="7"/>
      <c r="S7252" s="7"/>
      <c r="T7252" s="7"/>
      <c r="U7252" s="7"/>
      <c r="V7252" s="7"/>
      <c r="W7252" s="7"/>
      <c r="X7252" s="7"/>
      <c r="Y7252" s="7"/>
      <c r="Z7252" s="7"/>
    </row>
    <row r="7253" hidden="1">
      <c r="A7253" s="7"/>
      <c r="B7253" s="7"/>
      <c r="C7253" s="7"/>
      <c r="D7253" s="7"/>
      <c r="E7253" s="7"/>
      <c r="F7253" s="7"/>
      <c r="G7253" s="7"/>
      <c r="H7253" s="8"/>
      <c r="I7253" s="8"/>
      <c r="J7253" s="7"/>
      <c r="K7253" s="7"/>
      <c r="L7253" s="7"/>
      <c r="M7253" s="7"/>
      <c r="N7253" s="7"/>
      <c r="O7253" s="7"/>
      <c r="P7253" s="7"/>
      <c r="Q7253" s="7"/>
      <c r="R7253" s="7"/>
      <c r="S7253" s="7"/>
      <c r="T7253" s="7"/>
      <c r="U7253" s="7"/>
      <c r="V7253" s="7"/>
      <c r="W7253" s="7"/>
      <c r="X7253" s="7"/>
      <c r="Y7253" s="7"/>
      <c r="Z7253" s="7"/>
    </row>
    <row r="7254" hidden="1">
      <c r="A7254" s="7"/>
      <c r="B7254" s="7"/>
      <c r="C7254" s="7"/>
      <c r="D7254" s="7"/>
      <c r="E7254" s="7"/>
      <c r="F7254" s="7"/>
      <c r="G7254" s="7"/>
      <c r="H7254" s="8"/>
      <c r="I7254" s="8"/>
      <c r="J7254" s="7"/>
      <c r="K7254" s="7"/>
      <c r="L7254" s="7"/>
      <c r="M7254" s="7"/>
      <c r="N7254" s="7"/>
      <c r="O7254" s="7"/>
      <c r="P7254" s="7"/>
      <c r="Q7254" s="7"/>
      <c r="R7254" s="7"/>
      <c r="S7254" s="7"/>
      <c r="T7254" s="7"/>
      <c r="U7254" s="7"/>
      <c r="V7254" s="7"/>
      <c r="W7254" s="7"/>
      <c r="X7254" s="7"/>
      <c r="Y7254" s="7"/>
      <c r="Z7254" s="7"/>
    </row>
    <row r="7255" hidden="1">
      <c r="A7255" s="7"/>
      <c r="B7255" s="7"/>
      <c r="C7255" s="7"/>
      <c r="D7255" s="7"/>
      <c r="E7255" s="7"/>
      <c r="F7255" s="7"/>
      <c r="G7255" s="7"/>
      <c r="H7255" s="8"/>
      <c r="I7255" s="8"/>
      <c r="J7255" s="7"/>
      <c r="K7255" s="7"/>
      <c r="L7255" s="7"/>
      <c r="M7255" s="7"/>
      <c r="N7255" s="7"/>
      <c r="O7255" s="7"/>
      <c r="P7255" s="7"/>
      <c r="Q7255" s="7"/>
      <c r="R7255" s="7"/>
      <c r="S7255" s="7"/>
      <c r="T7255" s="7"/>
      <c r="U7255" s="7"/>
      <c r="V7255" s="7"/>
      <c r="W7255" s="7"/>
      <c r="X7255" s="7"/>
      <c r="Y7255" s="7"/>
      <c r="Z7255" s="7"/>
    </row>
    <row r="7256" hidden="1">
      <c r="A7256" s="7"/>
      <c r="B7256" s="7"/>
      <c r="C7256" s="7"/>
      <c r="D7256" s="7"/>
      <c r="E7256" s="7"/>
      <c r="F7256" s="7"/>
      <c r="G7256" s="7"/>
      <c r="H7256" s="8"/>
      <c r="I7256" s="8"/>
      <c r="J7256" s="7"/>
      <c r="K7256" s="7"/>
      <c r="L7256" s="7"/>
      <c r="M7256" s="7"/>
      <c r="N7256" s="7"/>
      <c r="O7256" s="7"/>
      <c r="P7256" s="7"/>
      <c r="Q7256" s="7"/>
      <c r="R7256" s="7"/>
      <c r="S7256" s="7"/>
      <c r="T7256" s="7"/>
      <c r="U7256" s="7"/>
      <c r="V7256" s="7"/>
      <c r="W7256" s="7"/>
      <c r="X7256" s="7"/>
      <c r="Y7256" s="7"/>
      <c r="Z7256" s="7"/>
    </row>
    <row r="7257" hidden="1">
      <c r="A7257" s="7"/>
      <c r="B7257" s="7"/>
      <c r="C7257" s="7"/>
      <c r="D7257" s="7"/>
      <c r="E7257" s="7"/>
      <c r="F7257" s="7"/>
      <c r="G7257" s="7"/>
      <c r="H7257" s="8"/>
      <c r="I7257" s="8"/>
      <c r="J7257" s="7"/>
      <c r="K7257" s="7"/>
      <c r="L7257" s="7"/>
      <c r="M7257" s="7"/>
      <c r="N7257" s="7"/>
      <c r="O7257" s="7"/>
      <c r="P7257" s="7"/>
      <c r="Q7257" s="7"/>
      <c r="R7257" s="7"/>
      <c r="S7257" s="7"/>
      <c r="T7257" s="7"/>
      <c r="U7257" s="7"/>
      <c r="V7257" s="7"/>
      <c r="W7257" s="7"/>
      <c r="X7257" s="7"/>
      <c r="Y7257" s="7"/>
      <c r="Z7257" s="7"/>
    </row>
    <row r="7258" hidden="1">
      <c r="A7258" s="7"/>
      <c r="B7258" s="7"/>
      <c r="C7258" s="7"/>
      <c r="D7258" s="7"/>
      <c r="E7258" s="7"/>
      <c r="F7258" s="7"/>
      <c r="G7258" s="7"/>
      <c r="H7258" s="8"/>
      <c r="I7258" s="8"/>
      <c r="J7258" s="7"/>
      <c r="K7258" s="7"/>
      <c r="L7258" s="7"/>
      <c r="M7258" s="7"/>
      <c r="N7258" s="7"/>
      <c r="O7258" s="7"/>
      <c r="P7258" s="7"/>
      <c r="Q7258" s="7"/>
      <c r="R7258" s="7"/>
      <c r="S7258" s="7"/>
      <c r="T7258" s="7"/>
      <c r="U7258" s="7"/>
      <c r="V7258" s="7"/>
      <c r="W7258" s="7"/>
      <c r="X7258" s="7"/>
      <c r="Y7258" s="7"/>
      <c r="Z7258" s="7"/>
    </row>
    <row r="7259" hidden="1">
      <c r="A7259" s="7"/>
      <c r="B7259" s="7"/>
      <c r="C7259" s="7"/>
      <c r="D7259" s="7"/>
      <c r="E7259" s="7"/>
      <c r="F7259" s="7"/>
      <c r="G7259" s="7"/>
      <c r="H7259" s="8"/>
      <c r="I7259" s="8"/>
      <c r="J7259" s="7"/>
      <c r="K7259" s="7"/>
      <c r="L7259" s="7"/>
      <c r="M7259" s="7"/>
      <c r="N7259" s="7"/>
      <c r="O7259" s="7"/>
      <c r="P7259" s="7"/>
      <c r="Q7259" s="7"/>
      <c r="R7259" s="7"/>
      <c r="S7259" s="7"/>
      <c r="T7259" s="7"/>
      <c r="U7259" s="7"/>
      <c r="V7259" s="7"/>
      <c r="W7259" s="7"/>
      <c r="X7259" s="7"/>
      <c r="Y7259" s="7"/>
      <c r="Z7259" s="7"/>
    </row>
    <row r="7260" hidden="1">
      <c r="A7260" s="7"/>
      <c r="B7260" s="7"/>
      <c r="C7260" s="7"/>
      <c r="D7260" s="7"/>
      <c r="E7260" s="7"/>
      <c r="F7260" s="7"/>
      <c r="G7260" s="7"/>
      <c r="H7260" s="8"/>
      <c r="I7260" s="8"/>
      <c r="J7260" s="7"/>
      <c r="K7260" s="7"/>
      <c r="L7260" s="7"/>
      <c r="M7260" s="7"/>
      <c r="N7260" s="7"/>
      <c r="O7260" s="7"/>
      <c r="P7260" s="7"/>
      <c r="Q7260" s="7"/>
      <c r="R7260" s="7"/>
      <c r="S7260" s="7"/>
      <c r="T7260" s="7"/>
      <c r="U7260" s="7"/>
      <c r="V7260" s="7"/>
      <c r="W7260" s="7"/>
      <c r="X7260" s="7"/>
      <c r="Y7260" s="7"/>
      <c r="Z7260" s="7"/>
    </row>
    <row r="7261" hidden="1">
      <c r="A7261" s="7"/>
      <c r="B7261" s="7"/>
      <c r="C7261" s="7"/>
      <c r="D7261" s="7"/>
      <c r="E7261" s="7"/>
      <c r="F7261" s="7"/>
      <c r="G7261" s="7"/>
      <c r="H7261" s="8"/>
      <c r="I7261" s="8"/>
      <c r="J7261" s="7"/>
      <c r="K7261" s="7"/>
      <c r="L7261" s="7"/>
      <c r="M7261" s="7"/>
      <c r="N7261" s="7"/>
      <c r="O7261" s="7"/>
      <c r="P7261" s="7"/>
      <c r="Q7261" s="7"/>
      <c r="R7261" s="7"/>
      <c r="S7261" s="7"/>
      <c r="T7261" s="7"/>
      <c r="U7261" s="7"/>
      <c r="V7261" s="7"/>
      <c r="W7261" s="7"/>
      <c r="X7261" s="7"/>
      <c r="Y7261" s="7"/>
      <c r="Z7261" s="7"/>
    </row>
    <row r="7262" hidden="1">
      <c r="A7262" s="7"/>
      <c r="B7262" s="7"/>
      <c r="C7262" s="7"/>
      <c r="D7262" s="7"/>
      <c r="E7262" s="7"/>
      <c r="F7262" s="7"/>
      <c r="G7262" s="7"/>
      <c r="H7262" s="8"/>
      <c r="I7262" s="8"/>
      <c r="J7262" s="7"/>
      <c r="K7262" s="7"/>
      <c r="L7262" s="7"/>
      <c r="M7262" s="7"/>
      <c r="N7262" s="7"/>
      <c r="O7262" s="7"/>
      <c r="P7262" s="7"/>
      <c r="Q7262" s="7"/>
      <c r="R7262" s="7"/>
      <c r="S7262" s="7"/>
      <c r="T7262" s="7"/>
      <c r="U7262" s="7"/>
      <c r="V7262" s="7"/>
      <c r="W7262" s="7"/>
      <c r="X7262" s="7"/>
      <c r="Y7262" s="7"/>
      <c r="Z7262" s="7"/>
    </row>
    <row r="7263" hidden="1">
      <c r="A7263" s="7"/>
      <c r="B7263" s="7"/>
      <c r="C7263" s="7"/>
      <c r="D7263" s="7"/>
      <c r="E7263" s="7"/>
      <c r="F7263" s="7"/>
      <c r="G7263" s="7"/>
      <c r="H7263" s="8"/>
      <c r="I7263" s="8"/>
      <c r="J7263" s="7"/>
      <c r="K7263" s="7"/>
      <c r="L7263" s="7"/>
      <c r="M7263" s="7"/>
      <c r="N7263" s="7"/>
      <c r="O7263" s="7"/>
      <c r="P7263" s="7"/>
      <c r="Q7263" s="7"/>
      <c r="R7263" s="7"/>
      <c r="S7263" s="7"/>
      <c r="T7263" s="7"/>
      <c r="U7263" s="7"/>
      <c r="V7263" s="7"/>
      <c r="W7263" s="7"/>
      <c r="X7263" s="7"/>
      <c r="Y7263" s="7"/>
      <c r="Z7263" s="7"/>
    </row>
    <row r="7264" hidden="1">
      <c r="A7264" s="7"/>
      <c r="B7264" s="7"/>
      <c r="C7264" s="7"/>
      <c r="D7264" s="7"/>
      <c r="E7264" s="7"/>
      <c r="F7264" s="7"/>
      <c r="G7264" s="7"/>
      <c r="H7264" s="8"/>
      <c r="I7264" s="8"/>
      <c r="J7264" s="7"/>
      <c r="K7264" s="7"/>
      <c r="L7264" s="7"/>
      <c r="M7264" s="7"/>
      <c r="N7264" s="7"/>
      <c r="O7264" s="7"/>
      <c r="P7264" s="7"/>
      <c r="Q7264" s="7"/>
      <c r="R7264" s="7"/>
      <c r="S7264" s="7"/>
      <c r="T7264" s="7"/>
      <c r="U7264" s="7"/>
      <c r="V7264" s="7"/>
      <c r="W7264" s="7"/>
      <c r="X7264" s="7"/>
      <c r="Y7264" s="7"/>
      <c r="Z7264" s="7"/>
    </row>
    <row r="7265" hidden="1">
      <c r="A7265" s="7"/>
      <c r="B7265" s="7"/>
      <c r="C7265" s="7"/>
      <c r="D7265" s="7"/>
      <c r="E7265" s="7"/>
      <c r="F7265" s="7"/>
      <c r="G7265" s="7"/>
      <c r="H7265" s="8"/>
      <c r="I7265" s="8"/>
      <c r="J7265" s="7"/>
      <c r="K7265" s="7"/>
      <c r="L7265" s="7"/>
      <c r="M7265" s="7"/>
      <c r="N7265" s="7"/>
      <c r="O7265" s="7"/>
      <c r="P7265" s="7"/>
      <c r="Q7265" s="7"/>
      <c r="R7265" s="7"/>
      <c r="S7265" s="7"/>
      <c r="T7265" s="7"/>
      <c r="U7265" s="7"/>
      <c r="V7265" s="7"/>
      <c r="W7265" s="7"/>
      <c r="X7265" s="7"/>
      <c r="Y7265" s="7"/>
      <c r="Z7265" s="7"/>
    </row>
    <row r="7266" hidden="1">
      <c r="A7266" s="7"/>
      <c r="B7266" s="7"/>
      <c r="C7266" s="7"/>
      <c r="D7266" s="7"/>
      <c r="E7266" s="7"/>
      <c r="F7266" s="7"/>
      <c r="G7266" s="7"/>
      <c r="H7266" s="8"/>
      <c r="I7266" s="8"/>
      <c r="J7266" s="7"/>
      <c r="K7266" s="7"/>
      <c r="L7266" s="7"/>
      <c r="M7266" s="7"/>
      <c r="N7266" s="7"/>
      <c r="O7266" s="7"/>
      <c r="P7266" s="7"/>
      <c r="Q7266" s="7"/>
      <c r="R7266" s="7"/>
      <c r="S7266" s="7"/>
      <c r="T7266" s="7"/>
      <c r="U7266" s="7"/>
      <c r="V7266" s="7"/>
      <c r="W7266" s="7"/>
      <c r="X7266" s="7"/>
      <c r="Y7266" s="7"/>
      <c r="Z7266" s="7"/>
    </row>
    <row r="7267" hidden="1">
      <c r="A7267" s="7"/>
      <c r="B7267" s="7"/>
      <c r="C7267" s="7"/>
      <c r="D7267" s="7"/>
      <c r="E7267" s="7"/>
      <c r="F7267" s="7"/>
      <c r="G7267" s="7"/>
      <c r="H7267" s="8"/>
      <c r="I7267" s="8"/>
      <c r="J7267" s="7"/>
      <c r="K7267" s="7"/>
      <c r="L7267" s="7"/>
      <c r="M7267" s="7"/>
      <c r="N7267" s="7"/>
      <c r="O7267" s="7"/>
      <c r="P7267" s="7"/>
      <c r="Q7267" s="7"/>
      <c r="R7267" s="7"/>
      <c r="S7267" s="7"/>
      <c r="T7267" s="7"/>
      <c r="U7267" s="7"/>
      <c r="V7267" s="7"/>
      <c r="W7267" s="7"/>
      <c r="X7267" s="7"/>
      <c r="Y7267" s="7"/>
      <c r="Z7267" s="7"/>
    </row>
    <row r="7268" hidden="1">
      <c r="A7268" s="7"/>
      <c r="B7268" s="7"/>
      <c r="C7268" s="7"/>
      <c r="D7268" s="7"/>
      <c r="E7268" s="7"/>
      <c r="F7268" s="7"/>
      <c r="G7268" s="7"/>
      <c r="H7268" s="8"/>
      <c r="I7268" s="8"/>
      <c r="J7268" s="7"/>
      <c r="K7268" s="7"/>
      <c r="L7268" s="7"/>
      <c r="M7268" s="7"/>
      <c r="N7268" s="7"/>
      <c r="O7268" s="7"/>
      <c r="P7268" s="7"/>
      <c r="Q7268" s="7"/>
      <c r="R7268" s="7"/>
      <c r="S7268" s="7"/>
      <c r="T7268" s="7"/>
      <c r="U7268" s="7"/>
      <c r="V7268" s="7"/>
      <c r="W7268" s="7"/>
      <c r="X7268" s="7"/>
      <c r="Y7268" s="7"/>
      <c r="Z7268" s="7"/>
    </row>
    <row r="7269" hidden="1">
      <c r="A7269" s="7"/>
      <c r="B7269" s="7"/>
      <c r="C7269" s="7"/>
      <c r="D7269" s="7"/>
      <c r="E7269" s="7"/>
      <c r="F7269" s="7"/>
      <c r="G7269" s="7"/>
      <c r="H7269" s="8"/>
      <c r="I7269" s="8"/>
      <c r="J7269" s="7"/>
      <c r="K7269" s="7"/>
      <c r="L7269" s="7"/>
      <c r="M7269" s="7"/>
      <c r="N7269" s="7"/>
      <c r="O7269" s="7"/>
      <c r="P7269" s="7"/>
      <c r="Q7269" s="7"/>
      <c r="R7269" s="7"/>
      <c r="S7269" s="7"/>
      <c r="T7269" s="7"/>
      <c r="U7269" s="7"/>
      <c r="V7269" s="7"/>
      <c r="W7269" s="7"/>
      <c r="X7269" s="7"/>
      <c r="Y7269" s="7"/>
      <c r="Z7269" s="7"/>
    </row>
    <row r="7270" hidden="1">
      <c r="A7270" s="7"/>
      <c r="B7270" s="7"/>
      <c r="C7270" s="7"/>
      <c r="D7270" s="7"/>
      <c r="E7270" s="7"/>
      <c r="F7270" s="7"/>
      <c r="G7270" s="7"/>
      <c r="H7270" s="8"/>
      <c r="I7270" s="8"/>
      <c r="J7270" s="7"/>
      <c r="K7270" s="7"/>
      <c r="L7270" s="7"/>
      <c r="M7270" s="7"/>
      <c r="N7270" s="7"/>
      <c r="O7270" s="7"/>
      <c r="P7270" s="7"/>
      <c r="Q7270" s="7"/>
      <c r="R7270" s="7"/>
      <c r="S7270" s="7"/>
      <c r="T7270" s="7"/>
      <c r="U7270" s="7"/>
      <c r="V7270" s="7"/>
      <c r="W7270" s="7"/>
      <c r="X7270" s="7"/>
      <c r="Y7270" s="7"/>
      <c r="Z7270" s="7"/>
    </row>
    <row r="7271" hidden="1">
      <c r="A7271" s="7"/>
      <c r="B7271" s="7"/>
      <c r="C7271" s="7"/>
      <c r="D7271" s="7"/>
      <c r="E7271" s="7"/>
      <c r="F7271" s="7"/>
      <c r="G7271" s="7"/>
      <c r="H7271" s="8"/>
      <c r="I7271" s="8"/>
      <c r="J7271" s="7"/>
      <c r="K7271" s="7"/>
      <c r="L7271" s="7"/>
      <c r="M7271" s="7"/>
      <c r="N7271" s="7"/>
      <c r="O7271" s="7"/>
      <c r="P7271" s="7"/>
      <c r="Q7271" s="7"/>
      <c r="R7271" s="7"/>
      <c r="S7271" s="7"/>
      <c r="T7271" s="7"/>
      <c r="U7271" s="7"/>
      <c r="V7271" s="7"/>
      <c r="W7271" s="7"/>
      <c r="X7271" s="7"/>
      <c r="Y7271" s="7"/>
      <c r="Z7271" s="7"/>
    </row>
    <row r="7272" hidden="1">
      <c r="A7272" s="7"/>
      <c r="B7272" s="7"/>
      <c r="C7272" s="7"/>
      <c r="D7272" s="7"/>
      <c r="E7272" s="7"/>
      <c r="F7272" s="7"/>
      <c r="G7272" s="7"/>
      <c r="H7272" s="8"/>
      <c r="I7272" s="8"/>
      <c r="J7272" s="7"/>
      <c r="K7272" s="7"/>
      <c r="L7272" s="7"/>
      <c r="M7272" s="7"/>
      <c r="N7272" s="7"/>
      <c r="O7272" s="7"/>
      <c r="P7272" s="7"/>
      <c r="Q7272" s="7"/>
      <c r="R7272" s="7"/>
      <c r="S7272" s="7"/>
      <c r="T7272" s="7"/>
      <c r="U7272" s="7"/>
      <c r="V7272" s="7"/>
      <c r="W7272" s="7"/>
      <c r="X7272" s="7"/>
      <c r="Y7272" s="7"/>
      <c r="Z7272" s="7"/>
    </row>
    <row r="7273" hidden="1">
      <c r="A7273" s="7"/>
      <c r="B7273" s="7"/>
      <c r="C7273" s="7"/>
      <c r="D7273" s="7"/>
      <c r="E7273" s="7"/>
      <c r="F7273" s="7"/>
      <c r="G7273" s="7"/>
      <c r="H7273" s="8"/>
      <c r="I7273" s="8"/>
      <c r="J7273" s="7"/>
      <c r="K7273" s="7"/>
      <c r="L7273" s="7"/>
      <c r="M7273" s="7"/>
      <c r="N7273" s="7"/>
      <c r="O7273" s="7"/>
      <c r="P7273" s="7"/>
      <c r="Q7273" s="7"/>
      <c r="R7273" s="7"/>
      <c r="S7273" s="7"/>
      <c r="T7273" s="7"/>
      <c r="U7273" s="7"/>
      <c r="V7273" s="7"/>
      <c r="W7273" s="7"/>
      <c r="X7273" s="7"/>
      <c r="Y7273" s="7"/>
      <c r="Z7273" s="7"/>
    </row>
    <row r="7274" hidden="1">
      <c r="A7274" s="7"/>
      <c r="B7274" s="7"/>
      <c r="C7274" s="7"/>
      <c r="D7274" s="7"/>
      <c r="E7274" s="7"/>
      <c r="F7274" s="7"/>
      <c r="G7274" s="7"/>
      <c r="H7274" s="8"/>
      <c r="I7274" s="8"/>
      <c r="J7274" s="7"/>
      <c r="K7274" s="7"/>
      <c r="L7274" s="7"/>
      <c r="M7274" s="7"/>
      <c r="N7274" s="7"/>
      <c r="O7274" s="7"/>
      <c r="P7274" s="7"/>
      <c r="Q7274" s="7"/>
      <c r="R7274" s="7"/>
      <c r="S7274" s="7"/>
      <c r="T7274" s="7"/>
      <c r="U7274" s="7"/>
      <c r="V7274" s="7"/>
      <c r="W7274" s="7"/>
      <c r="X7274" s="7"/>
      <c r="Y7274" s="7"/>
      <c r="Z7274" s="7"/>
    </row>
    <row r="7275" hidden="1">
      <c r="A7275" s="7"/>
      <c r="B7275" s="7"/>
      <c r="C7275" s="7"/>
      <c r="D7275" s="7"/>
      <c r="E7275" s="7"/>
      <c r="F7275" s="7"/>
      <c r="G7275" s="7"/>
      <c r="H7275" s="8"/>
      <c r="I7275" s="8"/>
      <c r="J7275" s="7"/>
      <c r="K7275" s="7"/>
      <c r="L7275" s="7"/>
      <c r="M7275" s="7"/>
      <c r="N7275" s="7"/>
      <c r="O7275" s="7"/>
      <c r="P7275" s="7"/>
      <c r="Q7275" s="7"/>
      <c r="R7275" s="7"/>
      <c r="S7275" s="7"/>
      <c r="T7275" s="7"/>
      <c r="U7275" s="7"/>
      <c r="V7275" s="7"/>
      <c r="W7275" s="7"/>
      <c r="X7275" s="7"/>
      <c r="Y7275" s="7"/>
      <c r="Z7275" s="7"/>
    </row>
    <row r="7276" hidden="1">
      <c r="A7276" s="7"/>
      <c r="B7276" s="7"/>
      <c r="C7276" s="7"/>
      <c r="D7276" s="7"/>
      <c r="E7276" s="7"/>
      <c r="F7276" s="7"/>
      <c r="G7276" s="7"/>
      <c r="H7276" s="8"/>
      <c r="I7276" s="8"/>
      <c r="J7276" s="7"/>
      <c r="K7276" s="7"/>
      <c r="L7276" s="7"/>
      <c r="M7276" s="7"/>
      <c r="N7276" s="7"/>
      <c r="O7276" s="7"/>
      <c r="P7276" s="7"/>
      <c r="Q7276" s="7"/>
      <c r="R7276" s="7"/>
      <c r="S7276" s="7"/>
      <c r="T7276" s="7"/>
      <c r="U7276" s="7"/>
      <c r="V7276" s="7"/>
      <c r="W7276" s="7"/>
      <c r="X7276" s="7"/>
      <c r="Y7276" s="7"/>
      <c r="Z7276" s="7"/>
    </row>
    <row r="7277" hidden="1">
      <c r="A7277" s="7"/>
      <c r="B7277" s="7"/>
      <c r="C7277" s="7"/>
      <c r="D7277" s="7"/>
      <c r="E7277" s="7"/>
      <c r="F7277" s="7"/>
      <c r="G7277" s="7"/>
      <c r="H7277" s="8"/>
      <c r="I7277" s="8"/>
      <c r="J7277" s="7"/>
      <c r="K7277" s="7"/>
      <c r="L7277" s="7"/>
      <c r="M7277" s="7"/>
      <c r="N7277" s="7"/>
      <c r="O7277" s="7"/>
      <c r="P7277" s="7"/>
      <c r="Q7277" s="7"/>
      <c r="R7277" s="7"/>
      <c r="S7277" s="7"/>
      <c r="T7277" s="7"/>
      <c r="U7277" s="7"/>
      <c r="V7277" s="7"/>
      <c r="W7277" s="7"/>
      <c r="X7277" s="7"/>
      <c r="Y7277" s="7"/>
      <c r="Z7277" s="7"/>
    </row>
    <row r="7278" hidden="1">
      <c r="A7278" s="7"/>
      <c r="B7278" s="7"/>
      <c r="C7278" s="7"/>
      <c r="D7278" s="7"/>
      <c r="E7278" s="7"/>
      <c r="F7278" s="7"/>
      <c r="G7278" s="7"/>
      <c r="H7278" s="8"/>
      <c r="I7278" s="8"/>
      <c r="J7278" s="7"/>
      <c r="K7278" s="7"/>
      <c r="L7278" s="7"/>
      <c r="M7278" s="7"/>
      <c r="N7278" s="7"/>
      <c r="O7278" s="7"/>
      <c r="P7278" s="7"/>
      <c r="Q7278" s="7"/>
      <c r="R7278" s="7"/>
      <c r="S7278" s="7"/>
      <c r="T7278" s="7"/>
      <c r="U7278" s="7"/>
      <c r="V7278" s="7"/>
      <c r="W7278" s="7"/>
      <c r="X7278" s="7"/>
      <c r="Y7278" s="7"/>
      <c r="Z7278" s="7"/>
    </row>
    <row r="7279" hidden="1">
      <c r="A7279" s="7"/>
      <c r="B7279" s="7"/>
      <c r="C7279" s="7"/>
      <c r="D7279" s="7"/>
      <c r="E7279" s="7"/>
      <c r="F7279" s="7"/>
      <c r="G7279" s="7"/>
      <c r="H7279" s="8"/>
      <c r="I7279" s="8"/>
      <c r="J7279" s="7"/>
      <c r="K7279" s="7"/>
      <c r="L7279" s="7"/>
      <c r="M7279" s="7"/>
      <c r="N7279" s="7"/>
      <c r="O7279" s="7"/>
      <c r="P7279" s="7"/>
      <c r="Q7279" s="7"/>
      <c r="R7279" s="7"/>
      <c r="S7279" s="7"/>
      <c r="T7279" s="7"/>
      <c r="U7279" s="7"/>
      <c r="V7279" s="7"/>
      <c r="W7279" s="7"/>
      <c r="X7279" s="7"/>
      <c r="Y7279" s="7"/>
      <c r="Z7279" s="7"/>
    </row>
    <row r="7280" hidden="1">
      <c r="A7280" s="7"/>
      <c r="B7280" s="7"/>
      <c r="C7280" s="7"/>
      <c r="D7280" s="7"/>
      <c r="E7280" s="7"/>
      <c r="F7280" s="7"/>
      <c r="G7280" s="7"/>
      <c r="H7280" s="8"/>
      <c r="I7280" s="8"/>
      <c r="J7280" s="7"/>
      <c r="K7280" s="7"/>
      <c r="L7280" s="7"/>
      <c r="M7280" s="7"/>
      <c r="N7280" s="7"/>
      <c r="O7280" s="7"/>
      <c r="P7280" s="7"/>
      <c r="Q7280" s="7"/>
      <c r="R7280" s="7"/>
      <c r="S7280" s="7"/>
      <c r="T7280" s="7"/>
      <c r="U7280" s="7"/>
      <c r="V7280" s="7"/>
      <c r="W7280" s="7"/>
      <c r="X7280" s="7"/>
      <c r="Y7280" s="7"/>
      <c r="Z7280" s="7"/>
    </row>
    <row r="7281" hidden="1">
      <c r="A7281" s="7"/>
      <c r="B7281" s="7"/>
      <c r="C7281" s="7"/>
      <c r="D7281" s="7"/>
      <c r="E7281" s="7"/>
      <c r="F7281" s="7"/>
      <c r="G7281" s="7"/>
      <c r="H7281" s="8"/>
      <c r="I7281" s="8"/>
      <c r="J7281" s="7"/>
      <c r="K7281" s="7"/>
      <c r="L7281" s="7"/>
      <c r="M7281" s="7"/>
      <c r="N7281" s="7"/>
      <c r="O7281" s="7"/>
      <c r="P7281" s="7"/>
      <c r="Q7281" s="7"/>
      <c r="R7281" s="7"/>
      <c r="S7281" s="7"/>
      <c r="T7281" s="7"/>
      <c r="U7281" s="7"/>
      <c r="V7281" s="7"/>
      <c r="W7281" s="7"/>
      <c r="X7281" s="7"/>
      <c r="Y7281" s="7"/>
      <c r="Z7281" s="7"/>
    </row>
    <row r="7282" hidden="1">
      <c r="A7282" s="7"/>
      <c r="B7282" s="7"/>
      <c r="C7282" s="7"/>
      <c r="D7282" s="7"/>
      <c r="E7282" s="7"/>
      <c r="F7282" s="7"/>
      <c r="G7282" s="7"/>
      <c r="H7282" s="8"/>
      <c r="I7282" s="8"/>
      <c r="J7282" s="7"/>
      <c r="K7282" s="7"/>
      <c r="L7282" s="7"/>
      <c r="M7282" s="7"/>
      <c r="N7282" s="7"/>
      <c r="O7282" s="7"/>
      <c r="P7282" s="7"/>
      <c r="Q7282" s="7"/>
      <c r="R7282" s="7"/>
      <c r="S7282" s="7"/>
      <c r="T7282" s="7"/>
      <c r="U7282" s="7"/>
      <c r="V7282" s="7"/>
      <c r="W7282" s="7"/>
      <c r="X7282" s="7"/>
      <c r="Y7282" s="7"/>
      <c r="Z7282" s="7"/>
    </row>
    <row r="7283" hidden="1">
      <c r="A7283" s="7"/>
      <c r="B7283" s="7"/>
      <c r="C7283" s="7"/>
      <c r="D7283" s="7"/>
      <c r="E7283" s="7"/>
      <c r="F7283" s="7"/>
      <c r="G7283" s="7"/>
      <c r="H7283" s="8"/>
      <c r="I7283" s="8"/>
      <c r="J7283" s="7"/>
      <c r="K7283" s="7"/>
      <c r="L7283" s="7"/>
      <c r="M7283" s="7"/>
      <c r="N7283" s="7"/>
      <c r="O7283" s="7"/>
      <c r="P7283" s="7"/>
      <c r="Q7283" s="7"/>
      <c r="R7283" s="7"/>
      <c r="S7283" s="7"/>
      <c r="T7283" s="7"/>
      <c r="U7283" s="7"/>
      <c r="V7283" s="7"/>
      <c r="W7283" s="7"/>
      <c r="X7283" s="7"/>
      <c r="Y7283" s="7"/>
      <c r="Z7283" s="7"/>
    </row>
    <row r="7284" hidden="1">
      <c r="A7284" s="7"/>
      <c r="B7284" s="7"/>
      <c r="C7284" s="7"/>
      <c r="D7284" s="7"/>
      <c r="E7284" s="7"/>
      <c r="F7284" s="7"/>
      <c r="G7284" s="7"/>
      <c r="H7284" s="8"/>
      <c r="I7284" s="8"/>
      <c r="J7284" s="7"/>
      <c r="K7284" s="7"/>
      <c r="L7284" s="7"/>
      <c r="M7284" s="7"/>
      <c r="N7284" s="7"/>
      <c r="O7284" s="7"/>
      <c r="P7284" s="7"/>
      <c r="Q7284" s="7"/>
      <c r="R7284" s="7"/>
      <c r="S7284" s="7"/>
      <c r="T7284" s="7"/>
      <c r="U7284" s="7"/>
      <c r="V7284" s="7"/>
      <c r="W7284" s="7"/>
      <c r="X7284" s="7"/>
      <c r="Y7284" s="7"/>
      <c r="Z7284" s="7"/>
    </row>
    <row r="7285" hidden="1">
      <c r="A7285" s="7"/>
      <c r="B7285" s="7"/>
      <c r="C7285" s="7"/>
      <c r="D7285" s="7"/>
      <c r="E7285" s="7"/>
      <c r="F7285" s="7"/>
      <c r="G7285" s="7"/>
      <c r="H7285" s="8"/>
      <c r="I7285" s="8"/>
      <c r="J7285" s="7"/>
      <c r="K7285" s="7"/>
      <c r="L7285" s="7"/>
      <c r="M7285" s="7"/>
      <c r="N7285" s="7"/>
      <c r="O7285" s="7"/>
      <c r="P7285" s="7"/>
      <c r="Q7285" s="7"/>
      <c r="R7285" s="7"/>
      <c r="S7285" s="7"/>
      <c r="T7285" s="7"/>
      <c r="U7285" s="7"/>
      <c r="V7285" s="7"/>
      <c r="W7285" s="7"/>
      <c r="X7285" s="7"/>
      <c r="Y7285" s="7"/>
      <c r="Z7285" s="7"/>
    </row>
    <row r="7286" hidden="1">
      <c r="A7286" s="7"/>
      <c r="B7286" s="7"/>
      <c r="C7286" s="7"/>
      <c r="D7286" s="7"/>
      <c r="E7286" s="7"/>
      <c r="F7286" s="7"/>
      <c r="G7286" s="7"/>
      <c r="H7286" s="8"/>
      <c r="I7286" s="8"/>
      <c r="J7286" s="7"/>
      <c r="K7286" s="7"/>
      <c r="L7286" s="7"/>
      <c r="M7286" s="7"/>
      <c r="N7286" s="7"/>
      <c r="O7286" s="7"/>
      <c r="P7286" s="7"/>
      <c r="Q7286" s="7"/>
      <c r="R7286" s="7"/>
      <c r="S7286" s="7"/>
      <c r="T7286" s="7"/>
      <c r="U7286" s="7"/>
      <c r="V7286" s="7"/>
      <c r="W7286" s="7"/>
      <c r="X7286" s="7"/>
      <c r="Y7286" s="7"/>
      <c r="Z7286" s="7"/>
    </row>
    <row r="7287" hidden="1">
      <c r="A7287" s="7"/>
      <c r="B7287" s="7"/>
      <c r="C7287" s="7"/>
      <c r="D7287" s="7"/>
      <c r="E7287" s="7"/>
      <c r="F7287" s="7"/>
      <c r="G7287" s="7"/>
      <c r="H7287" s="8"/>
      <c r="I7287" s="8"/>
      <c r="J7287" s="7"/>
      <c r="K7287" s="7"/>
      <c r="L7287" s="7"/>
      <c r="M7287" s="7"/>
      <c r="N7287" s="7"/>
      <c r="O7287" s="7"/>
      <c r="P7287" s="7"/>
      <c r="Q7287" s="7"/>
      <c r="R7287" s="7"/>
      <c r="S7287" s="7"/>
      <c r="T7287" s="7"/>
      <c r="U7287" s="7"/>
      <c r="V7287" s="7"/>
      <c r="W7287" s="7"/>
      <c r="X7287" s="7"/>
      <c r="Y7287" s="7"/>
      <c r="Z7287" s="7"/>
    </row>
    <row r="7288" hidden="1">
      <c r="A7288" s="7"/>
      <c r="B7288" s="7"/>
      <c r="C7288" s="7"/>
      <c r="D7288" s="7"/>
      <c r="E7288" s="7"/>
      <c r="F7288" s="7"/>
      <c r="G7288" s="7"/>
      <c r="H7288" s="8"/>
      <c r="I7288" s="8"/>
      <c r="J7288" s="7"/>
      <c r="K7288" s="7"/>
      <c r="L7288" s="7"/>
      <c r="M7288" s="7"/>
      <c r="N7288" s="7"/>
      <c r="O7288" s="7"/>
      <c r="P7288" s="7"/>
      <c r="Q7288" s="7"/>
      <c r="R7288" s="7"/>
      <c r="S7288" s="7"/>
      <c r="T7288" s="7"/>
      <c r="U7288" s="7"/>
      <c r="V7288" s="7"/>
      <c r="W7288" s="7"/>
      <c r="X7288" s="7"/>
      <c r="Y7288" s="7"/>
      <c r="Z7288" s="7"/>
    </row>
    <row r="7289" hidden="1">
      <c r="A7289" s="7"/>
      <c r="B7289" s="7"/>
      <c r="C7289" s="7"/>
      <c r="D7289" s="7"/>
      <c r="E7289" s="7"/>
      <c r="F7289" s="7"/>
      <c r="G7289" s="7"/>
      <c r="H7289" s="8"/>
      <c r="I7289" s="8"/>
      <c r="J7289" s="7"/>
      <c r="K7289" s="7"/>
      <c r="L7289" s="7"/>
      <c r="M7289" s="7"/>
      <c r="N7289" s="7"/>
      <c r="O7289" s="7"/>
      <c r="P7289" s="7"/>
      <c r="Q7289" s="7"/>
      <c r="R7289" s="7"/>
      <c r="S7289" s="7"/>
      <c r="T7289" s="7"/>
      <c r="U7289" s="7"/>
      <c r="V7289" s="7"/>
      <c r="W7289" s="7"/>
      <c r="X7289" s="7"/>
      <c r="Y7289" s="7"/>
      <c r="Z7289" s="7"/>
    </row>
    <row r="7290" hidden="1">
      <c r="A7290" s="7"/>
      <c r="B7290" s="7"/>
      <c r="C7290" s="7"/>
      <c r="D7290" s="7"/>
      <c r="E7290" s="7"/>
      <c r="F7290" s="7"/>
      <c r="G7290" s="7"/>
      <c r="H7290" s="8"/>
      <c r="I7290" s="8"/>
      <c r="J7290" s="7"/>
      <c r="K7290" s="7"/>
      <c r="L7290" s="7"/>
      <c r="M7290" s="7"/>
      <c r="N7290" s="7"/>
      <c r="O7290" s="7"/>
      <c r="P7290" s="7"/>
      <c r="Q7290" s="7"/>
      <c r="R7290" s="7"/>
      <c r="S7290" s="7"/>
      <c r="T7290" s="7"/>
      <c r="U7290" s="7"/>
      <c r="V7290" s="7"/>
      <c r="W7290" s="7"/>
      <c r="X7290" s="7"/>
      <c r="Y7290" s="7"/>
      <c r="Z7290" s="7"/>
    </row>
    <row r="7291" hidden="1">
      <c r="A7291" s="7"/>
      <c r="B7291" s="7"/>
      <c r="C7291" s="7"/>
      <c r="D7291" s="7"/>
      <c r="E7291" s="7"/>
      <c r="F7291" s="7"/>
      <c r="G7291" s="7"/>
      <c r="H7291" s="8"/>
      <c r="I7291" s="8"/>
      <c r="J7291" s="7"/>
      <c r="K7291" s="7"/>
      <c r="L7291" s="7"/>
      <c r="M7291" s="7"/>
      <c r="N7291" s="7"/>
      <c r="O7291" s="7"/>
      <c r="P7291" s="7"/>
      <c r="Q7291" s="7"/>
      <c r="R7291" s="7"/>
      <c r="S7291" s="7"/>
      <c r="T7291" s="7"/>
      <c r="U7291" s="7"/>
      <c r="V7291" s="7"/>
      <c r="W7291" s="7"/>
      <c r="X7291" s="7"/>
      <c r="Y7291" s="7"/>
      <c r="Z7291" s="7"/>
    </row>
    <row r="7292" hidden="1">
      <c r="A7292" s="7"/>
      <c r="B7292" s="7"/>
      <c r="C7292" s="7"/>
      <c r="D7292" s="7"/>
      <c r="E7292" s="7"/>
      <c r="F7292" s="7"/>
      <c r="G7292" s="7"/>
      <c r="H7292" s="8"/>
      <c r="I7292" s="8"/>
      <c r="J7292" s="7"/>
      <c r="K7292" s="7"/>
      <c r="L7292" s="7"/>
      <c r="M7292" s="7"/>
      <c r="N7292" s="7"/>
      <c r="O7292" s="7"/>
      <c r="P7292" s="7"/>
      <c r="Q7292" s="7"/>
      <c r="R7292" s="7"/>
      <c r="S7292" s="7"/>
      <c r="T7292" s="7"/>
      <c r="U7292" s="7"/>
      <c r="V7292" s="7"/>
      <c r="W7292" s="7"/>
      <c r="X7292" s="7"/>
      <c r="Y7292" s="7"/>
      <c r="Z7292" s="7"/>
    </row>
    <row r="7293" hidden="1">
      <c r="A7293" s="7"/>
      <c r="B7293" s="7"/>
      <c r="C7293" s="7"/>
      <c r="D7293" s="7"/>
      <c r="E7293" s="7"/>
      <c r="F7293" s="7"/>
      <c r="G7293" s="7"/>
      <c r="H7293" s="8"/>
      <c r="I7293" s="8"/>
      <c r="J7293" s="7"/>
      <c r="K7293" s="7"/>
      <c r="L7293" s="7"/>
      <c r="M7293" s="7"/>
      <c r="N7293" s="7"/>
      <c r="O7293" s="7"/>
      <c r="P7293" s="7"/>
      <c r="Q7293" s="7"/>
      <c r="R7293" s="7"/>
      <c r="S7293" s="7"/>
      <c r="T7293" s="7"/>
      <c r="U7293" s="7"/>
      <c r="V7293" s="7"/>
      <c r="W7293" s="7"/>
      <c r="X7293" s="7"/>
      <c r="Y7293" s="7"/>
      <c r="Z7293" s="7"/>
    </row>
    <row r="7294" hidden="1">
      <c r="A7294" s="7"/>
      <c r="B7294" s="7"/>
      <c r="C7294" s="7"/>
      <c r="D7294" s="7"/>
      <c r="E7294" s="7"/>
      <c r="F7294" s="7"/>
      <c r="G7294" s="7"/>
      <c r="H7294" s="8"/>
      <c r="I7294" s="8"/>
      <c r="J7294" s="7"/>
      <c r="K7294" s="7"/>
      <c r="L7294" s="7"/>
      <c r="M7294" s="7"/>
      <c r="N7294" s="7"/>
      <c r="O7294" s="7"/>
      <c r="P7294" s="7"/>
      <c r="Q7294" s="7"/>
      <c r="R7294" s="7"/>
      <c r="S7294" s="7"/>
      <c r="T7294" s="7"/>
      <c r="U7294" s="7"/>
      <c r="V7294" s="7"/>
      <c r="W7294" s="7"/>
      <c r="X7294" s="7"/>
      <c r="Y7294" s="7"/>
      <c r="Z7294" s="7"/>
    </row>
    <row r="7295" hidden="1">
      <c r="A7295" s="7"/>
      <c r="B7295" s="7"/>
      <c r="C7295" s="7"/>
      <c r="D7295" s="7"/>
      <c r="E7295" s="7"/>
      <c r="F7295" s="7"/>
      <c r="G7295" s="7"/>
      <c r="H7295" s="8"/>
      <c r="I7295" s="8"/>
      <c r="J7295" s="7"/>
      <c r="K7295" s="7"/>
      <c r="L7295" s="7"/>
      <c r="M7295" s="7"/>
      <c r="N7295" s="7"/>
      <c r="O7295" s="7"/>
      <c r="P7295" s="7"/>
      <c r="Q7295" s="7"/>
      <c r="R7295" s="7"/>
      <c r="S7295" s="7"/>
      <c r="T7295" s="7"/>
      <c r="U7295" s="7"/>
      <c r="V7295" s="7"/>
      <c r="W7295" s="7"/>
      <c r="X7295" s="7"/>
      <c r="Y7295" s="7"/>
      <c r="Z7295" s="7"/>
    </row>
    <row r="7296" hidden="1">
      <c r="A7296" s="7"/>
      <c r="B7296" s="7"/>
      <c r="C7296" s="7"/>
      <c r="D7296" s="7"/>
      <c r="E7296" s="7"/>
      <c r="F7296" s="7"/>
      <c r="G7296" s="7"/>
      <c r="H7296" s="8"/>
      <c r="I7296" s="8"/>
      <c r="J7296" s="7"/>
      <c r="K7296" s="7"/>
      <c r="L7296" s="7"/>
      <c r="M7296" s="7"/>
      <c r="N7296" s="7"/>
      <c r="O7296" s="7"/>
      <c r="P7296" s="7"/>
      <c r="Q7296" s="7"/>
      <c r="R7296" s="7"/>
      <c r="S7296" s="7"/>
      <c r="T7296" s="7"/>
      <c r="U7296" s="7"/>
      <c r="V7296" s="7"/>
      <c r="W7296" s="7"/>
      <c r="X7296" s="7"/>
      <c r="Y7296" s="7"/>
      <c r="Z7296" s="7"/>
    </row>
    <row r="7297" hidden="1">
      <c r="A7297" s="7"/>
      <c r="B7297" s="7"/>
      <c r="C7297" s="7"/>
      <c r="D7297" s="7"/>
      <c r="E7297" s="7"/>
      <c r="F7297" s="7"/>
      <c r="G7297" s="7"/>
      <c r="H7297" s="8"/>
      <c r="I7297" s="8"/>
      <c r="J7297" s="7"/>
      <c r="K7297" s="7"/>
      <c r="L7297" s="7"/>
      <c r="M7297" s="7"/>
      <c r="N7297" s="7"/>
      <c r="O7297" s="7"/>
      <c r="P7297" s="7"/>
      <c r="Q7297" s="7"/>
      <c r="R7297" s="7"/>
      <c r="S7297" s="7"/>
      <c r="T7297" s="7"/>
      <c r="U7297" s="7"/>
      <c r="V7297" s="7"/>
      <c r="W7297" s="7"/>
      <c r="X7297" s="7"/>
      <c r="Y7297" s="7"/>
      <c r="Z7297" s="7"/>
    </row>
    <row r="7298" hidden="1">
      <c r="A7298" s="7"/>
      <c r="B7298" s="7"/>
      <c r="C7298" s="7"/>
      <c r="D7298" s="7"/>
      <c r="E7298" s="7"/>
      <c r="F7298" s="7"/>
      <c r="G7298" s="7"/>
      <c r="H7298" s="8"/>
      <c r="I7298" s="8"/>
      <c r="J7298" s="7"/>
      <c r="K7298" s="7"/>
      <c r="L7298" s="7"/>
      <c r="M7298" s="7"/>
      <c r="N7298" s="7"/>
      <c r="O7298" s="7"/>
      <c r="P7298" s="7"/>
      <c r="Q7298" s="7"/>
      <c r="R7298" s="7"/>
      <c r="S7298" s="7"/>
      <c r="T7298" s="7"/>
      <c r="U7298" s="7"/>
      <c r="V7298" s="7"/>
      <c r="W7298" s="7"/>
      <c r="X7298" s="7"/>
      <c r="Y7298" s="7"/>
      <c r="Z7298" s="7"/>
    </row>
    <row r="7299" hidden="1">
      <c r="A7299" s="7"/>
      <c r="B7299" s="7"/>
      <c r="C7299" s="7"/>
      <c r="D7299" s="7"/>
      <c r="E7299" s="7"/>
      <c r="F7299" s="7"/>
      <c r="G7299" s="7"/>
      <c r="H7299" s="8"/>
      <c r="I7299" s="8"/>
      <c r="J7299" s="7"/>
      <c r="K7299" s="7"/>
      <c r="L7299" s="7"/>
      <c r="M7299" s="7"/>
      <c r="N7299" s="7"/>
      <c r="O7299" s="7"/>
      <c r="P7299" s="7"/>
      <c r="Q7299" s="7"/>
      <c r="R7299" s="7"/>
      <c r="S7299" s="7"/>
      <c r="T7299" s="7"/>
      <c r="U7299" s="7"/>
      <c r="V7299" s="7"/>
      <c r="W7299" s="7"/>
      <c r="X7299" s="7"/>
      <c r="Y7299" s="7"/>
      <c r="Z7299" s="7"/>
    </row>
    <row r="7300" hidden="1">
      <c r="A7300" s="7"/>
      <c r="B7300" s="7"/>
      <c r="C7300" s="7"/>
      <c r="D7300" s="7"/>
      <c r="E7300" s="7"/>
      <c r="F7300" s="7"/>
      <c r="G7300" s="7"/>
      <c r="H7300" s="8"/>
      <c r="I7300" s="8"/>
      <c r="J7300" s="7"/>
      <c r="K7300" s="7"/>
      <c r="L7300" s="7"/>
      <c r="M7300" s="7"/>
      <c r="N7300" s="7"/>
      <c r="O7300" s="7"/>
      <c r="P7300" s="7"/>
      <c r="Q7300" s="7"/>
      <c r="R7300" s="7"/>
      <c r="S7300" s="7"/>
      <c r="T7300" s="7"/>
      <c r="U7300" s="7"/>
      <c r="V7300" s="7"/>
      <c r="W7300" s="7"/>
      <c r="X7300" s="7"/>
      <c r="Y7300" s="7"/>
      <c r="Z7300" s="7"/>
    </row>
    <row r="7301" hidden="1">
      <c r="A7301" s="7"/>
      <c r="B7301" s="7"/>
      <c r="C7301" s="7"/>
      <c r="D7301" s="7"/>
      <c r="E7301" s="7"/>
      <c r="F7301" s="7"/>
      <c r="G7301" s="7"/>
      <c r="H7301" s="8"/>
      <c r="I7301" s="8"/>
      <c r="J7301" s="7"/>
      <c r="K7301" s="7"/>
      <c r="L7301" s="7"/>
      <c r="M7301" s="7"/>
      <c r="N7301" s="7"/>
      <c r="O7301" s="7"/>
      <c r="P7301" s="7"/>
      <c r="Q7301" s="7"/>
      <c r="R7301" s="7"/>
      <c r="S7301" s="7"/>
      <c r="T7301" s="7"/>
      <c r="U7301" s="7"/>
      <c r="V7301" s="7"/>
      <c r="W7301" s="7"/>
      <c r="X7301" s="7"/>
      <c r="Y7301" s="7"/>
      <c r="Z7301" s="7"/>
    </row>
    <row r="7302" hidden="1">
      <c r="A7302" s="7"/>
      <c r="B7302" s="7"/>
      <c r="C7302" s="7"/>
      <c r="D7302" s="7"/>
      <c r="E7302" s="7"/>
      <c r="F7302" s="7"/>
      <c r="G7302" s="7"/>
      <c r="H7302" s="8"/>
      <c r="I7302" s="8"/>
      <c r="J7302" s="7"/>
      <c r="K7302" s="7"/>
      <c r="L7302" s="7"/>
      <c r="M7302" s="7"/>
      <c r="N7302" s="7"/>
      <c r="O7302" s="7"/>
      <c r="P7302" s="7"/>
      <c r="Q7302" s="7"/>
      <c r="R7302" s="7"/>
      <c r="S7302" s="7"/>
      <c r="T7302" s="7"/>
      <c r="U7302" s="7"/>
      <c r="V7302" s="7"/>
      <c r="W7302" s="7"/>
      <c r="X7302" s="7"/>
      <c r="Y7302" s="7"/>
      <c r="Z7302" s="7"/>
    </row>
    <row r="7303" hidden="1">
      <c r="A7303" s="7"/>
      <c r="B7303" s="7"/>
      <c r="C7303" s="7"/>
      <c r="D7303" s="7"/>
      <c r="E7303" s="7"/>
      <c r="F7303" s="7"/>
      <c r="G7303" s="7"/>
      <c r="H7303" s="8"/>
      <c r="I7303" s="8"/>
      <c r="J7303" s="7"/>
      <c r="K7303" s="7"/>
      <c r="L7303" s="7"/>
      <c r="M7303" s="7"/>
      <c r="N7303" s="7"/>
      <c r="O7303" s="7"/>
      <c r="P7303" s="7"/>
      <c r="Q7303" s="7"/>
      <c r="R7303" s="7"/>
      <c r="S7303" s="7"/>
      <c r="T7303" s="7"/>
      <c r="U7303" s="7"/>
      <c r="V7303" s="7"/>
      <c r="W7303" s="7"/>
      <c r="X7303" s="7"/>
      <c r="Y7303" s="7"/>
      <c r="Z7303" s="7"/>
    </row>
    <row r="7304" hidden="1">
      <c r="A7304" s="7"/>
      <c r="B7304" s="7"/>
      <c r="C7304" s="7"/>
      <c r="D7304" s="7"/>
      <c r="E7304" s="7"/>
      <c r="F7304" s="7"/>
      <c r="G7304" s="7"/>
      <c r="H7304" s="8"/>
      <c r="I7304" s="8"/>
      <c r="J7304" s="7"/>
      <c r="K7304" s="7"/>
      <c r="L7304" s="7"/>
      <c r="M7304" s="7"/>
      <c r="N7304" s="7"/>
      <c r="O7304" s="7"/>
      <c r="P7304" s="7"/>
      <c r="Q7304" s="7"/>
      <c r="R7304" s="7"/>
      <c r="S7304" s="7"/>
      <c r="T7304" s="7"/>
      <c r="U7304" s="7"/>
      <c r="V7304" s="7"/>
      <c r="W7304" s="7"/>
      <c r="X7304" s="7"/>
      <c r="Y7304" s="7"/>
      <c r="Z7304" s="7"/>
    </row>
    <row r="7305" hidden="1">
      <c r="A7305" s="7"/>
      <c r="B7305" s="7"/>
      <c r="C7305" s="7"/>
      <c r="D7305" s="7"/>
      <c r="E7305" s="7"/>
      <c r="F7305" s="7"/>
      <c r="G7305" s="7"/>
      <c r="H7305" s="8"/>
      <c r="I7305" s="8"/>
      <c r="J7305" s="7"/>
      <c r="K7305" s="7"/>
      <c r="L7305" s="7"/>
      <c r="M7305" s="7"/>
      <c r="N7305" s="7"/>
      <c r="O7305" s="7"/>
      <c r="P7305" s="7"/>
      <c r="Q7305" s="7"/>
      <c r="R7305" s="7"/>
      <c r="S7305" s="7"/>
      <c r="T7305" s="7"/>
      <c r="U7305" s="7"/>
      <c r="V7305" s="7"/>
      <c r="W7305" s="7"/>
      <c r="X7305" s="7"/>
      <c r="Y7305" s="7"/>
      <c r="Z7305" s="7"/>
    </row>
    <row r="7306" hidden="1">
      <c r="A7306" s="7"/>
      <c r="B7306" s="7"/>
      <c r="C7306" s="7"/>
      <c r="D7306" s="7"/>
      <c r="E7306" s="7"/>
      <c r="F7306" s="7"/>
      <c r="G7306" s="7"/>
      <c r="H7306" s="8"/>
      <c r="I7306" s="8"/>
      <c r="J7306" s="7"/>
      <c r="K7306" s="7"/>
      <c r="L7306" s="7"/>
      <c r="M7306" s="7"/>
      <c r="N7306" s="7"/>
      <c r="O7306" s="7"/>
      <c r="P7306" s="7"/>
      <c r="Q7306" s="7"/>
      <c r="R7306" s="7"/>
      <c r="S7306" s="7"/>
      <c r="T7306" s="7"/>
      <c r="U7306" s="7"/>
      <c r="V7306" s="7"/>
      <c r="W7306" s="7"/>
      <c r="X7306" s="7"/>
      <c r="Y7306" s="7"/>
      <c r="Z7306" s="7"/>
    </row>
    <row r="7307" hidden="1">
      <c r="A7307" s="7"/>
      <c r="B7307" s="7"/>
      <c r="C7307" s="7"/>
      <c r="D7307" s="7"/>
      <c r="E7307" s="7"/>
      <c r="F7307" s="7"/>
      <c r="G7307" s="7"/>
      <c r="H7307" s="8"/>
      <c r="I7307" s="8"/>
      <c r="J7307" s="7"/>
      <c r="K7307" s="7"/>
      <c r="L7307" s="7"/>
      <c r="M7307" s="7"/>
      <c r="N7307" s="7"/>
      <c r="O7307" s="7"/>
      <c r="P7307" s="7"/>
      <c r="Q7307" s="7"/>
      <c r="R7307" s="7"/>
      <c r="S7307" s="7"/>
      <c r="T7307" s="7"/>
      <c r="U7307" s="7"/>
      <c r="V7307" s="7"/>
      <c r="W7307" s="7"/>
      <c r="X7307" s="7"/>
      <c r="Y7307" s="7"/>
      <c r="Z7307" s="7"/>
    </row>
    <row r="7308" hidden="1">
      <c r="A7308" s="7"/>
      <c r="B7308" s="7"/>
      <c r="C7308" s="7"/>
      <c r="D7308" s="7"/>
      <c r="E7308" s="7"/>
      <c r="F7308" s="7"/>
      <c r="G7308" s="7"/>
      <c r="H7308" s="8"/>
      <c r="I7308" s="8"/>
      <c r="J7308" s="7"/>
      <c r="K7308" s="7"/>
      <c r="L7308" s="7"/>
      <c r="M7308" s="7"/>
      <c r="N7308" s="7"/>
      <c r="O7308" s="7"/>
      <c r="P7308" s="7"/>
      <c r="Q7308" s="7"/>
      <c r="R7308" s="7"/>
      <c r="S7308" s="7"/>
      <c r="T7308" s="7"/>
      <c r="U7308" s="7"/>
      <c r="V7308" s="7"/>
      <c r="W7308" s="7"/>
      <c r="X7308" s="7"/>
      <c r="Y7308" s="7"/>
      <c r="Z7308" s="7"/>
    </row>
    <row r="7309" hidden="1">
      <c r="A7309" s="7"/>
      <c r="B7309" s="7"/>
      <c r="C7309" s="7"/>
      <c r="D7309" s="7"/>
      <c r="E7309" s="7"/>
      <c r="F7309" s="7"/>
      <c r="G7309" s="7"/>
      <c r="H7309" s="8"/>
      <c r="I7309" s="8"/>
      <c r="J7309" s="7"/>
      <c r="K7309" s="7"/>
      <c r="L7309" s="7"/>
      <c r="M7309" s="7"/>
      <c r="N7309" s="7"/>
      <c r="O7309" s="7"/>
      <c r="P7309" s="7"/>
      <c r="Q7309" s="7"/>
      <c r="R7309" s="7"/>
      <c r="S7309" s="7"/>
      <c r="T7309" s="7"/>
      <c r="U7309" s="7"/>
      <c r="V7309" s="7"/>
      <c r="W7309" s="7"/>
      <c r="X7309" s="7"/>
      <c r="Y7309" s="7"/>
      <c r="Z7309" s="7"/>
    </row>
    <row r="7310" hidden="1">
      <c r="A7310" s="7"/>
      <c r="B7310" s="7"/>
      <c r="C7310" s="7"/>
      <c r="D7310" s="7"/>
      <c r="E7310" s="7"/>
      <c r="F7310" s="7"/>
      <c r="G7310" s="7"/>
      <c r="H7310" s="8"/>
      <c r="I7310" s="8"/>
      <c r="J7310" s="7"/>
      <c r="K7310" s="7"/>
      <c r="L7310" s="7"/>
      <c r="M7310" s="7"/>
      <c r="N7310" s="7"/>
      <c r="O7310" s="7"/>
      <c r="P7310" s="7"/>
      <c r="Q7310" s="7"/>
      <c r="R7310" s="7"/>
      <c r="S7310" s="7"/>
      <c r="T7310" s="7"/>
      <c r="U7310" s="7"/>
      <c r="V7310" s="7"/>
      <c r="W7310" s="7"/>
      <c r="X7310" s="7"/>
      <c r="Y7310" s="7"/>
      <c r="Z7310" s="7"/>
    </row>
    <row r="7311" hidden="1">
      <c r="A7311" s="7"/>
      <c r="B7311" s="7"/>
      <c r="C7311" s="7"/>
      <c r="D7311" s="7"/>
      <c r="E7311" s="7"/>
      <c r="F7311" s="7"/>
      <c r="G7311" s="7"/>
      <c r="H7311" s="8"/>
      <c r="I7311" s="8"/>
      <c r="J7311" s="7"/>
      <c r="K7311" s="7"/>
      <c r="L7311" s="7"/>
      <c r="M7311" s="7"/>
      <c r="N7311" s="7"/>
      <c r="O7311" s="7"/>
      <c r="P7311" s="7"/>
      <c r="Q7311" s="7"/>
      <c r="R7311" s="7"/>
      <c r="S7311" s="7"/>
      <c r="T7311" s="7"/>
      <c r="U7311" s="7"/>
      <c r="V7311" s="7"/>
      <c r="W7311" s="7"/>
      <c r="X7311" s="7"/>
      <c r="Y7311" s="7"/>
      <c r="Z7311" s="7"/>
    </row>
    <row r="7312" hidden="1">
      <c r="A7312" s="7"/>
      <c r="B7312" s="7"/>
      <c r="C7312" s="7"/>
      <c r="D7312" s="7"/>
      <c r="E7312" s="7"/>
      <c r="F7312" s="7"/>
      <c r="G7312" s="7"/>
      <c r="H7312" s="8"/>
      <c r="I7312" s="8"/>
      <c r="J7312" s="7"/>
      <c r="K7312" s="7"/>
      <c r="L7312" s="7"/>
      <c r="M7312" s="7"/>
      <c r="N7312" s="7"/>
      <c r="O7312" s="7"/>
      <c r="P7312" s="7"/>
      <c r="Q7312" s="7"/>
      <c r="R7312" s="7"/>
      <c r="S7312" s="7"/>
      <c r="T7312" s="7"/>
      <c r="U7312" s="7"/>
      <c r="V7312" s="7"/>
      <c r="W7312" s="7"/>
      <c r="X7312" s="7"/>
      <c r="Y7312" s="7"/>
      <c r="Z7312" s="7"/>
    </row>
    <row r="7313" hidden="1">
      <c r="A7313" s="7"/>
      <c r="B7313" s="7"/>
      <c r="C7313" s="7"/>
      <c r="D7313" s="7"/>
      <c r="E7313" s="7"/>
      <c r="F7313" s="7"/>
      <c r="G7313" s="7"/>
      <c r="H7313" s="8"/>
      <c r="I7313" s="8"/>
      <c r="J7313" s="7"/>
      <c r="K7313" s="7"/>
      <c r="L7313" s="7"/>
      <c r="M7313" s="7"/>
      <c r="N7313" s="7"/>
      <c r="O7313" s="7"/>
      <c r="P7313" s="7"/>
      <c r="Q7313" s="7"/>
      <c r="R7313" s="7"/>
      <c r="S7313" s="7"/>
      <c r="T7313" s="7"/>
      <c r="U7313" s="7"/>
      <c r="V7313" s="7"/>
      <c r="W7313" s="7"/>
      <c r="X7313" s="7"/>
      <c r="Y7313" s="7"/>
      <c r="Z7313" s="7"/>
    </row>
    <row r="7314" hidden="1">
      <c r="A7314" s="7"/>
      <c r="B7314" s="7"/>
      <c r="C7314" s="7"/>
      <c r="D7314" s="7"/>
      <c r="E7314" s="7"/>
      <c r="F7314" s="7"/>
      <c r="G7314" s="7"/>
      <c r="H7314" s="8"/>
      <c r="I7314" s="8"/>
      <c r="J7314" s="7"/>
      <c r="K7314" s="7"/>
      <c r="L7314" s="7"/>
      <c r="M7314" s="7"/>
      <c r="N7314" s="7"/>
      <c r="O7314" s="7"/>
      <c r="P7314" s="7"/>
      <c r="Q7314" s="7"/>
      <c r="R7314" s="7"/>
      <c r="S7314" s="7"/>
      <c r="T7314" s="7"/>
      <c r="U7314" s="7"/>
      <c r="V7314" s="7"/>
      <c r="W7314" s="7"/>
      <c r="X7314" s="7"/>
      <c r="Y7314" s="7"/>
      <c r="Z7314" s="7"/>
    </row>
    <row r="7315" hidden="1">
      <c r="A7315" s="7"/>
      <c r="B7315" s="7"/>
      <c r="C7315" s="7"/>
      <c r="D7315" s="7"/>
      <c r="E7315" s="7"/>
      <c r="F7315" s="7"/>
      <c r="G7315" s="7"/>
      <c r="H7315" s="8"/>
      <c r="I7315" s="8"/>
      <c r="J7315" s="7"/>
      <c r="K7315" s="7"/>
      <c r="L7315" s="7"/>
      <c r="M7315" s="7"/>
      <c r="N7315" s="7"/>
      <c r="O7315" s="7"/>
      <c r="P7315" s="7"/>
      <c r="Q7315" s="7"/>
      <c r="R7315" s="7"/>
      <c r="S7315" s="7"/>
      <c r="T7315" s="7"/>
      <c r="U7315" s="7"/>
      <c r="V7315" s="7"/>
      <c r="W7315" s="7"/>
      <c r="X7315" s="7"/>
      <c r="Y7315" s="7"/>
      <c r="Z7315" s="7"/>
    </row>
    <row r="7316" hidden="1">
      <c r="A7316" s="7"/>
      <c r="B7316" s="7"/>
      <c r="C7316" s="7"/>
      <c r="D7316" s="7"/>
      <c r="E7316" s="7"/>
      <c r="F7316" s="7"/>
      <c r="G7316" s="7"/>
      <c r="H7316" s="8"/>
      <c r="I7316" s="8"/>
      <c r="J7316" s="7"/>
      <c r="K7316" s="7"/>
      <c r="L7316" s="7"/>
      <c r="M7316" s="7"/>
      <c r="N7316" s="7"/>
      <c r="O7316" s="7"/>
      <c r="P7316" s="7"/>
      <c r="Q7316" s="7"/>
      <c r="R7316" s="7"/>
      <c r="S7316" s="7"/>
      <c r="T7316" s="7"/>
      <c r="U7316" s="7"/>
      <c r="V7316" s="7"/>
      <c r="W7316" s="7"/>
      <c r="X7316" s="7"/>
      <c r="Y7316" s="7"/>
      <c r="Z7316" s="7"/>
    </row>
    <row r="7317" hidden="1">
      <c r="A7317" s="7"/>
      <c r="B7317" s="7"/>
      <c r="C7317" s="7"/>
      <c r="D7317" s="7"/>
      <c r="E7317" s="7"/>
      <c r="F7317" s="7"/>
      <c r="G7317" s="7"/>
      <c r="H7317" s="8"/>
      <c r="I7317" s="8"/>
      <c r="J7317" s="7"/>
      <c r="K7317" s="7"/>
      <c r="L7317" s="7"/>
      <c r="M7317" s="7"/>
      <c r="N7317" s="7"/>
      <c r="O7317" s="7"/>
      <c r="P7317" s="7"/>
      <c r="Q7317" s="7"/>
      <c r="R7317" s="7"/>
      <c r="S7317" s="7"/>
      <c r="T7317" s="7"/>
      <c r="U7317" s="7"/>
      <c r="V7317" s="7"/>
      <c r="W7317" s="7"/>
      <c r="X7317" s="7"/>
      <c r="Y7317" s="7"/>
      <c r="Z7317" s="7"/>
    </row>
    <row r="7318" hidden="1">
      <c r="A7318" s="7"/>
      <c r="B7318" s="7"/>
      <c r="C7318" s="7"/>
      <c r="D7318" s="7"/>
      <c r="E7318" s="7"/>
      <c r="F7318" s="7"/>
      <c r="G7318" s="7"/>
      <c r="H7318" s="8"/>
      <c r="I7318" s="8"/>
      <c r="J7318" s="7"/>
      <c r="K7318" s="7"/>
      <c r="L7318" s="7"/>
      <c r="M7318" s="7"/>
      <c r="N7318" s="7"/>
      <c r="O7318" s="7"/>
      <c r="P7318" s="7"/>
      <c r="Q7318" s="7"/>
      <c r="R7318" s="7"/>
      <c r="S7318" s="7"/>
      <c r="T7318" s="7"/>
      <c r="U7318" s="7"/>
      <c r="V7318" s="7"/>
      <c r="W7318" s="7"/>
      <c r="X7318" s="7"/>
      <c r="Y7318" s="7"/>
      <c r="Z7318" s="7"/>
    </row>
    <row r="7319" hidden="1">
      <c r="A7319" s="7"/>
      <c r="B7319" s="7"/>
      <c r="C7319" s="7"/>
      <c r="D7319" s="7"/>
      <c r="E7319" s="7"/>
      <c r="F7319" s="7"/>
      <c r="G7319" s="7"/>
      <c r="H7319" s="8"/>
      <c r="I7319" s="8"/>
      <c r="J7319" s="7"/>
      <c r="K7319" s="7"/>
      <c r="L7319" s="7"/>
      <c r="M7319" s="7"/>
      <c r="N7319" s="7"/>
      <c r="O7319" s="7"/>
      <c r="P7319" s="7"/>
      <c r="Q7319" s="7"/>
      <c r="R7319" s="7"/>
      <c r="S7319" s="7"/>
      <c r="T7319" s="7"/>
      <c r="U7319" s="7"/>
      <c r="V7319" s="7"/>
      <c r="W7319" s="7"/>
      <c r="X7319" s="7"/>
      <c r="Y7319" s="7"/>
      <c r="Z7319" s="7"/>
    </row>
    <row r="7320" hidden="1">
      <c r="A7320" s="7"/>
      <c r="B7320" s="7"/>
      <c r="C7320" s="7"/>
      <c r="D7320" s="7"/>
      <c r="E7320" s="7"/>
      <c r="F7320" s="7"/>
      <c r="G7320" s="7"/>
      <c r="H7320" s="8"/>
      <c r="I7320" s="8"/>
      <c r="J7320" s="7"/>
      <c r="K7320" s="7"/>
      <c r="L7320" s="7"/>
      <c r="M7320" s="7"/>
      <c r="N7320" s="7"/>
      <c r="O7320" s="7"/>
      <c r="P7320" s="7"/>
      <c r="Q7320" s="7"/>
      <c r="R7320" s="7"/>
      <c r="S7320" s="7"/>
      <c r="T7320" s="7"/>
      <c r="U7320" s="7"/>
      <c r="V7320" s="7"/>
      <c r="W7320" s="7"/>
      <c r="X7320" s="7"/>
      <c r="Y7320" s="7"/>
      <c r="Z7320" s="7"/>
    </row>
    <row r="7321" hidden="1">
      <c r="A7321" s="7"/>
      <c r="B7321" s="7"/>
      <c r="C7321" s="7"/>
      <c r="D7321" s="7"/>
      <c r="E7321" s="7"/>
      <c r="F7321" s="7"/>
      <c r="G7321" s="7"/>
      <c r="H7321" s="8"/>
      <c r="I7321" s="8"/>
      <c r="J7321" s="7"/>
      <c r="K7321" s="7"/>
      <c r="L7321" s="7"/>
      <c r="M7321" s="7"/>
      <c r="N7321" s="7"/>
      <c r="O7321" s="7"/>
      <c r="P7321" s="7"/>
      <c r="Q7321" s="7"/>
      <c r="R7321" s="7"/>
      <c r="S7321" s="7"/>
      <c r="T7321" s="7"/>
      <c r="U7321" s="7"/>
      <c r="V7321" s="7"/>
      <c r="W7321" s="7"/>
      <c r="X7321" s="7"/>
      <c r="Y7321" s="7"/>
      <c r="Z7321" s="7"/>
    </row>
    <row r="7322" hidden="1">
      <c r="A7322" s="7"/>
      <c r="B7322" s="7"/>
      <c r="C7322" s="7"/>
      <c r="D7322" s="7"/>
      <c r="E7322" s="7"/>
      <c r="F7322" s="7"/>
      <c r="G7322" s="7"/>
      <c r="H7322" s="8"/>
      <c r="I7322" s="8"/>
      <c r="J7322" s="7"/>
      <c r="K7322" s="7"/>
      <c r="L7322" s="7"/>
      <c r="M7322" s="7"/>
      <c r="N7322" s="7"/>
      <c r="O7322" s="7"/>
      <c r="P7322" s="7"/>
      <c r="Q7322" s="7"/>
      <c r="R7322" s="7"/>
      <c r="S7322" s="7"/>
      <c r="T7322" s="7"/>
      <c r="U7322" s="7"/>
      <c r="V7322" s="7"/>
      <c r="W7322" s="7"/>
      <c r="X7322" s="7"/>
      <c r="Y7322" s="7"/>
      <c r="Z7322" s="7"/>
    </row>
    <row r="7323" hidden="1">
      <c r="A7323" s="7"/>
      <c r="B7323" s="7"/>
      <c r="C7323" s="7"/>
      <c r="D7323" s="7"/>
      <c r="E7323" s="7"/>
      <c r="F7323" s="7"/>
      <c r="G7323" s="7"/>
      <c r="H7323" s="8"/>
      <c r="I7323" s="8"/>
      <c r="J7323" s="7"/>
      <c r="K7323" s="7"/>
      <c r="L7323" s="7"/>
      <c r="M7323" s="7"/>
      <c r="N7323" s="7"/>
      <c r="O7323" s="7"/>
      <c r="P7323" s="7"/>
      <c r="Q7323" s="7"/>
      <c r="R7323" s="7"/>
      <c r="S7323" s="7"/>
      <c r="T7323" s="7"/>
      <c r="U7323" s="7"/>
      <c r="V7323" s="7"/>
      <c r="W7323" s="7"/>
      <c r="X7323" s="7"/>
      <c r="Y7323" s="7"/>
      <c r="Z7323" s="7"/>
    </row>
    <row r="7324" hidden="1">
      <c r="A7324" s="7"/>
      <c r="B7324" s="7"/>
      <c r="C7324" s="7"/>
      <c r="D7324" s="7"/>
      <c r="E7324" s="7"/>
      <c r="F7324" s="7"/>
      <c r="G7324" s="7"/>
      <c r="H7324" s="8"/>
      <c r="I7324" s="8"/>
      <c r="J7324" s="7"/>
      <c r="K7324" s="7"/>
      <c r="L7324" s="7"/>
      <c r="M7324" s="7"/>
      <c r="N7324" s="7"/>
      <c r="O7324" s="7"/>
      <c r="P7324" s="7"/>
      <c r="Q7324" s="7"/>
      <c r="R7324" s="7"/>
      <c r="S7324" s="7"/>
      <c r="T7324" s="7"/>
      <c r="U7324" s="7"/>
      <c r="V7324" s="7"/>
      <c r="W7324" s="7"/>
      <c r="X7324" s="7"/>
      <c r="Y7324" s="7"/>
      <c r="Z7324" s="7"/>
    </row>
    <row r="7325" hidden="1">
      <c r="A7325" s="7"/>
      <c r="B7325" s="7"/>
      <c r="C7325" s="7"/>
      <c r="D7325" s="7"/>
      <c r="E7325" s="7"/>
      <c r="F7325" s="7"/>
      <c r="G7325" s="7"/>
      <c r="H7325" s="8"/>
      <c r="I7325" s="8"/>
      <c r="J7325" s="7"/>
      <c r="K7325" s="7"/>
      <c r="L7325" s="7"/>
      <c r="M7325" s="7"/>
      <c r="N7325" s="7"/>
      <c r="O7325" s="7"/>
      <c r="P7325" s="7"/>
      <c r="Q7325" s="7"/>
      <c r="R7325" s="7"/>
      <c r="S7325" s="7"/>
      <c r="T7325" s="7"/>
      <c r="U7325" s="7"/>
      <c r="V7325" s="7"/>
      <c r="W7325" s="7"/>
      <c r="X7325" s="7"/>
      <c r="Y7325" s="7"/>
      <c r="Z7325" s="7"/>
    </row>
    <row r="7326" hidden="1">
      <c r="A7326" s="7"/>
      <c r="B7326" s="7"/>
      <c r="C7326" s="7"/>
      <c r="D7326" s="7"/>
      <c r="E7326" s="7"/>
      <c r="F7326" s="7"/>
      <c r="G7326" s="7"/>
      <c r="H7326" s="8"/>
      <c r="I7326" s="8"/>
      <c r="J7326" s="7"/>
      <c r="K7326" s="7"/>
      <c r="L7326" s="7"/>
      <c r="M7326" s="7"/>
      <c r="N7326" s="7"/>
      <c r="O7326" s="7"/>
      <c r="P7326" s="7"/>
      <c r="Q7326" s="7"/>
      <c r="R7326" s="7"/>
      <c r="S7326" s="7"/>
      <c r="T7326" s="7"/>
      <c r="U7326" s="7"/>
      <c r="V7326" s="7"/>
      <c r="W7326" s="7"/>
      <c r="X7326" s="7"/>
      <c r="Y7326" s="7"/>
      <c r="Z7326" s="7"/>
    </row>
    <row r="7327" hidden="1">
      <c r="A7327" s="7"/>
      <c r="B7327" s="7"/>
      <c r="C7327" s="7"/>
      <c r="D7327" s="7"/>
      <c r="E7327" s="7"/>
      <c r="F7327" s="7"/>
      <c r="G7327" s="7"/>
      <c r="H7327" s="8"/>
      <c r="I7327" s="8"/>
      <c r="J7327" s="7"/>
      <c r="K7327" s="7"/>
      <c r="L7327" s="7"/>
      <c r="M7327" s="7"/>
      <c r="N7327" s="7"/>
      <c r="O7327" s="7"/>
      <c r="P7327" s="7"/>
      <c r="Q7327" s="7"/>
      <c r="R7327" s="7"/>
      <c r="S7327" s="7"/>
      <c r="T7327" s="7"/>
      <c r="U7327" s="7"/>
      <c r="V7327" s="7"/>
      <c r="W7327" s="7"/>
      <c r="X7327" s="7"/>
      <c r="Y7327" s="7"/>
      <c r="Z7327" s="7"/>
    </row>
    <row r="7328" hidden="1">
      <c r="A7328" s="7"/>
      <c r="B7328" s="7"/>
      <c r="C7328" s="7"/>
      <c r="D7328" s="7"/>
      <c r="E7328" s="7"/>
      <c r="F7328" s="7"/>
      <c r="G7328" s="7"/>
      <c r="H7328" s="8"/>
      <c r="I7328" s="8"/>
      <c r="J7328" s="7"/>
      <c r="K7328" s="7"/>
      <c r="L7328" s="7"/>
      <c r="M7328" s="7"/>
      <c r="N7328" s="7"/>
      <c r="O7328" s="7"/>
      <c r="P7328" s="7"/>
      <c r="Q7328" s="7"/>
      <c r="R7328" s="7"/>
      <c r="S7328" s="7"/>
      <c r="T7328" s="7"/>
      <c r="U7328" s="7"/>
      <c r="V7328" s="7"/>
      <c r="W7328" s="7"/>
      <c r="X7328" s="7"/>
      <c r="Y7328" s="7"/>
      <c r="Z7328" s="7"/>
    </row>
    <row r="7329" hidden="1">
      <c r="A7329" s="7"/>
      <c r="B7329" s="7"/>
      <c r="C7329" s="7"/>
      <c r="D7329" s="7"/>
      <c r="E7329" s="7"/>
      <c r="F7329" s="7"/>
      <c r="G7329" s="7"/>
      <c r="H7329" s="8"/>
      <c r="I7329" s="8"/>
      <c r="J7329" s="7"/>
      <c r="K7329" s="7"/>
      <c r="L7329" s="7"/>
      <c r="M7329" s="7"/>
      <c r="N7329" s="7"/>
      <c r="O7329" s="7"/>
      <c r="P7329" s="7"/>
      <c r="Q7329" s="7"/>
      <c r="R7329" s="7"/>
      <c r="S7329" s="7"/>
      <c r="T7329" s="7"/>
      <c r="U7329" s="7"/>
      <c r="V7329" s="7"/>
      <c r="W7329" s="7"/>
      <c r="X7329" s="7"/>
      <c r="Y7329" s="7"/>
      <c r="Z7329" s="7"/>
    </row>
    <row r="7330" hidden="1">
      <c r="A7330" s="7"/>
      <c r="B7330" s="7"/>
      <c r="C7330" s="7"/>
      <c r="D7330" s="7"/>
      <c r="E7330" s="7"/>
      <c r="F7330" s="7"/>
      <c r="G7330" s="7"/>
      <c r="H7330" s="8"/>
      <c r="I7330" s="8"/>
      <c r="J7330" s="7"/>
      <c r="K7330" s="7"/>
      <c r="L7330" s="7"/>
      <c r="M7330" s="7"/>
      <c r="N7330" s="7"/>
      <c r="O7330" s="7"/>
      <c r="P7330" s="7"/>
      <c r="Q7330" s="7"/>
      <c r="R7330" s="7"/>
      <c r="S7330" s="7"/>
      <c r="T7330" s="7"/>
      <c r="U7330" s="7"/>
      <c r="V7330" s="7"/>
      <c r="W7330" s="7"/>
      <c r="X7330" s="7"/>
      <c r="Y7330" s="7"/>
      <c r="Z7330" s="7"/>
    </row>
    <row r="7331" hidden="1">
      <c r="A7331" s="7"/>
      <c r="B7331" s="7"/>
      <c r="C7331" s="7"/>
      <c r="D7331" s="7"/>
      <c r="E7331" s="7"/>
      <c r="F7331" s="7"/>
      <c r="G7331" s="7"/>
      <c r="H7331" s="8"/>
      <c r="I7331" s="8"/>
      <c r="J7331" s="7"/>
      <c r="K7331" s="7"/>
      <c r="L7331" s="7"/>
      <c r="M7331" s="7"/>
      <c r="N7331" s="7"/>
      <c r="O7331" s="7"/>
      <c r="P7331" s="7"/>
      <c r="Q7331" s="7"/>
      <c r="R7331" s="7"/>
      <c r="S7331" s="7"/>
      <c r="T7331" s="7"/>
      <c r="U7331" s="7"/>
      <c r="V7331" s="7"/>
      <c r="W7331" s="7"/>
      <c r="X7331" s="7"/>
      <c r="Y7331" s="7"/>
      <c r="Z7331" s="7"/>
    </row>
    <row r="7332" hidden="1">
      <c r="A7332" s="7"/>
      <c r="B7332" s="7"/>
      <c r="C7332" s="7"/>
      <c r="D7332" s="7"/>
      <c r="E7332" s="7"/>
      <c r="F7332" s="7"/>
      <c r="G7332" s="7"/>
      <c r="H7332" s="8"/>
      <c r="I7332" s="8"/>
      <c r="J7332" s="7"/>
      <c r="K7332" s="7"/>
      <c r="L7332" s="7"/>
      <c r="M7332" s="7"/>
      <c r="N7332" s="7"/>
      <c r="O7332" s="7"/>
      <c r="P7332" s="7"/>
      <c r="Q7332" s="7"/>
      <c r="R7332" s="7"/>
      <c r="S7332" s="7"/>
      <c r="T7332" s="7"/>
      <c r="U7332" s="7"/>
      <c r="V7332" s="7"/>
      <c r="W7332" s="7"/>
      <c r="X7332" s="7"/>
      <c r="Y7332" s="7"/>
      <c r="Z7332" s="7"/>
    </row>
    <row r="7333" hidden="1">
      <c r="A7333" s="7"/>
      <c r="B7333" s="7"/>
      <c r="C7333" s="7"/>
      <c r="D7333" s="7"/>
      <c r="E7333" s="7"/>
      <c r="F7333" s="7"/>
      <c r="G7333" s="7"/>
      <c r="H7333" s="8"/>
      <c r="I7333" s="8"/>
      <c r="J7333" s="7"/>
      <c r="K7333" s="7"/>
      <c r="L7333" s="7"/>
      <c r="M7333" s="7"/>
      <c r="N7333" s="7"/>
      <c r="O7333" s="7"/>
      <c r="P7333" s="7"/>
      <c r="Q7333" s="7"/>
      <c r="R7333" s="7"/>
      <c r="S7333" s="7"/>
      <c r="T7333" s="7"/>
      <c r="U7333" s="7"/>
      <c r="V7333" s="7"/>
      <c r="W7333" s="7"/>
      <c r="X7333" s="7"/>
      <c r="Y7333" s="7"/>
      <c r="Z7333" s="7"/>
    </row>
    <row r="7334" hidden="1">
      <c r="A7334" s="7"/>
      <c r="B7334" s="7"/>
      <c r="C7334" s="7"/>
      <c r="D7334" s="7"/>
      <c r="E7334" s="7"/>
      <c r="F7334" s="7"/>
      <c r="G7334" s="7"/>
      <c r="H7334" s="8"/>
      <c r="I7334" s="8"/>
      <c r="J7334" s="7"/>
      <c r="K7334" s="7"/>
      <c r="L7334" s="7"/>
      <c r="M7334" s="7"/>
      <c r="N7334" s="7"/>
      <c r="O7334" s="7"/>
      <c r="P7334" s="7"/>
      <c r="Q7334" s="7"/>
      <c r="R7334" s="7"/>
      <c r="S7334" s="7"/>
      <c r="T7334" s="7"/>
      <c r="U7334" s="7"/>
      <c r="V7334" s="7"/>
      <c r="W7334" s="7"/>
      <c r="X7334" s="7"/>
      <c r="Y7334" s="7"/>
      <c r="Z7334" s="7"/>
    </row>
    <row r="7335" hidden="1">
      <c r="A7335" s="7"/>
      <c r="B7335" s="7"/>
      <c r="C7335" s="7"/>
      <c r="D7335" s="7"/>
      <c r="E7335" s="7"/>
      <c r="F7335" s="7"/>
      <c r="G7335" s="7"/>
      <c r="H7335" s="8"/>
      <c r="I7335" s="8"/>
      <c r="J7335" s="7"/>
      <c r="K7335" s="7"/>
      <c r="L7335" s="7"/>
      <c r="M7335" s="7"/>
      <c r="N7335" s="7"/>
      <c r="O7335" s="7"/>
      <c r="P7335" s="7"/>
      <c r="Q7335" s="7"/>
      <c r="R7335" s="7"/>
      <c r="S7335" s="7"/>
      <c r="T7335" s="7"/>
      <c r="U7335" s="7"/>
      <c r="V7335" s="7"/>
      <c r="W7335" s="7"/>
      <c r="X7335" s="7"/>
      <c r="Y7335" s="7"/>
      <c r="Z7335" s="7"/>
    </row>
    <row r="7336" hidden="1">
      <c r="A7336" s="7"/>
      <c r="B7336" s="7"/>
      <c r="C7336" s="7"/>
      <c r="D7336" s="7"/>
      <c r="E7336" s="7"/>
      <c r="F7336" s="7"/>
      <c r="G7336" s="7"/>
      <c r="H7336" s="8"/>
      <c r="I7336" s="8"/>
      <c r="J7336" s="7"/>
      <c r="K7336" s="7"/>
      <c r="L7336" s="7"/>
      <c r="M7336" s="7"/>
      <c r="N7336" s="7"/>
      <c r="O7336" s="7"/>
      <c r="P7336" s="7"/>
      <c r="Q7336" s="7"/>
      <c r="R7336" s="7"/>
      <c r="S7336" s="7"/>
      <c r="T7336" s="7"/>
      <c r="U7336" s="7"/>
      <c r="V7336" s="7"/>
      <c r="W7336" s="7"/>
      <c r="X7336" s="7"/>
      <c r="Y7336" s="7"/>
      <c r="Z7336" s="7"/>
    </row>
    <row r="7337" hidden="1">
      <c r="A7337" s="7"/>
      <c r="B7337" s="7"/>
      <c r="C7337" s="7"/>
      <c r="D7337" s="7"/>
      <c r="E7337" s="7"/>
      <c r="F7337" s="7"/>
      <c r="G7337" s="7"/>
      <c r="H7337" s="8"/>
      <c r="I7337" s="8"/>
      <c r="J7337" s="7"/>
      <c r="K7337" s="7"/>
      <c r="L7337" s="7"/>
      <c r="M7337" s="7"/>
      <c r="N7337" s="7"/>
      <c r="O7337" s="7"/>
      <c r="P7337" s="7"/>
      <c r="Q7337" s="7"/>
      <c r="R7337" s="7"/>
      <c r="S7337" s="7"/>
      <c r="T7337" s="7"/>
      <c r="U7337" s="7"/>
      <c r="V7337" s="7"/>
      <c r="W7337" s="7"/>
      <c r="X7337" s="7"/>
      <c r="Y7337" s="7"/>
      <c r="Z7337" s="7"/>
    </row>
    <row r="7338" hidden="1">
      <c r="A7338" s="7"/>
      <c r="B7338" s="7"/>
      <c r="C7338" s="7"/>
      <c r="D7338" s="7"/>
      <c r="E7338" s="7"/>
      <c r="F7338" s="7"/>
      <c r="G7338" s="7"/>
      <c r="H7338" s="8"/>
      <c r="I7338" s="8"/>
      <c r="J7338" s="7"/>
      <c r="K7338" s="7"/>
      <c r="L7338" s="7"/>
      <c r="M7338" s="7"/>
      <c r="N7338" s="7"/>
      <c r="O7338" s="7"/>
      <c r="P7338" s="7"/>
      <c r="Q7338" s="7"/>
      <c r="R7338" s="7"/>
      <c r="S7338" s="7"/>
      <c r="T7338" s="7"/>
      <c r="U7338" s="7"/>
      <c r="V7338" s="7"/>
      <c r="W7338" s="7"/>
      <c r="X7338" s="7"/>
      <c r="Y7338" s="7"/>
      <c r="Z7338" s="7"/>
    </row>
    <row r="7339" hidden="1">
      <c r="A7339" s="7"/>
      <c r="B7339" s="7"/>
      <c r="C7339" s="7"/>
      <c r="D7339" s="7"/>
      <c r="E7339" s="7"/>
      <c r="F7339" s="7"/>
      <c r="G7339" s="7"/>
      <c r="H7339" s="8"/>
      <c r="I7339" s="8"/>
      <c r="J7339" s="7"/>
      <c r="K7339" s="7"/>
      <c r="L7339" s="7"/>
      <c r="M7339" s="7"/>
      <c r="N7339" s="7"/>
      <c r="O7339" s="7"/>
      <c r="P7339" s="7"/>
      <c r="Q7339" s="7"/>
      <c r="R7339" s="7"/>
      <c r="S7339" s="7"/>
      <c r="T7339" s="7"/>
      <c r="U7339" s="7"/>
      <c r="V7339" s="7"/>
      <c r="W7339" s="7"/>
      <c r="X7339" s="7"/>
      <c r="Y7339" s="7"/>
      <c r="Z7339" s="7"/>
    </row>
    <row r="7340" hidden="1">
      <c r="A7340" s="7"/>
      <c r="B7340" s="7"/>
      <c r="C7340" s="7"/>
      <c r="D7340" s="7"/>
      <c r="E7340" s="7"/>
      <c r="F7340" s="7"/>
      <c r="G7340" s="7"/>
      <c r="H7340" s="8"/>
      <c r="I7340" s="8"/>
      <c r="J7340" s="7"/>
      <c r="K7340" s="7"/>
      <c r="L7340" s="7"/>
      <c r="M7340" s="7"/>
      <c r="N7340" s="7"/>
      <c r="O7340" s="7"/>
      <c r="P7340" s="7"/>
      <c r="Q7340" s="7"/>
      <c r="R7340" s="7"/>
      <c r="S7340" s="7"/>
      <c r="T7340" s="7"/>
      <c r="U7340" s="7"/>
      <c r="V7340" s="7"/>
      <c r="W7340" s="7"/>
      <c r="X7340" s="7"/>
      <c r="Y7340" s="7"/>
      <c r="Z7340" s="7"/>
    </row>
    <row r="7341" hidden="1">
      <c r="A7341" s="7"/>
      <c r="B7341" s="7"/>
      <c r="C7341" s="7"/>
      <c r="D7341" s="7"/>
      <c r="E7341" s="7"/>
      <c r="F7341" s="7"/>
      <c r="G7341" s="7"/>
      <c r="H7341" s="8"/>
      <c r="I7341" s="8"/>
      <c r="J7341" s="7"/>
      <c r="K7341" s="7"/>
      <c r="L7341" s="7"/>
      <c r="M7341" s="7"/>
      <c r="N7341" s="7"/>
      <c r="O7341" s="7"/>
      <c r="P7341" s="7"/>
      <c r="Q7341" s="7"/>
      <c r="R7341" s="7"/>
      <c r="S7341" s="7"/>
      <c r="T7341" s="7"/>
      <c r="U7341" s="7"/>
      <c r="V7341" s="7"/>
      <c r="W7341" s="7"/>
      <c r="X7341" s="7"/>
      <c r="Y7341" s="7"/>
      <c r="Z7341" s="7"/>
    </row>
    <row r="7342" hidden="1">
      <c r="A7342" s="7"/>
      <c r="B7342" s="7"/>
      <c r="C7342" s="7"/>
      <c r="D7342" s="7"/>
      <c r="E7342" s="7"/>
      <c r="F7342" s="7"/>
      <c r="G7342" s="7"/>
      <c r="H7342" s="8"/>
      <c r="I7342" s="8"/>
      <c r="J7342" s="7"/>
      <c r="K7342" s="7"/>
      <c r="L7342" s="7"/>
      <c r="M7342" s="7"/>
      <c r="N7342" s="7"/>
      <c r="O7342" s="7"/>
      <c r="P7342" s="7"/>
      <c r="Q7342" s="7"/>
      <c r="R7342" s="7"/>
      <c r="S7342" s="7"/>
      <c r="T7342" s="7"/>
      <c r="U7342" s="7"/>
      <c r="V7342" s="7"/>
      <c r="W7342" s="7"/>
      <c r="X7342" s="7"/>
      <c r="Y7342" s="7"/>
      <c r="Z7342" s="7"/>
    </row>
    <row r="7343" hidden="1">
      <c r="A7343" s="7"/>
      <c r="B7343" s="7"/>
      <c r="C7343" s="7"/>
      <c r="D7343" s="7"/>
      <c r="E7343" s="7"/>
      <c r="F7343" s="7"/>
      <c r="G7343" s="7"/>
      <c r="H7343" s="8"/>
      <c r="I7343" s="8"/>
      <c r="J7343" s="7"/>
      <c r="K7343" s="7"/>
      <c r="L7343" s="7"/>
      <c r="M7343" s="7"/>
      <c r="N7343" s="7"/>
      <c r="O7343" s="7"/>
      <c r="P7343" s="7"/>
      <c r="Q7343" s="7"/>
      <c r="R7343" s="7"/>
      <c r="S7343" s="7"/>
      <c r="T7343" s="7"/>
      <c r="U7343" s="7"/>
      <c r="V7343" s="7"/>
      <c r="W7343" s="7"/>
      <c r="X7343" s="7"/>
      <c r="Y7343" s="7"/>
      <c r="Z7343" s="7"/>
    </row>
    <row r="7344" hidden="1">
      <c r="A7344" s="7"/>
      <c r="B7344" s="7"/>
      <c r="C7344" s="7"/>
      <c r="D7344" s="7"/>
      <c r="E7344" s="7"/>
      <c r="F7344" s="7"/>
      <c r="G7344" s="7"/>
      <c r="H7344" s="8"/>
      <c r="I7344" s="8"/>
      <c r="J7344" s="7"/>
      <c r="K7344" s="7"/>
      <c r="L7344" s="7"/>
      <c r="M7344" s="7"/>
      <c r="N7344" s="7"/>
      <c r="O7344" s="7"/>
      <c r="P7344" s="7"/>
      <c r="Q7344" s="7"/>
      <c r="R7344" s="7"/>
      <c r="S7344" s="7"/>
      <c r="T7344" s="7"/>
      <c r="U7344" s="7"/>
      <c r="V7344" s="7"/>
      <c r="W7344" s="7"/>
      <c r="X7344" s="7"/>
      <c r="Y7344" s="7"/>
      <c r="Z7344" s="7"/>
    </row>
    <row r="7345" hidden="1">
      <c r="A7345" s="7"/>
      <c r="B7345" s="7"/>
      <c r="C7345" s="7"/>
      <c r="D7345" s="7"/>
      <c r="E7345" s="7"/>
      <c r="F7345" s="7"/>
      <c r="G7345" s="7"/>
      <c r="H7345" s="8"/>
      <c r="I7345" s="8"/>
      <c r="J7345" s="7"/>
      <c r="K7345" s="7"/>
      <c r="L7345" s="7"/>
      <c r="M7345" s="7"/>
      <c r="N7345" s="7"/>
      <c r="O7345" s="7"/>
      <c r="P7345" s="7"/>
      <c r="Q7345" s="7"/>
      <c r="R7345" s="7"/>
      <c r="S7345" s="7"/>
      <c r="T7345" s="7"/>
      <c r="U7345" s="7"/>
      <c r="V7345" s="7"/>
      <c r="W7345" s="7"/>
      <c r="X7345" s="7"/>
      <c r="Y7345" s="7"/>
      <c r="Z7345" s="7"/>
    </row>
    <row r="7346" hidden="1">
      <c r="A7346" s="7"/>
      <c r="B7346" s="7"/>
      <c r="C7346" s="7"/>
      <c r="D7346" s="7"/>
      <c r="E7346" s="7"/>
      <c r="F7346" s="7"/>
      <c r="G7346" s="7"/>
      <c r="H7346" s="8"/>
      <c r="I7346" s="8"/>
      <c r="J7346" s="7"/>
      <c r="K7346" s="7"/>
      <c r="L7346" s="7"/>
      <c r="M7346" s="7"/>
      <c r="N7346" s="7"/>
      <c r="O7346" s="7"/>
      <c r="P7346" s="7"/>
      <c r="Q7346" s="7"/>
      <c r="R7346" s="7"/>
      <c r="S7346" s="7"/>
      <c r="T7346" s="7"/>
      <c r="U7346" s="7"/>
      <c r="V7346" s="7"/>
      <c r="W7346" s="7"/>
      <c r="X7346" s="7"/>
      <c r="Y7346" s="7"/>
      <c r="Z7346" s="7"/>
    </row>
    <row r="7347" hidden="1">
      <c r="A7347" s="7"/>
      <c r="B7347" s="7"/>
      <c r="C7347" s="7"/>
      <c r="D7347" s="7"/>
      <c r="E7347" s="7"/>
      <c r="F7347" s="7"/>
      <c r="G7347" s="7"/>
      <c r="H7347" s="8"/>
      <c r="I7347" s="8"/>
      <c r="J7347" s="7"/>
      <c r="K7347" s="7"/>
      <c r="L7347" s="7"/>
      <c r="M7347" s="7"/>
      <c r="N7347" s="7"/>
      <c r="O7347" s="7"/>
      <c r="P7347" s="7"/>
      <c r="Q7347" s="7"/>
      <c r="R7347" s="7"/>
      <c r="S7347" s="7"/>
      <c r="T7347" s="7"/>
      <c r="U7347" s="7"/>
      <c r="V7347" s="7"/>
      <c r="W7347" s="7"/>
      <c r="X7347" s="7"/>
      <c r="Y7347" s="7"/>
      <c r="Z7347" s="7"/>
    </row>
    <row r="7348" hidden="1">
      <c r="A7348" s="7"/>
      <c r="B7348" s="7"/>
      <c r="C7348" s="7"/>
      <c r="D7348" s="7"/>
      <c r="E7348" s="7"/>
      <c r="F7348" s="7"/>
      <c r="G7348" s="7"/>
      <c r="H7348" s="8"/>
      <c r="I7348" s="8"/>
      <c r="J7348" s="7"/>
      <c r="K7348" s="7"/>
      <c r="L7348" s="7"/>
      <c r="M7348" s="7"/>
      <c r="N7348" s="7"/>
      <c r="O7348" s="7"/>
      <c r="P7348" s="7"/>
      <c r="Q7348" s="7"/>
      <c r="R7348" s="7"/>
      <c r="S7348" s="7"/>
      <c r="T7348" s="7"/>
      <c r="U7348" s="7"/>
      <c r="V7348" s="7"/>
      <c r="W7348" s="7"/>
      <c r="X7348" s="7"/>
      <c r="Y7348" s="7"/>
      <c r="Z7348" s="7"/>
    </row>
    <row r="7349" hidden="1">
      <c r="A7349" s="7"/>
      <c r="B7349" s="7"/>
      <c r="C7349" s="7"/>
      <c r="D7349" s="7"/>
      <c r="E7349" s="7"/>
      <c r="F7349" s="7"/>
      <c r="G7349" s="7"/>
      <c r="H7349" s="8"/>
      <c r="I7349" s="8"/>
      <c r="J7349" s="7"/>
      <c r="K7349" s="7"/>
      <c r="L7349" s="7"/>
      <c r="M7349" s="7"/>
      <c r="N7349" s="7"/>
      <c r="O7349" s="7"/>
      <c r="P7349" s="7"/>
      <c r="Q7349" s="7"/>
      <c r="R7349" s="7"/>
      <c r="S7349" s="7"/>
      <c r="T7349" s="7"/>
      <c r="U7349" s="7"/>
      <c r="V7349" s="7"/>
      <c r="W7349" s="7"/>
      <c r="X7349" s="7"/>
      <c r="Y7349" s="7"/>
      <c r="Z7349" s="7"/>
    </row>
    <row r="7350" hidden="1">
      <c r="A7350" s="7"/>
      <c r="B7350" s="7"/>
      <c r="C7350" s="7"/>
      <c r="D7350" s="7"/>
      <c r="E7350" s="7"/>
      <c r="F7350" s="7"/>
      <c r="G7350" s="7"/>
      <c r="H7350" s="8"/>
      <c r="I7350" s="8"/>
      <c r="J7350" s="7"/>
      <c r="K7350" s="7"/>
      <c r="L7350" s="7"/>
      <c r="M7350" s="7"/>
      <c r="N7350" s="7"/>
      <c r="O7350" s="7"/>
      <c r="P7350" s="7"/>
      <c r="Q7350" s="7"/>
      <c r="R7350" s="7"/>
      <c r="S7350" s="7"/>
      <c r="T7350" s="7"/>
      <c r="U7350" s="7"/>
      <c r="V7350" s="7"/>
      <c r="W7350" s="7"/>
      <c r="X7350" s="7"/>
      <c r="Y7350" s="7"/>
      <c r="Z7350" s="7"/>
    </row>
    <row r="7351" hidden="1">
      <c r="A7351" s="7"/>
      <c r="B7351" s="7"/>
      <c r="C7351" s="7"/>
      <c r="D7351" s="7"/>
      <c r="E7351" s="7"/>
      <c r="F7351" s="7"/>
      <c r="G7351" s="7"/>
      <c r="H7351" s="8"/>
      <c r="I7351" s="8"/>
      <c r="J7351" s="7"/>
      <c r="K7351" s="7"/>
      <c r="L7351" s="7"/>
      <c r="M7351" s="7"/>
      <c r="N7351" s="7"/>
      <c r="O7351" s="7"/>
      <c r="P7351" s="7"/>
      <c r="Q7351" s="7"/>
      <c r="R7351" s="7"/>
      <c r="S7351" s="7"/>
      <c r="T7351" s="7"/>
      <c r="U7351" s="7"/>
      <c r="V7351" s="7"/>
      <c r="W7351" s="7"/>
      <c r="X7351" s="7"/>
      <c r="Y7351" s="7"/>
      <c r="Z7351" s="7"/>
    </row>
    <row r="7352" hidden="1">
      <c r="A7352" s="7"/>
      <c r="B7352" s="7"/>
      <c r="C7352" s="7"/>
      <c r="D7352" s="7"/>
      <c r="E7352" s="7"/>
      <c r="F7352" s="7"/>
      <c r="G7352" s="7"/>
      <c r="H7352" s="8"/>
      <c r="I7352" s="8"/>
      <c r="J7352" s="7"/>
      <c r="K7352" s="7"/>
      <c r="L7352" s="7"/>
      <c r="M7352" s="7"/>
      <c r="N7352" s="7"/>
      <c r="O7352" s="7"/>
      <c r="P7352" s="7"/>
      <c r="Q7352" s="7"/>
      <c r="R7352" s="7"/>
      <c r="S7352" s="7"/>
      <c r="T7352" s="7"/>
      <c r="U7352" s="7"/>
      <c r="V7352" s="7"/>
      <c r="W7352" s="7"/>
      <c r="X7352" s="7"/>
      <c r="Y7352" s="7"/>
      <c r="Z7352" s="7"/>
    </row>
    <row r="7353" hidden="1">
      <c r="A7353" s="7"/>
      <c r="B7353" s="7"/>
      <c r="C7353" s="7"/>
      <c r="D7353" s="7"/>
      <c r="E7353" s="7"/>
      <c r="F7353" s="7"/>
      <c r="G7353" s="7"/>
      <c r="H7353" s="8"/>
      <c r="I7353" s="8"/>
      <c r="J7353" s="7"/>
      <c r="K7353" s="7"/>
      <c r="L7353" s="7"/>
      <c r="M7353" s="7"/>
      <c r="N7353" s="7"/>
      <c r="O7353" s="7"/>
      <c r="P7353" s="7"/>
      <c r="Q7353" s="7"/>
      <c r="R7353" s="7"/>
      <c r="S7353" s="7"/>
      <c r="T7353" s="7"/>
      <c r="U7353" s="7"/>
      <c r="V7353" s="7"/>
      <c r="W7353" s="7"/>
      <c r="X7353" s="7"/>
      <c r="Y7353" s="7"/>
      <c r="Z7353" s="7"/>
    </row>
    <row r="7354" hidden="1">
      <c r="A7354" s="7"/>
      <c r="B7354" s="7"/>
      <c r="C7354" s="7"/>
      <c r="D7354" s="7"/>
      <c r="E7354" s="7"/>
      <c r="F7354" s="7"/>
      <c r="G7354" s="7"/>
      <c r="H7354" s="8"/>
      <c r="I7354" s="8"/>
      <c r="J7354" s="7"/>
      <c r="K7354" s="7"/>
      <c r="L7354" s="7"/>
      <c r="M7354" s="7"/>
      <c r="N7354" s="7"/>
      <c r="O7354" s="7"/>
      <c r="P7354" s="7"/>
      <c r="Q7354" s="7"/>
      <c r="R7354" s="7"/>
      <c r="S7354" s="7"/>
      <c r="T7354" s="7"/>
      <c r="U7354" s="7"/>
      <c r="V7354" s="7"/>
      <c r="W7354" s="7"/>
      <c r="X7354" s="7"/>
      <c r="Y7354" s="7"/>
      <c r="Z7354" s="7"/>
    </row>
    <row r="7355" hidden="1">
      <c r="A7355" s="7"/>
      <c r="B7355" s="7"/>
      <c r="C7355" s="7"/>
      <c r="D7355" s="7"/>
      <c r="E7355" s="7"/>
      <c r="F7355" s="7"/>
      <c r="G7355" s="7"/>
      <c r="H7355" s="8"/>
      <c r="I7355" s="8"/>
      <c r="J7355" s="7"/>
      <c r="K7355" s="7"/>
      <c r="L7355" s="7"/>
      <c r="M7355" s="7"/>
      <c r="N7355" s="7"/>
      <c r="O7355" s="7"/>
      <c r="P7355" s="7"/>
      <c r="Q7355" s="7"/>
      <c r="R7355" s="7"/>
      <c r="S7355" s="7"/>
      <c r="T7355" s="7"/>
      <c r="U7355" s="7"/>
      <c r="V7355" s="7"/>
      <c r="W7355" s="7"/>
      <c r="X7355" s="7"/>
      <c r="Y7355" s="7"/>
      <c r="Z7355" s="7"/>
    </row>
    <row r="7356" hidden="1">
      <c r="A7356" s="7"/>
      <c r="B7356" s="7"/>
      <c r="C7356" s="7"/>
      <c r="D7356" s="7"/>
      <c r="E7356" s="7"/>
      <c r="F7356" s="7"/>
      <c r="G7356" s="7"/>
      <c r="H7356" s="8"/>
      <c r="I7356" s="8"/>
      <c r="J7356" s="7"/>
      <c r="K7356" s="7"/>
      <c r="L7356" s="7"/>
      <c r="M7356" s="7"/>
      <c r="N7356" s="7"/>
      <c r="O7356" s="7"/>
      <c r="P7356" s="7"/>
      <c r="Q7356" s="7"/>
      <c r="R7356" s="7"/>
      <c r="S7356" s="7"/>
      <c r="T7356" s="7"/>
      <c r="U7356" s="7"/>
      <c r="V7356" s="7"/>
      <c r="W7356" s="7"/>
      <c r="X7356" s="7"/>
      <c r="Y7356" s="7"/>
      <c r="Z7356" s="7"/>
    </row>
    <row r="7357" hidden="1">
      <c r="A7357" s="7"/>
      <c r="B7357" s="7"/>
      <c r="C7357" s="7"/>
      <c r="D7357" s="7"/>
      <c r="E7357" s="7"/>
      <c r="F7357" s="7"/>
      <c r="G7357" s="7"/>
      <c r="H7357" s="8"/>
      <c r="I7357" s="8"/>
      <c r="J7357" s="7"/>
      <c r="K7357" s="7"/>
      <c r="L7357" s="7"/>
      <c r="M7357" s="7"/>
      <c r="N7357" s="7"/>
      <c r="O7357" s="7"/>
      <c r="P7357" s="7"/>
      <c r="Q7357" s="7"/>
      <c r="R7357" s="7"/>
      <c r="S7357" s="7"/>
      <c r="T7357" s="7"/>
      <c r="U7357" s="7"/>
      <c r="V7357" s="7"/>
      <c r="W7357" s="7"/>
      <c r="X7357" s="7"/>
      <c r="Y7357" s="7"/>
      <c r="Z7357" s="7"/>
    </row>
    <row r="7358" hidden="1">
      <c r="A7358" s="7"/>
      <c r="B7358" s="7"/>
      <c r="C7358" s="7"/>
      <c r="D7358" s="7"/>
      <c r="E7358" s="7"/>
      <c r="F7358" s="7"/>
      <c r="G7358" s="7"/>
      <c r="H7358" s="8"/>
      <c r="I7358" s="8"/>
      <c r="J7358" s="7"/>
      <c r="K7358" s="7"/>
      <c r="L7358" s="7"/>
      <c r="M7358" s="7"/>
      <c r="N7358" s="7"/>
      <c r="O7358" s="7"/>
      <c r="P7358" s="7"/>
      <c r="Q7358" s="7"/>
      <c r="R7358" s="7"/>
      <c r="S7358" s="7"/>
      <c r="T7358" s="7"/>
      <c r="U7358" s="7"/>
      <c r="V7358" s="7"/>
      <c r="W7358" s="7"/>
      <c r="X7358" s="7"/>
      <c r="Y7358" s="7"/>
      <c r="Z7358" s="7"/>
    </row>
    <row r="7359" hidden="1">
      <c r="A7359" s="7"/>
      <c r="B7359" s="7"/>
      <c r="C7359" s="7"/>
      <c r="D7359" s="7"/>
      <c r="E7359" s="7"/>
      <c r="F7359" s="7"/>
      <c r="G7359" s="7"/>
      <c r="H7359" s="8"/>
      <c r="I7359" s="8"/>
      <c r="J7359" s="7"/>
      <c r="K7359" s="7"/>
      <c r="L7359" s="7"/>
      <c r="M7359" s="7"/>
      <c r="N7359" s="7"/>
      <c r="O7359" s="7"/>
      <c r="P7359" s="7"/>
      <c r="Q7359" s="7"/>
      <c r="R7359" s="7"/>
      <c r="S7359" s="7"/>
      <c r="T7359" s="7"/>
      <c r="U7359" s="7"/>
      <c r="V7359" s="7"/>
      <c r="W7359" s="7"/>
      <c r="X7359" s="7"/>
      <c r="Y7359" s="7"/>
      <c r="Z7359" s="7"/>
    </row>
    <row r="7360" hidden="1">
      <c r="A7360" s="7"/>
      <c r="B7360" s="7"/>
      <c r="C7360" s="7"/>
      <c r="D7360" s="7"/>
      <c r="E7360" s="7"/>
      <c r="F7360" s="7"/>
      <c r="G7360" s="7"/>
      <c r="H7360" s="8"/>
      <c r="I7360" s="8"/>
      <c r="J7360" s="7"/>
      <c r="K7360" s="7"/>
      <c r="L7360" s="7"/>
      <c r="M7360" s="7"/>
      <c r="N7360" s="7"/>
      <c r="O7360" s="7"/>
      <c r="P7360" s="7"/>
      <c r="Q7360" s="7"/>
      <c r="R7360" s="7"/>
      <c r="S7360" s="7"/>
      <c r="T7360" s="7"/>
      <c r="U7360" s="7"/>
      <c r="V7360" s="7"/>
      <c r="W7360" s="7"/>
      <c r="X7360" s="7"/>
      <c r="Y7360" s="7"/>
      <c r="Z7360" s="7"/>
    </row>
    <row r="7361" hidden="1">
      <c r="A7361" s="7"/>
      <c r="B7361" s="7"/>
      <c r="C7361" s="7"/>
      <c r="D7361" s="7"/>
      <c r="E7361" s="7"/>
      <c r="F7361" s="7"/>
      <c r="G7361" s="7"/>
      <c r="H7361" s="8"/>
      <c r="I7361" s="8"/>
      <c r="J7361" s="7"/>
      <c r="K7361" s="7"/>
      <c r="L7361" s="7"/>
      <c r="M7361" s="7"/>
      <c r="N7361" s="7"/>
      <c r="O7361" s="7"/>
      <c r="P7361" s="7"/>
      <c r="Q7361" s="7"/>
      <c r="R7361" s="7"/>
      <c r="S7361" s="7"/>
      <c r="T7361" s="7"/>
      <c r="U7361" s="7"/>
      <c r="V7361" s="7"/>
      <c r="W7361" s="7"/>
      <c r="X7361" s="7"/>
      <c r="Y7361" s="7"/>
      <c r="Z7361" s="7"/>
    </row>
    <row r="7362" hidden="1">
      <c r="A7362" s="7"/>
      <c r="B7362" s="7"/>
      <c r="C7362" s="7"/>
      <c r="D7362" s="7"/>
      <c r="E7362" s="7"/>
      <c r="F7362" s="7"/>
      <c r="G7362" s="7"/>
      <c r="H7362" s="8"/>
      <c r="I7362" s="8"/>
      <c r="J7362" s="7"/>
      <c r="K7362" s="7"/>
      <c r="L7362" s="7"/>
      <c r="M7362" s="7"/>
      <c r="N7362" s="7"/>
      <c r="O7362" s="7"/>
      <c r="P7362" s="7"/>
      <c r="Q7362" s="7"/>
      <c r="R7362" s="7"/>
      <c r="S7362" s="7"/>
      <c r="T7362" s="7"/>
      <c r="U7362" s="7"/>
      <c r="V7362" s="7"/>
      <c r="W7362" s="7"/>
      <c r="X7362" s="7"/>
      <c r="Y7362" s="7"/>
      <c r="Z7362" s="7"/>
    </row>
    <row r="7363" hidden="1">
      <c r="A7363" s="7"/>
      <c r="B7363" s="7"/>
      <c r="C7363" s="7"/>
      <c r="D7363" s="7"/>
      <c r="E7363" s="7"/>
      <c r="F7363" s="7"/>
      <c r="G7363" s="7"/>
      <c r="H7363" s="8"/>
      <c r="I7363" s="8"/>
      <c r="J7363" s="7"/>
      <c r="K7363" s="7"/>
      <c r="L7363" s="7"/>
      <c r="M7363" s="7"/>
      <c r="N7363" s="7"/>
      <c r="O7363" s="7"/>
      <c r="P7363" s="7"/>
      <c r="Q7363" s="7"/>
      <c r="R7363" s="7"/>
      <c r="S7363" s="7"/>
      <c r="T7363" s="7"/>
      <c r="U7363" s="7"/>
      <c r="V7363" s="7"/>
      <c r="W7363" s="7"/>
      <c r="X7363" s="7"/>
      <c r="Y7363" s="7"/>
      <c r="Z7363" s="7"/>
    </row>
    <row r="7364" hidden="1">
      <c r="A7364" s="7"/>
      <c r="B7364" s="7"/>
      <c r="C7364" s="7"/>
      <c r="D7364" s="7"/>
      <c r="E7364" s="7"/>
      <c r="F7364" s="7"/>
      <c r="G7364" s="7"/>
      <c r="H7364" s="8"/>
      <c r="I7364" s="8"/>
      <c r="J7364" s="7"/>
      <c r="K7364" s="7"/>
      <c r="L7364" s="7"/>
      <c r="M7364" s="7"/>
      <c r="N7364" s="7"/>
      <c r="O7364" s="7"/>
      <c r="P7364" s="7"/>
      <c r="Q7364" s="7"/>
      <c r="R7364" s="7"/>
      <c r="S7364" s="7"/>
      <c r="T7364" s="7"/>
      <c r="U7364" s="7"/>
      <c r="V7364" s="7"/>
      <c r="W7364" s="7"/>
      <c r="X7364" s="7"/>
      <c r="Y7364" s="7"/>
      <c r="Z7364" s="7"/>
    </row>
    <row r="7365" hidden="1">
      <c r="A7365" s="7"/>
      <c r="B7365" s="7"/>
      <c r="C7365" s="7"/>
      <c r="D7365" s="7"/>
      <c r="E7365" s="7"/>
      <c r="F7365" s="7"/>
      <c r="G7365" s="7"/>
      <c r="H7365" s="8"/>
      <c r="I7365" s="8"/>
      <c r="J7365" s="7"/>
      <c r="K7365" s="7"/>
      <c r="L7365" s="7"/>
      <c r="M7365" s="7"/>
      <c r="N7365" s="7"/>
      <c r="O7365" s="7"/>
      <c r="P7365" s="7"/>
      <c r="Q7365" s="7"/>
      <c r="R7365" s="7"/>
      <c r="S7365" s="7"/>
      <c r="T7365" s="7"/>
      <c r="U7365" s="7"/>
      <c r="V7365" s="7"/>
      <c r="W7365" s="7"/>
      <c r="X7365" s="7"/>
      <c r="Y7365" s="7"/>
      <c r="Z7365" s="7"/>
    </row>
    <row r="7366" hidden="1">
      <c r="A7366" s="7"/>
      <c r="B7366" s="7"/>
      <c r="C7366" s="7"/>
      <c r="D7366" s="7"/>
      <c r="E7366" s="7"/>
      <c r="F7366" s="7"/>
      <c r="G7366" s="7"/>
      <c r="H7366" s="8"/>
      <c r="I7366" s="8"/>
      <c r="J7366" s="7"/>
      <c r="K7366" s="7"/>
      <c r="L7366" s="7"/>
      <c r="M7366" s="7"/>
      <c r="N7366" s="7"/>
      <c r="O7366" s="7"/>
      <c r="P7366" s="7"/>
      <c r="Q7366" s="7"/>
      <c r="R7366" s="7"/>
      <c r="S7366" s="7"/>
      <c r="T7366" s="7"/>
      <c r="U7366" s="7"/>
      <c r="V7366" s="7"/>
      <c r="W7366" s="7"/>
      <c r="X7366" s="7"/>
      <c r="Y7366" s="7"/>
      <c r="Z7366" s="7"/>
    </row>
    <row r="7367" hidden="1">
      <c r="A7367" s="7"/>
      <c r="B7367" s="7"/>
      <c r="C7367" s="7"/>
      <c r="D7367" s="7"/>
      <c r="E7367" s="7"/>
      <c r="F7367" s="7"/>
      <c r="G7367" s="7"/>
      <c r="H7367" s="8"/>
      <c r="I7367" s="8"/>
      <c r="J7367" s="7"/>
      <c r="K7367" s="7"/>
      <c r="L7367" s="7"/>
      <c r="M7367" s="7"/>
      <c r="N7367" s="7"/>
      <c r="O7367" s="7"/>
      <c r="P7367" s="7"/>
      <c r="Q7367" s="7"/>
      <c r="R7367" s="7"/>
      <c r="S7367" s="7"/>
      <c r="T7367" s="7"/>
      <c r="U7367" s="7"/>
      <c r="V7367" s="7"/>
      <c r="W7367" s="7"/>
      <c r="X7367" s="7"/>
      <c r="Y7367" s="7"/>
      <c r="Z7367" s="7"/>
    </row>
    <row r="7368" hidden="1">
      <c r="A7368" s="7"/>
      <c r="B7368" s="7"/>
      <c r="C7368" s="7"/>
      <c r="D7368" s="7"/>
      <c r="E7368" s="7"/>
      <c r="F7368" s="7"/>
      <c r="G7368" s="7"/>
      <c r="H7368" s="8"/>
      <c r="I7368" s="8"/>
      <c r="J7368" s="7"/>
      <c r="K7368" s="7"/>
      <c r="L7368" s="7"/>
      <c r="M7368" s="7"/>
      <c r="N7368" s="7"/>
      <c r="O7368" s="7"/>
      <c r="P7368" s="7"/>
      <c r="Q7368" s="7"/>
      <c r="R7368" s="7"/>
      <c r="S7368" s="7"/>
      <c r="T7368" s="7"/>
      <c r="U7368" s="7"/>
      <c r="V7368" s="7"/>
      <c r="W7368" s="7"/>
      <c r="X7368" s="7"/>
      <c r="Y7368" s="7"/>
      <c r="Z7368" s="7"/>
    </row>
    <row r="7369" hidden="1">
      <c r="A7369" s="7"/>
      <c r="B7369" s="7"/>
      <c r="C7369" s="7"/>
      <c r="D7369" s="7"/>
      <c r="E7369" s="7"/>
      <c r="F7369" s="7"/>
      <c r="G7369" s="7"/>
      <c r="H7369" s="8"/>
      <c r="I7369" s="8"/>
      <c r="J7369" s="7"/>
      <c r="K7369" s="7"/>
      <c r="L7369" s="7"/>
      <c r="M7369" s="7"/>
      <c r="N7369" s="7"/>
      <c r="O7369" s="7"/>
      <c r="P7369" s="7"/>
      <c r="Q7369" s="7"/>
      <c r="R7369" s="7"/>
      <c r="S7369" s="7"/>
      <c r="T7369" s="7"/>
      <c r="U7369" s="7"/>
      <c r="V7369" s="7"/>
      <c r="W7369" s="7"/>
      <c r="X7369" s="7"/>
      <c r="Y7369" s="7"/>
      <c r="Z7369" s="7"/>
    </row>
    <row r="7370" hidden="1">
      <c r="A7370" s="7"/>
      <c r="B7370" s="7"/>
      <c r="C7370" s="7"/>
      <c r="D7370" s="7"/>
      <c r="E7370" s="7"/>
      <c r="F7370" s="7"/>
      <c r="G7370" s="7"/>
      <c r="H7370" s="8"/>
      <c r="I7370" s="8"/>
      <c r="J7370" s="7"/>
      <c r="K7370" s="7"/>
      <c r="L7370" s="7"/>
      <c r="M7370" s="7"/>
      <c r="N7370" s="7"/>
      <c r="O7370" s="7"/>
      <c r="P7370" s="7"/>
      <c r="Q7370" s="7"/>
      <c r="R7370" s="7"/>
      <c r="S7370" s="7"/>
      <c r="T7370" s="7"/>
      <c r="U7370" s="7"/>
      <c r="V7370" s="7"/>
      <c r="W7370" s="7"/>
      <c r="X7370" s="7"/>
      <c r="Y7370" s="7"/>
      <c r="Z7370" s="7"/>
    </row>
    <row r="7371" hidden="1">
      <c r="A7371" s="7"/>
      <c r="B7371" s="7"/>
      <c r="C7371" s="7"/>
      <c r="D7371" s="7"/>
      <c r="E7371" s="7"/>
      <c r="F7371" s="7"/>
      <c r="G7371" s="7"/>
      <c r="H7371" s="8"/>
      <c r="I7371" s="8"/>
      <c r="J7371" s="7"/>
      <c r="K7371" s="7"/>
      <c r="L7371" s="7"/>
      <c r="M7371" s="7"/>
      <c r="N7371" s="7"/>
      <c r="O7371" s="7"/>
      <c r="P7371" s="7"/>
      <c r="Q7371" s="7"/>
      <c r="R7371" s="7"/>
      <c r="S7371" s="7"/>
      <c r="T7371" s="7"/>
      <c r="U7371" s="7"/>
      <c r="V7371" s="7"/>
      <c r="W7371" s="7"/>
      <c r="X7371" s="7"/>
      <c r="Y7371" s="7"/>
      <c r="Z7371" s="7"/>
    </row>
    <row r="7372" hidden="1">
      <c r="A7372" s="7"/>
      <c r="B7372" s="7"/>
      <c r="C7372" s="7"/>
      <c r="D7372" s="7"/>
      <c r="E7372" s="7"/>
      <c r="F7372" s="7"/>
      <c r="G7372" s="7"/>
      <c r="H7372" s="8"/>
      <c r="I7372" s="8"/>
      <c r="J7372" s="7"/>
      <c r="K7372" s="7"/>
      <c r="L7372" s="7"/>
      <c r="M7372" s="7"/>
      <c r="N7372" s="7"/>
      <c r="O7372" s="7"/>
      <c r="P7372" s="7"/>
      <c r="Q7372" s="7"/>
      <c r="R7372" s="7"/>
      <c r="S7372" s="7"/>
      <c r="T7372" s="7"/>
      <c r="U7372" s="7"/>
      <c r="V7372" s="7"/>
      <c r="W7372" s="7"/>
      <c r="X7372" s="7"/>
      <c r="Y7372" s="7"/>
      <c r="Z7372" s="7"/>
    </row>
    <row r="7373" hidden="1">
      <c r="A7373" s="7"/>
      <c r="B7373" s="7"/>
      <c r="C7373" s="7"/>
      <c r="D7373" s="7"/>
      <c r="E7373" s="7"/>
      <c r="F7373" s="7"/>
      <c r="G7373" s="7"/>
      <c r="H7373" s="8"/>
      <c r="I7373" s="8"/>
      <c r="J7373" s="7"/>
      <c r="K7373" s="7"/>
      <c r="L7373" s="7"/>
      <c r="M7373" s="7"/>
      <c r="N7373" s="7"/>
      <c r="O7373" s="7"/>
      <c r="P7373" s="7"/>
      <c r="Q7373" s="7"/>
      <c r="R7373" s="7"/>
      <c r="S7373" s="7"/>
      <c r="T7373" s="7"/>
      <c r="U7373" s="7"/>
      <c r="V7373" s="7"/>
      <c r="W7373" s="7"/>
      <c r="X7373" s="7"/>
      <c r="Y7373" s="7"/>
      <c r="Z7373" s="7"/>
    </row>
    <row r="7374" hidden="1">
      <c r="A7374" s="7"/>
      <c r="B7374" s="7"/>
      <c r="C7374" s="7"/>
      <c r="D7374" s="7"/>
      <c r="E7374" s="7"/>
      <c r="F7374" s="7"/>
      <c r="G7374" s="7"/>
      <c r="H7374" s="8"/>
      <c r="I7374" s="8"/>
      <c r="J7374" s="7"/>
      <c r="K7374" s="7"/>
      <c r="L7374" s="7"/>
      <c r="M7374" s="7"/>
      <c r="N7374" s="7"/>
      <c r="O7374" s="7"/>
      <c r="P7374" s="7"/>
      <c r="Q7374" s="7"/>
      <c r="R7374" s="7"/>
      <c r="S7374" s="7"/>
      <c r="T7374" s="7"/>
      <c r="U7374" s="7"/>
      <c r="V7374" s="7"/>
      <c r="W7374" s="7"/>
      <c r="X7374" s="7"/>
      <c r="Y7374" s="7"/>
      <c r="Z7374" s="7"/>
    </row>
    <row r="7375" hidden="1">
      <c r="A7375" s="7"/>
      <c r="B7375" s="7"/>
      <c r="C7375" s="7"/>
      <c r="D7375" s="7"/>
      <c r="E7375" s="7"/>
      <c r="F7375" s="7"/>
      <c r="G7375" s="7"/>
      <c r="H7375" s="8"/>
      <c r="I7375" s="8"/>
      <c r="J7375" s="7"/>
      <c r="K7375" s="7"/>
      <c r="L7375" s="7"/>
      <c r="M7375" s="7"/>
      <c r="N7375" s="7"/>
      <c r="O7375" s="7"/>
      <c r="P7375" s="7"/>
      <c r="Q7375" s="7"/>
      <c r="R7375" s="7"/>
      <c r="S7375" s="7"/>
      <c r="T7375" s="7"/>
      <c r="U7375" s="7"/>
      <c r="V7375" s="7"/>
      <c r="W7375" s="7"/>
      <c r="X7375" s="7"/>
      <c r="Y7375" s="7"/>
      <c r="Z7375" s="7"/>
    </row>
    <row r="7376" hidden="1">
      <c r="A7376" s="7"/>
      <c r="B7376" s="7"/>
      <c r="C7376" s="7"/>
      <c r="D7376" s="7"/>
      <c r="E7376" s="7"/>
      <c r="F7376" s="7"/>
      <c r="G7376" s="7"/>
      <c r="H7376" s="8"/>
      <c r="I7376" s="8"/>
      <c r="J7376" s="7"/>
      <c r="K7376" s="7"/>
      <c r="L7376" s="7"/>
      <c r="M7376" s="7"/>
      <c r="N7376" s="7"/>
      <c r="O7376" s="7"/>
      <c r="P7376" s="7"/>
      <c r="Q7376" s="7"/>
      <c r="R7376" s="7"/>
      <c r="S7376" s="7"/>
      <c r="T7376" s="7"/>
      <c r="U7376" s="7"/>
      <c r="V7376" s="7"/>
      <c r="W7376" s="7"/>
      <c r="X7376" s="7"/>
      <c r="Y7376" s="7"/>
      <c r="Z7376" s="7"/>
    </row>
    <row r="7377" hidden="1">
      <c r="A7377" s="7"/>
      <c r="B7377" s="7"/>
      <c r="C7377" s="7"/>
      <c r="D7377" s="7"/>
      <c r="E7377" s="7"/>
      <c r="F7377" s="7"/>
      <c r="G7377" s="7"/>
      <c r="H7377" s="8"/>
      <c r="I7377" s="8"/>
      <c r="J7377" s="7"/>
      <c r="K7377" s="7"/>
      <c r="L7377" s="7"/>
      <c r="M7377" s="7"/>
      <c r="N7377" s="7"/>
      <c r="O7377" s="7"/>
      <c r="P7377" s="7"/>
      <c r="Q7377" s="7"/>
      <c r="R7377" s="7"/>
      <c r="S7377" s="7"/>
      <c r="T7377" s="7"/>
      <c r="U7377" s="7"/>
      <c r="V7377" s="7"/>
      <c r="W7377" s="7"/>
      <c r="X7377" s="7"/>
      <c r="Y7377" s="7"/>
      <c r="Z7377" s="7"/>
    </row>
    <row r="7378" hidden="1">
      <c r="A7378" s="7"/>
      <c r="B7378" s="7"/>
      <c r="C7378" s="7"/>
      <c r="D7378" s="7"/>
      <c r="E7378" s="7"/>
      <c r="F7378" s="7"/>
      <c r="G7378" s="7"/>
      <c r="H7378" s="8"/>
      <c r="I7378" s="8"/>
      <c r="J7378" s="7"/>
      <c r="K7378" s="7"/>
      <c r="L7378" s="7"/>
      <c r="M7378" s="7"/>
      <c r="N7378" s="7"/>
      <c r="O7378" s="7"/>
      <c r="P7378" s="7"/>
      <c r="Q7378" s="7"/>
      <c r="R7378" s="7"/>
      <c r="S7378" s="7"/>
      <c r="T7378" s="7"/>
      <c r="U7378" s="7"/>
      <c r="V7378" s="7"/>
      <c r="W7378" s="7"/>
      <c r="X7378" s="7"/>
      <c r="Y7378" s="7"/>
      <c r="Z7378" s="7"/>
    </row>
    <row r="7379" hidden="1">
      <c r="A7379" s="7"/>
      <c r="B7379" s="7"/>
      <c r="C7379" s="7"/>
      <c r="D7379" s="7"/>
      <c r="E7379" s="7"/>
      <c r="F7379" s="7"/>
      <c r="G7379" s="7"/>
      <c r="H7379" s="8"/>
      <c r="I7379" s="8"/>
      <c r="J7379" s="7"/>
      <c r="K7379" s="7"/>
      <c r="L7379" s="7"/>
      <c r="M7379" s="7"/>
      <c r="N7379" s="7"/>
      <c r="O7379" s="7"/>
      <c r="P7379" s="7"/>
      <c r="Q7379" s="7"/>
      <c r="R7379" s="7"/>
      <c r="S7379" s="7"/>
      <c r="T7379" s="7"/>
      <c r="U7379" s="7"/>
      <c r="V7379" s="7"/>
      <c r="W7379" s="7"/>
      <c r="X7379" s="7"/>
      <c r="Y7379" s="7"/>
      <c r="Z7379" s="7"/>
    </row>
    <row r="7380" hidden="1">
      <c r="A7380" s="7"/>
      <c r="B7380" s="7"/>
      <c r="C7380" s="7"/>
      <c r="D7380" s="7"/>
      <c r="E7380" s="7"/>
      <c r="F7380" s="7"/>
      <c r="G7380" s="7"/>
      <c r="H7380" s="8"/>
      <c r="I7380" s="8"/>
      <c r="J7380" s="7"/>
      <c r="K7380" s="7"/>
      <c r="L7380" s="7"/>
      <c r="M7380" s="7"/>
      <c r="N7380" s="7"/>
      <c r="O7380" s="7"/>
      <c r="P7380" s="7"/>
      <c r="Q7380" s="7"/>
      <c r="R7380" s="7"/>
      <c r="S7380" s="7"/>
      <c r="T7380" s="7"/>
      <c r="U7380" s="7"/>
      <c r="V7380" s="7"/>
      <c r="W7380" s="7"/>
      <c r="X7380" s="7"/>
      <c r="Y7380" s="7"/>
      <c r="Z7380" s="7"/>
    </row>
    <row r="7381" hidden="1">
      <c r="A7381" s="7"/>
      <c r="B7381" s="7"/>
      <c r="C7381" s="7"/>
      <c r="D7381" s="7"/>
      <c r="E7381" s="7"/>
      <c r="F7381" s="7"/>
      <c r="G7381" s="7"/>
      <c r="H7381" s="8"/>
      <c r="I7381" s="8"/>
      <c r="J7381" s="7"/>
      <c r="K7381" s="7"/>
      <c r="L7381" s="7"/>
      <c r="M7381" s="7"/>
      <c r="N7381" s="7"/>
      <c r="O7381" s="7"/>
      <c r="P7381" s="7"/>
      <c r="Q7381" s="7"/>
      <c r="R7381" s="7"/>
      <c r="S7381" s="7"/>
      <c r="T7381" s="7"/>
      <c r="U7381" s="7"/>
      <c r="V7381" s="7"/>
      <c r="W7381" s="7"/>
      <c r="X7381" s="7"/>
      <c r="Y7381" s="7"/>
      <c r="Z7381" s="7"/>
    </row>
    <row r="7382" hidden="1">
      <c r="A7382" s="7"/>
      <c r="B7382" s="7"/>
      <c r="C7382" s="7"/>
      <c r="D7382" s="7"/>
      <c r="E7382" s="7"/>
      <c r="F7382" s="7"/>
      <c r="G7382" s="7"/>
      <c r="H7382" s="8"/>
      <c r="I7382" s="8"/>
      <c r="J7382" s="7"/>
      <c r="K7382" s="7"/>
      <c r="L7382" s="7"/>
      <c r="M7382" s="7"/>
      <c r="N7382" s="7"/>
      <c r="O7382" s="7"/>
      <c r="P7382" s="7"/>
      <c r="Q7382" s="7"/>
      <c r="R7382" s="7"/>
      <c r="S7382" s="7"/>
      <c r="T7382" s="7"/>
      <c r="U7382" s="7"/>
      <c r="V7382" s="7"/>
      <c r="W7382" s="7"/>
      <c r="X7382" s="7"/>
      <c r="Y7382" s="7"/>
      <c r="Z7382" s="7"/>
    </row>
    <row r="7383" hidden="1">
      <c r="A7383" s="7"/>
      <c r="B7383" s="7"/>
      <c r="C7383" s="7"/>
      <c r="D7383" s="7"/>
      <c r="E7383" s="7"/>
      <c r="F7383" s="7"/>
      <c r="G7383" s="7"/>
      <c r="H7383" s="8"/>
      <c r="I7383" s="8"/>
      <c r="J7383" s="7"/>
      <c r="K7383" s="7"/>
      <c r="L7383" s="7"/>
      <c r="M7383" s="7"/>
      <c r="N7383" s="7"/>
      <c r="O7383" s="7"/>
      <c r="P7383" s="7"/>
      <c r="Q7383" s="7"/>
      <c r="R7383" s="7"/>
      <c r="S7383" s="7"/>
      <c r="T7383" s="7"/>
      <c r="U7383" s="7"/>
      <c r="V7383" s="7"/>
      <c r="W7383" s="7"/>
      <c r="X7383" s="7"/>
      <c r="Y7383" s="7"/>
      <c r="Z7383" s="7"/>
    </row>
    <row r="7384" hidden="1">
      <c r="A7384" s="7"/>
      <c r="B7384" s="7"/>
      <c r="C7384" s="7"/>
      <c r="D7384" s="7"/>
      <c r="E7384" s="7"/>
      <c r="F7384" s="7"/>
      <c r="G7384" s="7"/>
      <c r="H7384" s="8"/>
      <c r="I7384" s="8"/>
      <c r="J7384" s="7"/>
      <c r="K7384" s="7"/>
      <c r="L7384" s="7"/>
      <c r="M7384" s="7"/>
      <c r="N7384" s="7"/>
      <c r="O7384" s="7"/>
      <c r="P7384" s="7"/>
      <c r="Q7384" s="7"/>
      <c r="R7384" s="7"/>
      <c r="S7384" s="7"/>
      <c r="T7384" s="7"/>
      <c r="U7384" s="7"/>
      <c r="V7384" s="7"/>
      <c r="W7384" s="7"/>
      <c r="X7384" s="7"/>
      <c r="Y7384" s="7"/>
      <c r="Z7384" s="7"/>
    </row>
    <row r="7385" hidden="1">
      <c r="A7385" s="7"/>
      <c r="B7385" s="7"/>
      <c r="C7385" s="7"/>
      <c r="D7385" s="7"/>
      <c r="E7385" s="7"/>
      <c r="F7385" s="7"/>
      <c r="G7385" s="7"/>
      <c r="H7385" s="8"/>
      <c r="I7385" s="8"/>
      <c r="J7385" s="7"/>
      <c r="K7385" s="7"/>
      <c r="L7385" s="7"/>
      <c r="M7385" s="7"/>
      <c r="N7385" s="7"/>
      <c r="O7385" s="7"/>
      <c r="P7385" s="7"/>
      <c r="Q7385" s="7"/>
      <c r="R7385" s="7"/>
      <c r="S7385" s="7"/>
      <c r="T7385" s="7"/>
      <c r="U7385" s="7"/>
      <c r="V7385" s="7"/>
      <c r="W7385" s="7"/>
      <c r="X7385" s="7"/>
      <c r="Y7385" s="7"/>
      <c r="Z7385" s="7"/>
    </row>
    <row r="7386" hidden="1">
      <c r="A7386" s="7"/>
      <c r="B7386" s="7"/>
      <c r="C7386" s="7"/>
      <c r="D7386" s="7"/>
      <c r="E7386" s="7"/>
      <c r="F7386" s="7"/>
      <c r="G7386" s="7"/>
      <c r="H7386" s="8"/>
      <c r="I7386" s="8"/>
      <c r="J7386" s="7"/>
      <c r="K7386" s="7"/>
      <c r="L7386" s="7"/>
      <c r="M7386" s="7"/>
      <c r="N7386" s="7"/>
      <c r="O7386" s="7"/>
      <c r="P7386" s="7"/>
      <c r="Q7386" s="7"/>
      <c r="R7386" s="7"/>
      <c r="S7386" s="7"/>
      <c r="T7386" s="7"/>
      <c r="U7386" s="7"/>
      <c r="V7386" s="7"/>
      <c r="W7386" s="7"/>
      <c r="X7386" s="7"/>
      <c r="Y7386" s="7"/>
      <c r="Z7386" s="7"/>
    </row>
    <row r="7387" hidden="1">
      <c r="A7387" s="7"/>
      <c r="B7387" s="7"/>
      <c r="C7387" s="7"/>
      <c r="D7387" s="7"/>
      <c r="E7387" s="7"/>
      <c r="F7387" s="7"/>
      <c r="G7387" s="7"/>
      <c r="H7387" s="8"/>
      <c r="I7387" s="8"/>
      <c r="J7387" s="7"/>
      <c r="K7387" s="7"/>
      <c r="L7387" s="7"/>
      <c r="M7387" s="7"/>
      <c r="N7387" s="7"/>
      <c r="O7387" s="7"/>
      <c r="P7387" s="7"/>
      <c r="Q7387" s="7"/>
      <c r="R7387" s="7"/>
      <c r="S7387" s="7"/>
      <c r="T7387" s="7"/>
      <c r="U7387" s="7"/>
      <c r="V7387" s="7"/>
      <c r="W7387" s="7"/>
      <c r="X7387" s="7"/>
      <c r="Y7387" s="7"/>
      <c r="Z7387" s="7"/>
    </row>
    <row r="7388" hidden="1">
      <c r="A7388" s="7"/>
      <c r="B7388" s="7"/>
      <c r="C7388" s="7"/>
      <c r="D7388" s="7"/>
      <c r="E7388" s="7"/>
      <c r="F7388" s="7"/>
      <c r="G7388" s="7"/>
      <c r="H7388" s="8"/>
      <c r="I7388" s="8"/>
      <c r="J7388" s="7"/>
      <c r="K7388" s="7"/>
      <c r="L7388" s="7"/>
      <c r="M7388" s="7"/>
      <c r="N7388" s="7"/>
      <c r="O7388" s="7"/>
      <c r="P7388" s="7"/>
      <c r="Q7388" s="7"/>
      <c r="R7388" s="7"/>
      <c r="S7388" s="7"/>
      <c r="T7388" s="7"/>
      <c r="U7388" s="7"/>
      <c r="V7388" s="7"/>
      <c r="W7388" s="7"/>
      <c r="X7388" s="7"/>
      <c r="Y7388" s="7"/>
      <c r="Z7388" s="7"/>
    </row>
    <row r="7389" hidden="1">
      <c r="A7389" s="7"/>
      <c r="B7389" s="7"/>
      <c r="C7389" s="7"/>
      <c r="D7389" s="7"/>
      <c r="E7389" s="7"/>
      <c r="F7389" s="7"/>
      <c r="G7389" s="7"/>
      <c r="H7389" s="8"/>
      <c r="I7389" s="8"/>
      <c r="J7389" s="7"/>
      <c r="K7389" s="7"/>
      <c r="L7389" s="7"/>
      <c r="M7389" s="7"/>
      <c r="N7389" s="7"/>
      <c r="O7389" s="7"/>
      <c r="P7389" s="7"/>
      <c r="Q7389" s="7"/>
      <c r="R7389" s="7"/>
      <c r="S7389" s="7"/>
      <c r="T7389" s="7"/>
      <c r="U7389" s="7"/>
      <c r="V7389" s="7"/>
      <c r="W7389" s="7"/>
      <c r="X7389" s="7"/>
      <c r="Y7389" s="7"/>
      <c r="Z7389" s="7"/>
    </row>
    <row r="7390" hidden="1">
      <c r="A7390" s="7"/>
      <c r="B7390" s="7"/>
      <c r="C7390" s="7"/>
      <c r="D7390" s="7"/>
      <c r="E7390" s="7"/>
      <c r="F7390" s="7"/>
      <c r="G7390" s="7"/>
      <c r="H7390" s="8"/>
      <c r="I7390" s="8"/>
      <c r="J7390" s="7"/>
      <c r="K7390" s="7"/>
      <c r="L7390" s="7"/>
      <c r="M7390" s="7"/>
      <c r="N7390" s="7"/>
      <c r="O7390" s="7"/>
      <c r="P7390" s="7"/>
      <c r="Q7390" s="7"/>
      <c r="R7390" s="7"/>
      <c r="S7390" s="7"/>
      <c r="T7390" s="7"/>
      <c r="U7390" s="7"/>
      <c r="V7390" s="7"/>
      <c r="W7390" s="7"/>
      <c r="X7390" s="7"/>
      <c r="Y7390" s="7"/>
      <c r="Z7390" s="7"/>
    </row>
    <row r="7391" hidden="1">
      <c r="A7391" s="7"/>
      <c r="B7391" s="7"/>
      <c r="C7391" s="7"/>
      <c r="D7391" s="7"/>
      <c r="E7391" s="7"/>
      <c r="F7391" s="7"/>
      <c r="G7391" s="7"/>
      <c r="H7391" s="8"/>
      <c r="I7391" s="8"/>
      <c r="J7391" s="7"/>
      <c r="K7391" s="7"/>
      <c r="L7391" s="7"/>
      <c r="M7391" s="7"/>
      <c r="N7391" s="7"/>
      <c r="O7391" s="7"/>
      <c r="P7391" s="7"/>
      <c r="Q7391" s="7"/>
      <c r="R7391" s="7"/>
      <c r="S7391" s="7"/>
      <c r="T7391" s="7"/>
      <c r="U7391" s="7"/>
      <c r="V7391" s="7"/>
      <c r="W7391" s="7"/>
      <c r="X7391" s="7"/>
      <c r="Y7391" s="7"/>
      <c r="Z7391" s="7"/>
    </row>
    <row r="7392" hidden="1">
      <c r="A7392" s="7"/>
      <c r="B7392" s="7"/>
      <c r="C7392" s="7"/>
      <c r="D7392" s="7"/>
      <c r="E7392" s="7"/>
      <c r="F7392" s="7"/>
      <c r="G7392" s="7"/>
      <c r="H7392" s="8"/>
      <c r="I7392" s="8"/>
      <c r="J7392" s="7"/>
      <c r="K7392" s="7"/>
      <c r="L7392" s="7"/>
      <c r="M7392" s="7"/>
      <c r="N7392" s="7"/>
      <c r="O7392" s="7"/>
      <c r="P7392" s="7"/>
      <c r="Q7392" s="7"/>
      <c r="R7392" s="7"/>
      <c r="S7392" s="7"/>
      <c r="T7392" s="7"/>
      <c r="U7392" s="7"/>
      <c r="V7392" s="7"/>
      <c r="W7392" s="7"/>
      <c r="X7392" s="7"/>
      <c r="Y7392" s="7"/>
      <c r="Z7392" s="7"/>
    </row>
    <row r="7393" hidden="1">
      <c r="A7393" s="7"/>
      <c r="B7393" s="7"/>
      <c r="C7393" s="7"/>
      <c r="D7393" s="7"/>
      <c r="E7393" s="7"/>
      <c r="F7393" s="7"/>
      <c r="G7393" s="7"/>
      <c r="H7393" s="8"/>
      <c r="I7393" s="8"/>
      <c r="J7393" s="7"/>
      <c r="K7393" s="7"/>
      <c r="L7393" s="7"/>
      <c r="M7393" s="7"/>
      <c r="N7393" s="7"/>
      <c r="O7393" s="7"/>
      <c r="P7393" s="7"/>
      <c r="Q7393" s="7"/>
      <c r="R7393" s="7"/>
      <c r="S7393" s="7"/>
      <c r="T7393" s="7"/>
      <c r="U7393" s="7"/>
      <c r="V7393" s="7"/>
      <c r="W7393" s="7"/>
      <c r="X7393" s="7"/>
      <c r="Y7393" s="7"/>
      <c r="Z7393" s="7"/>
    </row>
    <row r="7394" hidden="1">
      <c r="A7394" s="7"/>
      <c r="B7394" s="7"/>
      <c r="C7394" s="7"/>
      <c r="D7394" s="7"/>
      <c r="E7394" s="7"/>
      <c r="F7394" s="7"/>
      <c r="G7394" s="7"/>
      <c r="H7394" s="8"/>
      <c r="I7394" s="8"/>
      <c r="J7394" s="7"/>
      <c r="K7394" s="7"/>
      <c r="L7394" s="7"/>
      <c r="M7394" s="7"/>
      <c r="N7394" s="7"/>
      <c r="O7394" s="7"/>
      <c r="P7394" s="7"/>
      <c r="Q7394" s="7"/>
      <c r="R7394" s="7"/>
      <c r="S7394" s="7"/>
      <c r="T7394" s="7"/>
      <c r="U7394" s="7"/>
      <c r="V7394" s="7"/>
      <c r="W7394" s="7"/>
      <c r="X7394" s="7"/>
      <c r="Y7394" s="7"/>
      <c r="Z7394" s="7"/>
    </row>
    <row r="7395" hidden="1">
      <c r="A7395" s="7"/>
      <c r="B7395" s="7"/>
      <c r="C7395" s="7"/>
      <c r="D7395" s="7"/>
      <c r="E7395" s="7"/>
      <c r="F7395" s="7"/>
      <c r="G7395" s="7"/>
      <c r="H7395" s="8"/>
      <c r="I7395" s="8"/>
      <c r="J7395" s="7"/>
      <c r="K7395" s="7"/>
      <c r="L7395" s="7"/>
      <c r="M7395" s="7"/>
      <c r="N7395" s="7"/>
      <c r="O7395" s="7"/>
      <c r="P7395" s="7"/>
      <c r="Q7395" s="7"/>
      <c r="R7395" s="7"/>
      <c r="S7395" s="7"/>
      <c r="T7395" s="7"/>
      <c r="U7395" s="7"/>
      <c r="V7395" s="7"/>
      <c r="W7395" s="7"/>
      <c r="X7395" s="7"/>
      <c r="Y7395" s="7"/>
      <c r="Z7395" s="7"/>
    </row>
    <row r="7396" hidden="1">
      <c r="A7396" s="7"/>
      <c r="B7396" s="7"/>
      <c r="C7396" s="7"/>
      <c r="D7396" s="7"/>
      <c r="E7396" s="7"/>
      <c r="F7396" s="7"/>
      <c r="G7396" s="7"/>
      <c r="H7396" s="8"/>
      <c r="I7396" s="8"/>
      <c r="J7396" s="7"/>
      <c r="K7396" s="7"/>
      <c r="L7396" s="7"/>
      <c r="M7396" s="7"/>
      <c r="N7396" s="7"/>
      <c r="O7396" s="7"/>
      <c r="P7396" s="7"/>
      <c r="Q7396" s="7"/>
      <c r="R7396" s="7"/>
      <c r="S7396" s="7"/>
      <c r="T7396" s="7"/>
      <c r="U7396" s="7"/>
      <c r="V7396" s="7"/>
      <c r="W7396" s="7"/>
      <c r="X7396" s="7"/>
      <c r="Y7396" s="7"/>
      <c r="Z7396" s="7"/>
    </row>
    <row r="7397" hidden="1">
      <c r="A7397" s="7"/>
      <c r="B7397" s="7"/>
      <c r="C7397" s="7"/>
      <c r="D7397" s="7"/>
      <c r="E7397" s="7"/>
      <c r="F7397" s="7"/>
      <c r="G7397" s="7"/>
      <c r="H7397" s="8"/>
      <c r="I7397" s="8"/>
      <c r="J7397" s="7"/>
      <c r="K7397" s="7"/>
      <c r="L7397" s="7"/>
      <c r="M7397" s="7"/>
      <c r="N7397" s="7"/>
      <c r="O7397" s="7"/>
      <c r="P7397" s="7"/>
      <c r="Q7397" s="7"/>
      <c r="R7397" s="7"/>
      <c r="S7397" s="7"/>
      <c r="T7397" s="7"/>
      <c r="U7397" s="7"/>
      <c r="V7397" s="7"/>
      <c r="W7397" s="7"/>
      <c r="X7397" s="7"/>
      <c r="Y7397" s="7"/>
      <c r="Z7397" s="7"/>
    </row>
    <row r="7398" hidden="1">
      <c r="A7398" s="7"/>
      <c r="B7398" s="7"/>
      <c r="C7398" s="7"/>
      <c r="D7398" s="7"/>
      <c r="E7398" s="7"/>
      <c r="F7398" s="7"/>
      <c r="G7398" s="7"/>
      <c r="H7398" s="8"/>
      <c r="I7398" s="8"/>
      <c r="J7398" s="7"/>
      <c r="K7398" s="7"/>
      <c r="L7398" s="7"/>
      <c r="M7398" s="7"/>
      <c r="N7398" s="7"/>
      <c r="O7398" s="7"/>
      <c r="P7398" s="7"/>
      <c r="Q7398" s="7"/>
      <c r="R7398" s="7"/>
      <c r="S7398" s="7"/>
      <c r="T7398" s="7"/>
      <c r="U7398" s="7"/>
      <c r="V7398" s="7"/>
      <c r="W7398" s="7"/>
      <c r="X7398" s="7"/>
      <c r="Y7398" s="7"/>
      <c r="Z7398" s="7"/>
    </row>
    <row r="7399" hidden="1">
      <c r="A7399" s="7"/>
      <c r="B7399" s="7"/>
      <c r="C7399" s="7"/>
      <c r="D7399" s="7"/>
      <c r="E7399" s="7"/>
      <c r="F7399" s="7"/>
      <c r="G7399" s="7"/>
      <c r="H7399" s="8"/>
      <c r="I7399" s="8"/>
      <c r="J7399" s="7"/>
      <c r="K7399" s="7"/>
      <c r="L7399" s="7"/>
      <c r="M7399" s="7"/>
      <c r="N7399" s="7"/>
      <c r="O7399" s="7"/>
      <c r="P7399" s="7"/>
      <c r="Q7399" s="7"/>
      <c r="R7399" s="7"/>
      <c r="S7399" s="7"/>
      <c r="T7399" s="7"/>
      <c r="U7399" s="7"/>
      <c r="V7399" s="7"/>
      <c r="W7399" s="7"/>
      <c r="X7399" s="7"/>
      <c r="Y7399" s="7"/>
      <c r="Z7399" s="7"/>
    </row>
    <row r="7400" hidden="1">
      <c r="A7400" s="7"/>
      <c r="B7400" s="7"/>
      <c r="C7400" s="7"/>
      <c r="D7400" s="7"/>
      <c r="E7400" s="7"/>
      <c r="F7400" s="7"/>
      <c r="G7400" s="7"/>
      <c r="H7400" s="8"/>
      <c r="I7400" s="8"/>
      <c r="J7400" s="7"/>
      <c r="K7400" s="7"/>
      <c r="L7400" s="7"/>
      <c r="M7400" s="7"/>
      <c r="N7400" s="7"/>
      <c r="O7400" s="7"/>
      <c r="P7400" s="7"/>
      <c r="Q7400" s="7"/>
      <c r="R7400" s="7"/>
      <c r="S7400" s="7"/>
      <c r="T7400" s="7"/>
      <c r="U7400" s="7"/>
      <c r="V7400" s="7"/>
      <c r="W7400" s="7"/>
      <c r="X7400" s="7"/>
      <c r="Y7400" s="7"/>
      <c r="Z7400" s="7"/>
    </row>
    <row r="7401" hidden="1">
      <c r="A7401" s="7"/>
      <c r="B7401" s="7"/>
      <c r="C7401" s="7"/>
      <c r="D7401" s="7"/>
      <c r="E7401" s="7"/>
      <c r="F7401" s="7"/>
      <c r="G7401" s="7"/>
      <c r="H7401" s="8"/>
      <c r="I7401" s="8"/>
      <c r="J7401" s="7"/>
      <c r="K7401" s="7"/>
      <c r="L7401" s="7"/>
      <c r="M7401" s="7"/>
      <c r="N7401" s="7"/>
      <c r="O7401" s="7"/>
      <c r="P7401" s="7"/>
      <c r="Q7401" s="7"/>
      <c r="R7401" s="7"/>
      <c r="S7401" s="7"/>
      <c r="T7401" s="7"/>
      <c r="U7401" s="7"/>
      <c r="V7401" s="7"/>
      <c r="W7401" s="7"/>
      <c r="X7401" s="7"/>
      <c r="Y7401" s="7"/>
      <c r="Z7401" s="7"/>
    </row>
    <row r="7402" hidden="1">
      <c r="A7402" s="7"/>
      <c r="B7402" s="7"/>
      <c r="C7402" s="7"/>
      <c r="D7402" s="7"/>
      <c r="E7402" s="7"/>
      <c r="F7402" s="7"/>
      <c r="G7402" s="7"/>
      <c r="H7402" s="8"/>
      <c r="I7402" s="8"/>
      <c r="J7402" s="7"/>
      <c r="K7402" s="7"/>
      <c r="L7402" s="7"/>
      <c r="M7402" s="7"/>
      <c r="N7402" s="7"/>
      <c r="O7402" s="7"/>
      <c r="P7402" s="7"/>
      <c r="Q7402" s="7"/>
      <c r="R7402" s="7"/>
      <c r="S7402" s="7"/>
      <c r="T7402" s="7"/>
      <c r="U7402" s="7"/>
      <c r="V7402" s="7"/>
      <c r="W7402" s="7"/>
      <c r="X7402" s="7"/>
      <c r="Y7402" s="7"/>
      <c r="Z7402" s="7"/>
    </row>
    <row r="7403" hidden="1">
      <c r="A7403" s="7"/>
      <c r="B7403" s="7"/>
      <c r="C7403" s="7"/>
      <c r="D7403" s="7"/>
      <c r="E7403" s="7"/>
      <c r="F7403" s="7"/>
      <c r="G7403" s="7"/>
      <c r="H7403" s="8"/>
      <c r="I7403" s="8"/>
      <c r="J7403" s="7"/>
      <c r="K7403" s="7"/>
      <c r="L7403" s="7"/>
      <c r="M7403" s="7"/>
      <c r="N7403" s="7"/>
      <c r="O7403" s="7"/>
      <c r="P7403" s="7"/>
      <c r="Q7403" s="7"/>
      <c r="R7403" s="7"/>
      <c r="S7403" s="7"/>
      <c r="T7403" s="7"/>
      <c r="U7403" s="7"/>
      <c r="V7403" s="7"/>
      <c r="W7403" s="7"/>
      <c r="X7403" s="7"/>
      <c r="Y7403" s="7"/>
      <c r="Z7403" s="7"/>
    </row>
    <row r="7404" hidden="1">
      <c r="A7404" s="7"/>
      <c r="B7404" s="7"/>
      <c r="C7404" s="7"/>
      <c r="D7404" s="7"/>
      <c r="E7404" s="7"/>
      <c r="F7404" s="7"/>
      <c r="G7404" s="7"/>
      <c r="H7404" s="8"/>
      <c r="I7404" s="8"/>
      <c r="J7404" s="7"/>
      <c r="K7404" s="7"/>
      <c r="L7404" s="7"/>
      <c r="M7404" s="7"/>
      <c r="N7404" s="7"/>
      <c r="O7404" s="7"/>
      <c r="P7404" s="7"/>
      <c r="Q7404" s="7"/>
      <c r="R7404" s="7"/>
      <c r="S7404" s="7"/>
      <c r="T7404" s="7"/>
      <c r="U7404" s="7"/>
      <c r="V7404" s="7"/>
      <c r="W7404" s="7"/>
      <c r="X7404" s="7"/>
      <c r="Y7404" s="7"/>
      <c r="Z7404" s="7"/>
    </row>
    <row r="7405" hidden="1">
      <c r="A7405" s="7"/>
      <c r="B7405" s="7"/>
      <c r="C7405" s="7"/>
      <c r="D7405" s="7"/>
      <c r="E7405" s="7"/>
      <c r="F7405" s="7"/>
      <c r="G7405" s="7"/>
      <c r="H7405" s="8"/>
      <c r="I7405" s="8"/>
      <c r="J7405" s="7"/>
      <c r="K7405" s="7"/>
      <c r="L7405" s="7"/>
      <c r="M7405" s="7"/>
      <c r="N7405" s="7"/>
      <c r="O7405" s="7"/>
      <c r="P7405" s="7"/>
      <c r="Q7405" s="7"/>
      <c r="R7405" s="7"/>
      <c r="S7405" s="7"/>
      <c r="T7405" s="7"/>
      <c r="U7405" s="7"/>
      <c r="V7405" s="7"/>
      <c r="W7405" s="7"/>
      <c r="X7405" s="7"/>
      <c r="Y7405" s="7"/>
      <c r="Z7405" s="7"/>
    </row>
    <row r="7406" hidden="1">
      <c r="A7406" s="7"/>
      <c r="B7406" s="7"/>
      <c r="C7406" s="7"/>
      <c r="D7406" s="7"/>
      <c r="E7406" s="7"/>
      <c r="F7406" s="7"/>
      <c r="G7406" s="7"/>
      <c r="H7406" s="8"/>
      <c r="I7406" s="8"/>
      <c r="J7406" s="7"/>
      <c r="K7406" s="7"/>
      <c r="L7406" s="7"/>
      <c r="M7406" s="7"/>
      <c r="N7406" s="7"/>
      <c r="O7406" s="7"/>
      <c r="P7406" s="7"/>
      <c r="Q7406" s="7"/>
      <c r="R7406" s="7"/>
      <c r="S7406" s="7"/>
      <c r="T7406" s="7"/>
      <c r="U7406" s="7"/>
      <c r="V7406" s="7"/>
      <c r="W7406" s="7"/>
      <c r="X7406" s="7"/>
      <c r="Y7406" s="7"/>
      <c r="Z7406" s="7"/>
    </row>
    <row r="7407" hidden="1">
      <c r="A7407" s="7"/>
      <c r="B7407" s="7"/>
      <c r="C7407" s="7"/>
      <c r="D7407" s="7"/>
      <c r="E7407" s="7"/>
      <c r="F7407" s="7"/>
      <c r="G7407" s="7"/>
      <c r="H7407" s="8"/>
      <c r="I7407" s="8"/>
      <c r="J7407" s="7"/>
      <c r="K7407" s="7"/>
      <c r="L7407" s="7"/>
      <c r="M7407" s="7"/>
      <c r="N7407" s="7"/>
      <c r="O7407" s="7"/>
      <c r="P7407" s="7"/>
      <c r="Q7407" s="7"/>
      <c r="R7407" s="7"/>
      <c r="S7407" s="7"/>
      <c r="T7407" s="7"/>
      <c r="U7407" s="7"/>
      <c r="V7407" s="7"/>
      <c r="W7407" s="7"/>
      <c r="X7407" s="7"/>
      <c r="Y7407" s="7"/>
      <c r="Z7407" s="7"/>
    </row>
    <row r="7408" hidden="1">
      <c r="A7408" s="7"/>
      <c r="B7408" s="7"/>
      <c r="C7408" s="7"/>
      <c r="D7408" s="7"/>
      <c r="E7408" s="7"/>
      <c r="F7408" s="7"/>
      <c r="G7408" s="7"/>
      <c r="H7408" s="8"/>
      <c r="I7408" s="8"/>
      <c r="J7408" s="7"/>
      <c r="K7408" s="7"/>
      <c r="L7408" s="7"/>
      <c r="M7408" s="7"/>
      <c r="N7408" s="7"/>
      <c r="O7408" s="7"/>
      <c r="P7408" s="7"/>
      <c r="Q7408" s="7"/>
      <c r="R7408" s="7"/>
      <c r="S7408" s="7"/>
      <c r="T7408" s="7"/>
      <c r="U7408" s="7"/>
      <c r="V7408" s="7"/>
      <c r="W7408" s="7"/>
      <c r="X7408" s="7"/>
      <c r="Y7408" s="7"/>
      <c r="Z7408" s="7"/>
    </row>
    <row r="7409" hidden="1">
      <c r="A7409" s="7"/>
      <c r="B7409" s="7"/>
      <c r="C7409" s="7"/>
      <c r="D7409" s="7"/>
      <c r="E7409" s="7"/>
      <c r="F7409" s="7"/>
      <c r="G7409" s="7"/>
      <c r="H7409" s="8"/>
      <c r="I7409" s="8"/>
      <c r="J7409" s="7"/>
      <c r="K7409" s="7"/>
      <c r="L7409" s="7"/>
      <c r="M7409" s="7"/>
      <c r="N7409" s="7"/>
      <c r="O7409" s="7"/>
      <c r="P7409" s="7"/>
      <c r="Q7409" s="7"/>
      <c r="R7409" s="7"/>
      <c r="S7409" s="7"/>
      <c r="T7409" s="7"/>
      <c r="U7409" s="7"/>
      <c r="V7409" s="7"/>
      <c r="W7409" s="7"/>
      <c r="X7409" s="7"/>
      <c r="Y7409" s="7"/>
      <c r="Z7409" s="7"/>
    </row>
    <row r="7410" hidden="1">
      <c r="A7410" s="7"/>
      <c r="B7410" s="7"/>
      <c r="C7410" s="7"/>
      <c r="D7410" s="7"/>
      <c r="E7410" s="7"/>
      <c r="F7410" s="7"/>
      <c r="G7410" s="7"/>
      <c r="H7410" s="8"/>
      <c r="I7410" s="8"/>
      <c r="J7410" s="7"/>
      <c r="K7410" s="7"/>
      <c r="L7410" s="7"/>
      <c r="M7410" s="7"/>
      <c r="N7410" s="7"/>
      <c r="O7410" s="7"/>
      <c r="P7410" s="7"/>
      <c r="Q7410" s="7"/>
      <c r="R7410" s="7"/>
      <c r="S7410" s="7"/>
      <c r="T7410" s="7"/>
      <c r="U7410" s="7"/>
      <c r="V7410" s="7"/>
      <c r="W7410" s="7"/>
      <c r="X7410" s="7"/>
      <c r="Y7410" s="7"/>
      <c r="Z7410" s="7"/>
    </row>
    <row r="7411" hidden="1">
      <c r="A7411" s="7"/>
      <c r="B7411" s="7"/>
      <c r="C7411" s="7"/>
      <c r="D7411" s="7"/>
      <c r="E7411" s="7"/>
      <c r="F7411" s="7"/>
      <c r="G7411" s="7"/>
      <c r="H7411" s="8"/>
      <c r="I7411" s="8"/>
      <c r="J7411" s="7"/>
      <c r="K7411" s="7"/>
      <c r="L7411" s="7"/>
      <c r="M7411" s="7"/>
      <c r="N7411" s="7"/>
      <c r="O7411" s="7"/>
      <c r="P7411" s="7"/>
      <c r="Q7411" s="7"/>
      <c r="R7411" s="7"/>
      <c r="S7411" s="7"/>
      <c r="T7411" s="7"/>
      <c r="U7411" s="7"/>
      <c r="V7411" s="7"/>
      <c r="W7411" s="7"/>
      <c r="X7411" s="7"/>
      <c r="Y7411" s="7"/>
      <c r="Z7411" s="7"/>
    </row>
    <row r="7412" hidden="1">
      <c r="A7412" s="7"/>
      <c r="B7412" s="7"/>
      <c r="C7412" s="7"/>
      <c r="D7412" s="7"/>
      <c r="E7412" s="7"/>
      <c r="F7412" s="7"/>
      <c r="G7412" s="7"/>
      <c r="H7412" s="8"/>
      <c r="I7412" s="8"/>
      <c r="J7412" s="7"/>
      <c r="K7412" s="7"/>
      <c r="L7412" s="7"/>
      <c r="M7412" s="7"/>
      <c r="N7412" s="7"/>
      <c r="O7412" s="7"/>
      <c r="P7412" s="7"/>
      <c r="Q7412" s="7"/>
      <c r="R7412" s="7"/>
      <c r="S7412" s="7"/>
      <c r="T7412" s="7"/>
      <c r="U7412" s="7"/>
      <c r="V7412" s="7"/>
      <c r="W7412" s="7"/>
      <c r="X7412" s="7"/>
      <c r="Y7412" s="7"/>
      <c r="Z7412" s="7"/>
    </row>
    <row r="7413" hidden="1">
      <c r="A7413" s="7"/>
      <c r="B7413" s="7"/>
      <c r="C7413" s="7"/>
      <c r="D7413" s="7"/>
      <c r="E7413" s="7"/>
      <c r="F7413" s="7"/>
      <c r="G7413" s="7"/>
      <c r="H7413" s="8"/>
      <c r="I7413" s="8"/>
      <c r="J7413" s="7"/>
      <c r="K7413" s="7"/>
      <c r="L7413" s="7"/>
      <c r="M7413" s="7"/>
      <c r="N7413" s="7"/>
      <c r="O7413" s="7"/>
      <c r="P7413" s="7"/>
      <c r="Q7413" s="7"/>
      <c r="R7413" s="7"/>
      <c r="S7413" s="7"/>
      <c r="T7413" s="7"/>
      <c r="U7413" s="7"/>
      <c r="V7413" s="7"/>
      <c r="W7413" s="7"/>
      <c r="X7413" s="7"/>
      <c r="Y7413" s="7"/>
      <c r="Z7413" s="7"/>
    </row>
    <row r="7414" hidden="1">
      <c r="A7414" s="7"/>
      <c r="B7414" s="7"/>
      <c r="C7414" s="7"/>
      <c r="D7414" s="7"/>
      <c r="E7414" s="7"/>
      <c r="F7414" s="7"/>
      <c r="G7414" s="7"/>
      <c r="H7414" s="8"/>
      <c r="I7414" s="8"/>
      <c r="J7414" s="7"/>
      <c r="K7414" s="7"/>
      <c r="L7414" s="7"/>
      <c r="M7414" s="7"/>
      <c r="N7414" s="7"/>
      <c r="O7414" s="7"/>
      <c r="P7414" s="7"/>
      <c r="Q7414" s="7"/>
      <c r="R7414" s="7"/>
      <c r="S7414" s="7"/>
      <c r="T7414" s="7"/>
      <c r="U7414" s="7"/>
      <c r="V7414" s="7"/>
      <c r="W7414" s="7"/>
      <c r="X7414" s="7"/>
      <c r="Y7414" s="7"/>
      <c r="Z7414" s="7"/>
    </row>
    <row r="7415" hidden="1">
      <c r="A7415" s="7"/>
      <c r="B7415" s="7"/>
      <c r="C7415" s="7"/>
      <c r="D7415" s="7"/>
      <c r="E7415" s="7"/>
      <c r="F7415" s="7"/>
      <c r="G7415" s="7"/>
      <c r="H7415" s="8"/>
      <c r="I7415" s="8"/>
      <c r="J7415" s="7"/>
      <c r="K7415" s="7"/>
      <c r="L7415" s="7"/>
      <c r="M7415" s="7"/>
      <c r="N7415" s="7"/>
      <c r="O7415" s="7"/>
      <c r="P7415" s="7"/>
      <c r="Q7415" s="7"/>
      <c r="R7415" s="7"/>
      <c r="S7415" s="7"/>
      <c r="T7415" s="7"/>
      <c r="U7415" s="7"/>
      <c r="V7415" s="7"/>
      <c r="W7415" s="7"/>
      <c r="X7415" s="7"/>
      <c r="Y7415" s="7"/>
      <c r="Z7415" s="7"/>
    </row>
    <row r="7416" hidden="1">
      <c r="A7416" s="7"/>
      <c r="B7416" s="7"/>
      <c r="C7416" s="7"/>
      <c r="D7416" s="7"/>
      <c r="E7416" s="7"/>
      <c r="F7416" s="7"/>
      <c r="G7416" s="7"/>
      <c r="H7416" s="8"/>
      <c r="I7416" s="8"/>
      <c r="J7416" s="7"/>
      <c r="K7416" s="7"/>
      <c r="L7416" s="7"/>
      <c r="M7416" s="7"/>
      <c r="N7416" s="7"/>
      <c r="O7416" s="7"/>
      <c r="P7416" s="7"/>
      <c r="Q7416" s="7"/>
      <c r="R7416" s="7"/>
      <c r="S7416" s="7"/>
      <c r="T7416" s="7"/>
      <c r="U7416" s="7"/>
      <c r="V7416" s="7"/>
      <c r="W7416" s="7"/>
      <c r="X7416" s="7"/>
      <c r="Y7416" s="7"/>
      <c r="Z7416" s="7"/>
    </row>
    <row r="7417" hidden="1">
      <c r="A7417" s="7"/>
      <c r="B7417" s="7"/>
      <c r="C7417" s="7"/>
      <c r="D7417" s="7"/>
      <c r="E7417" s="7"/>
      <c r="F7417" s="7"/>
      <c r="G7417" s="7"/>
      <c r="H7417" s="8"/>
      <c r="I7417" s="8"/>
      <c r="J7417" s="7"/>
      <c r="K7417" s="7"/>
      <c r="L7417" s="7"/>
      <c r="M7417" s="7"/>
      <c r="N7417" s="7"/>
      <c r="O7417" s="7"/>
      <c r="P7417" s="7"/>
      <c r="Q7417" s="7"/>
      <c r="R7417" s="7"/>
      <c r="S7417" s="7"/>
      <c r="T7417" s="7"/>
      <c r="U7417" s="7"/>
      <c r="V7417" s="7"/>
      <c r="W7417" s="7"/>
      <c r="X7417" s="7"/>
      <c r="Y7417" s="7"/>
      <c r="Z7417" s="7"/>
    </row>
    <row r="7418" hidden="1">
      <c r="A7418" s="7"/>
      <c r="B7418" s="7"/>
      <c r="C7418" s="7"/>
      <c r="D7418" s="7"/>
      <c r="E7418" s="7"/>
      <c r="F7418" s="7"/>
      <c r="G7418" s="7"/>
      <c r="H7418" s="8"/>
      <c r="I7418" s="8"/>
      <c r="J7418" s="7"/>
      <c r="K7418" s="7"/>
      <c r="L7418" s="7"/>
      <c r="M7418" s="7"/>
      <c r="N7418" s="7"/>
      <c r="O7418" s="7"/>
      <c r="P7418" s="7"/>
      <c r="Q7418" s="7"/>
      <c r="R7418" s="7"/>
      <c r="S7418" s="7"/>
      <c r="T7418" s="7"/>
      <c r="U7418" s="7"/>
      <c r="V7418" s="7"/>
      <c r="W7418" s="7"/>
      <c r="X7418" s="7"/>
      <c r="Y7418" s="7"/>
      <c r="Z7418" s="7"/>
    </row>
    <row r="7419" hidden="1">
      <c r="A7419" s="7"/>
      <c r="B7419" s="7"/>
      <c r="C7419" s="7"/>
      <c r="D7419" s="7"/>
      <c r="E7419" s="7"/>
      <c r="F7419" s="7"/>
      <c r="G7419" s="7"/>
      <c r="H7419" s="8"/>
      <c r="I7419" s="8"/>
      <c r="J7419" s="7"/>
      <c r="K7419" s="7"/>
      <c r="L7419" s="7"/>
      <c r="M7419" s="7"/>
      <c r="N7419" s="7"/>
      <c r="O7419" s="7"/>
      <c r="P7419" s="7"/>
      <c r="Q7419" s="7"/>
      <c r="R7419" s="7"/>
      <c r="S7419" s="7"/>
      <c r="T7419" s="7"/>
      <c r="U7419" s="7"/>
      <c r="V7419" s="7"/>
      <c r="W7419" s="7"/>
      <c r="X7419" s="7"/>
      <c r="Y7419" s="7"/>
      <c r="Z7419" s="7"/>
    </row>
    <row r="7420" hidden="1">
      <c r="A7420" s="7"/>
      <c r="B7420" s="7"/>
      <c r="C7420" s="7"/>
      <c r="D7420" s="7"/>
      <c r="E7420" s="7"/>
      <c r="F7420" s="7"/>
      <c r="G7420" s="7"/>
      <c r="H7420" s="8"/>
      <c r="I7420" s="8"/>
      <c r="J7420" s="7"/>
      <c r="K7420" s="7"/>
      <c r="L7420" s="7"/>
      <c r="M7420" s="7"/>
      <c r="N7420" s="7"/>
      <c r="O7420" s="7"/>
      <c r="P7420" s="7"/>
      <c r="Q7420" s="7"/>
      <c r="R7420" s="7"/>
      <c r="S7420" s="7"/>
      <c r="T7420" s="7"/>
      <c r="U7420" s="7"/>
      <c r="V7420" s="7"/>
      <c r="W7420" s="7"/>
      <c r="X7420" s="7"/>
      <c r="Y7420" s="7"/>
      <c r="Z7420" s="7"/>
    </row>
    <row r="7421" hidden="1">
      <c r="A7421" s="7"/>
      <c r="B7421" s="7"/>
      <c r="C7421" s="7"/>
      <c r="D7421" s="7"/>
      <c r="E7421" s="7"/>
      <c r="F7421" s="7"/>
      <c r="G7421" s="7"/>
      <c r="H7421" s="8"/>
      <c r="I7421" s="8"/>
      <c r="J7421" s="7"/>
      <c r="K7421" s="7"/>
      <c r="L7421" s="7"/>
      <c r="M7421" s="7"/>
      <c r="N7421" s="7"/>
      <c r="O7421" s="7"/>
      <c r="P7421" s="7"/>
      <c r="Q7421" s="7"/>
      <c r="R7421" s="7"/>
      <c r="S7421" s="7"/>
      <c r="T7421" s="7"/>
      <c r="U7421" s="7"/>
      <c r="V7421" s="7"/>
      <c r="W7421" s="7"/>
      <c r="X7421" s="7"/>
      <c r="Y7421" s="7"/>
      <c r="Z7421" s="7"/>
    </row>
    <row r="7422" hidden="1">
      <c r="A7422" s="7"/>
      <c r="B7422" s="7"/>
      <c r="C7422" s="7"/>
      <c r="D7422" s="7"/>
      <c r="E7422" s="7"/>
      <c r="F7422" s="7"/>
      <c r="G7422" s="7"/>
      <c r="H7422" s="8"/>
      <c r="I7422" s="8"/>
      <c r="J7422" s="7"/>
      <c r="K7422" s="7"/>
      <c r="L7422" s="7"/>
      <c r="M7422" s="7"/>
      <c r="N7422" s="7"/>
      <c r="O7422" s="7"/>
      <c r="P7422" s="7"/>
      <c r="Q7422" s="7"/>
      <c r="R7422" s="7"/>
      <c r="S7422" s="7"/>
      <c r="T7422" s="7"/>
      <c r="U7422" s="7"/>
      <c r="V7422" s="7"/>
      <c r="W7422" s="7"/>
      <c r="X7422" s="7"/>
      <c r="Y7422" s="7"/>
      <c r="Z7422" s="7"/>
    </row>
    <row r="7423" hidden="1">
      <c r="A7423" s="7"/>
      <c r="B7423" s="7"/>
      <c r="C7423" s="7"/>
      <c r="D7423" s="7"/>
      <c r="E7423" s="7"/>
      <c r="F7423" s="7"/>
      <c r="G7423" s="7"/>
      <c r="H7423" s="8"/>
      <c r="I7423" s="8"/>
      <c r="J7423" s="7"/>
      <c r="K7423" s="7"/>
      <c r="L7423" s="7"/>
      <c r="M7423" s="7"/>
      <c r="N7423" s="7"/>
      <c r="O7423" s="7"/>
      <c r="P7423" s="7"/>
      <c r="Q7423" s="7"/>
      <c r="R7423" s="7"/>
      <c r="S7423" s="7"/>
      <c r="T7423" s="7"/>
      <c r="U7423" s="7"/>
      <c r="V7423" s="7"/>
      <c r="W7423" s="7"/>
      <c r="X7423" s="7"/>
      <c r="Y7423" s="7"/>
      <c r="Z7423" s="7"/>
    </row>
    <row r="7424" hidden="1">
      <c r="A7424" s="7"/>
      <c r="B7424" s="7"/>
      <c r="C7424" s="7"/>
      <c r="D7424" s="7"/>
      <c r="E7424" s="7"/>
      <c r="F7424" s="7"/>
      <c r="G7424" s="7"/>
      <c r="H7424" s="8"/>
      <c r="I7424" s="8"/>
      <c r="J7424" s="7"/>
      <c r="K7424" s="7"/>
      <c r="L7424" s="7"/>
      <c r="M7424" s="7"/>
      <c r="N7424" s="7"/>
      <c r="O7424" s="7"/>
      <c r="P7424" s="7"/>
      <c r="Q7424" s="7"/>
      <c r="R7424" s="7"/>
      <c r="S7424" s="7"/>
      <c r="T7424" s="7"/>
      <c r="U7424" s="7"/>
      <c r="V7424" s="7"/>
      <c r="W7424" s="7"/>
      <c r="X7424" s="7"/>
      <c r="Y7424" s="7"/>
      <c r="Z7424" s="7"/>
    </row>
    <row r="7425" hidden="1">
      <c r="A7425" s="7"/>
      <c r="B7425" s="7"/>
      <c r="C7425" s="7"/>
      <c r="D7425" s="7"/>
      <c r="E7425" s="7"/>
      <c r="F7425" s="7"/>
      <c r="G7425" s="7"/>
      <c r="H7425" s="8"/>
      <c r="I7425" s="8"/>
      <c r="J7425" s="7"/>
      <c r="K7425" s="7"/>
      <c r="L7425" s="7"/>
      <c r="M7425" s="7"/>
      <c r="N7425" s="7"/>
      <c r="O7425" s="7"/>
      <c r="P7425" s="7"/>
      <c r="Q7425" s="7"/>
      <c r="R7425" s="7"/>
      <c r="S7425" s="7"/>
      <c r="T7425" s="7"/>
      <c r="U7425" s="7"/>
      <c r="V7425" s="7"/>
      <c r="W7425" s="7"/>
      <c r="X7425" s="7"/>
      <c r="Y7425" s="7"/>
      <c r="Z7425" s="7"/>
    </row>
    <row r="7426" hidden="1">
      <c r="A7426" s="7"/>
      <c r="B7426" s="7"/>
      <c r="C7426" s="7"/>
      <c r="D7426" s="7"/>
      <c r="E7426" s="7"/>
      <c r="F7426" s="7"/>
      <c r="G7426" s="7"/>
      <c r="H7426" s="8"/>
      <c r="I7426" s="8"/>
      <c r="J7426" s="7"/>
      <c r="K7426" s="7"/>
      <c r="L7426" s="7"/>
      <c r="M7426" s="7"/>
      <c r="N7426" s="7"/>
      <c r="O7426" s="7"/>
      <c r="P7426" s="7"/>
      <c r="Q7426" s="7"/>
      <c r="R7426" s="7"/>
      <c r="S7426" s="7"/>
      <c r="T7426" s="7"/>
      <c r="U7426" s="7"/>
      <c r="V7426" s="7"/>
      <c r="W7426" s="7"/>
      <c r="X7426" s="7"/>
      <c r="Y7426" s="7"/>
      <c r="Z7426" s="7"/>
    </row>
    <row r="7427" hidden="1">
      <c r="A7427" s="7"/>
      <c r="B7427" s="7"/>
      <c r="C7427" s="7"/>
      <c r="D7427" s="7"/>
      <c r="E7427" s="7"/>
      <c r="F7427" s="7"/>
      <c r="G7427" s="7"/>
      <c r="H7427" s="8"/>
      <c r="I7427" s="8"/>
      <c r="J7427" s="7"/>
      <c r="K7427" s="7"/>
      <c r="L7427" s="7"/>
      <c r="M7427" s="7"/>
      <c r="N7427" s="7"/>
      <c r="O7427" s="7"/>
      <c r="P7427" s="7"/>
      <c r="Q7427" s="7"/>
      <c r="R7427" s="7"/>
      <c r="S7427" s="7"/>
      <c r="T7427" s="7"/>
      <c r="U7427" s="7"/>
      <c r="V7427" s="7"/>
      <c r="W7427" s="7"/>
      <c r="X7427" s="7"/>
      <c r="Y7427" s="7"/>
      <c r="Z7427" s="7"/>
    </row>
    <row r="7428" hidden="1">
      <c r="A7428" s="7"/>
      <c r="B7428" s="7"/>
      <c r="C7428" s="7"/>
      <c r="D7428" s="7"/>
      <c r="E7428" s="7"/>
      <c r="F7428" s="7"/>
      <c r="G7428" s="7"/>
      <c r="H7428" s="8"/>
      <c r="I7428" s="8"/>
      <c r="J7428" s="7"/>
      <c r="K7428" s="7"/>
      <c r="L7428" s="7"/>
      <c r="M7428" s="7"/>
      <c r="N7428" s="7"/>
      <c r="O7428" s="7"/>
      <c r="P7428" s="7"/>
      <c r="Q7428" s="7"/>
      <c r="R7428" s="7"/>
      <c r="S7428" s="7"/>
      <c r="T7428" s="7"/>
      <c r="U7428" s="7"/>
      <c r="V7428" s="7"/>
      <c r="W7428" s="7"/>
      <c r="X7428" s="7"/>
      <c r="Y7428" s="7"/>
      <c r="Z7428" s="7"/>
    </row>
    <row r="7429" hidden="1">
      <c r="A7429" s="7"/>
      <c r="B7429" s="7"/>
      <c r="C7429" s="7"/>
      <c r="D7429" s="7"/>
      <c r="E7429" s="7"/>
      <c r="F7429" s="7"/>
      <c r="G7429" s="7"/>
      <c r="H7429" s="8"/>
      <c r="I7429" s="8"/>
      <c r="J7429" s="7"/>
      <c r="K7429" s="7"/>
      <c r="L7429" s="7"/>
      <c r="M7429" s="7"/>
      <c r="N7429" s="7"/>
      <c r="O7429" s="7"/>
      <c r="P7429" s="7"/>
      <c r="Q7429" s="7"/>
      <c r="R7429" s="7"/>
      <c r="S7429" s="7"/>
      <c r="T7429" s="7"/>
      <c r="U7429" s="7"/>
      <c r="V7429" s="7"/>
      <c r="W7429" s="7"/>
      <c r="X7429" s="7"/>
      <c r="Y7429" s="7"/>
      <c r="Z7429" s="7"/>
    </row>
    <row r="7430" hidden="1">
      <c r="A7430" s="7"/>
      <c r="B7430" s="7"/>
      <c r="C7430" s="7"/>
      <c r="D7430" s="7"/>
      <c r="E7430" s="7"/>
      <c r="F7430" s="7"/>
      <c r="G7430" s="7"/>
      <c r="H7430" s="8"/>
      <c r="I7430" s="8"/>
      <c r="J7430" s="7"/>
      <c r="K7430" s="7"/>
      <c r="L7430" s="7"/>
      <c r="M7430" s="7"/>
      <c r="N7430" s="7"/>
      <c r="O7430" s="7"/>
      <c r="P7430" s="7"/>
      <c r="Q7430" s="7"/>
      <c r="R7430" s="7"/>
      <c r="S7430" s="7"/>
      <c r="T7430" s="7"/>
      <c r="U7430" s="7"/>
      <c r="V7430" s="7"/>
      <c r="W7430" s="7"/>
      <c r="X7430" s="7"/>
      <c r="Y7430" s="7"/>
      <c r="Z7430" s="7"/>
    </row>
    <row r="7431" hidden="1">
      <c r="A7431" s="7"/>
      <c r="B7431" s="7"/>
      <c r="C7431" s="7"/>
      <c r="D7431" s="7"/>
      <c r="E7431" s="7"/>
      <c r="F7431" s="7"/>
      <c r="G7431" s="7"/>
      <c r="H7431" s="8"/>
      <c r="I7431" s="8"/>
      <c r="J7431" s="7"/>
      <c r="K7431" s="7"/>
      <c r="L7431" s="7"/>
      <c r="M7431" s="7"/>
      <c r="N7431" s="7"/>
      <c r="O7431" s="7"/>
      <c r="P7431" s="7"/>
      <c r="Q7431" s="7"/>
      <c r="R7431" s="7"/>
      <c r="S7431" s="7"/>
      <c r="T7431" s="7"/>
      <c r="U7431" s="7"/>
      <c r="V7431" s="7"/>
      <c r="W7431" s="7"/>
      <c r="X7431" s="7"/>
      <c r="Y7431" s="7"/>
      <c r="Z7431" s="7"/>
    </row>
    <row r="7432" hidden="1">
      <c r="A7432" s="7"/>
      <c r="B7432" s="7"/>
      <c r="C7432" s="7"/>
      <c r="D7432" s="7"/>
      <c r="E7432" s="7"/>
      <c r="F7432" s="7"/>
      <c r="G7432" s="7"/>
      <c r="H7432" s="8"/>
      <c r="I7432" s="8"/>
      <c r="J7432" s="7"/>
      <c r="K7432" s="7"/>
      <c r="L7432" s="7"/>
      <c r="M7432" s="7"/>
      <c r="N7432" s="7"/>
      <c r="O7432" s="7"/>
      <c r="P7432" s="7"/>
      <c r="Q7432" s="7"/>
      <c r="R7432" s="7"/>
      <c r="S7432" s="7"/>
      <c r="T7432" s="7"/>
      <c r="U7432" s="7"/>
      <c r="V7432" s="7"/>
      <c r="W7432" s="7"/>
      <c r="X7432" s="7"/>
      <c r="Y7432" s="7"/>
      <c r="Z7432" s="7"/>
    </row>
    <row r="7433" hidden="1">
      <c r="A7433" s="7"/>
      <c r="B7433" s="7"/>
      <c r="C7433" s="7"/>
      <c r="D7433" s="7"/>
      <c r="E7433" s="7"/>
      <c r="F7433" s="7"/>
      <c r="G7433" s="7"/>
      <c r="H7433" s="8"/>
      <c r="I7433" s="8"/>
      <c r="J7433" s="7"/>
      <c r="K7433" s="7"/>
      <c r="L7433" s="7"/>
      <c r="M7433" s="7"/>
      <c r="N7433" s="7"/>
      <c r="O7433" s="7"/>
      <c r="P7433" s="7"/>
      <c r="Q7433" s="7"/>
      <c r="R7433" s="7"/>
      <c r="S7433" s="7"/>
      <c r="T7433" s="7"/>
      <c r="U7433" s="7"/>
      <c r="V7433" s="7"/>
      <c r="W7433" s="7"/>
      <c r="X7433" s="7"/>
      <c r="Y7433" s="7"/>
      <c r="Z7433" s="7"/>
    </row>
    <row r="7434" hidden="1">
      <c r="A7434" s="7"/>
      <c r="B7434" s="7"/>
      <c r="C7434" s="7"/>
      <c r="D7434" s="7"/>
      <c r="E7434" s="7"/>
      <c r="F7434" s="7"/>
      <c r="G7434" s="7"/>
      <c r="H7434" s="8"/>
      <c r="I7434" s="8"/>
      <c r="J7434" s="7"/>
      <c r="K7434" s="7"/>
      <c r="L7434" s="7"/>
      <c r="M7434" s="7"/>
      <c r="N7434" s="7"/>
      <c r="O7434" s="7"/>
      <c r="P7434" s="7"/>
      <c r="Q7434" s="7"/>
      <c r="R7434" s="7"/>
      <c r="S7434" s="7"/>
      <c r="T7434" s="7"/>
      <c r="U7434" s="7"/>
      <c r="V7434" s="7"/>
      <c r="W7434" s="7"/>
      <c r="X7434" s="7"/>
      <c r="Y7434" s="7"/>
      <c r="Z7434" s="7"/>
    </row>
    <row r="7435" hidden="1">
      <c r="A7435" s="7"/>
      <c r="B7435" s="7"/>
      <c r="C7435" s="7"/>
      <c r="D7435" s="7"/>
      <c r="E7435" s="7"/>
      <c r="F7435" s="7"/>
      <c r="G7435" s="7"/>
      <c r="H7435" s="8"/>
      <c r="I7435" s="8"/>
      <c r="J7435" s="7"/>
      <c r="K7435" s="7"/>
      <c r="L7435" s="7"/>
      <c r="M7435" s="7"/>
      <c r="N7435" s="7"/>
      <c r="O7435" s="7"/>
      <c r="P7435" s="7"/>
      <c r="Q7435" s="7"/>
      <c r="R7435" s="7"/>
      <c r="S7435" s="7"/>
      <c r="T7435" s="7"/>
      <c r="U7435" s="7"/>
      <c r="V7435" s="7"/>
      <c r="W7435" s="7"/>
      <c r="X7435" s="7"/>
      <c r="Y7435" s="7"/>
      <c r="Z7435" s="7"/>
    </row>
    <row r="7436" hidden="1">
      <c r="A7436" s="7"/>
      <c r="B7436" s="7"/>
      <c r="C7436" s="7"/>
      <c r="D7436" s="7"/>
      <c r="E7436" s="7"/>
      <c r="F7436" s="7"/>
      <c r="G7436" s="7"/>
      <c r="H7436" s="8"/>
      <c r="I7436" s="8"/>
      <c r="J7436" s="7"/>
      <c r="K7436" s="7"/>
      <c r="L7436" s="7"/>
      <c r="M7436" s="7"/>
      <c r="N7436" s="7"/>
      <c r="O7436" s="7"/>
      <c r="P7436" s="7"/>
      <c r="Q7436" s="7"/>
      <c r="R7436" s="7"/>
      <c r="S7436" s="7"/>
      <c r="T7436" s="7"/>
      <c r="U7436" s="7"/>
      <c r="V7436" s="7"/>
      <c r="W7436" s="7"/>
      <c r="X7436" s="7"/>
      <c r="Y7436" s="7"/>
      <c r="Z7436" s="7"/>
    </row>
    <row r="7437" hidden="1">
      <c r="A7437" s="7"/>
      <c r="B7437" s="7"/>
      <c r="C7437" s="7"/>
      <c r="D7437" s="7"/>
      <c r="E7437" s="7"/>
      <c r="F7437" s="7"/>
      <c r="G7437" s="7"/>
      <c r="H7437" s="8"/>
      <c r="I7437" s="8"/>
      <c r="J7437" s="7"/>
      <c r="K7437" s="7"/>
      <c r="L7437" s="7"/>
      <c r="M7437" s="7"/>
      <c r="N7437" s="7"/>
      <c r="O7437" s="7"/>
      <c r="P7437" s="7"/>
      <c r="Q7437" s="7"/>
      <c r="R7437" s="7"/>
      <c r="S7437" s="7"/>
      <c r="T7437" s="7"/>
      <c r="U7437" s="7"/>
      <c r="V7437" s="7"/>
      <c r="W7437" s="7"/>
      <c r="X7437" s="7"/>
      <c r="Y7437" s="7"/>
      <c r="Z7437" s="7"/>
    </row>
    <row r="7438" hidden="1">
      <c r="A7438" s="7"/>
      <c r="B7438" s="7"/>
      <c r="C7438" s="7"/>
      <c r="D7438" s="7"/>
      <c r="E7438" s="7"/>
      <c r="F7438" s="7"/>
      <c r="G7438" s="7"/>
      <c r="H7438" s="8"/>
      <c r="I7438" s="8"/>
      <c r="J7438" s="7"/>
      <c r="K7438" s="7"/>
      <c r="L7438" s="7"/>
      <c r="M7438" s="7"/>
      <c r="N7438" s="7"/>
      <c r="O7438" s="7"/>
      <c r="P7438" s="7"/>
      <c r="Q7438" s="7"/>
      <c r="R7438" s="7"/>
      <c r="S7438" s="7"/>
      <c r="T7438" s="7"/>
      <c r="U7438" s="7"/>
      <c r="V7438" s="7"/>
      <c r="W7438" s="7"/>
      <c r="X7438" s="7"/>
      <c r="Y7438" s="7"/>
      <c r="Z7438" s="7"/>
    </row>
    <row r="7439" hidden="1">
      <c r="A7439" s="7"/>
      <c r="B7439" s="7"/>
      <c r="C7439" s="7"/>
      <c r="D7439" s="7"/>
      <c r="E7439" s="7"/>
      <c r="F7439" s="7"/>
      <c r="G7439" s="7"/>
      <c r="H7439" s="8"/>
      <c r="I7439" s="8"/>
      <c r="J7439" s="7"/>
      <c r="K7439" s="7"/>
      <c r="L7439" s="7"/>
      <c r="M7439" s="7"/>
      <c r="N7439" s="7"/>
      <c r="O7439" s="7"/>
      <c r="P7439" s="7"/>
      <c r="Q7439" s="7"/>
      <c r="R7439" s="7"/>
      <c r="S7439" s="7"/>
      <c r="T7439" s="7"/>
      <c r="U7439" s="7"/>
      <c r="V7439" s="7"/>
      <c r="W7439" s="7"/>
      <c r="X7439" s="7"/>
      <c r="Y7439" s="7"/>
      <c r="Z7439" s="7"/>
    </row>
    <row r="7440" hidden="1">
      <c r="A7440" s="7"/>
      <c r="B7440" s="7"/>
      <c r="C7440" s="7"/>
      <c r="D7440" s="7"/>
      <c r="E7440" s="7"/>
      <c r="F7440" s="7"/>
      <c r="G7440" s="7"/>
      <c r="H7440" s="8"/>
      <c r="I7440" s="8"/>
      <c r="J7440" s="7"/>
      <c r="K7440" s="7"/>
      <c r="L7440" s="7"/>
      <c r="M7440" s="7"/>
      <c r="N7440" s="7"/>
      <c r="O7440" s="7"/>
      <c r="P7440" s="7"/>
      <c r="Q7440" s="7"/>
      <c r="R7440" s="7"/>
      <c r="S7440" s="7"/>
      <c r="T7440" s="7"/>
      <c r="U7440" s="7"/>
      <c r="V7440" s="7"/>
      <c r="W7440" s="7"/>
      <c r="X7440" s="7"/>
      <c r="Y7440" s="7"/>
      <c r="Z7440" s="7"/>
    </row>
    <row r="7441" hidden="1">
      <c r="A7441" s="7"/>
      <c r="B7441" s="7"/>
      <c r="C7441" s="7"/>
      <c r="D7441" s="7"/>
      <c r="E7441" s="7"/>
      <c r="F7441" s="7"/>
      <c r="G7441" s="7"/>
      <c r="H7441" s="8"/>
      <c r="I7441" s="8"/>
      <c r="J7441" s="7"/>
      <c r="K7441" s="7"/>
      <c r="L7441" s="7"/>
      <c r="M7441" s="7"/>
      <c r="N7441" s="7"/>
      <c r="O7441" s="7"/>
      <c r="P7441" s="7"/>
      <c r="Q7441" s="7"/>
      <c r="R7441" s="7"/>
      <c r="S7441" s="7"/>
      <c r="T7441" s="7"/>
      <c r="U7441" s="7"/>
      <c r="V7441" s="7"/>
      <c r="W7441" s="7"/>
      <c r="X7441" s="7"/>
      <c r="Y7441" s="7"/>
      <c r="Z7441" s="7"/>
    </row>
    <row r="7442" hidden="1">
      <c r="A7442" s="7"/>
      <c r="B7442" s="7"/>
      <c r="C7442" s="7"/>
      <c r="D7442" s="7"/>
      <c r="E7442" s="7"/>
      <c r="F7442" s="7"/>
      <c r="G7442" s="7"/>
      <c r="H7442" s="8"/>
      <c r="I7442" s="8"/>
      <c r="J7442" s="7"/>
      <c r="K7442" s="7"/>
      <c r="L7442" s="7"/>
      <c r="M7442" s="7"/>
      <c r="N7442" s="7"/>
      <c r="O7442" s="7"/>
      <c r="P7442" s="7"/>
      <c r="Q7442" s="7"/>
      <c r="R7442" s="7"/>
      <c r="S7442" s="7"/>
      <c r="T7442" s="7"/>
      <c r="U7442" s="7"/>
      <c r="V7442" s="7"/>
      <c r="W7442" s="7"/>
      <c r="X7442" s="7"/>
      <c r="Y7442" s="7"/>
      <c r="Z7442" s="7"/>
    </row>
    <row r="7443" hidden="1">
      <c r="A7443" s="7"/>
      <c r="B7443" s="7"/>
      <c r="C7443" s="7"/>
      <c r="D7443" s="7"/>
      <c r="E7443" s="7"/>
      <c r="F7443" s="7"/>
      <c r="G7443" s="7"/>
      <c r="H7443" s="8"/>
      <c r="I7443" s="8"/>
      <c r="J7443" s="7"/>
      <c r="K7443" s="7"/>
      <c r="L7443" s="7"/>
      <c r="M7443" s="7"/>
      <c r="N7443" s="7"/>
      <c r="O7443" s="7"/>
      <c r="P7443" s="7"/>
      <c r="Q7443" s="7"/>
      <c r="R7443" s="7"/>
      <c r="S7443" s="7"/>
      <c r="T7443" s="7"/>
      <c r="U7443" s="7"/>
      <c r="V7443" s="7"/>
      <c r="W7443" s="7"/>
      <c r="X7443" s="7"/>
      <c r="Y7443" s="7"/>
      <c r="Z7443" s="7"/>
    </row>
    <row r="7444" hidden="1">
      <c r="A7444" s="7"/>
      <c r="B7444" s="7"/>
      <c r="C7444" s="7"/>
      <c r="D7444" s="7"/>
      <c r="E7444" s="7"/>
      <c r="F7444" s="7"/>
      <c r="G7444" s="7"/>
      <c r="H7444" s="8"/>
      <c r="I7444" s="8"/>
      <c r="J7444" s="7"/>
      <c r="K7444" s="7"/>
      <c r="L7444" s="7"/>
      <c r="M7444" s="7"/>
      <c r="N7444" s="7"/>
      <c r="O7444" s="7"/>
      <c r="P7444" s="7"/>
      <c r="Q7444" s="7"/>
      <c r="R7444" s="7"/>
      <c r="S7444" s="7"/>
      <c r="T7444" s="7"/>
      <c r="U7444" s="7"/>
      <c r="V7444" s="7"/>
      <c r="W7444" s="7"/>
      <c r="X7444" s="7"/>
      <c r="Y7444" s="7"/>
      <c r="Z7444" s="7"/>
    </row>
    <row r="7445" hidden="1">
      <c r="A7445" s="7"/>
      <c r="B7445" s="7"/>
      <c r="C7445" s="7"/>
      <c r="D7445" s="7"/>
      <c r="E7445" s="7"/>
      <c r="F7445" s="7"/>
      <c r="G7445" s="7"/>
      <c r="H7445" s="8"/>
      <c r="I7445" s="8"/>
      <c r="J7445" s="7"/>
      <c r="K7445" s="7"/>
      <c r="L7445" s="7"/>
      <c r="M7445" s="7"/>
      <c r="N7445" s="7"/>
      <c r="O7445" s="7"/>
      <c r="P7445" s="7"/>
      <c r="Q7445" s="7"/>
      <c r="R7445" s="7"/>
      <c r="S7445" s="7"/>
      <c r="T7445" s="7"/>
      <c r="U7445" s="7"/>
      <c r="V7445" s="7"/>
      <c r="W7445" s="7"/>
      <c r="X7445" s="7"/>
      <c r="Y7445" s="7"/>
      <c r="Z7445" s="7"/>
    </row>
    <row r="7446" hidden="1">
      <c r="A7446" s="7"/>
      <c r="B7446" s="7"/>
      <c r="C7446" s="7"/>
      <c r="D7446" s="7"/>
      <c r="E7446" s="7"/>
      <c r="F7446" s="7"/>
      <c r="G7446" s="7"/>
      <c r="H7446" s="8"/>
      <c r="I7446" s="8"/>
      <c r="J7446" s="7"/>
      <c r="K7446" s="7"/>
      <c r="L7446" s="7"/>
      <c r="M7446" s="7"/>
      <c r="N7446" s="7"/>
      <c r="O7446" s="7"/>
      <c r="P7446" s="7"/>
      <c r="Q7446" s="7"/>
      <c r="R7446" s="7"/>
      <c r="S7446" s="7"/>
      <c r="T7446" s="7"/>
      <c r="U7446" s="7"/>
      <c r="V7446" s="7"/>
      <c r="W7446" s="7"/>
      <c r="X7446" s="7"/>
      <c r="Y7446" s="7"/>
      <c r="Z7446" s="7"/>
    </row>
    <row r="7447" hidden="1">
      <c r="A7447" s="7"/>
      <c r="B7447" s="7"/>
      <c r="C7447" s="7"/>
      <c r="D7447" s="7"/>
      <c r="E7447" s="7"/>
      <c r="F7447" s="7"/>
      <c r="G7447" s="7"/>
      <c r="H7447" s="8"/>
      <c r="I7447" s="8"/>
      <c r="J7447" s="7"/>
      <c r="K7447" s="7"/>
      <c r="L7447" s="7"/>
      <c r="M7447" s="7"/>
      <c r="N7447" s="7"/>
      <c r="O7447" s="7"/>
      <c r="P7447" s="7"/>
      <c r="Q7447" s="7"/>
      <c r="R7447" s="7"/>
      <c r="S7447" s="7"/>
      <c r="T7447" s="7"/>
      <c r="U7447" s="7"/>
      <c r="V7447" s="7"/>
      <c r="W7447" s="7"/>
      <c r="X7447" s="7"/>
      <c r="Y7447" s="7"/>
      <c r="Z7447" s="7"/>
    </row>
    <row r="7448" hidden="1">
      <c r="A7448" s="7"/>
      <c r="B7448" s="7"/>
      <c r="C7448" s="7"/>
      <c r="D7448" s="7"/>
      <c r="E7448" s="7"/>
      <c r="F7448" s="7"/>
      <c r="G7448" s="7"/>
      <c r="H7448" s="8"/>
      <c r="I7448" s="8"/>
      <c r="J7448" s="7"/>
      <c r="K7448" s="7"/>
      <c r="L7448" s="7"/>
      <c r="M7448" s="7"/>
      <c r="N7448" s="7"/>
      <c r="O7448" s="7"/>
      <c r="P7448" s="7"/>
      <c r="Q7448" s="7"/>
      <c r="R7448" s="7"/>
      <c r="S7448" s="7"/>
      <c r="T7448" s="7"/>
      <c r="U7448" s="7"/>
      <c r="V7448" s="7"/>
      <c r="W7448" s="7"/>
      <c r="X7448" s="7"/>
      <c r="Y7448" s="7"/>
      <c r="Z7448" s="7"/>
    </row>
    <row r="7449" hidden="1">
      <c r="A7449" s="7"/>
      <c r="B7449" s="7"/>
      <c r="C7449" s="7"/>
      <c r="D7449" s="7"/>
      <c r="E7449" s="7"/>
      <c r="F7449" s="7"/>
      <c r="G7449" s="7"/>
      <c r="H7449" s="8"/>
      <c r="I7449" s="8"/>
      <c r="J7449" s="7"/>
      <c r="K7449" s="7"/>
      <c r="L7449" s="7"/>
      <c r="M7449" s="7"/>
      <c r="N7449" s="7"/>
      <c r="O7449" s="7"/>
      <c r="P7449" s="7"/>
      <c r="Q7449" s="7"/>
      <c r="R7449" s="7"/>
      <c r="S7449" s="7"/>
      <c r="T7449" s="7"/>
      <c r="U7449" s="7"/>
      <c r="V7449" s="7"/>
      <c r="W7449" s="7"/>
      <c r="X7449" s="7"/>
      <c r="Y7449" s="7"/>
      <c r="Z7449" s="7"/>
    </row>
    <row r="7450" hidden="1">
      <c r="A7450" s="7"/>
      <c r="B7450" s="7"/>
      <c r="C7450" s="7"/>
      <c r="D7450" s="7"/>
      <c r="E7450" s="7"/>
      <c r="F7450" s="7"/>
      <c r="G7450" s="7"/>
      <c r="H7450" s="8"/>
      <c r="I7450" s="8"/>
      <c r="J7450" s="7"/>
      <c r="K7450" s="7"/>
      <c r="L7450" s="7"/>
      <c r="M7450" s="7"/>
      <c r="N7450" s="7"/>
      <c r="O7450" s="7"/>
      <c r="P7450" s="7"/>
      <c r="Q7450" s="7"/>
      <c r="R7450" s="7"/>
      <c r="S7450" s="7"/>
      <c r="T7450" s="7"/>
      <c r="U7450" s="7"/>
      <c r="V7450" s="7"/>
      <c r="W7450" s="7"/>
      <c r="X7450" s="7"/>
      <c r="Y7450" s="7"/>
      <c r="Z7450" s="7"/>
    </row>
    <row r="7451" hidden="1">
      <c r="A7451" s="7"/>
      <c r="B7451" s="7"/>
      <c r="C7451" s="7"/>
      <c r="D7451" s="7"/>
      <c r="E7451" s="7"/>
      <c r="F7451" s="7"/>
      <c r="G7451" s="7"/>
      <c r="H7451" s="8"/>
      <c r="I7451" s="8"/>
      <c r="J7451" s="7"/>
      <c r="K7451" s="7"/>
      <c r="L7451" s="7"/>
      <c r="M7451" s="7"/>
      <c r="N7451" s="7"/>
      <c r="O7451" s="7"/>
      <c r="P7451" s="7"/>
      <c r="Q7451" s="7"/>
      <c r="R7451" s="7"/>
      <c r="S7451" s="7"/>
      <c r="T7451" s="7"/>
      <c r="U7451" s="7"/>
      <c r="V7451" s="7"/>
      <c r="W7451" s="7"/>
      <c r="X7451" s="7"/>
      <c r="Y7451" s="7"/>
      <c r="Z7451" s="7"/>
    </row>
    <row r="7452" hidden="1">
      <c r="A7452" s="7"/>
      <c r="B7452" s="7"/>
      <c r="C7452" s="7"/>
      <c r="D7452" s="7"/>
      <c r="E7452" s="7"/>
      <c r="F7452" s="7"/>
      <c r="G7452" s="7"/>
      <c r="H7452" s="8"/>
      <c r="I7452" s="8"/>
      <c r="J7452" s="7"/>
      <c r="K7452" s="7"/>
      <c r="L7452" s="7"/>
      <c r="M7452" s="7"/>
      <c r="N7452" s="7"/>
      <c r="O7452" s="7"/>
      <c r="P7452" s="7"/>
      <c r="Q7452" s="7"/>
      <c r="R7452" s="7"/>
      <c r="S7452" s="7"/>
      <c r="T7452" s="7"/>
      <c r="U7452" s="7"/>
      <c r="V7452" s="7"/>
      <c r="W7452" s="7"/>
      <c r="X7452" s="7"/>
      <c r="Y7452" s="7"/>
      <c r="Z7452" s="7"/>
    </row>
    <row r="7453" hidden="1">
      <c r="A7453" s="7"/>
      <c r="B7453" s="7"/>
      <c r="C7453" s="7"/>
      <c r="D7453" s="7"/>
      <c r="E7453" s="7"/>
      <c r="F7453" s="7"/>
      <c r="G7453" s="7"/>
      <c r="H7453" s="8"/>
      <c r="I7453" s="8"/>
      <c r="J7453" s="7"/>
      <c r="K7453" s="7"/>
      <c r="L7453" s="7"/>
      <c r="M7453" s="7"/>
      <c r="N7453" s="7"/>
      <c r="O7453" s="7"/>
      <c r="P7453" s="7"/>
      <c r="Q7453" s="7"/>
      <c r="R7453" s="7"/>
      <c r="S7453" s="7"/>
      <c r="T7453" s="7"/>
      <c r="U7453" s="7"/>
      <c r="V7453" s="7"/>
      <c r="W7453" s="7"/>
      <c r="X7453" s="7"/>
      <c r="Y7453" s="7"/>
      <c r="Z7453" s="7"/>
    </row>
    <row r="7454" hidden="1">
      <c r="A7454" s="7"/>
      <c r="B7454" s="7"/>
      <c r="C7454" s="7"/>
      <c r="D7454" s="7"/>
      <c r="E7454" s="7"/>
      <c r="F7454" s="7"/>
      <c r="G7454" s="7"/>
      <c r="H7454" s="8"/>
      <c r="I7454" s="8"/>
      <c r="J7454" s="7"/>
      <c r="K7454" s="7"/>
      <c r="L7454" s="7"/>
      <c r="M7454" s="7"/>
      <c r="N7454" s="7"/>
      <c r="O7454" s="7"/>
      <c r="P7454" s="7"/>
      <c r="Q7454" s="7"/>
      <c r="R7454" s="7"/>
      <c r="S7454" s="7"/>
      <c r="T7454" s="7"/>
      <c r="U7454" s="7"/>
      <c r="V7454" s="7"/>
      <c r="W7454" s="7"/>
      <c r="X7454" s="7"/>
      <c r="Y7454" s="7"/>
      <c r="Z7454" s="7"/>
    </row>
    <row r="7455" hidden="1">
      <c r="A7455" s="7"/>
      <c r="B7455" s="7"/>
      <c r="C7455" s="7"/>
      <c r="D7455" s="7"/>
      <c r="E7455" s="7"/>
      <c r="F7455" s="7"/>
      <c r="G7455" s="7"/>
      <c r="H7455" s="8"/>
      <c r="I7455" s="8"/>
      <c r="J7455" s="7"/>
      <c r="K7455" s="7"/>
      <c r="L7455" s="7"/>
      <c r="M7455" s="7"/>
      <c r="N7455" s="7"/>
      <c r="O7455" s="7"/>
      <c r="P7455" s="7"/>
      <c r="Q7455" s="7"/>
      <c r="R7455" s="7"/>
      <c r="S7455" s="7"/>
      <c r="T7455" s="7"/>
      <c r="U7455" s="7"/>
      <c r="V7455" s="7"/>
      <c r="W7455" s="7"/>
      <c r="X7455" s="7"/>
      <c r="Y7455" s="7"/>
      <c r="Z7455" s="7"/>
    </row>
    <row r="7456" hidden="1">
      <c r="A7456" s="7"/>
      <c r="B7456" s="7"/>
      <c r="C7456" s="7"/>
      <c r="D7456" s="7"/>
      <c r="E7456" s="7"/>
      <c r="F7456" s="7"/>
      <c r="G7456" s="7"/>
      <c r="H7456" s="8"/>
      <c r="I7456" s="8"/>
      <c r="J7456" s="7"/>
      <c r="K7456" s="7"/>
      <c r="L7456" s="7"/>
      <c r="M7456" s="7"/>
      <c r="N7456" s="7"/>
      <c r="O7456" s="7"/>
      <c r="P7456" s="7"/>
      <c r="Q7456" s="7"/>
      <c r="R7456" s="7"/>
      <c r="S7456" s="7"/>
      <c r="T7456" s="7"/>
      <c r="U7456" s="7"/>
      <c r="V7456" s="7"/>
      <c r="W7456" s="7"/>
      <c r="X7456" s="7"/>
      <c r="Y7456" s="7"/>
      <c r="Z7456" s="7"/>
    </row>
    <row r="7457" hidden="1">
      <c r="A7457" s="7"/>
      <c r="B7457" s="7"/>
      <c r="C7457" s="7"/>
      <c r="D7457" s="7"/>
      <c r="E7457" s="7"/>
      <c r="F7457" s="7"/>
      <c r="G7457" s="7"/>
      <c r="H7457" s="8"/>
      <c r="I7457" s="8"/>
      <c r="J7457" s="7"/>
      <c r="K7457" s="7"/>
      <c r="L7457" s="7"/>
      <c r="M7457" s="7"/>
      <c r="N7457" s="7"/>
      <c r="O7457" s="7"/>
      <c r="P7457" s="7"/>
      <c r="Q7457" s="7"/>
      <c r="R7457" s="7"/>
      <c r="S7457" s="7"/>
      <c r="T7457" s="7"/>
      <c r="U7457" s="7"/>
      <c r="V7457" s="7"/>
      <c r="W7457" s="7"/>
      <c r="X7457" s="7"/>
      <c r="Y7457" s="7"/>
      <c r="Z7457" s="7"/>
    </row>
    <row r="7458" hidden="1">
      <c r="A7458" s="7"/>
      <c r="B7458" s="7"/>
      <c r="C7458" s="7"/>
      <c r="D7458" s="7"/>
      <c r="E7458" s="7"/>
      <c r="F7458" s="7"/>
      <c r="G7458" s="7"/>
      <c r="H7458" s="8"/>
      <c r="I7458" s="8"/>
      <c r="J7458" s="7"/>
      <c r="K7458" s="7"/>
      <c r="L7458" s="7"/>
      <c r="M7458" s="7"/>
      <c r="N7458" s="7"/>
      <c r="O7458" s="7"/>
      <c r="P7458" s="7"/>
      <c r="Q7458" s="7"/>
      <c r="R7458" s="7"/>
      <c r="S7458" s="7"/>
      <c r="T7458" s="7"/>
      <c r="U7458" s="7"/>
      <c r="V7458" s="7"/>
      <c r="W7458" s="7"/>
      <c r="X7458" s="7"/>
      <c r="Y7458" s="7"/>
      <c r="Z7458" s="7"/>
    </row>
    <row r="7459" hidden="1">
      <c r="A7459" s="7"/>
      <c r="B7459" s="7"/>
      <c r="C7459" s="7"/>
      <c r="D7459" s="7"/>
      <c r="E7459" s="7"/>
      <c r="F7459" s="7"/>
      <c r="G7459" s="7"/>
      <c r="H7459" s="8"/>
      <c r="I7459" s="8"/>
      <c r="J7459" s="7"/>
      <c r="K7459" s="7"/>
      <c r="L7459" s="7"/>
      <c r="M7459" s="7"/>
      <c r="N7459" s="7"/>
      <c r="O7459" s="7"/>
      <c r="P7459" s="7"/>
      <c r="Q7459" s="7"/>
      <c r="R7459" s="7"/>
      <c r="S7459" s="7"/>
      <c r="T7459" s="7"/>
      <c r="U7459" s="7"/>
      <c r="V7459" s="7"/>
      <c r="W7459" s="7"/>
      <c r="X7459" s="7"/>
      <c r="Y7459" s="7"/>
      <c r="Z7459" s="7"/>
    </row>
    <row r="7460" hidden="1">
      <c r="A7460" s="7"/>
      <c r="B7460" s="7"/>
      <c r="C7460" s="7"/>
      <c r="D7460" s="7"/>
      <c r="E7460" s="7"/>
      <c r="F7460" s="7"/>
      <c r="G7460" s="7"/>
      <c r="H7460" s="8"/>
      <c r="I7460" s="8"/>
      <c r="J7460" s="7"/>
      <c r="K7460" s="7"/>
      <c r="L7460" s="7"/>
      <c r="M7460" s="7"/>
      <c r="N7460" s="7"/>
      <c r="O7460" s="7"/>
      <c r="P7460" s="7"/>
      <c r="Q7460" s="7"/>
      <c r="R7460" s="7"/>
      <c r="S7460" s="7"/>
      <c r="T7460" s="7"/>
      <c r="U7460" s="7"/>
      <c r="V7460" s="7"/>
      <c r="W7460" s="7"/>
      <c r="X7460" s="7"/>
      <c r="Y7460" s="7"/>
      <c r="Z7460" s="7"/>
    </row>
    <row r="7461" hidden="1">
      <c r="A7461" s="7"/>
      <c r="B7461" s="7"/>
      <c r="C7461" s="7"/>
      <c r="D7461" s="7"/>
      <c r="E7461" s="7"/>
      <c r="F7461" s="7"/>
      <c r="G7461" s="7"/>
      <c r="H7461" s="8"/>
      <c r="I7461" s="8"/>
      <c r="J7461" s="7"/>
      <c r="K7461" s="7"/>
      <c r="L7461" s="7"/>
      <c r="M7461" s="7"/>
      <c r="N7461" s="7"/>
      <c r="O7461" s="7"/>
      <c r="P7461" s="7"/>
      <c r="Q7461" s="7"/>
      <c r="R7461" s="7"/>
      <c r="S7461" s="7"/>
      <c r="T7461" s="7"/>
      <c r="U7461" s="7"/>
      <c r="V7461" s="7"/>
      <c r="W7461" s="7"/>
      <c r="X7461" s="7"/>
      <c r="Y7461" s="7"/>
      <c r="Z7461" s="7"/>
    </row>
    <row r="7462" hidden="1">
      <c r="A7462" s="7"/>
      <c r="B7462" s="7"/>
      <c r="C7462" s="7"/>
      <c r="D7462" s="7"/>
      <c r="E7462" s="7"/>
      <c r="F7462" s="7"/>
      <c r="G7462" s="7"/>
      <c r="H7462" s="8"/>
      <c r="I7462" s="8"/>
      <c r="J7462" s="7"/>
      <c r="K7462" s="7"/>
      <c r="L7462" s="7"/>
      <c r="M7462" s="7"/>
      <c r="N7462" s="7"/>
      <c r="O7462" s="7"/>
      <c r="P7462" s="7"/>
      <c r="Q7462" s="7"/>
      <c r="R7462" s="7"/>
      <c r="S7462" s="7"/>
      <c r="T7462" s="7"/>
      <c r="U7462" s="7"/>
      <c r="V7462" s="7"/>
      <c r="W7462" s="7"/>
      <c r="X7462" s="7"/>
      <c r="Y7462" s="7"/>
      <c r="Z7462" s="7"/>
    </row>
    <row r="7463" hidden="1">
      <c r="A7463" s="7"/>
      <c r="B7463" s="7"/>
      <c r="C7463" s="7"/>
      <c r="D7463" s="7"/>
      <c r="E7463" s="7"/>
      <c r="F7463" s="7"/>
      <c r="G7463" s="7"/>
      <c r="H7463" s="8"/>
      <c r="I7463" s="8"/>
      <c r="J7463" s="7"/>
      <c r="K7463" s="7"/>
      <c r="L7463" s="7"/>
      <c r="M7463" s="7"/>
      <c r="N7463" s="7"/>
      <c r="O7463" s="7"/>
      <c r="P7463" s="7"/>
      <c r="Q7463" s="7"/>
      <c r="R7463" s="7"/>
      <c r="S7463" s="7"/>
      <c r="T7463" s="7"/>
      <c r="U7463" s="7"/>
      <c r="V7463" s="7"/>
      <c r="W7463" s="7"/>
      <c r="X7463" s="7"/>
      <c r="Y7463" s="7"/>
      <c r="Z7463" s="7"/>
    </row>
    <row r="7464" hidden="1">
      <c r="A7464" s="7"/>
      <c r="B7464" s="7"/>
      <c r="C7464" s="7"/>
      <c r="D7464" s="7"/>
      <c r="E7464" s="7"/>
      <c r="F7464" s="7"/>
      <c r="G7464" s="7"/>
      <c r="H7464" s="8"/>
      <c r="I7464" s="8"/>
      <c r="J7464" s="7"/>
      <c r="K7464" s="7"/>
      <c r="L7464" s="7"/>
      <c r="M7464" s="7"/>
      <c r="N7464" s="7"/>
      <c r="O7464" s="7"/>
      <c r="P7464" s="7"/>
      <c r="Q7464" s="7"/>
      <c r="R7464" s="7"/>
      <c r="S7464" s="7"/>
      <c r="T7464" s="7"/>
      <c r="U7464" s="7"/>
      <c r="V7464" s="7"/>
      <c r="W7464" s="7"/>
      <c r="X7464" s="7"/>
      <c r="Y7464" s="7"/>
      <c r="Z7464" s="7"/>
    </row>
    <row r="7465" hidden="1">
      <c r="A7465" s="7"/>
      <c r="B7465" s="7"/>
      <c r="C7465" s="7"/>
      <c r="D7465" s="7"/>
      <c r="E7465" s="7"/>
      <c r="F7465" s="7"/>
      <c r="G7465" s="7"/>
      <c r="H7465" s="8"/>
      <c r="I7465" s="8"/>
      <c r="J7465" s="7"/>
      <c r="K7465" s="7"/>
      <c r="L7465" s="7"/>
      <c r="M7465" s="7"/>
      <c r="N7465" s="7"/>
      <c r="O7465" s="7"/>
      <c r="P7465" s="7"/>
      <c r="Q7465" s="7"/>
      <c r="R7465" s="7"/>
      <c r="S7465" s="7"/>
      <c r="T7465" s="7"/>
      <c r="U7465" s="7"/>
      <c r="V7465" s="7"/>
      <c r="W7465" s="7"/>
      <c r="X7465" s="7"/>
      <c r="Y7465" s="7"/>
      <c r="Z7465" s="7"/>
    </row>
    <row r="7466" hidden="1">
      <c r="A7466" s="7"/>
      <c r="B7466" s="7"/>
      <c r="C7466" s="7"/>
      <c r="D7466" s="7"/>
      <c r="E7466" s="7"/>
      <c r="F7466" s="7"/>
      <c r="G7466" s="7"/>
      <c r="H7466" s="8"/>
      <c r="I7466" s="8"/>
      <c r="J7466" s="7"/>
      <c r="K7466" s="7"/>
      <c r="L7466" s="7"/>
      <c r="M7466" s="7"/>
      <c r="N7466" s="7"/>
      <c r="O7466" s="7"/>
      <c r="P7466" s="7"/>
      <c r="Q7466" s="7"/>
      <c r="R7466" s="7"/>
      <c r="S7466" s="7"/>
      <c r="T7466" s="7"/>
      <c r="U7466" s="7"/>
      <c r="V7466" s="7"/>
      <c r="W7466" s="7"/>
      <c r="X7466" s="7"/>
      <c r="Y7466" s="7"/>
      <c r="Z7466" s="7"/>
    </row>
    <row r="7467" hidden="1">
      <c r="A7467" s="7"/>
      <c r="B7467" s="7"/>
      <c r="C7467" s="7"/>
      <c r="D7467" s="7"/>
      <c r="E7467" s="7"/>
      <c r="F7467" s="7"/>
      <c r="G7467" s="7"/>
      <c r="H7467" s="8"/>
      <c r="I7467" s="8"/>
      <c r="J7467" s="7"/>
      <c r="K7467" s="7"/>
      <c r="L7467" s="7"/>
      <c r="M7467" s="7"/>
      <c r="N7467" s="7"/>
      <c r="O7467" s="7"/>
      <c r="P7467" s="7"/>
      <c r="Q7467" s="7"/>
      <c r="R7467" s="7"/>
      <c r="S7467" s="7"/>
      <c r="T7467" s="7"/>
      <c r="U7467" s="7"/>
      <c r="V7467" s="7"/>
      <c r="W7467" s="7"/>
      <c r="X7467" s="7"/>
      <c r="Y7467" s="7"/>
      <c r="Z7467" s="7"/>
    </row>
    <row r="7468" hidden="1">
      <c r="A7468" s="7"/>
      <c r="B7468" s="7"/>
      <c r="C7468" s="7"/>
      <c r="D7468" s="7"/>
      <c r="E7468" s="7"/>
      <c r="F7468" s="7"/>
      <c r="G7468" s="7"/>
      <c r="H7468" s="8"/>
      <c r="I7468" s="8"/>
      <c r="J7468" s="7"/>
      <c r="K7468" s="7"/>
      <c r="L7468" s="7"/>
      <c r="M7468" s="7"/>
      <c r="N7468" s="7"/>
      <c r="O7468" s="7"/>
      <c r="P7468" s="7"/>
      <c r="Q7468" s="7"/>
      <c r="R7468" s="7"/>
      <c r="S7468" s="7"/>
      <c r="T7468" s="7"/>
      <c r="U7468" s="7"/>
      <c r="V7468" s="7"/>
      <c r="W7468" s="7"/>
      <c r="X7468" s="7"/>
      <c r="Y7468" s="7"/>
      <c r="Z7468" s="7"/>
    </row>
    <row r="7469" hidden="1">
      <c r="A7469" s="7"/>
      <c r="B7469" s="7"/>
      <c r="C7469" s="7"/>
      <c r="D7469" s="7"/>
      <c r="E7469" s="7"/>
      <c r="F7469" s="7"/>
      <c r="G7469" s="7"/>
      <c r="H7469" s="8"/>
      <c r="I7469" s="8"/>
      <c r="J7469" s="7"/>
      <c r="K7469" s="7"/>
      <c r="L7469" s="7"/>
      <c r="M7469" s="7"/>
      <c r="N7469" s="7"/>
      <c r="O7469" s="7"/>
      <c r="P7469" s="7"/>
      <c r="Q7469" s="7"/>
      <c r="R7469" s="7"/>
      <c r="S7469" s="7"/>
      <c r="T7469" s="7"/>
      <c r="U7469" s="7"/>
      <c r="V7469" s="7"/>
      <c r="W7469" s="7"/>
      <c r="X7469" s="7"/>
      <c r="Y7469" s="7"/>
      <c r="Z7469" s="7"/>
    </row>
    <row r="7470" hidden="1">
      <c r="A7470" s="7"/>
      <c r="B7470" s="7"/>
      <c r="C7470" s="7"/>
      <c r="D7470" s="7"/>
      <c r="E7470" s="7"/>
      <c r="F7470" s="7"/>
      <c r="G7470" s="7"/>
      <c r="H7470" s="8"/>
      <c r="I7470" s="8"/>
      <c r="J7470" s="7"/>
      <c r="K7470" s="7"/>
      <c r="L7470" s="7"/>
      <c r="M7470" s="7"/>
      <c r="N7470" s="7"/>
      <c r="O7470" s="7"/>
      <c r="P7470" s="7"/>
      <c r="Q7470" s="7"/>
      <c r="R7470" s="7"/>
      <c r="S7470" s="7"/>
      <c r="T7470" s="7"/>
      <c r="U7470" s="7"/>
      <c r="V7470" s="7"/>
      <c r="W7470" s="7"/>
      <c r="X7470" s="7"/>
      <c r="Y7470" s="7"/>
      <c r="Z7470" s="7"/>
    </row>
    <row r="7471" hidden="1">
      <c r="A7471" s="7"/>
      <c r="B7471" s="7"/>
      <c r="C7471" s="7"/>
      <c r="D7471" s="7"/>
      <c r="E7471" s="7"/>
      <c r="F7471" s="7"/>
      <c r="G7471" s="7"/>
      <c r="H7471" s="8"/>
      <c r="I7471" s="8"/>
      <c r="J7471" s="7"/>
      <c r="K7471" s="7"/>
      <c r="L7471" s="7"/>
      <c r="M7471" s="7"/>
      <c r="N7471" s="7"/>
      <c r="O7471" s="7"/>
      <c r="P7471" s="7"/>
      <c r="Q7471" s="7"/>
      <c r="R7471" s="7"/>
      <c r="S7471" s="7"/>
      <c r="T7471" s="7"/>
      <c r="U7471" s="7"/>
      <c r="V7471" s="7"/>
      <c r="W7471" s="7"/>
      <c r="X7471" s="7"/>
      <c r="Y7471" s="7"/>
      <c r="Z7471" s="7"/>
    </row>
    <row r="7472" hidden="1">
      <c r="A7472" s="7"/>
      <c r="B7472" s="7"/>
      <c r="C7472" s="7"/>
      <c r="D7472" s="7"/>
      <c r="E7472" s="7"/>
      <c r="F7472" s="7"/>
      <c r="G7472" s="7"/>
      <c r="H7472" s="8"/>
      <c r="I7472" s="8"/>
      <c r="J7472" s="7"/>
      <c r="K7472" s="7"/>
      <c r="L7472" s="7"/>
      <c r="M7472" s="7"/>
      <c r="N7472" s="7"/>
      <c r="O7472" s="7"/>
      <c r="P7472" s="7"/>
      <c r="Q7472" s="7"/>
      <c r="R7472" s="7"/>
      <c r="S7472" s="7"/>
      <c r="T7472" s="7"/>
      <c r="U7472" s="7"/>
      <c r="V7472" s="7"/>
      <c r="W7472" s="7"/>
      <c r="X7472" s="7"/>
      <c r="Y7472" s="7"/>
      <c r="Z7472" s="7"/>
    </row>
    <row r="7473" hidden="1">
      <c r="A7473" s="7"/>
      <c r="B7473" s="7"/>
      <c r="C7473" s="7"/>
      <c r="D7473" s="7"/>
      <c r="E7473" s="7"/>
      <c r="F7473" s="7"/>
      <c r="G7473" s="7"/>
      <c r="H7473" s="8"/>
      <c r="I7473" s="8"/>
      <c r="J7473" s="7"/>
      <c r="K7473" s="7"/>
      <c r="L7473" s="7"/>
      <c r="M7473" s="7"/>
      <c r="N7473" s="7"/>
      <c r="O7473" s="7"/>
      <c r="P7473" s="7"/>
      <c r="Q7473" s="7"/>
      <c r="R7473" s="7"/>
      <c r="S7473" s="7"/>
      <c r="T7473" s="7"/>
      <c r="U7473" s="7"/>
      <c r="V7473" s="7"/>
      <c r="W7473" s="7"/>
      <c r="X7473" s="7"/>
      <c r="Y7473" s="7"/>
      <c r="Z7473" s="7"/>
    </row>
    <row r="7474" hidden="1">
      <c r="A7474" s="7"/>
      <c r="B7474" s="7"/>
      <c r="C7474" s="7"/>
      <c r="D7474" s="7"/>
      <c r="E7474" s="7"/>
      <c r="F7474" s="7"/>
      <c r="G7474" s="7"/>
      <c r="H7474" s="8"/>
      <c r="I7474" s="8"/>
      <c r="J7474" s="7"/>
      <c r="K7474" s="7"/>
      <c r="L7474" s="7"/>
      <c r="M7474" s="7"/>
      <c r="N7474" s="7"/>
      <c r="O7474" s="7"/>
      <c r="P7474" s="7"/>
      <c r="Q7474" s="7"/>
      <c r="R7474" s="7"/>
      <c r="S7474" s="7"/>
      <c r="T7474" s="7"/>
      <c r="U7474" s="7"/>
      <c r="V7474" s="7"/>
      <c r="W7474" s="7"/>
      <c r="X7474" s="7"/>
      <c r="Y7474" s="7"/>
      <c r="Z7474" s="7"/>
    </row>
    <row r="7475" hidden="1">
      <c r="A7475" s="7"/>
      <c r="B7475" s="7"/>
      <c r="C7475" s="7"/>
      <c r="D7475" s="7"/>
      <c r="E7475" s="7"/>
      <c r="F7475" s="7"/>
      <c r="G7475" s="7"/>
      <c r="H7475" s="8"/>
      <c r="I7475" s="8"/>
      <c r="J7475" s="7"/>
      <c r="K7475" s="7"/>
      <c r="L7475" s="7"/>
      <c r="M7475" s="7"/>
      <c r="N7475" s="7"/>
      <c r="O7475" s="7"/>
      <c r="P7475" s="7"/>
      <c r="Q7475" s="7"/>
      <c r="R7475" s="7"/>
      <c r="S7475" s="7"/>
      <c r="T7475" s="7"/>
      <c r="U7475" s="7"/>
      <c r="V7475" s="7"/>
      <c r="W7475" s="7"/>
      <c r="X7475" s="7"/>
      <c r="Y7475" s="7"/>
      <c r="Z7475" s="7"/>
    </row>
    <row r="7476" hidden="1">
      <c r="A7476" s="7"/>
      <c r="B7476" s="7"/>
      <c r="C7476" s="7"/>
      <c r="D7476" s="7"/>
      <c r="E7476" s="7"/>
      <c r="F7476" s="7"/>
      <c r="G7476" s="7"/>
      <c r="H7476" s="8"/>
      <c r="I7476" s="8"/>
      <c r="J7476" s="7"/>
      <c r="K7476" s="7"/>
      <c r="L7476" s="7"/>
      <c r="M7476" s="7"/>
      <c r="N7476" s="7"/>
      <c r="O7476" s="7"/>
      <c r="P7476" s="7"/>
      <c r="Q7476" s="7"/>
      <c r="R7476" s="7"/>
      <c r="S7476" s="7"/>
      <c r="T7476" s="7"/>
      <c r="U7476" s="7"/>
      <c r="V7476" s="7"/>
      <c r="W7476" s="7"/>
      <c r="X7476" s="7"/>
      <c r="Y7476" s="7"/>
      <c r="Z7476" s="7"/>
    </row>
    <row r="7477" hidden="1">
      <c r="A7477" s="7"/>
      <c r="B7477" s="7"/>
      <c r="C7477" s="7"/>
      <c r="D7477" s="7"/>
      <c r="E7477" s="7"/>
      <c r="F7477" s="7"/>
      <c r="G7477" s="7"/>
      <c r="H7477" s="8"/>
      <c r="I7477" s="8"/>
      <c r="J7477" s="7"/>
      <c r="K7477" s="7"/>
      <c r="L7477" s="7"/>
      <c r="M7477" s="7"/>
      <c r="N7477" s="7"/>
      <c r="O7477" s="7"/>
      <c r="P7477" s="7"/>
      <c r="Q7477" s="7"/>
      <c r="R7477" s="7"/>
      <c r="S7477" s="7"/>
      <c r="T7477" s="7"/>
      <c r="U7477" s="7"/>
      <c r="V7477" s="7"/>
      <c r="W7477" s="7"/>
      <c r="X7477" s="7"/>
      <c r="Y7477" s="7"/>
      <c r="Z7477" s="7"/>
    </row>
    <row r="7478" hidden="1">
      <c r="A7478" s="7"/>
      <c r="B7478" s="7"/>
      <c r="C7478" s="7"/>
      <c r="D7478" s="7"/>
      <c r="E7478" s="7"/>
      <c r="F7478" s="7"/>
      <c r="G7478" s="7"/>
      <c r="H7478" s="8"/>
      <c r="I7478" s="8"/>
      <c r="J7478" s="7"/>
      <c r="K7478" s="7"/>
      <c r="L7478" s="7"/>
      <c r="M7478" s="7"/>
      <c r="N7478" s="7"/>
      <c r="O7478" s="7"/>
      <c r="P7478" s="7"/>
      <c r="Q7478" s="7"/>
      <c r="R7478" s="7"/>
      <c r="S7478" s="7"/>
      <c r="T7478" s="7"/>
      <c r="U7478" s="7"/>
      <c r="V7478" s="7"/>
      <c r="W7478" s="7"/>
      <c r="X7478" s="7"/>
      <c r="Y7478" s="7"/>
      <c r="Z7478" s="7"/>
    </row>
    <row r="7479" hidden="1">
      <c r="A7479" s="7"/>
      <c r="B7479" s="7"/>
      <c r="C7479" s="7"/>
      <c r="D7479" s="7"/>
      <c r="E7479" s="7"/>
      <c r="F7479" s="7"/>
      <c r="G7479" s="7"/>
      <c r="H7479" s="8"/>
      <c r="I7479" s="8"/>
      <c r="J7479" s="7"/>
      <c r="K7479" s="7"/>
      <c r="L7479" s="7"/>
      <c r="M7479" s="7"/>
      <c r="N7479" s="7"/>
      <c r="O7479" s="7"/>
      <c r="P7479" s="7"/>
      <c r="Q7479" s="7"/>
      <c r="R7479" s="7"/>
      <c r="S7479" s="7"/>
      <c r="T7479" s="7"/>
      <c r="U7479" s="7"/>
      <c r="V7479" s="7"/>
      <c r="W7479" s="7"/>
      <c r="X7479" s="7"/>
      <c r="Y7479" s="7"/>
      <c r="Z7479" s="7"/>
    </row>
    <row r="7480" hidden="1">
      <c r="A7480" s="7"/>
      <c r="B7480" s="7"/>
      <c r="C7480" s="7"/>
      <c r="D7480" s="7"/>
      <c r="E7480" s="7"/>
      <c r="F7480" s="7"/>
      <c r="G7480" s="7"/>
      <c r="H7480" s="8"/>
      <c r="I7480" s="8"/>
      <c r="J7480" s="7"/>
      <c r="K7480" s="7"/>
      <c r="L7480" s="7"/>
      <c r="M7480" s="7"/>
      <c r="N7480" s="7"/>
      <c r="O7480" s="7"/>
      <c r="P7480" s="7"/>
      <c r="Q7480" s="7"/>
      <c r="R7480" s="7"/>
      <c r="S7480" s="7"/>
      <c r="T7480" s="7"/>
      <c r="U7480" s="7"/>
      <c r="V7480" s="7"/>
      <c r="W7480" s="7"/>
      <c r="X7480" s="7"/>
      <c r="Y7480" s="7"/>
      <c r="Z7480" s="7"/>
    </row>
    <row r="7481" hidden="1">
      <c r="A7481" s="7"/>
      <c r="B7481" s="7"/>
      <c r="C7481" s="7"/>
      <c r="D7481" s="7"/>
      <c r="E7481" s="7"/>
      <c r="F7481" s="7"/>
      <c r="G7481" s="7"/>
      <c r="H7481" s="8"/>
      <c r="I7481" s="8"/>
      <c r="J7481" s="7"/>
      <c r="K7481" s="7"/>
      <c r="L7481" s="7"/>
      <c r="M7481" s="7"/>
      <c r="N7481" s="7"/>
      <c r="O7481" s="7"/>
      <c r="P7481" s="7"/>
      <c r="Q7481" s="7"/>
      <c r="R7481" s="7"/>
      <c r="S7481" s="7"/>
      <c r="T7481" s="7"/>
      <c r="U7481" s="7"/>
      <c r="V7481" s="7"/>
      <c r="W7481" s="7"/>
      <c r="X7481" s="7"/>
      <c r="Y7481" s="7"/>
      <c r="Z7481" s="7"/>
    </row>
    <row r="7482" hidden="1">
      <c r="A7482" s="7"/>
      <c r="B7482" s="7"/>
      <c r="C7482" s="7"/>
      <c r="D7482" s="7"/>
      <c r="E7482" s="7"/>
      <c r="F7482" s="7"/>
      <c r="G7482" s="7"/>
      <c r="H7482" s="8"/>
      <c r="I7482" s="8"/>
      <c r="J7482" s="7"/>
      <c r="K7482" s="7"/>
      <c r="L7482" s="7"/>
      <c r="M7482" s="7"/>
      <c r="N7482" s="7"/>
      <c r="O7482" s="7"/>
      <c r="P7482" s="7"/>
      <c r="Q7482" s="7"/>
      <c r="R7482" s="7"/>
      <c r="S7482" s="7"/>
      <c r="T7482" s="7"/>
      <c r="U7482" s="7"/>
      <c r="V7482" s="7"/>
      <c r="W7482" s="7"/>
      <c r="X7482" s="7"/>
      <c r="Y7482" s="7"/>
      <c r="Z7482" s="7"/>
    </row>
    <row r="7483" hidden="1">
      <c r="A7483" s="7"/>
      <c r="B7483" s="7"/>
      <c r="C7483" s="7"/>
      <c r="D7483" s="7"/>
      <c r="E7483" s="7"/>
      <c r="F7483" s="7"/>
      <c r="G7483" s="7"/>
      <c r="H7483" s="8"/>
      <c r="I7483" s="8"/>
      <c r="J7483" s="7"/>
      <c r="K7483" s="7"/>
      <c r="L7483" s="7"/>
      <c r="M7483" s="7"/>
      <c r="N7483" s="7"/>
      <c r="O7483" s="7"/>
      <c r="P7483" s="7"/>
      <c r="Q7483" s="7"/>
      <c r="R7483" s="7"/>
      <c r="S7483" s="7"/>
      <c r="T7483" s="7"/>
      <c r="U7483" s="7"/>
      <c r="V7483" s="7"/>
      <c r="W7483" s="7"/>
      <c r="X7483" s="7"/>
      <c r="Y7483" s="7"/>
      <c r="Z7483" s="7"/>
    </row>
    <row r="7484" hidden="1">
      <c r="A7484" s="7"/>
      <c r="B7484" s="7"/>
      <c r="C7484" s="7"/>
      <c r="D7484" s="7"/>
      <c r="E7484" s="7"/>
      <c r="F7484" s="7"/>
      <c r="G7484" s="7"/>
      <c r="H7484" s="8"/>
      <c r="I7484" s="8"/>
      <c r="J7484" s="7"/>
      <c r="K7484" s="7"/>
      <c r="L7484" s="7"/>
      <c r="M7484" s="7"/>
      <c r="N7484" s="7"/>
      <c r="O7484" s="7"/>
      <c r="P7484" s="7"/>
      <c r="Q7484" s="7"/>
      <c r="R7484" s="7"/>
      <c r="S7484" s="7"/>
      <c r="T7484" s="7"/>
      <c r="U7484" s="7"/>
      <c r="V7484" s="7"/>
      <c r="W7484" s="7"/>
      <c r="X7484" s="7"/>
      <c r="Y7484" s="7"/>
      <c r="Z7484" s="7"/>
    </row>
    <row r="7485" hidden="1">
      <c r="A7485" s="7"/>
      <c r="B7485" s="7"/>
      <c r="C7485" s="7"/>
      <c r="D7485" s="7"/>
      <c r="E7485" s="7"/>
      <c r="F7485" s="7"/>
      <c r="G7485" s="7"/>
      <c r="H7485" s="8"/>
      <c r="I7485" s="8"/>
      <c r="J7485" s="7"/>
      <c r="K7485" s="7"/>
      <c r="L7485" s="7"/>
      <c r="M7485" s="7"/>
      <c r="N7485" s="7"/>
      <c r="O7485" s="7"/>
      <c r="P7485" s="7"/>
      <c r="Q7485" s="7"/>
      <c r="R7485" s="7"/>
      <c r="S7485" s="7"/>
      <c r="T7485" s="7"/>
      <c r="U7485" s="7"/>
      <c r="V7485" s="7"/>
      <c r="W7485" s="7"/>
      <c r="X7485" s="7"/>
      <c r="Y7485" s="7"/>
      <c r="Z7485" s="7"/>
    </row>
    <row r="7486" hidden="1">
      <c r="A7486" s="7"/>
      <c r="B7486" s="7"/>
      <c r="C7486" s="7"/>
      <c r="D7486" s="7"/>
      <c r="E7486" s="7"/>
      <c r="F7486" s="7"/>
      <c r="G7486" s="7"/>
      <c r="H7486" s="8"/>
      <c r="I7486" s="8"/>
      <c r="J7486" s="7"/>
      <c r="K7486" s="7"/>
      <c r="L7486" s="7"/>
      <c r="M7486" s="7"/>
      <c r="N7486" s="7"/>
      <c r="O7486" s="7"/>
      <c r="P7486" s="7"/>
      <c r="Q7486" s="7"/>
      <c r="R7486" s="7"/>
      <c r="S7486" s="7"/>
      <c r="T7486" s="7"/>
      <c r="U7486" s="7"/>
      <c r="V7486" s="7"/>
      <c r="W7486" s="7"/>
      <c r="X7486" s="7"/>
      <c r="Y7486" s="7"/>
      <c r="Z7486" s="7"/>
    </row>
    <row r="7487" hidden="1">
      <c r="A7487" s="7"/>
      <c r="B7487" s="7"/>
      <c r="C7487" s="7"/>
      <c r="D7487" s="7"/>
      <c r="E7487" s="7"/>
      <c r="F7487" s="7"/>
      <c r="G7487" s="7"/>
      <c r="H7487" s="8"/>
      <c r="I7487" s="8"/>
      <c r="J7487" s="7"/>
      <c r="K7487" s="7"/>
      <c r="L7487" s="7"/>
      <c r="M7487" s="7"/>
      <c r="N7487" s="7"/>
      <c r="O7487" s="7"/>
      <c r="P7487" s="7"/>
      <c r="Q7487" s="7"/>
      <c r="R7487" s="7"/>
      <c r="S7487" s="7"/>
      <c r="T7487" s="7"/>
      <c r="U7487" s="7"/>
      <c r="V7487" s="7"/>
      <c r="W7487" s="7"/>
      <c r="X7487" s="7"/>
      <c r="Y7487" s="7"/>
      <c r="Z7487" s="7"/>
    </row>
    <row r="7488" hidden="1">
      <c r="A7488" s="7"/>
      <c r="B7488" s="7"/>
      <c r="C7488" s="7"/>
      <c r="D7488" s="7"/>
      <c r="E7488" s="7"/>
      <c r="F7488" s="7"/>
      <c r="G7488" s="7"/>
      <c r="H7488" s="8"/>
      <c r="I7488" s="8"/>
      <c r="J7488" s="7"/>
      <c r="K7488" s="7"/>
      <c r="L7488" s="7"/>
      <c r="M7488" s="7"/>
      <c r="N7488" s="7"/>
      <c r="O7488" s="7"/>
      <c r="P7488" s="7"/>
      <c r="Q7488" s="7"/>
      <c r="R7488" s="7"/>
      <c r="S7488" s="7"/>
      <c r="T7488" s="7"/>
      <c r="U7488" s="7"/>
      <c r="V7488" s="7"/>
      <c r="W7488" s="7"/>
      <c r="X7488" s="7"/>
      <c r="Y7488" s="7"/>
      <c r="Z7488" s="7"/>
    </row>
    <row r="7489" hidden="1">
      <c r="A7489" s="7"/>
      <c r="B7489" s="7"/>
      <c r="C7489" s="7"/>
      <c r="D7489" s="7"/>
      <c r="E7489" s="7"/>
      <c r="F7489" s="7"/>
      <c r="G7489" s="7"/>
      <c r="H7489" s="8"/>
      <c r="I7489" s="8"/>
      <c r="J7489" s="7"/>
      <c r="K7489" s="7"/>
      <c r="L7489" s="7"/>
      <c r="M7489" s="7"/>
      <c r="N7489" s="7"/>
      <c r="O7489" s="7"/>
      <c r="P7489" s="7"/>
      <c r="Q7489" s="7"/>
      <c r="R7489" s="7"/>
      <c r="S7489" s="7"/>
      <c r="T7489" s="7"/>
      <c r="U7489" s="7"/>
      <c r="V7489" s="7"/>
      <c r="W7489" s="7"/>
      <c r="X7489" s="7"/>
      <c r="Y7489" s="7"/>
      <c r="Z7489" s="7"/>
    </row>
    <row r="7490" hidden="1">
      <c r="A7490" s="7"/>
      <c r="B7490" s="7"/>
      <c r="C7490" s="7"/>
      <c r="D7490" s="7"/>
      <c r="E7490" s="7"/>
      <c r="F7490" s="7"/>
      <c r="G7490" s="7"/>
      <c r="H7490" s="8"/>
      <c r="I7490" s="8"/>
      <c r="J7490" s="7"/>
      <c r="K7490" s="7"/>
      <c r="L7490" s="7"/>
      <c r="M7490" s="7"/>
      <c r="N7490" s="7"/>
      <c r="O7490" s="7"/>
      <c r="P7490" s="7"/>
      <c r="Q7490" s="7"/>
      <c r="R7490" s="7"/>
      <c r="S7490" s="7"/>
      <c r="T7490" s="7"/>
      <c r="U7490" s="7"/>
      <c r="V7490" s="7"/>
      <c r="W7490" s="7"/>
      <c r="X7490" s="7"/>
      <c r="Y7490" s="7"/>
      <c r="Z7490" s="7"/>
    </row>
    <row r="7491" hidden="1">
      <c r="A7491" s="7"/>
      <c r="B7491" s="7"/>
      <c r="C7491" s="7"/>
      <c r="D7491" s="7"/>
      <c r="E7491" s="7"/>
      <c r="F7491" s="7"/>
      <c r="G7491" s="7"/>
      <c r="H7491" s="8"/>
      <c r="I7491" s="8"/>
      <c r="J7491" s="7"/>
      <c r="K7491" s="7"/>
      <c r="L7491" s="7"/>
      <c r="M7491" s="7"/>
      <c r="N7491" s="7"/>
      <c r="O7491" s="7"/>
      <c r="P7491" s="7"/>
      <c r="Q7491" s="7"/>
      <c r="R7491" s="7"/>
      <c r="S7491" s="7"/>
      <c r="T7491" s="7"/>
      <c r="U7491" s="7"/>
      <c r="V7491" s="7"/>
      <c r="W7491" s="7"/>
      <c r="X7491" s="7"/>
      <c r="Y7491" s="7"/>
      <c r="Z7491" s="7"/>
    </row>
    <row r="7492" hidden="1">
      <c r="A7492" s="7"/>
      <c r="B7492" s="7"/>
      <c r="C7492" s="7"/>
      <c r="D7492" s="7"/>
      <c r="E7492" s="7"/>
      <c r="F7492" s="7"/>
      <c r="G7492" s="7"/>
      <c r="H7492" s="8"/>
      <c r="I7492" s="8"/>
      <c r="J7492" s="7"/>
      <c r="K7492" s="7"/>
      <c r="L7492" s="7"/>
      <c r="M7492" s="7"/>
      <c r="N7492" s="7"/>
      <c r="O7492" s="7"/>
      <c r="P7492" s="7"/>
      <c r="Q7492" s="7"/>
      <c r="R7492" s="7"/>
      <c r="S7492" s="7"/>
      <c r="T7492" s="7"/>
      <c r="U7492" s="7"/>
      <c r="V7492" s="7"/>
      <c r="W7492" s="7"/>
      <c r="X7492" s="7"/>
      <c r="Y7492" s="7"/>
      <c r="Z7492" s="7"/>
    </row>
    <row r="7493" hidden="1">
      <c r="A7493" s="7"/>
      <c r="B7493" s="7"/>
      <c r="C7493" s="7"/>
      <c r="D7493" s="7"/>
      <c r="E7493" s="7"/>
      <c r="F7493" s="7"/>
      <c r="G7493" s="7"/>
      <c r="H7493" s="8"/>
      <c r="I7493" s="8"/>
      <c r="J7493" s="7"/>
      <c r="K7493" s="7"/>
      <c r="L7493" s="7"/>
      <c r="M7493" s="7"/>
      <c r="N7493" s="7"/>
      <c r="O7493" s="7"/>
      <c r="P7493" s="7"/>
      <c r="Q7493" s="7"/>
      <c r="R7493" s="7"/>
      <c r="S7493" s="7"/>
      <c r="T7493" s="7"/>
      <c r="U7493" s="7"/>
      <c r="V7493" s="7"/>
      <c r="W7493" s="7"/>
      <c r="X7493" s="7"/>
      <c r="Y7493" s="7"/>
      <c r="Z7493" s="7"/>
    </row>
    <row r="7494" hidden="1">
      <c r="A7494" s="7"/>
      <c r="B7494" s="7"/>
      <c r="C7494" s="7"/>
      <c r="D7494" s="7"/>
      <c r="E7494" s="7"/>
      <c r="F7494" s="7"/>
      <c r="G7494" s="7"/>
      <c r="H7494" s="8"/>
      <c r="I7494" s="8"/>
      <c r="J7494" s="7"/>
      <c r="K7494" s="7"/>
      <c r="L7494" s="7"/>
      <c r="M7494" s="7"/>
      <c r="N7494" s="7"/>
      <c r="O7494" s="7"/>
      <c r="P7494" s="7"/>
      <c r="Q7494" s="7"/>
      <c r="R7494" s="7"/>
      <c r="S7494" s="7"/>
      <c r="T7494" s="7"/>
      <c r="U7494" s="7"/>
      <c r="V7494" s="7"/>
      <c r="W7494" s="7"/>
      <c r="X7494" s="7"/>
      <c r="Y7494" s="7"/>
      <c r="Z7494" s="7"/>
    </row>
    <row r="7495" hidden="1">
      <c r="A7495" s="7"/>
      <c r="B7495" s="7"/>
      <c r="C7495" s="7"/>
      <c r="D7495" s="7"/>
      <c r="E7495" s="7"/>
      <c r="F7495" s="7"/>
      <c r="G7495" s="7"/>
      <c r="H7495" s="8"/>
      <c r="I7495" s="8"/>
      <c r="J7495" s="7"/>
      <c r="K7495" s="7"/>
      <c r="L7495" s="7"/>
      <c r="M7495" s="7"/>
      <c r="N7495" s="7"/>
      <c r="O7495" s="7"/>
      <c r="P7495" s="7"/>
      <c r="Q7495" s="7"/>
      <c r="R7495" s="7"/>
      <c r="S7495" s="7"/>
      <c r="T7495" s="7"/>
      <c r="U7495" s="7"/>
      <c r="V7495" s="7"/>
      <c r="W7495" s="7"/>
      <c r="X7495" s="7"/>
      <c r="Y7495" s="7"/>
      <c r="Z7495" s="7"/>
    </row>
    <row r="7496" hidden="1">
      <c r="A7496" s="7"/>
      <c r="B7496" s="7"/>
      <c r="C7496" s="7"/>
      <c r="D7496" s="7"/>
      <c r="E7496" s="7"/>
      <c r="F7496" s="7"/>
      <c r="G7496" s="7"/>
      <c r="H7496" s="8"/>
      <c r="I7496" s="8"/>
      <c r="J7496" s="7"/>
      <c r="K7496" s="7"/>
      <c r="L7496" s="7"/>
      <c r="M7496" s="7"/>
      <c r="N7496" s="7"/>
      <c r="O7496" s="7"/>
      <c r="P7496" s="7"/>
      <c r="Q7496" s="7"/>
      <c r="R7496" s="7"/>
      <c r="S7496" s="7"/>
      <c r="T7496" s="7"/>
      <c r="U7496" s="7"/>
      <c r="V7496" s="7"/>
      <c r="W7496" s="7"/>
      <c r="X7496" s="7"/>
      <c r="Y7496" s="7"/>
      <c r="Z7496" s="7"/>
    </row>
    <row r="7497" hidden="1">
      <c r="A7497" s="7"/>
      <c r="B7497" s="7"/>
      <c r="C7497" s="7"/>
      <c r="D7497" s="7"/>
      <c r="E7497" s="7"/>
      <c r="F7497" s="7"/>
      <c r="G7497" s="7"/>
      <c r="H7497" s="8"/>
      <c r="I7497" s="8"/>
      <c r="J7497" s="7"/>
      <c r="K7497" s="7"/>
      <c r="L7497" s="7"/>
      <c r="M7497" s="7"/>
      <c r="N7497" s="7"/>
      <c r="O7497" s="7"/>
      <c r="P7497" s="7"/>
      <c r="Q7497" s="7"/>
      <c r="R7497" s="7"/>
      <c r="S7497" s="7"/>
      <c r="T7497" s="7"/>
      <c r="U7497" s="7"/>
      <c r="V7497" s="7"/>
      <c r="W7497" s="7"/>
      <c r="X7497" s="7"/>
      <c r="Y7497" s="7"/>
      <c r="Z7497" s="7"/>
    </row>
    <row r="7498" hidden="1">
      <c r="A7498" s="7"/>
      <c r="B7498" s="7"/>
      <c r="C7498" s="7"/>
      <c r="D7498" s="7"/>
      <c r="E7498" s="7"/>
      <c r="F7498" s="7"/>
      <c r="G7498" s="7"/>
      <c r="H7498" s="8"/>
      <c r="I7498" s="8"/>
      <c r="J7498" s="7"/>
      <c r="K7498" s="7"/>
      <c r="L7498" s="7"/>
      <c r="M7498" s="7"/>
      <c r="N7498" s="7"/>
      <c r="O7498" s="7"/>
      <c r="P7498" s="7"/>
      <c r="Q7498" s="7"/>
      <c r="R7498" s="7"/>
      <c r="S7498" s="7"/>
      <c r="T7498" s="7"/>
      <c r="U7498" s="7"/>
      <c r="V7498" s="7"/>
      <c r="W7498" s="7"/>
      <c r="X7498" s="7"/>
      <c r="Y7498" s="7"/>
      <c r="Z7498" s="7"/>
    </row>
    <row r="7499" hidden="1">
      <c r="A7499" s="7"/>
      <c r="B7499" s="7"/>
      <c r="C7499" s="7"/>
      <c r="D7499" s="7"/>
      <c r="E7499" s="7"/>
      <c r="F7499" s="7"/>
      <c r="G7499" s="7"/>
      <c r="H7499" s="8"/>
      <c r="I7499" s="8"/>
      <c r="J7499" s="7"/>
      <c r="K7499" s="7"/>
      <c r="L7499" s="7"/>
      <c r="M7499" s="7"/>
      <c r="N7499" s="7"/>
      <c r="O7499" s="7"/>
      <c r="P7499" s="7"/>
      <c r="Q7499" s="7"/>
      <c r="R7499" s="7"/>
      <c r="S7499" s="7"/>
      <c r="T7499" s="7"/>
      <c r="U7499" s="7"/>
      <c r="V7499" s="7"/>
      <c r="W7499" s="7"/>
      <c r="X7499" s="7"/>
      <c r="Y7499" s="7"/>
      <c r="Z7499" s="7"/>
    </row>
    <row r="7500" hidden="1">
      <c r="A7500" s="7"/>
      <c r="B7500" s="7"/>
      <c r="C7500" s="7"/>
      <c r="D7500" s="7"/>
      <c r="E7500" s="7"/>
      <c r="F7500" s="7"/>
      <c r="G7500" s="7"/>
      <c r="H7500" s="8"/>
      <c r="I7500" s="8"/>
      <c r="J7500" s="7"/>
      <c r="K7500" s="7"/>
      <c r="L7500" s="7"/>
      <c r="M7500" s="7"/>
      <c r="N7500" s="7"/>
      <c r="O7500" s="7"/>
      <c r="P7500" s="7"/>
      <c r="Q7500" s="7"/>
      <c r="R7500" s="7"/>
      <c r="S7500" s="7"/>
      <c r="T7500" s="7"/>
      <c r="U7500" s="7"/>
      <c r="V7500" s="7"/>
      <c r="W7500" s="7"/>
      <c r="X7500" s="7"/>
      <c r="Y7500" s="7"/>
      <c r="Z7500" s="7"/>
    </row>
    <row r="7501" hidden="1">
      <c r="A7501" s="7"/>
      <c r="B7501" s="7"/>
      <c r="C7501" s="7"/>
      <c r="D7501" s="7"/>
      <c r="E7501" s="7"/>
      <c r="F7501" s="7"/>
      <c r="G7501" s="7"/>
      <c r="H7501" s="8"/>
      <c r="I7501" s="8"/>
      <c r="J7501" s="7"/>
      <c r="K7501" s="7"/>
      <c r="L7501" s="7"/>
      <c r="M7501" s="7"/>
      <c r="N7501" s="7"/>
      <c r="O7501" s="7"/>
      <c r="P7501" s="7"/>
      <c r="Q7501" s="7"/>
      <c r="R7501" s="7"/>
      <c r="S7501" s="7"/>
      <c r="T7501" s="7"/>
      <c r="U7501" s="7"/>
      <c r="V7501" s="7"/>
      <c r="W7501" s="7"/>
      <c r="X7501" s="7"/>
      <c r="Y7501" s="7"/>
      <c r="Z7501" s="7"/>
    </row>
    <row r="7502" hidden="1">
      <c r="A7502" s="7"/>
      <c r="B7502" s="7"/>
      <c r="C7502" s="7"/>
      <c r="D7502" s="7"/>
      <c r="E7502" s="7"/>
      <c r="F7502" s="7"/>
      <c r="G7502" s="7"/>
      <c r="H7502" s="8"/>
      <c r="I7502" s="8"/>
      <c r="J7502" s="7"/>
      <c r="K7502" s="7"/>
      <c r="L7502" s="7"/>
      <c r="M7502" s="7"/>
      <c r="N7502" s="7"/>
      <c r="O7502" s="7"/>
      <c r="P7502" s="7"/>
      <c r="Q7502" s="7"/>
      <c r="R7502" s="7"/>
      <c r="S7502" s="7"/>
      <c r="T7502" s="7"/>
      <c r="U7502" s="7"/>
      <c r="V7502" s="7"/>
      <c r="W7502" s="7"/>
      <c r="X7502" s="7"/>
      <c r="Y7502" s="7"/>
      <c r="Z7502" s="7"/>
    </row>
    <row r="7503" hidden="1">
      <c r="A7503" s="7"/>
      <c r="B7503" s="7"/>
      <c r="C7503" s="7"/>
      <c r="D7503" s="7"/>
      <c r="E7503" s="7"/>
      <c r="F7503" s="7"/>
      <c r="G7503" s="7"/>
      <c r="H7503" s="8"/>
      <c r="I7503" s="8"/>
      <c r="J7503" s="7"/>
      <c r="K7503" s="7"/>
      <c r="L7503" s="7"/>
      <c r="M7503" s="7"/>
      <c r="N7503" s="7"/>
      <c r="O7503" s="7"/>
      <c r="P7503" s="7"/>
      <c r="Q7503" s="7"/>
      <c r="R7503" s="7"/>
      <c r="S7503" s="7"/>
      <c r="T7503" s="7"/>
      <c r="U7503" s="7"/>
      <c r="V7503" s="7"/>
      <c r="W7503" s="7"/>
      <c r="X7503" s="7"/>
      <c r="Y7503" s="7"/>
      <c r="Z7503" s="7"/>
    </row>
    <row r="7504" hidden="1">
      <c r="A7504" s="7"/>
      <c r="B7504" s="7"/>
      <c r="C7504" s="7"/>
      <c r="D7504" s="7"/>
      <c r="E7504" s="7"/>
      <c r="F7504" s="7"/>
      <c r="G7504" s="7"/>
      <c r="H7504" s="8"/>
      <c r="I7504" s="8"/>
      <c r="J7504" s="7"/>
      <c r="K7504" s="7"/>
      <c r="L7504" s="7"/>
      <c r="M7504" s="7"/>
      <c r="N7504" s="7"/>
      <c r="O7504" s="7"/>
      <c r="P7504" s="7"/>
      <c r="Q7504" s="7"/>
      <c r="R7504" s="7"/>
      <c r="S7504" s="7"/>
      <c r="T7504" s="7"/>
      <c r="U7504" s="7"/>
      <c r="V7504" s="7"/>
      <c r="W7504" s="7"/>
      <c r="X7504" s="7"/>
      <c r="Y7504" s="7"/>
      <c r="Z7504" s="7"/>
    </row>
    <row r="7505" hidden="1">
      <c r="A7505" s="7"/>
      <c r="B7505" s="7"/>
      <c r="C7505" s="7"/>
      <c r="D7505" s="7"/>
      <c r="E7505" s="7"/>
      <c r="F7505" s="7"/>
      <c r="G7505" s="7"/>
      <c r="H7505" s="8"/>
      <c r="I7505" s="8"/>
      <c r="J7505" s="7"/>
      <c r="K7505" s="7"/>
      <c r="L7505" s="7"/>
      <c r="M7505" s="7"/>
      <c r="N7505" s="7"/>
      <c r="O7505" s="7"/>
      <c r="P7505" s="7"/>
      <c r="Q7505" s="7"/>
      <c r="R7505" s="7"/>
      <c r="S7505" s="7"/>
      <c r="T7505" s="7"/>
      <c r="U7505" s="7"/>
      <c r="V7505" s="7"/>
      <c r="W7505" s="7"/>
      <c r="X7505" s="7"/>
      <c r="Y7505" s="7"/>
      <c r="Z7505" s="7"/>
    </row>
    <row r="7506" hidden="1">
      <c r="A7506" s="7"/>
      <c r="B7506" s="7"/>
      <c r="C7506" s="7"/>
      <c r="D7506" s="7"/>
      <c r="E7506" s="7"/>
      <c r="F7506" s="7"/>
      <c r="G7506" s="7"/>
      <c r="H7506" s="8"/>
      <c r="I7506" s="8"/>
      <c r="J7506" s="7"/>
      <c r="K7506" s="7"/>
      <c r="L7506" s="7"/>
      <c r="M7506" s="7"/>
      <c r="N7506" s="7"/>
      <c r="O7506" s="7"/>
      <c r="P7506" s="7"/>
      <c r="Q7506" s="7"/>
      <c r="R7506" s="7"/>
      <c r="S7506" s="7"/>
      <c r="T7506" s="7"/>
      <c r="U7506" s="7"/>
      <c r="V7506" s="7"/>
      <c r="W7506" s="7"/>
      <c r="X7506" s="7"/>
      <c r="Y7506" s="7"/>
      <c r="Z7506" s="7"/>
    </row>
    <row r="7507" hidden="1">
      <c r="A7507" s="7"/>
      <c r="B7507" s="7"/>
      <c r="C7507" s="7"/>
      <c r="D7507" s="7"/>
      <c r="E7507" s="7"/>
      <c r="F7507" s="7"/>
      <c r="G7507" s="7"/>
      <c r="H7507" s="8"/>
      <c r="I7507" s="8"/>
      <c r="J7507" s="7"/>
      <c r="K7507" s="7"/>
      <c r="L7507" s="7"/>
      <c r="M7507" s="7"/>
      <c r="N7507" s="7"/>
      <c r="O7507" s="7"/>
      <c r="P7507" s="7"/>
      <c r="Q7507" s="7"/>
      <c r="R7507" s="7"/>
      <c r="S7507" s="7"/>
      <c r="T7507" s="7"/>
      <c r="U7507" s="7"/>
      <c r="V7507" s="7"/>
      <c r="W7507" s="7"/>
      <c r="X7507" s="7"/>
      <c r="Y7507" s="7"/>
      <c r="Z7507" s="7"/>
    </row>
    <row r="7508" hidden="1">
      <c r="A7508" s="7"/>
      <c r="B7508" s="7"/>
      <c r="C7508" s="7"/>
      <c r="D7508" s="7"/>
      <c r="E7508" s="7"/>
      <c r="F7508" s="7"/>
      <c r="G7508" s="7"/>
      <c r="H7508" s="8"/>
      <c r="I7508" s="8"/>
      <c r="J7508" s="7"/>
      <c r="K7508" s="7"/>
      <c r="L7508" s="7"/>
      <c r="M7508" s="7"/>
      <c r="N7508" s="7"/>
      <c r="O7508" s="7"/>
      <c r="P7508" s="7"/>
      <c r="Q7508" s="7"/>
      <c r="R7508" s="7"/>
      <c r="S7508" s="7"/>
      <c r="T7508" s="7"/>
      <c r="U7508" s="7"/>
      <c r="V7508" s="7"/>
      <c r="W7508" s="7"/>
      <c r="X7508" s="7"/>
      <c r="Y7508" s="7"/>
      <c r="Z7508" s="7"/>
    </row>
    <row r="7509" hidden="1">
      <c r="A7509" s="7"/>
      <c r="B7509" s="7"/>
      <c r="C7509" s="7"/>
      <c r="D7509" s="7"/>
      <c r="E7509" s="7"/>
      <c r="F7509" s="7"/>
      <c r="G7509" s="7"/>
      <c r="H7509" s="8"/>
      <c r="I7509" s="8"/>
      <c r="J7509" s="7"/>
      <c r="K7509" s="7"/>
      <c r="L7509" s="7"/>
      <c r="M7509" s="7"/>
      <c r="N7509" s="7"/>
      <c r="O7509" s="7"/>
      <c r="P7509" s="7"/>
      <c r="Q7509" s="7"/>
      <c r="R7509" s="7"/>
      <c r="S7509" s="7"/>
      <c r="T7509" s="7"/>
      <c r="U7509" s="7"/>
      <c r="V7509" s="7"/>
      <c r="W7509" s="7"/>
      <c r="X7509" s="7"/>
      <c r="Y7509" s="7"/>
      <c r="Z7509" s="7"/>
    </row>
    <row r="7510" hidden="1">
      <c r="A7510" s="7"/>
      <c r="B7510" s="7"/>
      <c r="C7510" s="7"/>
      <c r="D7510" s="7"/>
      <c r="E7510" s="7"/>
      <c r="F7510" s="7"/>
      <c r="G7510" s="7"/>
      <c r="H7510" s="8"/>
      <c r="I7510" s="8"/>
      <c r="J7510" s="7"/>
      <c r="K7510" s="7"/>
      <c r="L7510" s="7"/>
      <c r="M7510" s="7"/>
      <c r="N7510" s="7"/>
      <c r="O7510" s="7"/>
      <c r="P7510" s="7"/>
      <c r="Q7510" s="7"/>
      <c r="R7510" s="7"/>
      <c r="S7510" s="7"/>
      <c r="T7510" s="7"/>
      <c r="U7510" s="7"/>
      <c r="V7510" s="7"/>
      <c r="W7510" s="7"/>
      <c r="X7510" s="7"/>
      <c r="Y7510" s="7"/>
      <c r="Z7510" s="7"/>
    </row>
    <row r="7511" hidden="1">
      <c r="A7511" s="7"/>
      <c r="B7511" s="7"/>
      <c r="C7511" s="7"/>
      <c r="D7511" s="7"/>
      <c r="E7511" s="7"/>
      <c r="F7511" s="7"/>
      <c r="G7511" s="7"/>
      <c r="H7511" s="8"/>
      <c r="I7511" s="8"/>
      <c r="J7511" s="7"/>
      <c r="K7511" s="7"/>
      <c r="L7511" s="7"/>
      <c r="M7511" s="7"/>
      <c r="N7511" s="7"/>
      <c r="O7511" s="7"/>
      <c r="P7511" s="7"/>
      <c r="Q7511" s="7"/>
      <c r="R7511" s="7"/>
      <c r="S7511" s="7"/>
      <c r="T7511" s="7"/>
      <c r="U7511" s="7"/>
      <c r="V7511" s="7"/>
      <c r="W7511" s="7"/>
      <c r="X7511" s="7"/>
      <c r="Y7511" s="7"/>
      <c r="Z7511" s="7"/>
    </row>
    <row r="7512" hidden="1">
      <c r="A7512" s="7"/>
      <c r="B7512" s="7"/>
      <c r="C7512" s="7"/>
      <c r="D7512" s="7"/>
      <c r="E7512" s="7"/>
      <c r="F7512" s="7"/>
      <c r="G7512" s="7"/>
      <c r="H7512" s="8"/>
      <c r="I7512" s="8"/>
      <c r="J7512" s="7"/>
      <c r="K7512" s="7"/>
      <c r="L7512" s="7"/>
      <c r="M7512" s="7"/>
      <c r="N7512" s="7"/>
      <c r="O7512" s="7"/>
      <c r="P7512" s="7"/>
      <c r="Q7512" s="7"/>
      <c r="R7512" s="7"/>
      <c r="S7512" s="7"/>
      <c r="T7512" s="7"/>
      <c r="U7512" s="7"/>
      <c r="V7512" s="7"/>
      <c r="W7512" s="7"/>
      <c r="X7512" s="7"/>
      <c r="Y7512" s="7"/>
      <c r="Z7512" s="7"/>
    </row>
    <row r="7513" hidden="1">
      <c r="A7513" s="7"/>
      <c r="B7513" s="7"/>
      <c r="C7513" s="7"/>
      <c r="D7513" s="7"/>
      <c r="E7513" s="7"/>
      <c r="F7513" s="7"/>
      <c r="G7513" s="7"/>
      <c r="H7513" s="8"/>
      <c r="I7513" s="8"/>
      <c r="J7513" s="7"/>
      <c r="K7513" s="7"/>
      <c r="L7513" s="7"/>
      <c r="M7513" s="7"/>
      <c r="N7513" s="7"/>
      <c r="O7513" s="7"/>
      <c r="P7513" s="7"/>
      <c r="Q7513" s="7"/>
      <c r="R7513" s="7"/>
      <c r="S7513" s="7"/>
      <c r="T7513" s="7"/>
      <c r="U7513" s="7"/>
      <c r="V7513" s="7"/>
      <c r="W7513" s="7"/>
      <c r="X7513" s="7"/>
      <c r="Y7513" s="7"/>
      <c r="Z7513" s="7"/>
    </row>
    <row r="7514" hidden="1">
      <c r="A7514" s="7"/>
      <c r="B7514" s="7"/>
      <c r="C7514" s="7"/>
      <c r="D7514" s="7"/>
      <c r="E7514" s="7"/>
      <c r="F7514" s="7"/>
      <c r="G7514" s="7"/>
      <c r="H7514" s="8"/>
      <c r="I7514" s="8"/>
      <c r="J7514" s="7"/>
      <c r="K7514" s="7"/>
      <c r="L7514" s="7"/>
      <c r="M7514" s="7"/>
      <c r="N7514" s="7"/>
      <c r="O7514" s="7"/>
      <c r="P7514" s="7"/>
      <c r="Q7514" s="7"/>
      <c r="R7514" s="7"/>
      <c r="S7514" s="7"/>
      <c r="T7514" s="7"/>
      <c r="U7514" s="7"/>
      <c r="V7514" s="7"/>
      <c r="W7514" s="7"/>
      <c r="X7514" s="7"/>
      <c r="Y7514" s="7"/>
      <c r="Z7514" s="7"/>
    </row>
    <row r="7515" hidden="1">
      <c r="A7515" s="7"/>
      <c r="B7515" s="7"/>
      <c r="C7515" s="7"/>
      <c r="D7515" s="7"/>
      <c r="E7515" s="7"/>
      <c r="F7515" s="7"/>
      <c r="G7515" s="7"/>
      <c r="H7515" s="8"/>
      <c r="I7515" s="8"/>
      <c r="J7515" s="7"/>
      <c r="K7515" s="7"/>
      <c r="L7515" s="7"/>
      <c r="M7515" s="7"/>
      <c r="N7515" s="7"/>
      <c r="O7515" s="7"/>
      <c r="P7515" s="7"/>
      <c r="Q7515" s="7"/>
      <c r="R7515" s="7"/>
      <c r="S7515" s="7"/>
      <c r="T7515" s="7"/>
      <c r="U7515" s="7"/>
      <c r="V7515" s="7"/>
      <c r="W7515" s="7"/>
      <c r="X7515" s="7"/>
      <c r="Y7515" s="7"/>
      <c r="Z7515" s="7"/>
    </row>
    <row r="7516" hidden="1">
      <c r="A7516" s="7"/>
      <c r="B7516" s="7"/>
      <c r="C7516" s="7"/>
      <c r="D7516" s="7"/>
      <c r="E7516" s="7"/>
      <c r="F7516" s="7"/>
      <c r="G7516" s="7"/>
      <c r="H7516" s="8"/>
      <c r="I7516" s="8"/>
      <c r="J7516" s="7"/>
      <c r="K7516" s="7"/>
      <c r="L7516" s="7"/>
      <c r="M7516" s="7"/>
      <c r="N7516" s="7"/>
      <c r="O7516" s="7"/>
      <c r="P7516" s="7"/>
      <c r="Q7516" s="7"/>
      <c r="R7516" s="7"/>
      <c r="S7516" s="7"/>
      <c r="T7516" s="7"/>
      <c r="U7516" s="7"/>
      <c r="V7516" s="7"/>
      <c r="W7516" s="7"/>
      <c r="X7516" s="7"/>
      <c r="Y7516" s="7"/>
      <c r="Z7516" s="7"/>
    </row>
    <row r="7517" hidden="1">
      <c r="A7517" s="7"/>
      <c r="B7517" s="7"/>
      <c r="C7517" s="7"/>
      <c r="D7517" s="7"/>
      <c r="E7517" s="7"/>
      <c r="F7517" s="7"/>
      <c r="G7517" s="7"/>
      <c r="H7517" s="8"/>
      <c r="I7517" s="8"/>
      <c r="J7517" s="7"/>
      <c r="K7517" s="7"/>
      <c r="L7517" s="7"/>
      <c r="M7517" s="7"/>
      <c r="N7517" s="7"/>
      <c r="O7517" s="7"/>
      <c r="P7517" s="7"/>
      <c r="Q7517" s="7"/>
      <c r="R7517" s="7"/>
      <c r="S7517" s="7"/>
      <c r="T7517" s="7"/>
      <c r="U7517" s="7"/>
      <c r="V7517" s="7"/>
      <c r="W7517" s="7"/>
      <c r="X7517" s="7"/>
      <c r="Y7517" s="7"/>
      <c r="Z7517" s="7"/>
    </row>
    <row r="7518" hidden="1">
      <c r="A7518" s="7"/>
      <c r="B7518" s="7"/>
      <c r="C7518" s="7"/>
      <c r="D7518" s="7"/>
      <c r="E7518" s="7"/>
      <c r="F7518" s="7"/>
      <c r="G7518" s="7"/>
      <c r="H7518" s="8"/>
      <c r="I7518" s="8"/>
      <c r="J7518" s="7"/>
      <c r="K7518" s="7"/>
      <c r="L7518" s="7"/>
      <c r="M7518" s="7"/>
      <c r="N7518" s="7"/>
      <c r="O7518" s="7"/>
      <c r="P7518" s="7"/>
      <c r="Q7518" s="7"/>
      <c r="R7518" s="7"/>
      <c r="S7518" s="7"/>
      <c r="T7518" s="7"/>
      <c r="U7518" s="7"/>
      <c r="V7518" s="7"/>
      <c r="W7518" s="7"/>
      <c r="X7518" s="7"/>
      <c r="Y7518" s="7"/>
      <c r="Z7518" s="7"/>
    </row>
    <row r="7519" hidden="1">
      <c r="A7519" s="7"/>
      <c r="B7519" s="7"/>
      <c r="C7519" s="7"/>
      <c r="D7519" s="7"/>
      <c r="E7519" s="7"/>
      <c r="F7519" s="7"/>
      <c r="G7519" s="7"/>
      <c r="H7519" s="8"/>
      <c r="I7519" s="8"/>
      <c r="J7519" s="7"/>
      <c r="K7519" s="7"/>
      <c r="L7519" s="7"/>
      <c r="M7519" s="7"/>
      <c r="N7519" s="7"/>
      <c r="O7519" s="7"/>
      <c r="P7519" s="7"/>
      <c r="Q7519" s="7"/>
      <c r="R7519" s="7"/>
      <c r="S7519" s="7"/>
      <c r="T7519" s="7"/>
      <c r="U7519" s="7"/>
      <c r="V7519" s="7"/>
      <c r="W7519" s="7"/>
      <c r="X7519" s="7"/>
      <c r="Y7519" s="7"/>
      <c r="Z7519" s="7"/>
    </row>
    <row r="7520" hidden="1">
      <c r="A7520" s="7"/>
      <c r="B7520" s="7"/>
      <c r="C7520" s="7"/>
      <c r="D7520" s="7"/>
      <c r="E7520" s="7"/>
      <c r="F7520" s="7"/>
      <c r="G7520" s="7"/>
      <c r="H7520" s="8"/>
      <c r="I7520" s="8"/>
      <c r="J7520" s="7"/>
      <c r="K7520" s="7"/>
      <c r="L7520" s="7"/>
      <c r="M7520" s="7"/>
      <c r="N7520" s="7"/>
      <c r="O7520" s="7"/>
      <c r="P7520" s="7"/>
      <c r="Q7520" s="7"/>
      <c r="R7520" s="7"/>
      <c r="S7520" s="7"/>
      <c r="T7520" s="7"/>
      <c r="U7520" s="7"/>
      <c r="V7520" s="7"/>
      <c r="W7520" s="7"/>
      <c r="X7520" s="7"/>
      <c r="Y7520" s="7"/>
      <c r="Z7520" s="7"/>
    </row>
    <row r="7521" hidden="1">
      <c r="A7521" s="7"/>
      <c r="B7521" s="7"/>
      <c r="C7521" s="7"/>
      <c r="D7521" s="7"/>
      <c r="E7521" s="7"/>
      <c r="F7521" s="7"/>
      <c r="G7521" s="7"/>
      <c r="H7521" s="8"/>
      <c r="I7521" s="8"/>
      <c r="J7521" s="7"/>
      <c r="K7521" s="7"/>
      <c r="L7521" s="7"/>
      <c r="M7521" s="7"/>
      <c r="N7521" s="7"/>
      <c r="O7521" s="7"/>
      <c r="P7521" s="7"/>
      <c r="Q7521" s="7"/>
      <c r="R7521" s="7"/>
      <c r="S7521" s="7"/>
      <c r="T7521" s="7"/>
      <c r="U7521" s="7"/>
      <c r="V7521" s="7"/>
      <c r="W7521" s="7"/>
      <c r="X7521" s="7"/>
      <c r="Y7521" s="7"/>
      <c r="Z7521" s="7"/>
    </row>
    <row r="7522" hidden="1">
      <c r="A7522" s="7"/>
      <c r="B7522" s="7"/>
      <c r="C7522" s="7"/>
      <c r="D7522" s="7"/>
      <c r="E7522" s="7"/>
      <c r="F7522" s="7"/>
      <c r="G7522" s="7"/>
      <c r="H7522" s="8"/>
      <c r="I7522" s="8"/>
      <c r="J7522" s="7"/>
      <c r="K7522" s="7"/>
      <c r="L7522" s="7"/>
      <c r="M7522" s="7"/>
      <c r="N7522" s="7"/>
      <c r="O7522" s="7"/>
      <c r="P7522" s="7"/>
      <c r="Q7522" s="7"/>
      <c r="R7522" s="7"/>
      <c r="S7522" s="7"/>
      <c r="T7522" s="7"/>
      <c r="U7522" s="7"/>
      <c r="V7522" s="7"/>
      <c r="W7522" s="7"/>
      <c r="X7522" s="7"/>
      <c r="Y7522" s="7"/>
      <c r="Z7522" s="7"/>
    </row>
    <row r="7523" hidden="1">
      <c r="A7523" s="7"/>
      <c r="B7523" s="7"/>
      <c r="C7523" s="7"/>
      <c r="D7523" s="7"/>
      <c r="E7523" s="7"/>
      <c r="F7523" s="7"/>
      <c r="G7523" s="7"/>
      <c r="H7523" s="8"/>
      <c r="I7523" s="8"/>
      <c r="J7523" s="7"/>
      <c r="K7523" s="7"/>
      <c r="L7523" s="7"/>
      <c r="M7523" s="7"/>
      <c r="N7523" s="7"/>
      <c r="O7523" s="7"/>
      <c r="P7523" s="7"/>
      <c r="Q7523" s="7"/>
      <c r="R7523" s="7"/>
      <c r="S7523" s="7"/>
      <c r="T7523" s="7"/>
      <c r="U7523" s="7"/>
      <c r="V7523" s="7"/>
      <c r="W7523" s="7"/>
      <c r="X7523" s="7"/>
      <c r="Y7523" s="7"/>
      <c r="Z7523" s="7"/>
    </row>
    <row r="7524" hidden="1">
      <c r="A7524" s="7"/>
      <c r="B7524" s="7"/>
      <c r="C7524" s="7"/>
      <c r="D7524" s="7"/>
      <c r="E7524" s="7"/>
      <c r="F7524" s="7"/>
      <c r="G7524" s="7"/>
      <c r="H7524" s="8"/>
      <c r="I7524" s="8"/>
      <c r="J7524" s="7"/>
      <c r="K7524" s="7"/>
      <c r="L7524" s="7"/>
      <c r="M7524" s="7"/>
      <c r="N7524" s="7"/>
      <c r="O7524" s="7"/>
      <c r="P7524" s="7"/>
      <c r="Q7524" s="7"/>
      <c r="R7524" s="7"/>
      <c r="S7524" s="7"/>
      <c r="T7524" s="7"/>
      <c r="U7524" s="7"/>
      <c r="V7524" s="7"/>
      <c r="W7524" s="7"/>
      <c r="X7524" s="7"/>
      <c r="Y7524" s="7"/>
      <c r="Z7524" s="7"/>
    </row>
    <row r="7525" hidden="1">
      <c r="A7525" s="7"/>
      <c r="B7525" s="7"/>
      <c r="C7525" s="7"/>
      <c r="D7525" s="7"/>
      <c r="E7525" s="7"/>
      <c r="F7525" s="7"/>
      <c r="G7525" s="7"/>
      <c r="H7525" s="8"/>
      <c r="I7525" s="8"/>
      <c r="J7525" s="7"/>
      <c r="K7525" s="7"/>
      <c r="L7525" s="7"/>
      <c r="M7525" s="7"/>
      <c r="N7525" s="7"/>
      <c r="O7525" s="7"/>
      <c r="P7525" s="7"/>
      <c r="Q7525" s="7"/>
      <c r="R7525" s="7"/>
      <c r="S7525" s="7"/>
      <c r="T7525" s="7"/>
      <c r="U7525" s="7"/>
      <c r="V7525" s="7"/>
      <c r="W7525" s="7"/>
      <c r="X7525" s="7"/>
      <c r="Y7525" s="7"/>
      <c r="Z7525" s="7"/>
    </row>
    <row r="7526" hidden="1">
      <c r="A7526" s="7"/>
      <c r="B7526" s="7"/>
      <c r="C7526" s="7"/>
      <c r="D7526" s="7"/>
      <c r="E7526" s="7"/>
      <c r="F7526" s="7"/>
      <c r="G7526" s="7"/>
      <c r="H7526" s="8"/>
      <c r="I7526" s="8"/>
      <c r="J7526" s="7"/>
      <c r="K7526" s="7"/>
      <c r="L7526" s="7"/>
      <c r="M7526" s="7"/>
      <c r="N7526" s="7"/>
      <c r="O7526" s="7"/>
      <c r="P7526" s="7"/>
      <c r="Q7526" s="7"/>
      <c r="R7526" s="7"/>
      <c r="S7526" s="7"/>
      <c r="T7526" s="7"/>
      <c r="U7526" s="7"/>
      <c r="V7526" s="7"/>
      <c r="W7526" s="7"/>
      <c r="X7526" s="7"/>
      <c r="Y7526" s="7"/>
      <c r="Z7526" s="7"/>
    </row>
    <row r="7527" hidden="1">
      <c r="A7527" s="7"/>
      <c r="B7527" s="7"/>
      <c r="C7527" s="7"/>
      <c r="D7527" s="7"/>
      <c r="E7527" s="7"/>
      <c r="F7527" s="7"/>
      <c r="G7527" s="7"/>
      <c r="H7527" s="8"/>
      <c r="I7527" s="8"/>
      <c r="J7527" s="7"/>
      <c r="K7527" s="7"/>
      <c r="L7527" s="7"/>
      <c r="M7527" s="7"/>
      <c r="N7527" s="7"/>
      <c r="O7527" s="7"/>
      <c r="P7527" s="7"/>
      <c r="Q7527" s="7"/>
      <c r="R7527" s="7"/>
      <c r="S7527" s="7"/>
      <c r="T7527" s="7"/>
      <c r="U7527" s="7"/>
      <c r="V7527" s="7"/>
      <c r="W7527" s="7"/>
      <c r="X7527" s="7"/>
      <c r="Y7527" s="7"/>
      <c r="Z7527" s="7"/>
    </row>
    <row r="7528" hidden="1">
      <c r="A7528" s="7"/>
      <c r="B7528" s="7"/>
      <c r="C7528" s="7"/>
      <c r="D7528" s="7"/>
      <c r="E7528" s="7"/>
      <c r="F7528" s="7"/>
      <c r="G7528" s="7"/>
      <c r="H7528" s="8"/>
      <c r="I7528" s="8"/>
      <c r="J7528" s="7"/>
      <c r="K7528" s="7"/>
      <c r="L7528" s="7"/>
      <c r="M7528" s="7"/>
      <c r="N7528" s="7"/>
      <c r="O7528" s="7"/>
      <c r="P7528" s="7"/>
      <c r="Q7528" s="7"/>
      <c r="R7528" s="7"/>
      <c r="S7528" s="7"/>
      <c r="T7528" s="7"/>
      <c r="U7528" s="7"/>
      <c r="V7528" s="7"/>
      <c r="W7528" s="7"/>
      <c r="X7528" s="7"/>
      <c r="Y7528" s="7"/>
      <c r="Z7528" s="7"/>
    </row>
    <row r="7529" hidden="1">
      <c r="A7529" s="7"/>
      <c r="B7529" s="7"/>
      <c r="C7529" s="7"/>
      <c r="D7529" s="7"/>
      <c r="E7529" s="7"/>
      <c r="F7529" s="7"/>
      <c r="G7529" s="7"/>
      <c r="H7529" s="8"/>
      <c r="I7529" s="8"/>
      <c r="J7529" s="7"/>
      <c r="K7529" s="7"/>
      <c r="L7529" s="7"/>
      <c r="M7529" s="7"/>
      <c r="N7529" s="7"/>
      <c r="O7529" s="7"/>
      <c r="P7529" s="7"/>
      <c r="Q7529" s="7"/>
      <c r="R7529" s="7"/>
      <c r="S7529" s="7"/>
      <c r="T7529" s="7"/>
      <c r="U7529" s="7"/>
      <c r="V7529" s="7"/>
      <c r="W7529" s="7"/>
      <c r="X7529" s="7"/>
      <c r="Y7529" s="7"/>
      <c r="Z7529" s="7"/>
    </row>
    <row r="7530" hidden="1">
      <c r="A7530" s="7"/>
      <c r="B7530" s="7"/>
      <c r="C7530" s="7"/>
      <c r="D7530" s="7"/>
      <c r="E7530" s="7"/>
      <c r="F7530" s="7"/>
      <c r="G7530" s="7"/>
      <c r="H7530" s="8"/>
      <c r="I7530" s="8"/>
      <c r="J7530" s="7"/>
      <c r="K7530" s="7"/>
      <c r="L7530" s="7"/>
      <c r="M7530" s="7"/>
      <c r="N7530" s="7"/>
      <c r="O7530" s="7"/>
      <c r="P7530" s="7"/>
      <c r="Q7530" s="7"/>
      <c r="R7530" s="7"/>
      <c r="S7530" s="7"/>
      <c r="T7530" s="7"/>
      <c r="U7530" s="7"/>
      <c r="V7530" s="7"/>
      <c r="W7530" s="7"/>
      <c r="X7530" s="7"/>
      <c r="Y7530" s="7"/>
      <c r="Z7530" s="7"/>
    </row>
    <row r="7531" hidden="1">
      <c r="A7531" s="7"/>
      <c r="B7531" s="7"/>
      <c r="C7531" s="7"/>
      <c r="D7531" s="7"/>
      <c r="E7531" s="7"/>
      <c r="F7531" s="7"/>
      <c r="G7531" s="7"/>
      <c r="H7531" s="8"/>
      <c r="I7531" s="8"/>
      <c r="J7531" s="7"/>
      <c r="K7531" s="7"/>
      <c r="L7531" s="7"/>
      <c r="M7531" s="7"/>
      <c r="N7531" s="7"/>
      <c r="O7531" s="7"/>
      <c r="P7531" s="7"/>
      <c r="Q7531" s="7"/>
      <c r="R7531" s="7"/>
      <c r="S7531" s="7"/>
      <c r="T7531" s="7"/>
      <c r="U7531" s="7"/>
      <c r="V7531" s="7"/>
      <c r="W7531" s="7"/>
      <c r="X7531" s="7"/>
      <c r="Y7531" s="7"/>
      <c r="Z7531" s="7"/>
    </row>
    <row r="7532" hidden="1">
      <c r="A7532" s="7"/>
      <c r="B7532" s="7"/>
      <c r="C7532" s="7"/>
      <c r="D7532" s="7"/>
      <c r="E7532" s="7"/>
      <c r="F7532" s="7"/>
      <c r="G7532" s="7"/>
      <c r="H7532" s="8"/>
      <c r="I7532" s="8"/>
      <c r="J7532" s="7"/>
      <c r="K7532" s="7"/>
      <c r="L7532" s="7"/>
      <c r="M7532" s="7"/>
      <c r="N7532" s="7"/>
      <c r="O7532" s="7"/>
      <c r="P7532" s="7"/>
      <c r="Q7532" s="7"/>
      <c r="R7532" s="7"/>
      <c r="S7532" s="7"/>
      <c r="T7532" s="7"/>
      <c r="U7532" s="7"/>
      <c r="V7532" s="7"/>
      <c r="W7532" s="7"/>
      <c r="X7532" s="7"/>
      <c r="Y7532" s="7"/>
      <c r="Z7532" s="7"/>
    </row>
    <row r="7533" hidden="1">
      <c r="A7533" s="7"/>
      <c r="B7533" s="7"/>
      <c r="C7533" s="7"/>
      <c r="D7533" s="7"/>
      <c r="E7533" s="7"/>
      <c r="F7533" s="7"/>
      <c r="G7533" s="7"/>
      <c r="H7533" s="8"/>
      <c r="I7533" s="8"/>
      <c r="J7533" s="7"/>
      <c r="K7533" s="7"/>
      <c r="L7533" s="7"/>
      <c r="M7533" s="7"/>
      <c r="N7533" s="7"/>
      <c r="O7533" s="7"/>
      <c r="P7533" s="7"/>
      <c r="Q7533" s="7"/>
      <c r="R7533" s="7"/>
      <c r="S7533" s="7"/>
      <c r="T7533" s="7"/>
      <c r="U7533" s="7"/>
      <c r="V7533" s="7"/>
      <c r="W7533" s="7"/>
      <c r="X7533" s="7"/>
      <c r="Y7533" s="7"/>
      <c r="Z7533" s="7"/>
    </row>
    <row r="7534" hidden="1">
      <c r="A7534" s="7"/>
      <c r="B7534" s="7"/>
      <c r="C7534" s="7"/>
      <c r="D7534" s="7"/>
      <c r="E7534" s="7"/>
      <c r="F7534" s="7"/>
      <c r="G7534" s="7"/>
      <c r="H7534" s="8"/>
      <c r="I7534" s="8"/>
      <c r="J7534" s="7"/>
      <c r="K7534" s="7"/>
      <c r="L7534" s="7"/>
      <c r="M7534" s="7"/>
      <c r="N7534" s="7"/>
      <c r="O7534" s="7"/>
      <c r="P7534" s="7"/>
      <c r="Q7534" s="7"/>
      <c r="R7534" s="7"/>
      <c r="S7534" s="7"/>
      <c r="T7534" s="7"/>
      <c r="U7534" s="7"/>
      <c r="V7534" s="7"/>
      <c r="W7534" s="7"/>
      <c r="X7534" s="7"/>
      <c r="Y7534" s="7"/>
      <c r="Z7534" s="7"/>
    </row>
    <row r="7535" hidden="1">
      <c r="A7535" s="7"/>
      <c r="B7535" s="7"/>
      <c r="C7535" s="7"/>
      <c r="D7535" s="7"/>
      <c r="E7535" s="7"/>
      <c r="F7535" s="7"/>
      <c r="G7535" s="7"/>
      <c r="H7535" s="8"/>
      <c r="I7535" s="8"/>
      <c r="J7535" s="7"/>
      <c r="K7535" s="7"/>
      <c r="L7535" s="7"/>
      <c r="M7535" s="7"/>
      <c r="N7535" s="7"/>
      <c r="O7535" s="7"/>
      <c r="P7535" s="7"/>
      <c r="Q7535" s="7"/>
      <c r="R7535" s="7"/>
      <c r="S7535" s="7"/>
      <c r="T7535" s="7"/>
      <c r="U7535" s="7"/>
      <c r="V7535" s="7"/>
      <c r="W7535" s="7"/>
      <c r="X7535" s="7"/>
      <c r="Y7535" s="7"/>
      <c r="Z7535" s="7"/>
    </row>
    <row r="7536" hidden="1">
      <c r="A7536" s="7"/>
      <c r="B7536" s="7"/>
      <c r="C7536" s="7"/>
      <c r="D7536" s="7"/>
      <c r="E7536" s="7"/>
      <c r="F7536" s="7"/>
      <c r="G7536" s="7"/>
      <c r="H7536" s="8"/>
      <c r="I7536" s="8"/>
      <c r="J7536" s="7"/>
      <c r="K7536" s="7"/>
      <c r="L7536" s="7"/>
      <c r="M7536" s="7"/>
      <c r="N7536" s="7"/>
      <c r="O7536" s="7"/>
      <c r="P7536" s="7"/>
      <c r="Q7536" s="7"/>
      <c r="R7536" s="7"/>
      <c r="S7536" s="7"/>
      <c r="T7536" s="7"/>
      <c r="U7536" s="7"/>
      <c r="V7536" s="7"/>
      <c r="W7536" s="7"/>
      <c r="X7536" s="7"/>
      <c r="Y7536" s="7"/>
      <c r="Z7536" s="7"/>
    </row>
    <row r="7537" hidden="1">
      <c r="A7537" s="7"/>
      <c r="B7537" s="7"/>
      <c r="C7537" s="7"/>
      <c r="D7537" s="7"/>
      <c r="E7537" s="7"/>
      <c r="F7537" s="7"/>
      <c r="G7537" s="7"/>
      <c r="H7537" s="8"/>
      <c r="I7537" s="8"/>
      <c r="J7537" s="7"/>
      <c r="K7537" s="7"/>
      <c r="L7537" s="7"/>
      <c r="M7537" s="7"/>
      <c r="N7537" s="7"/>
      <c r="O7537" s="7"/>
      <c r="P7537" s="7"/>
      <c r="Q7537" s="7"/>
      <c r="R7537" s="7"/>
      <c r="S7537" s="7"/>
      <c r="T7537" s="7"/>
      <c r="U7537" s="7"/>
      <c r="V7537" s="7"/>
      <c r="W7537" s="7"/>
      <c r="X7537" s="7"/>
      <c r="Y7537" s="7"/>
      <c r="Z7537" s="7"/>
    </row>
    <row r="7538" hidden="1">
      <c r="A7538" s="7"/>
      <c r="B7538" s="7"/>
      <c r="C7538" s="7"/>
      <c r="D7538" s="7"/>
      <c r="E7538" s="7"/>
      <c r="F7538" s="7"/>
      <c r="G7538" s="7"/>
      <c r="H7538" s="8"/>
      <c r="I7538" s="8"/>
      <c r="J7538" s="7"/>
      <c r="K7538" s="7"/>
      <c r="L7538" s="7"/>
      <c r="M7538" s="7"/>
      <c r="N7538" s="7"/>
      <c r="O7538" s="7"/>
      <c r="P7538" s="7"/>
      <c r="Q7538" s="7"/>
      <c r="R7538" s="7"/>
      <c r="S7538" s="7"/>
      <c r="T7538" s="7"/>
      <c r="U7538" s="7"/>
      <c r="V7538" s="7"/>
      <c r="W7538" s="7"/>
      <c r="X7538" s="7"/>
      <c r="Y7538" s="7"/>
      <c r="Z7538" s="7"/>
    </row>
    <row r="7539" hidden="1">
      <c r="A7539" s="7"/>
      <c r="B7539" s="7"/>
      <c r="C7539" s="7"/>
      <c r="D7539" s="7"/>
      <c r="E7539" s="7"/>
      <c r="F7539" s="7"/>
      <c r="G7539" s="7"/>
      <c r="H7539" s="8"/>
      <c r="I7539" s="8"/>
      <c r="J7539" s="7"/>
      <c r="K7539" s="7"/>
      <c r="L7539" s="7"/>
      <c r="M7539" s="7"/>
      <c r="N7539" s="7"/>
      <c r="O7539" s="7"/>
      <c r="P7539" s="7"/>
      <c r="Q7539" s="7"/>
      <c r="R7539" s="7"/>
      <c r="S7539" s="7"/>
      <c r="T7539" s="7"/>
      <c r="U7539" s="7"/>
      <c r="V7539" s="7"/>
      <c r="W7539" s="7"/>
      <c r="X7539" s="7"/>
      <c r="Y7539" s="7"/>
      <c r="Z7539" s="7"/>
    </row>
    <row r="7540" hidden="1">
      <c r="A7540" s="7"/>
      <c r="B7540" s="7"/>
      <c r="C7540" s="7"/>
      <c r="D7540" s="7"/>
      <c r="E7540" s="7"/>
      <c r="F7540" s="7"/>
      <c r="G7540" s="7"/>
      <c r="H7540" s="8"/>
      <c r="I7540" s="8"/>
      <c r="J7540" s="7"/>
      <c r="K7540" s="7"/>
      <c r="L7540" s="7"/>
      <c r="M7540" s="7"/>
      <c r="N7540" s="7"/>
      <c r="O7540" s="7"/>
      <c r="P7540" s="7"/>
      <c r="Q7540" s="7"/>
      <c r="R7540" s="7"/>
      <c r="S7540" s="7"/>
      <c r="T7540" s="7"/>
      <c r="U7540" s="7"/>
      <c r="V7540" s="7"/>
      <c r="W7540" s="7"/>
      <c r="X7540" s="7"/>
      <c r="Y7540" s="7"/>
      <c r="Z7540" s="7"/>
    </row>
    <row r="7541" hidden="1">
      <c r="A7541" s="7"/>
      <c r="B7541" s="7"/>
      <c r="C7541" s="7"/>
      <c r="D7541" s="7"/>
      <c r="E7541" s="7"/>
      <c r="F7541" s="7"/>
      <c r="G7541" s="7"/>
      <c r="H7541" s="8"/>
      <c r="I7541" s="8"/>
      <c r="J7541" s="7"/>
      <c r="K7541" s="7"/>
      <c r="L7541" s="7"/>
      <c r="M7541" s="7"/>
      <c r="N7541" s="7"/>
      <c r="O7541" s="7"/>
      <c r="P7541" s="7"/>
      <c r="Q7541" s="7"/>
      <c r="R7541" s="7"/>
      <c r="S7541" s="7"/>
      <c r="T7541" s="7"/>
      <c r="U7541" s="7"/>
      <c r="V7541" s="7"/>
      <c r="W7541" s="7"/>
      <c r="X7541" s="7"/>
      <c r="Y7541" s="7"/>
      <c r="Z7541" s="7"/>
    </row>
    <row r="7542" hidden="1">
      <c r="A7542" s="7"/>
      <c r="B7542" s="7"/>
      <c r="C7542" s="7"/>
      <c r="D7542" s="7"/>
      <c r="E7542" s="7"/>
      <c r="F7542" s="7"/>
      <c r="G7542" s="7"/>
      <c r="H7542" s="8"/>
      <c r="I7542" s="8"/>
      <c r="J7542" s="7"/>
      <c r="K7542" s="7"/>
      <c r="L7542" s="7"/>
      <c r="M7542" s="7"/>
      <c r="N7542" s="7"/>
      <c r="O7542" s="7"/>
      <c r="P7542" s="7"/>
      <c r="Q7542" s="7"/>
      <c r="R7542" s="7"/>
      <c r="S7542" s="7"/>
      <c r="T7542" s="7"/>
      <c r="U7542" s="7"/>
      <c r="V7542" s="7"/>
      <c r="W7542" s="7"/>
      <c r="X7542" s="7"/>
      <c r="Y7542" s="7"/>
      <c r="Z7542" s="7"/>
    </row>
    <row r="7543" hidden="1">
      <c r="A7543" s="7"/>
      <c r="B7543" s="7"/>
      <c r="C7543" s="7"/>
      <c r="D7543" s="7"/>
      <c r="E7543" s="7"/>
      <c r="F7543" s="7"/>
      <c r="G7543" s="7"/>
      <c r="H7543" s="8"/>
      <c r="I7543" s="8"/>
      <c r="J7543" s="7"/>
      <c r="K7543" s="7"/>
      <c r="L7543" s="7"/>
      <c r="M7543" s="7"/>
      <c r="N7543" s="7"/>
      <c r="O7543" s="7"/>
      <c r="P7543" s="7"/>
      <c r="Q7543" s="7"/>
      <c r="R7543" s="7"/>
      <c r="S7543" s="7"/>
      <c r="T7543" s="7"/>
      <c r="U7543" s="7"/>
      <c r="V7543" s="7"/>
      <c r="W7543" s="7"/>
      <c r="X7543" s="7"/>
      <c r="Y7543" s="7"/>
      <c r="Z7543" s="7"/>
    </row>
    <row r="7544" hidden="1">
      <c r="A7544" s="7"/>
      <c r="B7544" s="7"/>
      <c r="C7544" s="7"/>
      <c r="D7544" s="7"/>
      <c r="E7544" s="7"/>
      <c r="F7544" s="7"/>
      <c r="G7544" s="7"/>
      <c r="H7544" s="8"/>
      <c r="I7544" s="8"/>
      <c r="J7544" s="7"/>
      <c r="K7544" s="7"/>
      <c r="L7544" s="7"/>
      <c r="M7544" s="7"/>
      <c r="N7544" s="7"/>
      <c r="O7544" s="7"/>
      <c r="P7544" s="7"/>
      <c r="Q7544" s="7"/>
      <c r="R7544" s="7"/>
      <c r="S7544" s="7"/>
      <c r="T7544" s="7"/>
      <c r="U7544" s="7"/>
      <c r="V7544" s="7"/>
      <c r="W7544" s="7"/>
      <c r="X7544" s="7"/>
      <c r="Y7544" s="7"/>
      <c r="Z7544" s="7"/>
    </row>
    <row r="7545" hidden="1">
      <c r="A7545" s="7"/>
      <c r="B7545" s="7"/>
      <c r="C7545" s="7"/>
      <c r="D7545" s="7"/>
      <c r="E7545" s="7"/>
      <c r="F7545" s="7"/>
      <c r="G7545" s="7"/>
      <c r="H7545" s="8"/>
      <c r="I7545" s="8"/>
      <c r="J7545" s="7"/>
      <c r="K7545" s="7"/>
      <c r="L7545" s="7"/>
      <c r="M7545" s="7"/>
      <c r="N7545" s="7"/>
      <c r="O7545" s="7"/>
      <c r="P7545" s="7"/>
      <c r="Q7545" s="7"/>
      <c r="R7545" s="7"/>
      <c r="S7545" s="7"/>
      <c r="T7545" s="7"/>
      <c r="U7545" s="7"/>
      <c r="V7545" s="7"/>
      <c r="W7545" s="7"/>
      <c r="X7545" s="7"/>
      <c r="Y7545" s="7"/>
      <c r="Z7545" s="7"/>
    </row>
    <row r="7546" hidden="1">
      <c r="A7546" s="7"/>
      <c r="B7546" s="7"/>
      <c r="C7546" s="7"/>
      <c r="D7546" s="7"/>
      <c r="E7546" s="7"/>
      <c r="F7546" s="7"/>
      <c r="G7546" s="7"/>
      <c r="H7546" s="8"/>
      <c r="I7546" s="8"/>
      <c r="J7546" s="7"/>
      <c r="K7546" s="7"/>
      <c r="L7546" s="7"/>
      <c r="M7546" s="7"/>
      <c r="N7546" s="7"/>
      <c r="O7546" s="7"/>
      <c r="P7546" s="7"/>
      <c r="Q7546" s="7"/>
      <c r="R7546" s="7"/>
      <c r="S7546" s="7"/>
      <c r="T7546" s="7"/>
      <c r="U7546" s="7"/>
      <c r="V7546" s="7"/>
      <c r="W7546" s="7"/>
      <c r="X7546" s="7"/>
      <c r="Y7546" s="7"/>
      <c r="Z7546" s="7"/>
    </row>
    <row r="7547" hidden="1">
      <c r="A7547" s="7"/>
      <c r="B7547" s="7"/>
      <c r="C7547" s="7"/>
      <c r="D7547" s="7"/>
      <c r="E7547" s="7"/>
      <c r="F7547" s="7"/>
      <c r="G7547" s="7"/>
      <c r="H7547" s="8"/>
      <c r="I7547" s="8"/>
      <c r="J7547" s="7"/>
      <c r="K7547" s="7"/>
      <c r="L7547" s="7"/>
      <c r="M7547" s="7"/>
      <c r="N7547" s="7"/>
      <c r="O7547" s="7"/>
      <c r="P7547" s="7"/>
      <c r="Q7547" s="7"/>
      <c r="R7547" s="7"/>
      <c r="S7547" s="7"/>
      <c r="T7547" s="7"/>
      <c r="U7547" s="7"/>
      <c r="V7547" s="7"/>
      <c r="W7547" s="7"/>
      <c r="X7547" s="7"/>
      <c r="Y7547" s="7"/>
      <c r="Z7547" s="7"/>
    </row>
    <row r="7548" hidden="1">
      <c r="A7548" s="7"/>
      <c r="B7548" s="7"/>
      <c r="C7548" s="7"/>
      <c r="D7548" s="7"/>
      <c r="E7548" s="7"/>
      <c r="F7548" s="7"/>
      <c r="G7548" s="7"/>
      <c r="H7548" s="8"/>
      <c r="I7548" s="8"/>
      <c r="J7548" s="7"/>
      <c r="K7548" s="7"/>
      <c r="L7548" s="7"/>
      <c r="M7548" s="7"/>
      <c r="N7548" s="7"/>
      <c r="O7548" s="7"/>
      <c r="P7548" s="7"/>
      <c r="Q7548" s="7"/>
      <c r="R7548" s="7"/>
      <c r="S7548" s="7"/>
      <c r="T7548" s="7"/>
      <c r="U7548" s="7"/>
      <c r="V7548" s="7"/>
      <c r="W7548" s="7"/>
      <c r="X7548" s="7"/>
      <c r="Y7548" s="7"/>
      <c r="Z7548" s="7"/>
    </row>
    <row r="7549" hidden="1">
      <c r="A7549" s="7"/>
      <c r="B7549" s="7"/>
      <c r="C7549" s="7"/>
      <c r="D7549" s="7"/>
      <c r="E7549" s="7"/>
      <c r="F7549" s="7"/>
      <c r="G7549" s="7"/>
      <c r="H7549" s="8"/>
      <c r="I7549" s="8"/>
      <c r="J7549" s="7"/>
      <c r="K7549" s="7"/>
      <c r="L7549" s="7"/>
      <c r="M7549" s="7"/>
      <c r="N7549" s="7"/>
      <c r="O7549" s="7"/>
      <c r="P7549" s="7"/>
      <c r="Q7549" s="7"/>
      <c r="R7549" s="7"/>
      <c r="S7549" s="7"/>
      <c r="T7549" s="7"/>
      <c r="U7549" s="7"/>
      <c r="V7549" s="7"/>
      <c r="W7549" s="7"/>
      <c r="X7549" s="7"/>
      <c r="Y7549" s="7"/>
      <c r="Z7549" s="7"/>
    </row>
    <row r="7550" hidden="1">
      <c r="A7550" s="7"/>
      <c r="B7550" s="7"/>
      <c r="C7550" s="7"/>
      <c r="D7550" s="7"/>
      <c r="E7550" s="7"/>
      <c r="F7550" s="7"/>
      <c r="G7550" s="7"/>
      <c r="H7550" s="8"/>
      <c r="I7550" s="8"/>
      <c r="J7550" s="7"/>
      <c r="K7550" s="7"/>
      <c r="L7550" s="7"/>
      <c r="M7550" s="7"/>
      <c r="N7550" s="7"/>
      <c r="O7550" s="7"/>
      <c r="P7550" s="7"/>
      <c r="Q7550" s="7"/>
      <c r="R7550" s="7"/>
      <c r="S7550" s="7"/>
      <c r="T7550" s="7"/>
      <c r="U7550" s="7"/>
      <c r="V7550" s="7"/>
      <c r="W7550" s="7"/>
      <c r="X7550" s="7"/>
      <c r="Y7550" s="7"/>
      <c r="Z7550" s="7"/>
    </row>
    <row r="7551" hidden="1">
      <c r="A7551" s="7"/>
      <c r="B7551" s="7"/>
      <c r="C7551" s="7"/>
      <c r="D7551" s="7"/>
      <c r="E7551" s="7"/>
      <c r="F7551" s="7"/>
      <c r="G7551" s="7"/>
      <c r="H7551" s="8"/>
      <c r="I7551" s="8"/>
      <c r="J7551" s="7"/>
      <c r="K7551" s="7"/>
      <c r="L7551" s="7"/>
      <c r="M7551" s="7"/>
      <c r="N7551" s="7"/>
      <c r="O7551" s="7"/>
      <c r="P7551" s="7"/>
      <c r="Q7551" s="7"/>
      <c r="R7551" s="7"/>
      <c r="S7551" s="7"/>
      <c r="T7551" s="7"/>
      <c r="U7551" s="7"/>
      <c r="V7551" s="7"/>
      <c r="W7551" s="7"/>
      <c r="X7551" s="7"/>
      <c r="Y7551" s="7"/>
      <c r="Z7551" s="7"/>
    </row>
    <row r="7552" hidden="1">
      <c r="A7552" s="7"/>
      <c r="B7552" s="7"/>
      <c r="C7552" s="7"/>
      <c r="D7552" s="7"/>
      <c r="E7552" s="7"/>
      <c r="F7552" s="7"/>
      <c r="G7552" s="7"/>
      <c r="H7552" s="8"/>
      <c r="I7552" s="8"/>
      <c r="J7552" s="7"/>
      <c r="K7552" s="7"/>
      <c r="L7552" s="7"/>
      <c r="M7552" s="7"/>
      <c r="N7552" s="7"/>
      <c r="O7552" s="7"/>
      <c r="P7552" s="7"/>
      <c r="Q7552" s="7"/>
      <c r="R7552" s="7"/>
      <c r="S7552" s="7"/>
      <c r="T7552" s="7"/>
      <c r="U7552" s="7"/>
      <c r="V7552" s="7"/>
      <c r="W7552" s="7"/>
      <c r="X7552" s="7"/>
      <c r="Y7552" s="7"/>
      <c r="Z7552" s="7"/>
    </row>
    <row r="7553" hidden="1">
      <c r="A7553" s="7"/>
      <c r="B7553" s="7"/>
      <c r="C7553" s="7"/>
      <c r="D7553" s="7"/>
      <c r="E7553" s="7"/>
      <c r="F7553" s="7"/>
      <c r="G7553" s="7"/>
      <c r="H7553" s="8"/>
      <c r="I7553" s="8"/>
      <c r="J7553" s="7"/>
      <c r="K7553" s="7"/>
      <c r="L7553" s="7"/>
      <c r="M7553" s="7"/>
      <c r="N7553" s="7"/>
      <c r="O7553" s="7"/>
      <c r="P7553" s="7"/>
      <c r="Q7553" s="7"/>
      <c r="R7553" s="7"/>
      <c r="S7553" s="7"/>
      <c r="T7553" s="7"/>
      <c r="U7553" s="7"/>
      <c r="V7553" s="7"/>
      <c r="W7553" s="7"/>
      <c r="X7553" s="7"/>
      <c r="Y7553" s="7"/>
      <c r="Z7553" s="7"/>
    </row>
    <row r="7554" hidden="1">
      <c r="A7554" s="7"/>
      <c r="B7554" s="7"/>
      <c r="C7554" s="7"/>
      <c r="D7554" s="7"/>
      <c r="E7554" s="7"/>
      <c r="F7554" s="7"/>
      <c r="G7554" s="7"/>
      <c r="H7554" s="8"/>
      <c r="I7554" s="8"/>
      <c r="J7554" s="7"/>
      <c r="K7554" s="7"/>
      <c r="L7554" s="7"/>
      <c r="M7554" s="7"/>
      <c r="N7554" s="7"/>
      <c r="O7554" s="7"/>
      <c r="P7554" s="7"/>
      <c r="Q7554" s="7"/>
      <c r="R7554" s="7"/>
      <c r="S7554" s="7"/>
      <c r="T7554" s="7"/>
      <c r="U7554" s="7"/>
      <c r="V7554" s="7"/>
      <c r="W7554" s="7"/>
      <c r="X7554" s="7"/>
      <c r="Y7554" s="7"/>
      <c r="Z7554" s="7"/>
    </row>
    <row r="7555" hidden="1">
      <c r="A7555" s="7"/>
      <c r="B7555" s="7"/>
      <c r="C7555" s="7"/>
      <c r="D7555" s="7"/>
      <c r="E7555" s="7"/>
      <c r="F7555" s="7"/>
      <c r="G7555" s="7"/>
      <c r="H7555" s="8"/>
      <c r="I7555" s="8"/>
      <c r="J7555" s="7"/>
      <c r="K7555" s="7"/>
      <c r="L7555" s="7"/>
      <c r="M7555" s="7"/>
      <c r="N7555" s="7"/>
      <c r="O7555" s="7"/>
      <c r="P7555" s="7"/>
      <c r="Q7555" s="7"/>
      <c r="R7555" s="7"/>
      <c r="S7555" s="7"/>
      <c r="T7555" s="7"/>
      <c r="U7555" s="7"/>
      <c r="V7555" s="7"/>
      <c r="W7555" s="7"/>
      <c r="X7555" s="7"/>
      <c r="Y7555" s="7"/>
      <c r="Z7555" s="7"/>
    </row>
    <row r="7556" hidden="1">
      <c r="A7556" s="7"/>
      <c r="B7556" s="7"/>
      <c r="C7556" s="7"/>
      <c r="D7556" s="7"/>
      <c r="E7556" s="7"/>
      <c r="F7556" s="7"/>
      <c r="G7556" s="7"/>
      <c r="H7556" s="8"/>
      <c r="I7556" s="8"/>
      <c r="J7556" s="7"/>
      <c r="K7556" s="7"/>
      <c r="L7556" s="7"/>
      <c r="M7556" s="7"/>
      <c r="N7556" s="7"/>
      <c r="O7556" s="7"/>
      <c r="P7556" s="7"/>
      <c r="Q7556" s="7"/>
      <c r="R7556" s="7"/>
      <c r="S7556" s="7"/>
      <c r="T7556" s="7"/>
      <c r="U7556" s="7"/>
      <c r="V7556" s="7"/>
      <c r="W7556" s="7"/>
      <c r="X7556" s="7"/>
      <c r="Y7556" s="7"/>
      <c r="Z7556" s="7"/>
    </row>
    <row r="7557" hidden="1">
      <c r="A7557" s="7"/>
      <c r="B7557" s="7"/>
      <c r="C7557" s="7"/>
      <c r="D7557" s="7"/>
      <c r="E7557" s="7"/>
      <c r="F7557" s="7"/>
      <c r="G7557" s="7"/>
      <c r="H7557" s="8"/>
      <c r="I7557" s="8"/>
      <c r="J7557" s="7"/>
      <c r="K7557" s="7"/>
      <c r="L7557" s="7"/>
      <c r="M7557" s="7"/>
      <c r="N7557" s="7"/>
      <c r="O7557" s="7"/>
      <c r="P7557" s="7"/>
      <c r="Q7557" s="7"/>
      <c r="R7557" s="7"/>
      <c r="S7557" s="7"/>
      <c r="T7557" s="7"/>
      <c r="U7557" s="7"/>
      <c r="V7557" s="7"/>
      <c r="W7557" s="7"/>
      <c r="X7557" s="7"/>
      <c r="Y7557" s="7"/>
      <c r="Z7557" s="7"/>
    </row>
    <row r="7558" hidden="1">
      <c r="A7558" s="7"/>
      <c r="B7558" s="7"/>
      <c r="C7558" s="7"/>
      <c r="D7558" s="7"/>
      <c r="E7558" s="7"/>
      <c r="F7558" s="7"/>
      <c r="G7558" s="7"/>
      <c r="H7558" s="8"/>
      <c r="I7558" s="8"/>
      <c r="J7558" s="7"/>
      <c r="K7558" s="7"/>
      <c r="L7558" s="7"/>
      <c r="M7558" s="7"/>
      <c r="N7558" s="7"/>
      <c r="O7558" s="7"/>
      <c r="P7558" s="7"/>
      <c r="Q7558" s="7"/>
      <c r="R7558" s="7"/>
      <c r="S7558" s="7"/>
      <c r="T7558" s="7"/>
      <c r="U7558" s="7"/>
      <c r="V7558" s="7"/>
      <c r="W7558" s="7"/>
      <c r="X7558" s="7"/>
      <c r="Y7558" s="7"/>
      <c r="Z7558" s="7"/>
    </row>
    <row r="7559" hidden="1">
      <c r="A7559" s="7"/>
      <c r="B7559" s="7"/>
      <c r="C7559" s="7"/>
      <c r="D7559" s="7"/>
      <c r="E7559" s="7"/>
      <c r="F7559" s="7"/>
      <c r="G7559" s="7"/>
      <c r="H7559" s="8"/>
      <c r="I7559" s="8"/>
      <c r="J7559" s="7"/>
      <c r="K7559" s="7"/>
      <c r="L7559" s="7"/>
      <c r="M7559" s="7"/>
      <c r="N7559" s="7"/>
      <c r="O7559" s="7"/>
      <c r="P7559" s="7"/>
      <c r="Q7559" s="7"/>
      <c r="R7559" s="7"/>
      <c r="S7559" s="7"/>
      <c r="T7559" s="7"/>
      <c r="U7559" s="7"/>
      <c r="V7559" s="7"/>
      <c r="W7559" s="7"/>
      <c r="X7559" s="7"/>
      <c r="Y7559" s="7"/>
      <c r="Z7559" s="7"/>
    </row>
    <row r="7560" hidden="1">
      <c r="A7560" s="7"/>
      <c r="B7560" s="7"/>
      <c r="C7560" s="7"/>
      <c r="D7560" s="7"/>
      <c r="E7560" s="7"/>
      <c r="F7560" s="7"/>
      <c r="G7560" s="7"/>
      <c r="H7560" s="8"/>
      <c r="I7560" s="8"/>
      <c r="J7560" s="7"/>
      <c r="K7560" s="7"/>
      <c r="L7560" s="7"/>
      <c r="M7560" s="7"/>
      <c r="N7560" s="7"/>
      <c r="O7560" s="7"/>
      <c r="P7560" s="7"/>
      <c r="Q7560" s="7"/>
      <c r="R7560" s="7"/>
      <c r="S7560" s="7"/>
      <c r="T7560" s="7"/>
      <c r="U7560" s="7"/>
      <c r="V7560" s="7"/>
      <c r="W7560" s="7"/>
      <c r="X7560" s="7"/>
      <c r="Y7560" s="7"/>
      <c r="Z7560" s="7"/>
    </row>
    <row r="7561" hidden="1">
      <c r="A7561" s="7"/>
      <c r="B7561" s="7"/>
      <c r="C7561" s="7"/>
      <c r="D7561" s="7"/>
      <c r="E7561" s="7"/>
      <c r="F7561" s="7"/>
      <c r="G7561" s="7"/>
      <c r="H7561" s="8"/>
      <c r="I7561" s="8"/>
      <c r="J7561" s="7"/>
      <c r="K7561" s="7"/>
      <c r="L7561" s="7"/>
      <c r="M7561" s="7"/>
      <c r="N7561" s="7"/>
      <c r="O7561" s="7"/>
      <c r="P7561" s="7"/>
      <c r="Q7561" s="7"/>
      <c r="R7561" s="7"/>
      <c r="S7561" s="7"/>
      <c r="T7561" s="7"/>
      <c r="U7561" s="7"/>
      <c r="V7561" s="7"/>
      <c r="W7561" s="7"/>
      <c r="X7561" s="7"/>
      <c r="Y7561" s="7"/>
      <c r="Z7561" s="7"/>
    </row>
    <row r="7562" hidden="1">
      <c r="A7562" s="7"/>
      <c r="B7562" s="7"/>
      <c r="C7562" s="7"/>
      <c r="D7562" s="7"/>
      <c r="E7562" s="7"/>
      <c r="F7562" s="7"/>
      <c r="G7562" s="7"/>
      <c r="H7562" s="8"/>
      <c r="I7562" s="8"/>
      <c r="J7562" s="7"/>
      <c r="K7562" s="7"/>
      <c r="L7562" s="7"/>
      <c r="M7562" s="7"/>
      <c r="N7562" s="7"/>
      <c r="O7562" s="7"/>
      <c r="P7562" s="7"/>
      <c r="Q7562" s="7"/>
      <c r="R7562" s="7"/>
      <c r="S7562" s="7"/>
      <c r="T7562" s="7"/>
      <c r="U7562" s="7"/>
      <c r="V7562" s="7"/>
      <c r="W7562" s="7"/>
      <c r="X7562" s="7"/>
      <c r="Y7562" s="7"/>
      <c r="Z7562" s="7"/>
    </row>
    <row r="7563" hidden="1">
      <c r="A7563" s="7"/>
      <c r="B7563" s="7"/>
      <c r="C7563" s="7"/>
      <c r="D7563" s="7"/>
      <c r="E7563" s="7"/>
      <c r="F7563" s="7"/>
      <c r="G7563" s="7"/>
      <c r="H7563" s="8"/>
      <c r="I7563" s="8"/>
      <c r="J7563" s="7"/>
      <c r="K7563" s="7"/>
      <c r="L7563" s="7"/>
      <c r="M7563" s="7"/>
      <c r="N7563" s="7"/>
      <c r="O7563" s="7"/>
      <c r="P7563" s="7"/>
      <c r="Q7563" s="7"/>
      <c r="R7563" s="7"/>
      <c r="S7563" s="7"/>
      <c r="T7563" s="7"/>
      <c r="U7563" s="7"/>
      <c r="V7563" s="7"/>
      <c r="W7563" s="7"/>
      <c r="X7563" s="7"/>
      <c r="Y7563" s="7"/>
      <c r="Z7563" s="7"/>
    </row>
    <row r="7564" hidden="1">
      <c r="A7564" s="7"/>
      <c r="B7564" s="7"/>
      <c r="C7564" s="7"/>
      <c r="D7564" s="7"/>
      <c r="E7564" s="7"/>
      <c r="F7564" s="7"/>
      <c r="G7564" s="7"/>
      <c r="H7564" s="8"/>
      <c r="I7564" s="8"/>
      <c r="J7564" s="7"/>
      <c r="K7564" s="7"/>
      <c r="L7564" s="7"/>
      <c r="M7564" s="7"/>
      <c r="N7564" s="7"/>
      <c r="O7564" s="7"/>
      <c r="P7564" s="7"/>
      <c r="Q7564" s="7"/>
      <c r="R7564" s="7"/>
      <c r="S7564" s="7"/>
      <c r="T7564" s="7"/>
      <c r="U7564" s="7"/>
      <c r="V7564" s="7"/>
      <c r="W7564" s="7"/>
      <c r="X7564" s="7"/>
      <c r="Y7564" s="7"/>
      <c r="Z7564" s="7"/>
    </row>
    <row r="7565" hidden="1">
      <c r="A7565" s="7"/>
      <c r="B7565" s="7"/>
      <c r="C7565" s="7"/>
      <c r="D7565" s="7"/>
      <c r="E7565" s="7"/>
      <c r="F7565" s="7"/>
      <c r="G7565" s="7"/>
      <c r="H7565" s="8"/>
      <c r="I7565" s="8"/>
      <c r="J7565" s="7"/>
      <c r="K7565" s="7"/>
      <c r="L7565" s="7"/>
      <c r="M7565" s="7"/>
      <c r="N7565" s="7"/>
      <c r="O7565" s="7"/>
      <c r="P7565" s="7"/>
      <c r="Q7565" s="7"/>
      <c r="R7565" s="7"/>
      <c r="S7565" s="7"/>
      <c r="T7565" s="7"/>
      <c r="U7565" s="7"/>
      <c r="V7565" s="7"/>
      <c r="W7565" s="7"/>
      <c r="X7565" s="7"/>
      <c r="Y7565" s="7"/>
      <c r="Z7565" s="7"/>
    </row>
    <row r="7566" hidden="1">
      <c r="A7566" s="7"/>
      <c r="B7566" s="7"/>
      <c r="C7566" s="7"/>
      <c r="D7566" s="7"/>
      <c r="E7566" s="7"/>
      <c r="F7566" s="7"/>
      <c r="G7566" s="7"/>
      <c r="H7566" s="8"/>
      <c r="I7566" s="8"/>
      <c r="J7566" s="7"/>
      <c r="K7566" s="7"/>
      <c r="L7566" s="7"/>
      <c r="M7566" s="7"/>
      <c r="N7566" s="7"/>
      <c r="O7566" s="7"/>
      <c r="P7566" s="7"/>
      <c r="Q7566" s="7"/>
      <c r="R7566" s="7"/>
      <c r="S7566" s="7"/>
      <c r="T7566" s="7"/>
      <c r="U7566" s="7"/>
      <c r="V7566" s="7"/>
      <c r="W7566" s="7"/>
      <c r="X7566" s="7"/>
      <c r="Y7566" s="7"/>
      <c r="Z7566" s="7"/>
    </row>
    <row r="7567" hidden="1">
      <c r="A7567" s="7"/>
      <c r="B7567" s="7"/>
      <c r="C7567" s="7"/>
      <c r="D7567" s="7"/>
      <c r="E7567" s="7"/>
      <c r="F7567" s="7"/>
      <c r="G7567" s="7"/>
      <c r="H7567" s="8"/>
      <c r="I7567" s="8"/>
      <c r="J7567" s="7"/>
      <c r="K7567" s="7"/>
      <c r="L7567" s="7"/>
      <c r="M7567" s="7"/>
      <c r="N7567" s="7"/>
      <c r="O7567" s="7"/>
      <c r="P7567" s="7"/>
      <c r="Q7567" s="7"/>
      <c r="R7567" s="7"/>
      <c r="S7567" s="7"/>
      <c r="T7567" s="7"/>
      <c r="U7567" s="7"/>
      <c r="V7567" s="7"/>
      <c r="W7567" s="7"/>
      <c r="X7567" s="7"/>
      <c r="Y7567" s="7"/>
      <c r="Z7567" s="7"/>
    </row>
    <row r="7568" hidden="1">
      <c r="A7568" s="7"/>
      <c r="B7568" s="7"/>
      <c r="C7568" s="7"/>
      <c r="D7568" s="7"/>
      <c r="E7568" s="7"/>
      <c r="F7568" s="7"/>
      <c r="G7568" s="7"/>
      <c r="H7568" s="8"/>
      <c r="I7568" s="8"/>
      <c r="J7568" s="7"/>
      <c r="K7568" s="7"/>
      <c r="L7568" s="7"/>
      <c r="M7568" s="7"/>
      <c r="N7568" s="7"/>
      <c r="O7568" s="7"/>
      <c r="P7568" s="7"/>
      <c r="Q7568" s="7"/>
      <c r="R7568" s="7"/>
      <c r="S7568" s="7"/>
      <c r="T7568" s="7"/>
      <c r="U7568" s="7"/>
      <c r="V7568" s="7"/>
      <c r="W7568" s="7"/>
      <c r="X7568" s="7"/>
      <c r="Y7568" s="7"/>
      <c r="Z7568" s="7"/>
    </row>
    <row r="7569" hidden="1">
      <c r="A7569" s="7"/>
      <c r="B7569" s="7"/>
      <c r="C7569" s="7"/>
      <c r="D7569" s="7"/>
      <c r="E7569" s="7"/>
      <c r="F7569" s="7"/>
      <c r="G7569" s="7"/>
      <c r="H7569" s="8"/>
      <c r="I7569" s="8"/>
      <c r="J7569" s="7"/>
      <c r="K7569" s="7"/>
      <c r="L7569" s="7"/>
      <c r="M7569" s="7"/>
      <c r="N7569" s="7"/>
      <c r="O7569" s="7"/>
      <c r="P7569" s="7"/>
      <c r="Q7569" s="7"/>
      <c r="R7569" s="7"/>
      <c r="S7569" s="7"/>
      <c r="T7569" s="7"/>
      <c r="U7569" s="7"/>
      <c r="V7569" s="7"/>
      <c r="W7569" s="7"/>
      <c r="X7569" s="7"/>
      <c r="Y7569" s="7"/>
      <c r="Z7569" s="7"/>
    </row>
    <row r="7570" hidden="1">
      <c r="A7570" s="7"/>
      <c r="B7570" s="7"/>
      <c r="C7570" s="7"/>
      <c r="D7570" s="7"/>
      <c r="E7570" s="7"/>
      <c r="F7570" s="7"/>
      <c r="G7570" s="7"/>
      <c r="H7570" s="8"/>
      <c r="I7570" s="8"/>
      <c r="J7570" s="7"/>
      <c r="K7570" s="7"/>
      <c r="L7570" s="7"/>
      <c r="M7570" s="7"/>
      <c r="N7570" s="7"/>
      <c r="O7570" s="7"/>
      <c r="P7570" s="7"/>
      <c r="Q7570" s="7"/>
      <c r="R7570" s="7"/>
      <c r="S7570" s="7"/>
      <c r="T7570" s="7"/>
      <c r="U7570" s="7"/>
      <c r="V7570" s="7"/>
      <c r="W7570" s="7"/>
      <c r="X7570" s="7"/>
      <c r="Y7570" s="7"/>
      <c r="Z7570" s="7"/>
    </row>
    <row r="7571" hidden="1">
      <c r="A7571" s="7"/>
      <c r="B7571" s="7"/>
      <c r="C7571" s="7"/>
      <c r="D7571" s="7"/>
      <c r="E7571" s="7"/>
      <c r="F7571" s="7"/>
      <c r="G7571" s="7"/>
      <c r="H7571" s="8"/>
      <c r="I7571" s="8"/>
      <c r="J7571" s="7"/>
      <c r="K7571" s="7"/>
      <c r="L7571" s="7"/>
      <c r="M7571" s="7"/>
      <c r="N7571" s="7"/>
      <c r="O7571" s="7"/>
      <c r="P7571" s="7"/>
      <c r="Q7571" s="7"/>
      <c r="R7571" s="7"/>
      <c r="S7571" s="7"/>
      <c r="T7571" s="7"/>
      <c r="U7571" s="7"/>
      <c r="V7571" s="7"/>
      <c r="W7571" s="7"/>
      <c r="X7571" s="7"/>
      <c r="Y7571" s="7"/>
      <c r="Z7571" s="7"/>
    </row>
    <row r="7572" hidden="1">
      <c r="A7572" s="7"/>
      <c r="B7572" s="7"/>
      <c r="C7572" s="7"/>
      <c r="D7572" s="7"/>
      <c r="E7572" s="7"/>
      <c r="F7572" s="7"/>
      <c r="G7572" s="7"/>
      <c r="H7572" s="8"/>
      <c r="I7572" s="8"/>
      <c r="J7572" s="7"/>
      <c r="K7572" s="7"/>
      <c r="L7572" s="7"/>
      <c r="M7572" s="7"/>
      <c r="N7572" s="7"/>
      <c r="O7572" s="7"/>
      <c r="P7572" s="7"/>
      <c r="Q7572" s="7"/>
      <c r="R7572" s="7"/>
      <c r="S7572" s="7"/>
      <c r="T7572" s="7"/>
      <c r="U7572" s="7"/>
      <c r="V7572" s="7"/>
      <c r="W7572" s="7"/>
      <c r="X7572" s="7"/>
      <c r="Y7572" s="7"/>
      <c r="Z7572" s="7"/>
    </row>
    <row r="7573" hidden="1">
      <c r="A7573" s="7"/>
      <c r="B7573" s="7"/>
      <c r="C7573" s="7"/>
      <c r="D7573" s="7"/>
      <c r="E7573" s="7"/>
      <c r="F7573" s="7"/>
      <c r="G7573" s="7"/>
      <c r="H7573" s="8"/>
      <c r="I7573" s="8"/>
      <c r="J7573" s="7"/>
      <c r="K7573" s="7"/>
      <c r="L7573" s="7"/>
      <c r="M7573" s="7"/>
      <c r="N7573" s="7"/>
      <c r="O7573" s="7"/>
      <c r="P7573" s="7"/>
      <c r="Q7573" s="7"/>
      <c r="R7573" s="7"/>
      <c r="S7573" s="7"/>
      <c r="T7573" s="7"/>
      <c r="U7573" s="7"/>
      <c r="V7573" s="7"/>
      <c r="W7573" s="7"/>
      <c r="X7573" s="7"/>
      <c r="Y7573" s="7"/>
      <c r="Z7573" s="7"/>
    </row>
    <row r="7574" hidden="1">
      <c r="A7574" s="7"/>
      <c r="B7574" s="7"/>
      <c r="C7574" s="7"/>
      <c r="D7574" s="7"/>
      <c r="E7574" s="7"/>
      <c r="F7574" s="7"/>
      <c r="G7574" s="7"/>
      <c r="H7574" s="8"/>
      <c r="I7574" s="8"/>
      <c r="J7574" s="7"/>
      <c r="K7574" s="7"/>
      <c r="L7574" s="7"/>
      <c r="M7574" s="7"/>
      <c r="N7574" s="7"/>
      <c r="O7574" s="7"/>
      <c r="P7574" s="7"/>
      <c r="Q7574" s="7"/>
      <c r="R7574" s="7"/>
      <c r="S7574" s="7"/>
      <c r="T7574" s="7"/>
      <c r="U7574" s="7"/>
      <c r="V7574" s="7"/>
      <c r="W7574" s="7"/>
      <c r="X7574" s="7"/>
      <c r="Y7574" s="7"/>
      <c r="Z7574" s="7"/>
    </row>
    <row r="7575" hidden="1">
      <c r="A7575" s="7"/>
      <c r="B7575" s="7"/>
      <c r="C7575" s="7"/>
      <c r="D7575" s="7"/>
      <c r="E7575" s="7"/>
      <c r="F7575" s="7"/>
      <c r="G7575" s="7"/>
      <c r="H7575" s="8"/>
      <c r="I7575" s="8"/>
      <c r="J7575" s="7"/>
      <c r="K7575" s="7"/>
      <c r="L7575" s="7"/>
      <c r="M7575" s="7"/>
      <c r="N7575" s="7"/>
      <c r="O7575" s="7"/>
      <c r="P7575" s="7"/>
      <c r="Q7575" s="7"/>
      <c r="R7575" s="7"/>
      <c r="S7575" s="7"/>
      <c r="T7575" s="7"/>
      <c r="U7575" s="7"/>
      <c r="V7575" s="7"/>
      <c r="W7575" s="7"/>
      <c r="X7575" s="7"/>
      <c r="Y7575" s="7"/>
      <c r="Z7575" s="7"/>
    </row>
    <row r="7576" hidden="1">
      <c r="A7576" s="7"/>
      <c r="B7576" s="7"/>
      <c r="C7576" s="7"/>
      <c r="D7576" s="7"/>
      <c r="E7576" s="7"/>
      <c r="F7576" s="7"/>
      <c r="G7576" s="7"/>
      <c r="H7576" s="8"/>
      <c r="I7576" s="8"/>
      <c r="J7576" s="7"/>
      <c r="K7576" s="7"/>
      <c r="L7576" s="7"/>
      <c r="M7576" s="7"/>
      <c r="N7576" s="7"/>
      <c r="O7576" s="7"/>
      <c r="P7576" s="7"/>
      <c r="Q7576" s="7"/>
      <c r="R7576" s="7"/>
      <c r="S7576" s="7"/>
      <c r="T7576" s="7"/>
      <c r="U7576" s="7"/>
      <c r="V7576" s="7"/>
      <c r="W7576" s="7"/>
      <c r="X7576" s="7"/>
      <c r="Y7576" s="7"/>
      <c r="Z7576" s="7"/>
    </row>
    <row r="7577" hidden="1">
      <c r="A7577" s="7"/>
      <c r="B7577" s="7"/>
      <c r="C7577" s="7"/>
      <c r="D7577" s="7"/>
      <c r="E7577" s="7"/>
      <c r="F7577" s="7"/>
      <c r="G7577" s="7"/>
      <c r="H7577" s="8"/>
      <c r="I7577" s="8"/>
      <c r="J7577" s="7"/>
      <c r="K7577" s="7"/>
      <c r="L7577" s="7"/>
      <c r="M7577" s="7"/>
      <c r="N7577" s="7"/>
      <c r="O7577" s="7"/>
      <c r="P7577" s="7"/>
      <c r="Q7577" s="7"/>
      <c r="R7577" s="7"/>
      <c r="S7577" s="7"/>
      <c r="T7577" s="7"/>
      <c r="U7577" s="7"/>
      <c r="V7577" s="7"/>
      <c r="W7577" s="7"/>
      <c r="X7577" s="7"/>
      <c r="Y7577" s="7"/>
      <c r="Z7577" s="7"/>
    </row>
    <row r="7578" hidden="1">
      <c r="A7578" s="7"/>
      <c r="B7578" s="7"/>
      <c r="C7578" s="7"/>
      <c r="D7578" s="7"/>
      <c r="E7578" s="7"/>
      <c r="F7578" s="7"/>
      <c r="G7578" s="7"/>
      <c r="H7578" s="8"/>
      <c r="I7578" s="8"/>
      <c r="J7578" s="7"/>
      <c r="K7578" s="7"/>
      <c r="L7578" s="7"/>
      <c r="M7578" s="7"/>
      <c r="N7578" s="7"/>
      <c r="O7578" s="7"/>
      <c r="P7578" s="7"/>
      <c r="Q7578" s="7"/>
      <c r="R7578" s="7"/>
      <c r="S7578" s="7"/>
      <c r="T7578" s="7"/>
      <c r="U7578" s="7"/>
      <c r="V7578" s="7"/>
      <c r="W7578" s="7"/>
      <c r="X7578" s="7"/>
      <c r="Y7578" s="7"/>
      <c r="Z7578" s="7"/>
    </row>
    <row r="7579" hidden="1">
      <c r="A7579" s="7"/>
      <c r="B7579" s="7"/>
      <c r="C7579" s="7"/>
      <c r="D7579" s="7"/>
      <c r="E7579" s="7"/>
      <c r="F7579" s="7"/>
      <c r="G7579" s="7"/>
      <c r="H7579" s="8"/>
      <c r="I7579" s="8"/>
      <c r="J7579" s="7"/>
      <c r="K7579" s="7"/>
      <c r="L7579" s="7"/>
      <c r="M7579" s="7"/>
      <c r="N7579" s="7"/>
      <c r="O7579" s="7"/>
      <c r="P7579" s="7"/>
      <c r="Q7579" s="7"/>
      <c r="R7579" s="7"/>
      <c r="S7579" s="7"/>
      <c r="T7579" s="7"/>
      <c r="U7579" s="7"/>
      <c r="V7579" s="7"/>
      <c r="W7579" s="7"/>
      <c r="X7579" s="7"/>
      <c r="Y7579" s="7"/>
      <c r="Z7579" s="7"/>
    </row>
    <row r="7580" hidden="1">
      <c r="A7580" s="7"/>
      <c r="B7580" s="7"/>
      <c r="C7580" s="7"/>
      <c r="D7580" s="7"/>
      <c r="E7580" s="7"/>
      <c r="F7580" s="7"/>
      <c r="G7580" s="7"/>
      <c r="H7580" s="8"/>
      <c r="I7580" s="8"/>
      <c r="J7580" s="7"/>
      <c r="K7580" s="7"/>
      <c r="L7580" s="7"/>
      <c r="M7580" s="7"/>
      <c r="N7580" s="7"/>
      <c r="O7580" s="7"/>
      <c r="P7580" s="7"/>
      <c r="Q7580" s="7"/>
      <c r="R7580" s="7"/>
      <c r="S7580" s="7"/>
      <c r="T7580" s="7"/>
      <c r="U7580" s="7"/>
      <c r="V7580" s="7"/>
      <c r="W7580" s="7"/>
      <c r="X7580" s="7"/>
      <c r="Y7580" s="7"/>
      <c r="Z7580" s="7"/>
    </row>
    <row r="7581" hidden="1">
      <c r="A7581" s="7"/>
      <c r="B7581" s="7"/>
      <c r="C7581" s="7"/>
      <c r="D7581" s="7"/>
      <c r="E7581" s="7"/>
      <c r="F7581" s="7"/>
      <c r="G7581" s="7"/>
      <c r="H7581" s="8"/>
      <c r="I7581" s="8"/>
      <c r="J7581" s="7"/>
      <c r="K7581" s="7"/>
      <c r="L7581" s="7"/>
      <c r="M7581" s="7"/>
      <c r="N7581" s="7"/>
      <c r="O7581" s="7"/>
      <c r="P7581" s="7"/>
      <c r="Q7581" s="7"/>
      <c r="R7581" s="7"/>
      <c r="S7581" s="7"/>
      <c r="T7581" s="7"/>
      <c r="U7581" s="7"/>
      <c r="V7581" s="7"/>
      <c r="W7581" s="7"/>
      <c r="X7581" s="7"/>
      <c r="Y7581" s="7"/>
      <c r="Z7581" s="7"/>
    </row>
    <row r="7582" hidden="1">
      <c r="A7582" s="7"/>
      <c r="B7582" s="7"/>
      <c r="C7582" s="7"/>
      <c r="D7582" s="7"/>
      <c r="E7582" s="7"/>
      <c r="F7582" s="7"/>
      <c r="G7582" s="7"/>
      <c r="H7582" s="8"/>
      <c r="I7582" s="8"/>
      <c r="J7582" s="7"/>
      <c r="K7582" s="7"/>
      <c r="L7582" s="7"/>
      <c r="M7582" s="7"/>
      <c r="N7582" s="7"/>
      <c r="O7582" s="7"/>
      <c r="P7582" s="7"/>
      <c r="Q7582" s="7"/>
      <c r="R7582" s="7"/>
      <c r="S7582" s="7"/>
      <c r="T7582" s="7"/>
      <c r="U7582" s="7"/>
      <c r="V7582" s="7"/>
      <c r="W7582" s="7"/>
      <c r="X7582" s="7"/>
      <c r="Y7582" s="7"/>
      <c r="Z7582" s="7"/>
    </row>
    <row r="7583" hidden="1">
      <c r="A7583" s="7"/>
      <c r="B7583" s="7"/>
      <c r="C7583" s="7"/>
      <c r="D7583" s="7"/>
      <c r="E7583" s="7"/>
      <c r="F7583" s="7"/>
      <c r="G7583" s="7"/>
      <c r="H7583" s="8"/>
      <c r="I7583" s="8"/>
      <c r="J7583" s="7"/>
      <c r="K7583" s="7"/>
      <c r="L7583" s="7"/>
      <c r="M7583" s="7"/>
      <c r="N7583" s="7"/>
      <c r="O7583" s="7"/>
      <c r="P7583" s="7"/>
      <c r="Q7583" s="7"/>
      <c r="R7583" s="7"/>
      <c r="S7583" s="7"/>
      <c r="T7583" s="7"/>
      <c r="U7583" s="7"/>
      <c r="V7583" s="7"/>
      <c r="W7583" s="7"/>
      <c r="X7583" s="7"/>
      <c r="Y7583" s="7"/>
      <c r="Z7583" s="7"/>
    </row>
    <row r="7584" hidden="1">
      <c r="A7584" s="7"/>
      <c r="B7584" s="7"/>
      <c r="C7584" s="7"/>
      <c r="D7584" s="7"/>
      <c r="E7584" s="7"/>
      <c r="F7584" s="7"/>
      <c r="G7584" s="7"/>
      <c r="H7584" s="8"/>
      <c r="I7584" s="8"/>
      <c r="J7584" s="7"/>
      <c r="K7584" s="7"/>
      <c r="L7584" s="7"/>
      <c r="M7584" s="7"/>
      <c r="N7584" s="7"/>
      <c r="O7584" s="7"/>
      <c r="P7584" s="7"/>
      <c r="Q7584" s="7"/>
      <c r="R7584" s="7"/>
      <c r="S7584" s="7"/>
      <c r="T7584" s="7"/>
      <c r="U7584" s="7"/>
      <c r="V7584" s="7"/>
      <c r="W7584" s="7"/>
      <c r="X7584" s="7"/>
      <c r="Y7584" s="7"/>
      <c r="Z7584" s="7"/>
    </row>
    <row r="7585" hidden="1">
      <c r="A7585" s="7"/>
      <c r="B7585" s="7"/>
      <c r="C7585" s="7"/>
      <c r="D7585" s="7"/>
      <c r="E7585" s="7"/>
      <c r="F7585" s="7"/>
      <c r="G7585" s="7"/>
      <c r="H7585" s="8"/>
      <c r="I7585" s="8"/>
      <c r="J7585" s="7"/>
      <c r="K7585" s="7"/>
      <c r="L7585" s="7"/>
      <c r="M7585" s="7"/>
      <c r="N7585" s="7"/>
      <c r="O7585" s="7"/>
      <c r="P7585" s="7"/>
      <c r="Q7585" s="7"/>
      <c r="R7585" s="7"/>
      <c r="S7585" s="7"/>
      <c r="T7585" s="7"/>
      <c r="U7585" s="7"/>
      <c r="V7585" s="7"/>
      <c r="W7585" s="7"/>
      <c r="X7585" s="7"/>
      <c r="Y7585" s="7"/>
      <c r="Z7585" s="7"/>
    </row>
    <row r="7586" hidden="1">
      <c r="A7586" s="7"/>
      <c r="B7586" s="7"/>
      <c r="C7586" s="7"/>
      <c r="D7586" s="7"/>
      <c r="E7586" s="7"/>
      <c r="F7586" s="7"/>
      <c r="G7586" s="7"/>
      <c r="H7586" s="8"/>
      <c r="I7586" s="8"/>
      <c r="J7586" s="7"/>
      <c r="K7586" s="7"/>
      <c r="L7586" s="7"/>
      <c r="M7586" s="7"/>
      <c r="N7586" s="7"/>
      <c r="O7586" s="7"/>
      <c r="P7586" s="7"/>
      <c r="Q7586" s="7"/>
      <c r="R7586" s="7"/>
      <c r="S7586" s="7"/>
      <c r="T7586" s="7"/>
      <c r="U7586" s="7"/>
      <c r="V7586" s="7"/>
      <c r="W7586" s="7"/>
      <c r="X7586" s="7"/>
      <c r="Y7586" s="7"/>
      <c r="Z7586" s="7"/>
    </row>
    <row r="7587" hidden="1">
      <c r="A7587" s="7"/>
      <c r="B7587" s="7"/>
      <c r="C7587" s="7"/>
      <c r="D7587" s="7"/>
      <c r="E7587" s="7"/>
      <c r="F7587" s="7"/>
      <c r="G7587" s="7"/>
      <c r="H7587" s="8"/>
      <c r="I7587" s="8"/>
      <c r="J7587" s="7"/>
      <c r="K7587" s="7"/>
      <c r="L7587" s="7"/>
      <c r="M7587" s="7"/>
      <c r="N7587" s="7"/>
      <c r="O7587" s="7"/>
      <c r="P7587" s="7"/>
      <c r="Q7587" s="7"/>
      <c r="R7587" s="7"/>
      <c r="S7587" s="7"/>
      <c r="T7587" s="7"/>
      <c r="U7587" s="7"/>
      <c r="V7587" s="7"/>
      <c r="W7587" s="7"/>
      <c r="X7587" s="7"/>
      <c r="Y7587" s="7"/>
      <c r="Z7587" s="7"/>
    </row>
    <row r="7588" hidden="1">
      <c r="A7588" s="7"/>
      <c r="B7588" s="7"/>
      <c r="C7588" s="7"/>
      <c r="D7588" s="7"/>
      <c r="E7588" s="7"/>
      <c r="F7588" s="7"/>
      <c r="G7588" s="7"/>
      <c r="H7588" s="8"/>
      <c r="I7588" s="8"/>
      <c r="J7588" s="7"/>
      <c r="K7588" s="7"/>
      <c r="L7588" s="7"/>
      <c r="M7588" s="7"/>
      <c r="N7588" s="7"/>
      <c r="O7588" s="7"/>
      <c r="P7588" s="7"/>
      <c r="Q7588" s="7"/>
      <c r="R7588" s="7"/>
      <c r="S7588" s="7"/>
      <c r="T7588" s="7"/>
      <c r="U7588" s="7"/>
      <c r="V7588" s="7"/>
      <c r="W7588" s="7"/>
      <c r="X7588" s="7"/>
      <c r="Y7588" s="7"/>
      <c r="Z7588" s="7"/>
    </row>
    <row r="7589" hidden="1">
      <c r="A7589" s="7"/>
      <c r="B7589" s="7"/>
      <c r="C7589" s="7"/>
      <c r="D7589" s="7"/>
      <c r="E7589" s="7"/>
      <c r="F7589" s="7"/>
      <c r="G7589" s="7"/>
      <c r="H7589" s="8"/>
      <c r="I7589" s="8"/>
      <c r="J7589" s="7"/>
      <c r="K7589" s="7"/>
      <c r="L7589" s="7"/>
      <c r="M7589" s="7"/>
      <c r="N7589" s="7"/>
      <c r="O7589" s="7"/>
      <c r="P7589" s="7"/>
      <c r="Q7589" s="7"/>
      <c r="R7589" s="7"/>
      <c r="S7589" s="7"/>
      <c r="T7589" s="7"/>
      <c r="U7589" s="7"/>
      <c r="V7589" s="7"/>
      <c r="W7589" s="7"/>
      <c r="X7589" s="7"/>
      <c r="Y7589" s="7"/>
      <c r="Z7589" s="7"/>
    </row>
    <row r="7590" hidden="1">
      <c r="A7590" s="7"/>
      <c r="B7590" s="7"/>
      <c r="C7590" s="7"/>
      <c r="D7590" s="7"/>
      <c r="E7590" s="7"/>
      <c r="F7590" s="7"/>
      <c r="G7590" s="7"/>
      <c r="H7590" s="8"/>
      <c r="I7590" s="8"/>
      <c r="J7590" s="7"/>
      <c r="K7590" s="7"/>
      <c r="L7590" s="7"/>
      <c r="M7590" s="7"/>
      <c r="N7590" s="7"/>
      <c r="O7590" s="7"/>
      <c r="P7590" s="7"/>
      <c r="Q7590" s="7"/>
      <c r="R7590" s="7"/>
      <c r="S7590" s="7"/>
      <c r="T7590" s="7"/>
      <c r="U7590" s="7"/>
      <c r="V7590" s="7"/>
      <c r="W7590" s="7"/>
      <c r="X7590" s="7"/>
      <c r="Y7590" s="7"/>
      <c r="Z7590" s="7"/>
    </row>
    <row r="7591" hidden="1">
      <c r="A7591" s="7"/>
      <c r="B7591" s="7"/>
      <c r="C7591" s="7"/>
      <c r="D7591" s="7"/>
      <c r="E7591" s="7"/>
      <c r="F7591" s="7"/>
      <c r="G7591" s="7"/>
      <c r="H7591" s="8"/>
      <c r="I7591" s="8"/>
      <c r="J7591" s="7"/>
      <c r="K7591" s="7"/>
      <c r="L7591" s="7"/>
      <c r="M7591" s="7"/>
      <c r="N7591" s="7"/>
      <c r="O7591" s="7"/>
      <c r="P7591" s="7"/>
      <c r="Q7591" s="7"/>
      <c r="R7591" s="7"/>
      <c r="S7591" s="7"/>
      <c r="T7591" s="7"/>
      <c r="U7591" s="7"/>
      <c r="V7591" s="7"/>
      <c r="W7591" s="7"/>
      <c r="X7591" s="7"/>
      <c r="Y7591" s="7"/>
      <c r="Z7591" s="7"/>
    </row>
    <row r="7592" hidden="1">
      <c r="A7592" s="7"/>
      <c r="B7592" s="7"/>
      <c r="C7592" s="7"/>
      <c r="D7592" s="7"/>
      <c r="E7592" s="7"/>
      <c r="F7592" s="7"/>
      <c r="G7592" s="7"/>
      <c r="H7592" s="8"/>
      <c r="I7592" s="8"/>
      <c r="J7592" s="7"/>
      <c r="K7592" s="7"/>
      <c r="L7592" s="7"/>
      <c r="M7592" s="7"/>
      <c r="N7592" s="7"/>
      <c r="O7592" s="7"/>
      <c r="P7592" s="7"/>
      <c r="Q7592" s="7"/>
      <c r="R7592" s="7"/>
      <c r="S7592" s="7"/>
      <c r="T7592" s="7"/>
      <c r="U7592" s="7"/>
      <c r="V7592" s="7"/>
      <c r="W7592" s="7"/>
      <c r="X7592" s="7"/>
      <c r="Y7592" s="7"/>
      <c r="Z7592" s="7"/>
    </row>
    <row r="7593" hidden="1">
      <c r="A7593" s="7"/>
      <c r="B7593" s="7"/>
      <c r="C7593" s="7"/>
      <c r="D7593" s="7"/>
      <c r="E7593" s="7"/>
      <c r="F7593" s="7"/>
      <c r="G7593" s="7"/>
      <c r="H7593" s="8"/>
      <c r="I7593" s="8"/>
      <c r="J7593" s="7"/>
      <c r="K7593" s="7"/>
      <c r="L7593" s="7"/>
      <c r="M7593" s="7"/>
      <c r="N7593" s="7"/>
      <c r="O7593" s="7"/>
      <c r="P7593" s="7"/>
      <c r="Q7593" s="7"/>
      <c r="R7593" s="7"/>
      <c r="S7593" s="7"/>
      <c r="T7593" s="7"/>
      <c r="U7593" s="7"/>
      <c r="V7593" s="7"/>
      <c r="W7593" s="7"/>
      <c r="X7593" s="7"/>
      <c r="Y7593" s="7"/>
      <c r="Z7593" s="7"/>
    </row>
    <row r="7594" hidden="1">
      <c r="A7594" s="7"/>
      <c r="B7594" s="7"/>
      <c r="C7594" s="7"/>
      <c r="D7594" s="7"/>
      <c r="E7594" s="7"/>
      <c r="F7594" s="7"/>
      <c r="G7594" s="7"/>
      <c r="H7594" s="8"/>
      <c r="I7594" s="8"/>
      <c r="J7594" s="7"/>
      <c r="K7594" s="7"/>
      <c r="L7594" s="7"/>
      <c r="M7594" s="7"/>
      <c r="N7594" s="7"/>
      <c r="O7594" s="7"/>
      <c r="P7594" s="7"/>
      <c r="Q7594" s="7"/>
      <c r="R7594" s="7"/>
      <c r="S7594" s="7"/>
      <c r="T7594" s="7"/>
      <c r="U7594" s="7"/>
      <c r="V7594" s="7"/>
      <c r="W7594" s="7"/>
      <c r="X7594" s="7"/>
      <c r="Y7594" s="7"/>
      <c r="Z7594" s="7"/>
    </row>
    <row r="7595" hidden="1">
      <c r="A7595" s="7"/>
      <c r="B7595" s="7"/>
      <c r="C7595" s="7"/>
      <c r="D7595" s="7"/>
      <c r="E7595" s="7"/>
      <c r="F7595" s="7"/>
      <c r="G7595" s="7"/>
      <c r="H7595" s="8"/>
      <c r="I7595" s="8"/>
      <c r="J7595" s="7"/>
      <c r="K7595" s="7"/>
      <c r="L7595" s="7"/>
      <c r="M7595" s="7"/>
      <c r="N7595" s="7"/>
      <c r="O7595" s="7"/>
      <c r="P7595" s="7"/>
      <c r="Q7595" s="7"/>
      <c r="R7595" s="7"/>
      <c r="S7595" s="7"/>
      <c r="T7595" s="7"/>
      <c r="U7595" s="7"/>
      <c r="V7595" s="7"/>
      <c r="W7595" s="7"/>
      <c r="X7595" s="7"/>
      <c r="Y7595" s="7"/>
      <c r="Z7595" s="7"/>
    </row>
    <row r="7596" hidden="1">
      <c r="A7596" s="7"/>
      <c r="B7596" s="7"/>
      <c r="C7596" s="7"/>
      <c r="D7596" s="7"/>
      <c r="E7596" s="7"/>
      <c r="F7596" s="7"/>
      <c r="G7596" s="7"/>
      <c r="H7596" s="8"/>
      <c r="I7596" s="8"/>
      <c r="J7596" s="7"/>
      <c r="K7596" s="7"/>
      <c r="L7596" s="7"/>
      <c r="M7596" s="7"/>
      <c r="N7596" s="7"/>
      <c r="O7596" s="7"/>
      <c r="P7596" s="7"/>
      <c r="Q7596" s="7"/>
      <c r="R7596" s="7"/>
      <c r="S7596" s="7"/>
      <c r="T7596" s="7"/>
      <c r="U7596" s="7"/>
      <c r="V7596" s="7"/>
      <c r="W7596" s="7"/>
      <c r="X7596" s="7"/>
      <c r="Y7596" s="7"/>
      <c r="Z7596" s="7"/>
    </row>
    <row r="7597" hidden="1">
      <c r="A7597" s="7"/>
      <c r="B7597" s="7"/>
      <c r="C7597" s="7"/>
      <c r="D7597" s="7"/>
      <c r="E7597" s="7"/>
      <c r="F7597" s="7"/>
      <c r="G7597" s="7"/>
      <c r="H7597" s="8"/>
      <c r="I7597" s="8"/>
      <c r="J7597" s="7"/>
      <c r="K7597" s="7"/>
      <c r="L7597" s="7"/>
      <c r="M7597" s="7"/>
      <c r="N7597" s="7"/>
      <c r="O7597" s="7"/>
      <c r="P7597" s="7"/>
      <c r="Q7597" s="7"/>
      <c r="R7597" s="7"/>
      <c r="S7597" s="7"/>
      <c r="T7597" s="7"/>
      <c r="U7597" s="7"/>
      <c r="V7597" s="7"/>
      <c r="W7597" s="7"/>
      <c r="X7597" s="7"/>
      <c r="Y7597" s="7"/>
      <c r="Z7597" s="7"/>
    </row>
    <row r="7598" hidden="1">
      <c r="A7598" s="7"/>
      <c r="B7598" s="7"/>
      <c r="C7598" s="7"/>
      <c r="D7598" s="7"/>
      <c r="E7598" s="7"/>
      <c r="F7598" s="7"/>
      <c r="G7598" s="7"/>
      <c r="H7598" s="8"/>
      <c r="I7598" s="8"/>
      <c r="J7598" s="7"/>
      <c r="K7598" s="7"/>
      <c r="L7598" s="7"/>
      <c r="M7598" s="7"/>
      <c r="N7598" s="7"/>
      <c r="O7598" s="7"/>
      <c r="P7598" s="7"/>
      <c r="Q7598" s="7"/>
      <c r="R7598" s="7"/>
      <c r="S7598" s="7"/>
      <c r="T7598" s="7"/>
      <c r="U7598" s="7"/>
      <c r="V7598" s="7"/>
      <c r="W7598" s="7"/>
      <c r="X7598" s="7"/>
      <c r="Y7598" s="7"/>
      <c r="Z7598" s="7"/>
    </row>
    <row r="7599" hidden="1">
      <c r="A7599" s="7"/>
      <c r="B7599" s="7"/>
      <c r="C7599" s="7"/>
      <c r="D7599" s="7"/>
      <c r="E7599" s="7"/>
      <c r="F7599" s="7"/>
      <c r="G7599" s="7"/>
      <c r="H7599" s="8"/>
      <c r="I7599" s="8"/>
      <c r="J7599" s="7"/>
      <c r="K7599" s="7"/>
      <c r="L7599" s="7"/>
      <c r="M7599" s="7"/>
      <c r="N7599" s="7"/>
      <c r="O7599" s="7"/>
      <c r="P7599" s="7"/>
      <c r="Q7599" s="7"/>
      <c r="R7599" s="7"/>
      <c r="S7599" s="7"/>
      <c r="T7599" s="7"/>
      <c r="U7599" s="7"/>
      <c r="V7599" s="7"/>
      <c r="W7599" s="7"/>
      <c r="X7599" s="7"/>
      <c r="Y7599" s="7"/>
      <c r="Z7599" s="7"/>
    </row>
    <row r="7600" hidden="1">
      <c r="A7600" s="7"/>
      <c r="B7600" s="7"/>
      <c r="C7600" s="7"/>
      <c r="D7600" s="7"/>
      <c r="E7600" s="7"/>
      <c r="F7600" s="7"/>
      <c r="G7600" s="7"/>
      <c r="H7600" s="8"/>
      <c r="I7600" s="8"/>
      <c r="J7600" s="7"/>
      <c r="K7600" s="7"/>
      <c r="L7600" s="7"/>
      <c r="M7600" s="7"/>
      <c r="N7600" s="7"/>
      <c r="O7600" s="7"/>
      <c r="P7600" s="7"/>
      <c r="Q7600" s="7"/>
      <c r="R7600" s="7"/>
      <c r="S7600" s="7"/>
      <c r="T7600" s="7"/>
      <c r="U7600" s="7"/>
      <c r="V7600" s="7"/>
      <c r="W7600" s="7"/>
      <c r="X7600" s="7"/>
      <c r="Y7600" s="7"/>
      <c r="Z7600" s="7"/>
    </row>
    <row r="7601" hidden="1">
      <c r="A7601" s="7"/>
      <c r="B7601" s="7"/>
      <c r="C7601" s="7"/>
      <c r="D7601" s="7"/>
      <c r="E7601" s="7"/>
      <c r="F7601" s="7"/>
      <c r="G7601" s="7"/>
      <c r="H7601" s="8"/>
      <c r="I7601" s="8"/>
      <c r="J7601" s="7"/>
      <c r="K7601" s="7"/>
      <c r="L7601" s="7"/>
      <c r="M7601" s="7"/>
      <c r="N7601" s="7"/>
      <c r="O7601" s="7"/>
      <c r="P7601" s="7"/>
      <c r="Q7601" s="7"/>
      <c r="R7601" s="7"/>
      <c r="S7601" s="7"/>
      <c r="T7601" s="7"/>
      <c r="U7601" s="7"/>
      <c r="V7601" s="7"/>
      <c r="W7601" s="7"/>
      <c r="X7601" s="7"/>
      <c r="Y7601" s="7"/>
      <c r="Z7601" s="7"/>
    </row>
    <row r="7602" hidden="1">
      <c r="A7602" s="7"/>
      <c r="B7602" s="7"/>
      <c r="C7602" s="7"/>
      <c r="D7602" s="7"/>
      <c r="E7602" s="7"/>
      <c r="F7602" s="7"/>
      <c r="G7602" s="7"/>
      <c r="H7602" s="8"/>
      <c r="I7602" s="8"/>
      <c r="J7602" s="7"/>
      <c r="K7602" s="7"/>
      <c r="L7602" s="7"/>
      <c r="M7602" s="7"/>
      <c r="N7602" s="7"/>
      <c r="O7602" s="7"/>
      <c r="P7602" s="7"/>
      <c r="Q7602" s="7"/>
      <c r="R7602" s="7"/>
      <c r="S7602" s="7"/>
      <c r="T7602" s="7"/>
      <c r="U7602" s="7"/>
      <c r="V7602" s="7"/>
      <c r="W7602" s="7"/>
      <c r="X7602" s="7"/>
      <c r="Y7602" s="7"/>
      <c r="Z7602" s="7"/>
    </row>
    <row r="7603" hidden="1">
      <c r="A7603" s="7"/>
      <c r="B7603" s="7"/>
      <c r="C7603" s="7"/>
      <c r="D7603" s="7"/>
      <c r="E7603" s="7"/>
      <c r="F7603" s="7"/>
      <c r="G7603" s="7"/>
      <c r="H7603" s="8"/>
      <c r="I7603" s="8"/>
      <c r="J7603" s="7"/>
      <c r="K7603" s="7"/>
      <c r="L7603" s="7"/>
      <c r="M7603" s="7"/>
      <c r="N7603" s="7"/>
      <c r="O7603" s="7"/>
      <c r="P7603" s="7"/>
      <c r="Q7603" s="7"/>
      <c r="R7603" s="7"/>
      <c r="S7603" s="7"/>
      <c r="T7603" s="7"/>
      <c r="U7603" s="7"/>
      <c r="V7603" s="7"/>
      <c r="W7603" s="7"/>
      <c r="X7603" s="7"/>
      <c r="Y7603" s="7"/>
      <c r="Z7603" s="7"/>
    </row>
    <row r="7604" hidden="1">
      <c r="A7604" s="7"/>
      <c r="B7604" s="7"/>
      <c r="C7604" s="7"/>
      <c r="D7604" s="7"/>
      <c r="E7604" s="7"/>
      <c r="F7604" s="7"/>
      <c r="G7604" s="7"/>
      <c r="H7604" s="8"/>
      <c r="I7604" s="8"/>
      <c r="J7604" s="7"/>
      <c r="K7604" s="7"/>
      <c r="L7604" s="7"/>
      <c r="M7604" s="7"/>
      <c r="N7604" s="7"/>
      <c r="O7604" s="7"/>
      <c r="P7604" s="7"/>
      <c r="Q7604" s="7"/>
      <c r="R7604" s="7"/>
      <c r="S7604" s="7"/>
      <c r="T7604" s="7"/>
      <c r="U7604" s="7"/>
      <c r="V7604" s="7"/>
      <c r="W7604" s="7"/>
      <c r="X7604" s="7"/>
      <c r="Y7604" s="7"/>
      <c r="Z7604" s="7"/>
    </row>
    <row r="7605" hidden="1">
      <c r="A7605" s="7"/>
      <c r="B7605" s="7"/>
      <c r="C7605" s="7"/>
      <c r="D7605" s="7"/>
      <c r="E7605" s="7"/>
      <c r="F7605" s="7"/>
      <c r="G7605" s="7"/>
      <c r="H7605" s="8"/>
      <c r="I7605" s="8"/>
      <c r="J7605" s="7"/>
      <c r="K7605" s="7"/>
      <c r="L7605" s="7"/>
      <c r="M7605" s="7"/>
      <c r="N7605" s="7"/>
      <c r="O7605" s="7"/>
      <c r="P7605" s="7"/>
      <c r="Q7605" s="7"/>
      <c r="R7605" s="7"/>
      <c r="S7605" s="7"/>
      <c r="T7605" s="7"/>
      <c r="U7605" s="7"/>
      <c r="V7605" s="7"/>
      <c r="W7605" s="7"/>
      <c r="X7605" s="7"/>
      <c r="Y7605" s="7"/>
      <c r="Z7605" s="7"/>
    </row>
    <row r="7606" hidden="1">
      <c r="A7606" s="7"/>
      <c r="B7606" s="7"/>
      <c r="C7606" s="7"/>
      <c r="D7606" s="7"/>
      <c r="E7606" s="7"/>
      <c r="F7606" s="7"/>
      <c r="G7606" s="7"/>
      <c r="H7606" s="8"/>
      <c r="I7606" s="8"/>
      <c r="J7606" s="7"/>
      <c r="K7606" s="7"/>
      <c r="L7606" s="7"/>
      <c r="M7606" s="7"/>
      <c r="N7606" s="7"/>
      <c r="O7606" s="7"/>
      <c r="P7606" s="7"/>
      <c r="Q7606" s="7"/>
      <c r="R7606" s="7"/>
      <c r="S7606" s="7"/>
      <c r="T7606" s="7"/>
      <c r="U7606" s="7"/>
      <c r="V7606" s="7"/>
      <c r="W7606" s="7"/>
      <c r="X7606" s="7"/>
      <c r="Y7606" s="7"/>
      <c r="Z7606" s="7"/>
    </row>
    <row r="7607" hidden="1">
      <c r="A7607" s="7"/>
      <c r="B7607" s="7"/>
      <c r="C7607" s="7"/>
      <c r="D7607" s="7"/>
      <c r="E7607" s="7"/>
      <c r="F7607" s="7"/>
      <c r="G7607" s="7"/>
      <c r="H7607" s="8"/>
      <c r="I7607" s="8"/>
      <c r="J7607" s="7"/>
      <c r="K7607" s="7"/>
      <c r="L7607" s="7"/>
      <c r="M7607" s="7"/>
      <c r="N7607" s="7"/>
      <c r="O7607" s="7"/>
      <c r="P7607" s="7"/>
      <c r="Q7607" s="7"/>
      <c r="R7607" s="7"/>
      <c r="S7607" s="7"/>
      <c r="T7607" s="7"/>
      <c r="U7607" s="7"/>
      <c r="V7607" s="7"/>
      <c r="W7607" s="7"/>
      <c r="X7607" s="7"/>
      <c r="Y7607" s="7"/>
      <c r="Z7607" s="7"/>
    </row>
    <row r="7608" hidden="1">
      <c r="A7608" s="7"/>
      <c r="B7608" s="7"/>
      <c r="C7608" s="7"/>
      <c r="D7608" s="7"/>
      <c r="E7608" s="7"/>
      <c r="F7608" s="7"/>
      <c r="G7608" s="7"/>
      <c r="H7608" s="8"/>
      <c r="I7608" s="8"/>
      <c r="J7608" s="7"/>
      <c r="K7608" s="7"/>
      <c r="L7608" s="7"/>
      <c r="M7608" s="7"/>
      <c r="N7608" s="7"/>
      <c r="O7608" s="7"/>
      <c r="P7608" s="7"/>
      <c r="Q7608" s="7"/>
      <c r="R7608" s="7"/>
      <c r="S7608" s="7"/>
      <c r="T7608" s="7"/>
      <c r="U7608" s="7"/>
      <c r="V7608" s="7"/>
      <c r="W7608" s="7"/>
      <c r="X7608" s="7"/>
      <c r="Y7608" s="7"/>
      <c r="Z7608" s="7"/>
    </row>
    <row r="7609" hidden="1">
      <c r="A7609" s="7"/>
      <c r="B7609" s="7"/>
      <c r="C7609" s="7"/>
      <c r="D7609" s="7"/>
      <c r="E7609" s="7"/>
      <c r="F7609" s="7"/>
      <c r="G7609" s="7"/>
      <c r="H7609" s="8"/>
      <c r="I7609" s="8"/>
      <c r="J7609" s="7"/>
      <c r="K7609" s="7"/>
      <c r="L7609" s="7"/>
      <c r="M7609" s="7"/>
      <c r="N7609" s="7"/>
      <c r="O7609" s="7"/>
      <c r="P7609" s="7"/>
      <c r="Q7609" s="7"/>
      <c r="R7609" s="7"/>
      <c r="S7609" s="7"/>
      <c r="T7609" s="7"/>
      <c r="U7609" s="7"/>
      <c r="V7609" s="7"/>
      <c r="W7609" s="7"/>
      <c r="X7609" s="7"/>
      <c r="Y7609" s="7"/>
      <c r="Z7609" s="7"/>
    </row>
    <row r="7610" hidden="1">
      <c r="A7610" s="7"/>
      <c r="B7610" s="7"/>
      <c r="C7610" s="7"/>
      <c r="D7610" s="7"/>
      <c r="E7610" s="7"/>
      <c r="F7610" s="7"/>
      <c r="G7610" s="7"/>
      <c r="H7610" s="8"/>
      <c r="I7610" s="8"/>
      <c r="J7610" s="7"/>
      <c r="K7610" s="7"/>
      <c r="L7610" s="7"/>
      <c r="M7610" s="7"/>
      <c r="N7610" s="7"/>
      <c r="O7610" s="7"/>
      <c r="P7610" s="7"/>
      <c r="Q7610" s="7"/>
      <c r="R7610" s="7"/>
      <c r="S7610" s="7"/>
      <c r="T7610" s="7"/>
      <c r="U7610" s="7"/>
      <c r="V7610" s="7"/>
      <c r="W7610" s="7"/>
      <c r="X7610" s="7"/>
      <c r="Y7610" s="7"/>
      <c r="Z7610" s="7"/>
    </row>
    <row r="7611" hidden="1">
      <c r="A7611" s="7"/>
      <c r="B7611" s="7"/>
      <c r="C7611" s="7"/>
      <c r="D7611" s="7"/>
      <c r="E7611" s="7"/>
      <c r="F7611" s="7"/>
      <c r="G7611" s="7"/>
      <c r="H7611" s="8"/>
      <c r="I7611" s="8"/>
      <c r="J7611" s="7"/>
      <c r="K7611" s="7"/>
      <c r="L7611" s="7"/>
      <c r="M7611" s="7"/>
      <c r="N7611" s="7"/>
      <c r="O7611" s="7"/>
      <c r="P7611" s="7"/>
      <c r="Q7611" s="7"/>
      <c r="R7611" s="7"/>
      <c r="S7611" s="7"/>
      <c r="T7611" s="7"/>
      <c r="U7611" s="7"/>
      <c r="V7611" s="7"/>
      <c r="W7611" s="7"/>
      <c r="X7611" s="7"/>
      <c r="Y7611" s="7"/>
      <c r="Z7611" s="7"/>
    </row>
    <row r="7612" hidden="1">
      <c r="A7612" s="7"/>
      <c r="B7612" s="7"/>
      <c r="C7612" s="7"/>
      <c r="D7612" s="7"/>
      <c r="E7612" s="7"/>
      <c r="F7612" s="7"/>
      <c r="G7612" s="7"/>
      <c r="H7612" s="8"/>
      <c r="I7612" s="8"/>
      <c r="J7612" s="7"/>
      <c r="K7612" s="7"/>
      <c r="L7612" s="7"/>
      <c r="M7612" s="7"/>
      <c r="N7612" s="7"/>
      <c r="O7612" s="7"/>
      <c r="P7612" s="7"/>
      <c r="Q7612" s="7"/>
      <c r="R7612" s="7"/>
      <c r="S7612" s="7"/>
      <c r="T7612" s="7"/>
      <c r="U7612" s="7"/>
      <c r="V7612" s="7"/>
      <c r="W7612" s="7"/>
      <c r="X7612" s="7"/>
      <c r="Y7612" s="7"/>
      <c r="Z7612" s="7"/>
    </row>
    <row r="7613" hidden="1">
      <c r="A7613" s="7"/>
      <c r="B7613" s="7"/>
      <c r="C7613" s="7"/>
      <c r="D7613" s="7"/>
      <c r="E7613" s="7"/>
      <c r="F7613" s="7"/>
      <c r="G7613" s="7"/>
      <c r="H7613" s="8"/>
      <c r="I7613" s="8"/>
      <c r="J7613" s="7"/>
      <c r="K7613" s="7"/>
      <c r="L7613" s="7"/>
      <c r="M7613" s="7"/>
      <c r="N7613" s="7"/>
      <c r="O7613" s="7"/>
      <c r="P7613" s="7"/>
      <c r="Q7613" s="7"/>
      <c r="R7613" s="7"/>
      <c r="S7613" s="7"/>
      <c r="T7613" s="7"/>
      <c r="U7613" s="7"/>
      <c r="V7613" s="7"/>
      <c r="W7613" s="7"/>
      <c r="X7613" s="7"/>
      <c r="Y7613" s="7"/>
      <c r="Z7613" s="7"/>
    </row>
    <row r="7614" hidden="1">
      <c r="A7614" s="7"/>
      <c r="B7614" s="7"/>
      <c r="C7614" s="7"/>
      <c r="D7614" s="7"/>
      <c r="E7614" s="7"/>
      <c r="F7614" s="7"/>
      <c r="G7614" s="7"/>
      <c r="H7614" s="8"/>
      <c r="I7614" s="8"/>
      <c r="J7614" s="7"/>
      <c r="K7614" s="7"/>
      <c r="L7614" s="7"/>
      <c r="M7614" s="7"/>
      <c r="N7614" s="7"/>
      <c r="O7614" s="7"/>
      <c r="P7614" s="7"/>
      <c r="Q7614" s="7"/>
      <c r="R7614" s="7"/>
      <c r="S7614" s="7"/>
      <c r="T7614" s="7"/>
      <c r="U7614" s="7"/>
      <c r="V7614" s="7"/>
      <c r="W7614" s="7"/>
      <c r="X7614" s="7"/>
      <c r="Y7614" s="7"/>
      <c r="Z7614" s="7"/>
    </row>
    <row r="7615" hidden="1">
      <c r="A7615" s="7"/>
      <c r="B7615" s="7"/>
      <c r="C7615" s="7"/>
      <c r="D7615" s="7"/>
      <c r="E7615" s="7"/>
      <c r="F7615" s="7"/>
      <c r="G7615" s="7"/>
      <c r="H7615" s="8"/>
      <c r="I7615" s="8"/>
      <c r="J7615" s="7"/>
      <c r="K7615" s="7"/>
      <c r="L7615" s="7"/>
      <c r="M7615" s="7"/>
      <c r="N7615" s="7"/>
      <c r="O7615" s="7"/>
      <c r="P7615" s="7"/>
      <c r="Q7615" s="7"/>
      <c r="R7615" s="7"/>
      <c r="S7615" s="7"/>
      <c r="T7615" s="7"/>
      <c r="U7615" s="7"/>
      <c r="V7615" s="7"/>
      <c r="W7615" s="7"/>
      <c r="X7615" s="7"/>
      <c r="Y7615" s="7"/>
      <c r="Z7615" s="7"/>
    </row>
    <row r="7616" hidden="1">
      <c r="A7616" s="7"/>
      <c r="B7616" s="7"/>
      <c r="C7616" s="7"/>
      <c r="D7616" s="7"/>
      <c r="E7616" s="7"/>
      <c r="F7616" s="7"/>
      <c r="G7616" s="7"/>
      <c r="H7616" s="8"/>
      <c r="I7616" s="8"/>
      <c r="J7616" s="7"/>
      <c r="K7616" s="7"/>
      <c r="L7616" s="7"/>
      <c r="M7616" s="7"/>
      <c r="N7616" s="7"/>
      <c r="O7616" s="7"/>
      <c r="P7616" s="7"/>
      <c r="Q7616" s="7"/>
      <c r="R7616" s="7"/>
      <c r="S7616" s="7"/>
      <c r="T7616" s="7"/>
      <c r="U7616" s="7"/>
      <c r="V7616" s="7"/>
      <c r="W7616" s="7"/>
      <c r="X7616" s="7"/>
      <c r="Y7616" s="7"/>
      <c r="Z7616" s="7"/>
    </row>
    <row r="7617" hidden="1">
      <c r="A7617" s="7"/>
      <c r="B7617" s="7"/>
      <c r="C7617" s="7"/>
      <c r="D7617" s="7"/>
      <c r="E7617" s="7"/>
      <c r="F7617" s="7"/>
      <c r="G7617" s="7"/>
      <c r="H7617" s="8"/>
      <c r="I7617" s="8"/>
      <c r="J7617" s="7"/>
      <c r="K7617" s="7"/>
      <c r="L7617" s="7"/>
      <c r="M7617" s="7"/>
      <c r="N7617" s="7"/>
      <c r="O7617" s="7"/>
      <c r="P7617" s="7"/>
      <c r="Q7617" s="7"/>
      <c r="R7617" s="7"/>
      <c r="S7617" s="7"/>
      <c r="T7617" s="7"/>
      <c r="U7617" s="7"/>
      <c r="V7617" s="7"/>
      <c r="W7617" s="7"/>
      <c r="X7617" s="7"/>
      <c r="Y7617" s="7"/>
      <c r="Z7617" s="7"/>
    </row>
    <row r="7618" hidden="1">
      <c r="A7618" s="7"/>
      <c r="B7618" s="7"/>
      <c r="C7618" s="7"/>
      <c r="D7618" s="7"/>
      <c r="E7618" s="7"/>
      <c r="F7618" s="7"/>
      <c r="G7618" s="7"/>
      <c r="H7618" s="8"/>
      <c r="I7618" s="8"/>
      <c r="J7618" s="7"/>
      <c r="K7618" s="7"/>
      <c r="L7618" s="7"/>
      <c r="M7618" s="7"/>
      <c r="N7618" s="7"/>
      <c r="O7618" s="7"/>
      <c r="P7618" s="7"/>
      <c r="Q7618" s="7"/>
      <c r="R7618" s="7"/>
      <c r="S7618" s="7"/>
      <c r="T7618" s="7"/>
      <c r="U7618" s="7"/>
      <c r="V7618" s="7"/>
      <c r="W7618" s="7"/>
      <c r="X7618" s="7"/>
      <c r="Y7618" s="7"/>
      <c r="Z7618" s="7"/>
    </row>
    <row r="7619" hidden="1">
      <c r="A7619" s="7"/>
      <c r="B7619" s="7"/>
      <c r="C7619" s="7"/>
      <c r="D7619" s="7"/>
      <c r="E7619" s="7"/>
      <c r="F7619" s="7"/>
      <c r="G7619" s="7"/>
      <c r="H7619" s="8"/>
      <c r="I7619" s="8"/>
      <c r="J7619" s="7"/>
      <c r="K7619" s="7"/>
      <c r="L7619" s="7"/>
      <c r="M7619" s="7"/>
      <c r="N7619" s="7"/>
      <c r="O7619" s="7"/>
      <c r="P7619" s="7"/>
      <c r="Q7619" s="7"/>
      <c r="R7619" s="7"/>
      <c r="S7619" s="7"/>
      <c r="T7619" s="7"/>
      <c r="U7619" s="7"/>
      <c r="V7619" s="7"/>
      <c r="W7619" s="7"/>
      <c r="X7619" s="7"/>
      <c r="Y7619" s="7"/>
      <c r="Z7619" s="7"/>
    </row>
    <row r="7620" hidden="1">
      <c r="A7620" s="7"/>
      <c r="B7620" s="7"/>
      <c r="C7620" s="7"/>
      <c r="D7620" s="7"/>
      <c r="E7620" s="7"/>
      <c r="F7620" s="7"/>
      <c r="G7620" s="7"/>
      <c r="H7620" s="8"/>
      <c r="I7620" s="8"/>
      <c r="J7620" s="7"/>
      <c r="K7620" s="7"/>
      <c r="L7620" s="7"/>
      <c r="M7620" s="7"/>
      <c r="N7620" s="7"/>
      <c r="O7620" s="7"/>
      <c r="P7620" s="7"/>
      <c r="Q7620" s="7"/>
      <c r="R7620" s="7"/>
      <c r="S7620" s="7"/>
      <c r="T7620" s="7"/>
      <c r="U7620" s="7"/>
      <c r="V7620" s="7"/>
      <c r="W7620" s="7"/>
      <c r="X7620" s="7"/>
      <c r="Y7620" s="7"/>
      <c r="Z7620" s="7"/>
    </row>
    <row r="7621" hidden="1">
      <c r="A7621" s="7"/>
      <c r="B7621" s="7"/>
      <c r="C7621" s="7"/>
      <c r="D7621" s="7"/>
      <c r="E7621" s="7"/>
      <c r="F7621" s="7"/>
      <c r="G7621" s="7"/>
      <c r="H7621" s="8"/>
      <c r="I7621" s="8"/>
      <c r="J7621" s="7"/>
      <c r="K7621" s="7"/>
      <c r="L7621" s="7"/>
      <c r="M7621" s="7"/>
      <c r="N7621" s="7"/>
      <c r="O7621" s="7"/>
      <c r="P7621" s="7"/>
      <c r="Q7621" s="7"/>
      <c r="R7621" s="7"/>
      <c r="S7621" s="7"/>
      <c r="T7621" s="7"/>
      <c r="U7621" s="7"/>
      <c r="V7621" s="7"/>
      <c r="W7621" s="7"/>
      <c r="X7621" s="7"/>
      <c r="Y7621" s="7"/>
      <c r="Z7621" s="7"/>
    </row>
    <row r="7622" hidden="1">
      <c r="A7622" s="7"/>
      <c r="B7622" s="7"/>
      <c r="C7622" s="7"/>
      <c r="D7622" s="7"/>
      <c r="E7622" s="7"/>
      <c r="F7622" s="7"/>
      <c r="G7622" s="7"/>
      <c r="H7622" s="8"/>
      <c r="I7622" s="8"/>
      <c r="J7622" s="7"/>
      <c r="K7622" s="7"/>
      <c r="L7622" s="7"/>
      <c r="M7622" s="7"/>
      <c r="N7622" s="7"/>
      <c r="O7622" s="7"/>
      <c r="P7622" s="7"/>
      <c r="Q7622" s="7"/>
      <c r="R7622" s="7"/>
      <c r="S7622" s="7"/>
      <c r="T7622" s="7"/>
      <c r="U7622" s="7"/>
      <c r="V7622" s="7"/>
      <c r="W7622" s="7"/>
      <c r="X7622" s="7"/>
      <c r="Y7622" s="7"/>
      <c r="Z7622" s="7"/>
    </row>
    <row r="7623" hidden="1">
      <c r="A7623" s="7"/>
      <c r="B7623" s="7"/>
      <c r="C7623" s="7"/>
      <c r="D7623" s="7"/>
      <c r="E7623" s="7"/>
      <c r="F7623" s="7"/>
      <c r="G7623" s="7"/>
      <c r="H7623" s="8"/>
      <c r="I7623" s="8"/>
      <c r="J7623" s="7"/>
      <c r="K7623" s="7"/>
      <c r="L7623" s="7"/>
      <c r="M7623" s="7"/>
      <c r="N7623" s="7"/>
      <c r="O7623" s="7"/>
      <c r="P7623" s="7"/>
      <c r="Q7623" s="7"/>
      <c r="R7623" s="7"/>
      <c r="S7623" s="7"/>
      <c r="T7623" s="7"/>
      <c r="U7623" s="7"/>
      <c r="V7623" s="7"/>
      <c r="W7623" s="7"/>
      <c r="X7623" s="7"/>
      <c r="Y7623" s="7"/>
      <c r="Z7623" s="7"/>
    </row>
    <row r="7624" hidden="1">
      <c r="A7624" s="7"/>
      <c r="B7624" s="7"/>
      <c r="C7624" s="7"/>
      <c r="D7624" s="7"/>
      <c r="E7624" s="7"/>
      <c r="F7624" s="7"/>
      <c r="G7624" s="7"/>
      <c r="H7624" s="8"/>
      <c r="I7624" s="8"/>
      <c r="J7624" s="7"/>
      <c r="K7624" s="7"/>
      <c r="L7624" s="7"/>
      <c r="M7624" s="7"/>
      <c r="N7624" s="7"/>
      <c r="O7624" s="7"/>
      <c r="P7624" s="7"/>
      <c r="Q7624" s="7"/>
      <c r="R7624" s="7"/>
      <c r="S7624" s="7"/>
      <c r="T7624" s="7"/>
      <c r="U7624" s="7"/>
      <c r="V7624" s="7"/>
      <c r="W7624" s="7"/>
      <c r="X7624" s="7"/>
      <c r="Y7624" s="7"/>
      <c r="Z7624" s="7"/>
    </row>
    <row r="7625" hidden="1">
      <c r="A7625" s="7"/>
      <c r="B7625" s="7"/>
      <c r="C7625" s="7"/>
      <c r="D7625" s="7"/>
      <c r="E7625" s="7"/>
      <c r="F7625" s="7"/>
      <c r="G7625" s="7"/>
      <c r="H7625" s="8"/>
      <c r="I7625" s="8"/>
      <c r="J7625" s="7"/>
      <c r="K7625" s="7"/>
      <c r="L7625" s="7"/>
      <c r="M7625" s="7"/>
      <c r="N7625" s="7"/>
      <c r="O7625" s="7"/>
      <c r="P7625" s="7"/>
      <c r="Q7625" s="7"/>
      <c r="R7625" s="7"/>
      <c r="S7625" s="7"/>
      <c r="T7625" s="7"/>
      <c r="U7625" s="7"/>
      <c r="V7625" s="7"/>
      <c r="W7625" s="7"/>
      <c r="X7625" s="7"/>
      <c r="Y7625" s="7"/>
      <c r="Z7625" s="7"/>
    </row>
    <row r="7626" hidden="1">
      <c r="A7626" s="7"/>
      <c r="B7626" s="7"/>
      <c r="C7626" s="7"/>
      <c r="D7626" s="7"/>
      <c r="E7626" s="7"/>
      <c r="F7626" s="7"/>
      <c r="G7626" s="7"/>
      <c r="H7626" s="8"/>
      <c r="I7626" s="8"/>
      <c r="J7626" s="7"/>
      <c r="K7626" s="7"/>
      <c r="L7626" s="7"/>
      <c r="M7626" s="7"/>
      <c r="N7626" s="7"/>
      <c r="O7626" s="7"/>
      <c r="P7626" s="7"/>
      <c r="Q7626" s="7"/>
      <c r="R7626" s="7"/>
      <c r="S7626" s="7"/>
      <c r="T7626" s="7"/>
      <c r="U7626" s="7"/>
      <c r="V7626" s="7"/>
      <c r="W7626" s="7"/>
      <c r="X7626" s="7"/>
      <c r="Y7626" s="7"/>
      <c r="Z7626" s="7"/>
    </row>
    <row r="7627" hidden="1">
      <c r="A7627" s="7"/>
      <c r="B7627" s="7"/>
      <c r="C7627" s="7"/>
      <c r="D7627" s="7"/>
      <c r="E7627" s="7"/>
      <c r="F7627" s="7"/>
      <c r="G7627" s="7"/>
      <c r="H7627" s="8"/>
      <c r="I7627" s="8"/>
      <c r="J7627" s="7"/>
      <c r="K7627" s="7"/>
      <c r="L7627" s="7"/>
      <c r="M7627" s="7"/>
      <c r="N7627" s="7"/>
      <c r="O7627" s="7"/>
      <c r="P7627" s="7"/>
      <c r="Q7627" s="7"/>
      <c r="R7627" s="7"/>
      <c r="S7627" s="7"/>
      <c r="T7627" s="7"/>
      <c r="U7627" s="7"/>
      <c r="V7627" s="7"/>
      <c r="W7627" s="7"/>
      <c r="X7627" s="7"/>
      <c r="Y7627" s="7"/>
      <c r="Z7627" s="7"/>
    </row>
    <row r="7628" hidden="1">
      <c r="A7628" s="7"/>
      <c r="B7628" s="7"/>
      <c r="C7628" s="7"/>
      <c r="D7628" s="7"/>
      <c r="E7628" s="7"/>
      <c r="F7628" s="7"/>
      <c r="G7628" s="7"/>
      <c r="H7628" s="8"/>
      <c r="I7628" s="8"/>
      <c r="J7628" s="7"/>
      <c r="K7628" s="7"/>
      <c r="L7628" s="7"/>
      <c r="M7628" s="7"/>
      <c r="N7628" s="7"/>
      <c r="O7628" s="7"/>
      <c r="P7628" s="7"/>
      <c r="Q7628" s="7"/>
      <c r="R7628" s="7"/>
      <c r="S7628" s="7"/>
      <c r="T7628" s="7"/>
      <c r="U7628" s="7"/>
      <c r="V7628" s="7"/>
      <c r="W7628" s="7"/>
      <c r="X7628" s="7"/>
      <c r="Y7628" s="7"/>
      <c r="Z7628" s="7"/>
    </row>
    <row r="7629" hidden="1">
      <c r="A7629" s="7"/>
      <c r="B7629" s="7"/>
      <c r="C7629" s="7"/>
      <c r="D7629" s="7"/>
      <c r="E7629" s="7"/>
      <c r="F7629" s="7"/>
      <c r="G7629" s="7"/>
      <c r="H7629" s="8"/>
      <c r="I7629" s="8"/>
      <c r="J7629" s="7"/>
      <c r="K7629" s="7"/>
      <c r="L7629" s="7"/>
      <c r="M7629" s="7"/>
      <c r="N7629" s="7"/>
      <c r="O7629" s="7"/>
      <c r="P7629" s="7"/>
      <c r="Q7629" s="7"/>
      <c r="R7629" s="7"/>
      <c r="S7629" s="7"/>
      <c r="T7629" s="7"/>
      <c r="U7629" s="7"/>
      <c r="V7629" s="7"/>
      <c r="W7629" s="7"/>
      <c r="X7629" s="7"/>
      <c r="Y7629" s="7"/>
      <c r="Z7629" s="7"/>
    </row>
    <row r="7630" hidden="1">
      <c r="A7630" s="7"/>
      <c r="B7630" s="7"/>
      <c r="C7630" s="7"/>
      <c r="D7630" s="7"/>
      <c r="E7630" s="7"/>
      <c r="F7630" s="7"/>
      <c r="G7630" s="7"/>
      <c r="H7630" s="8"/>
      <c r="I7630" s="8"/>
      <c r="J7630" s="7"/>
      <c r="K7630" s="7"/>
      <c r="L7630" s="7"/>
      <c r="M7630" s="7"/>
      <c r="N7630" s="7"/>
      <c r="O7630" s="7"/>
      <c r="P7630" s="7"/>
      <c r="Q7630" s="7"/>
      <c r="R7630" s="7"/>
      <c r="S7630" s="7"/>
      <c r="T7630" s="7"/>
      <c r="U7630" s="7"/>
      <c r="V7630" s="7"/>
      <c r="W7630" s="7"/>
      <c r="X7630" s="7"/>
      <c r="Y7630" s="7"/>
      <c r="Z7630" s="7"/>
    </row>
    <row r="7631" hidden="1">
      <c r="A7631" s="7"/>
      <c r="B7631" s="7"/>
      <c r="C7631" s="7"/>
      <c r="D7631" s="7"/>
      <c r="E7631" s="7"/>
      <c r="F7631" s="7"/>
      <c r="G7631" s="7"/>
      <c r="H7631" s="8"/>
      <c r="I7631" s="8"/>
      <c r="J7631" s="7"/>
      <c r="K7631" s="7"/>
      <c r="L7631" s="7"/>
      <c r="M7631" s="7"/>
      <c r="N7631" s="7"/>
      <c r="O7631" s="7"/>
      <c r="P7631" s="7"/>
      <c r="Q7631" s="7"/>
      <c r="R7631" s="7"/>
      <c r="S7631" s="7"/>
      <c r="T7631" s="7"/>
      <c r="U7631" s="7"/>
      <c r="V7631" s="7"/>
      <c r="W7631" s="7"/>
      <c r="X7631" s="7"/>
      <c r="Y7631" s="7"/>
      <c r="Z7631" s="7"/>
    </row>
    <row r="7632" hidden="1">
      <c r="A7632" s="7"/>
      <c r="B7632" s="7"/>
      <c r="C7632" s="7"/>
      <c r="D7632" s="7"/>
      <c r="E7632" s="7"/>
      <c r="F7632" s="7"/>
      <c r="G7632" s="7"/>
      <c r="H7632" s="8"/>
      <c r="I7632" s="8"/>
      <c r="J7632" s="7"/>
      <c r="K7632" s="7"/>
      <c r="L7632" s="7"/>
      <c r="M7632" s="7"/>
      <c r="N7632" s="7"/>
      <c r="O7632" s="7"/>
      <c r="P7632" s="7"/>
      <c r="Q7632" s="7"/>
      <c r="R7632" s="7"/>
      <c r="S7632" s="7"/>
      <c r="T7632" s="7"/>
      <c r="U7632" s="7"/>
      <c r="V7632" s="7"/>
      <c r="W7632" s="7"/>
      <c r="X7632" s="7"/>
      <c r="Y7632" s="7"/>
      <c r="Z7632" s="7"/>
    </row>
    <row r="7633" hidden="1">
      <c r="A7633" s="7"/>
      <c r="B7633" s="7"/>
      <c r="C7633" s="7"/>
      <c r="D7633" s="7"/>
      <c r="E7633" s="7"/>
      <c r="F7633" s="7"/>
      <c r="G7633" s="7"/>
      <c r="H7633" s="8"/>
      <c r="I7633" s="8"/>
      <c r="J7633" s="7"/>
      <c r="K7633" s="7"/>
      <c r="L7633" s="7"/>
      <c r="M7633" s="7"/>
      <c r="N7633" s="7"/>
      <c r="O7633" s="7"/>
      <c r="P7633" s="7"/>
      <c r="Q7633" s="7"/>
      <c r="R7633" s="7"/>
      <c r="S7633" s="7"/>
      <c r="T7633" s="7"/>
      <c r="U7633" s="7"/>
      <c r="V7633" s="7"/>
      <c r="W7633" s="7"/>
      <c r="X7633" s="7"/>
      <c r="Y7633" s="7"/>
      <c r="Z7633" s="7"/>
    </row>
    <row r="7634" hidden="1">
      <c r="A7634" s="7"/>
      <c r="B7634" s="7"/>
      <c r="C7634" s="7"/>
      <c r="D7634" s="7"/>
      <c r="E7634" s="7"/>
      <c r="F7634" s="7"/>
      <c r="G7634" s="7"/>
      <c r="H7634" s="8"/>
      <c r="I7634" s="8"/>
      <c r="J7634" s="7"/>
      <c r="K7634" s="7"/>
      <c r="L7634" s="7"/>
      <c r="M7634" s="7"/>
      <c r="N7634" s="7"/>
      <c r="O7634" s="7"/>
      <c r="P7634" s="7"/>
      <c r="Q7634" s="7"/>
      <c r="R7634" s="7"/>
      <c r="S7634" s="7"/>
      <c r="T7634" s="7"/>
      <c r="U7634" s="7"/>
      <c r="V7634" s="7"/>
      <c r="W7634" s="7"/>
      <c r="X7634" s="7"/>
      <c r="Y7634" s="7"/>
      <c r="Z7634" s="7"/>
    </row>
    <row r="7635" hidden="1">
      <c r="A7635" s="7"/>
      <c r="B7635" s="7"/>
      <c r="C7635" s="7"/>
      <c r="D7635" s="7"/>
      <c r="E7635" s="7"/>
      <c r="F7635" s="7"/>
      <c r="G7635" s="7"/>
      <c r="H7635" s="8"/>
      <c r="I7635" s="8"/>
      <c r="J7635" s="7"/>
      <c r="K7635" s="7"/>
      <c r="L7635" s="7"/>
      <c r="M7635" s="7"/>
      <c r="N7635" s="7"/>
      <c r="O7635" s="7"/>
      <c r="P7635" s="7"/>
      <c r="Q7635" s="7"/>
      <c r="R7635" s="7"/>
      <c r="S7635" s="7"/>
      <c r="T7635" s="7"/>
      <c r="U7635" s="7"/>
      <c r="V7635" s="7"/>
      <c r="W7635" s="7"/>
      <c r="X7635" s="7"/>
      <c r="Y7635" s="7"/>
      <c r="Z7635" s="7"/>
    </row>
    <row r="7636" hidden="1">
      <c r="A7636" s="7"/>
      <c r="B7636" s="7"/>
      <c r="C7636" s="7"/>
      <c r="D7636" s="7"/>
      <c r="E7636" s="7"/>
      <c r="F7636" s="7"/>
      <c r="G7636" s="7"/>
      <c r="H7636" s="8"/>
      <c r="I7636" s="8"/>
      <c r="J7636" s="7"/>
      <c r="K7636" s="7"/>
      <c r="L7636" s="7"/>
      <c r="M7636" s="7"/>
      <c r="N7636" s="7"/>
      <c r="O7636" s="7"/>
      <c r="P7636" s="7"/>
      <c r="Q7636" s="7"/>
      <c r="R7636" s="7"/>
      <c r="S7636" s="7"/>
      <c r="T7636" s="7"/>
      <c r="U7636" s="7"/>
      <c r="V7636" s="7"/>
      <c r="W7636" s="7"/>
      <c r="X7636" s="7"/>
      <c r="Y7636" s="7"/>
      <c r="Z7636" s="7"/>
    </row>
    <row r="7637" hidden="1">
      <c r="A7637" s="7"/>
      <c r="B7637" s="7"/>
      <c r="C7637" s="7"/>
      <c r="D7637" s="7"/>
      <c r="E7637" s="7"/>
      <c r="F7637" s="7"/>
      <c r="G7637" s="7"/>
      <c r="H7637" s="8"/>
      <c r="I7637" s="8"/>
      <c r="J7637" s="7"/>
      <c r="K7637" s="7"/>
      <c r="L7637" s="7"/>
      <c r="M7637" s="7"/>
      <c r="N7637" s="7"/>
      <c r="O7637" s="7"/>
      <c r="P7637" s="7"/>
      <c r="Q7637" s="7"/>
      <c r="R7637" s="7"/>
      <c r="S7637" s="7"/>
      <c r="T7637" s="7"/>
      <c r="U7637" s="7"/>
      <c r="V7637" s="7"/>
      <c r="W7637" s="7"/>
      <c r="X7637" s="7"/>
      <c r="Y7637" s="7"/>
      <c r="Z7637" s="7"/>
    </row>
    <row r="7638" hidden="1">
      <c r="A7638" s="7"/>
      <c r="B7638" s="7"/>
      <c r="C7638" s="7"/>
      <c r="D7638" s="7"/>
      <c r="E7638" s="7"/>
      <c r="F7638" s="7"/>
      <c r="G7638" s="7"/>
      <c r="H7638" s="8"/>
      <c r="I7638" s="8"/>
      <c r="J7638" s="7"/>
      <c r="K7638" s="7"/>
      <c r="L7638" s="7"/>
      <c r="M7638" s="7"/>
      <c r="N7638" s="7"/>
      <c r="O7638" s="7"/>
      <c r="P7638" s="7"/>
      <c r="Q7638" s="7"/>
      <c r="R7638" s="7"/>
      <c r="S7638" s="7"/>
      <c r="T7638" s="7"/>
      <c r="U7638" s="7"/>
      <c r="V7638" s="7"/>
      <c r="W7638" s="7"/>
      <c r="X7638" s="7"/>
      <c r="Y7638" s="7"/>
      <c r="Z7638" s="7"/>
    </row>
    <row r="7639" hidden="1">
      <c r="A7639" s="7"/>
      <c r="B7639" s="7"/>
      <c r="C7639" s="7"/>
      <c r="D7639" s="7"/>
      <c r="E7639" s="7"/>
      <c r="F7639" s="7"/>
      <c r="G7639" s="7"/>
      <c r="H7639" s="8"/>
      <c r="I7639" s="8"/>
      <c r="J7639" s="7"/>
      <c r="K7639" s="7"/>
      <c r="L7639" s="7"/>
      <c r="M7639" s="7"/>
      <c r="N7639" s="7"/>
      <c r="O7639" s="7"/>
      <c r="P7639" s="7"/>
      <c r="Q7639" s="7"/>
      <c r="R7639" s="7"/>
      <c r="S7639" s="7"/>
      <c r="T7639" s="7"/>
      <c r="U7639" s="7"/>
      <c r="V7639" s="7"/>
      <c r="W7639" s="7"/>
      <c r="X7639" s="7"/>
      <c r="Y7639" s="7"/>
      <c r="Z7639" s="7"/>
    </row>
    <row r="7640" hidden="1">
      <c r="A7640" s="7"/>
      <c r="B7640" s="7"/>
      <c r="C7640" s="7"/>
      <c r="D7640" s="7"/>
      <c r="E7640" s="7"/>
      <c r="F7640" s="7"/>
      <c r="G7640" s="7"/>
      <c r="H7640" s="8"/>
      <c r="I7640" s="8"/>
      <c r="J7640" s="7"/>
      <c r="K7640" s="7"/>
      <c r="L7640" s="7"/>
      <c r="M7640" s="7"/>
      <c r="N7640" s="7"/>
      <c r="O7640" s="7"/>
      <c r="P7640" s="7"/>
      <c r="Q7640" s="7"/>
      <c r="R7640" s="7"/>
      <c r="S7640" s="7"/>
      <c r="T7640" s="7"/>
      <c r="U7640" s="7"/>
      <c r="V7640" s="7"/>
      <c r="W7640" s="7"/>
      <c r="X7640" s="7"/>
      <c r="Y7640" s="7"/>
      <c r="Z7640" s="7"/>
    </row>
    <row r="7641" hidden="1">
      <c r="A7641" s="7"/>
      <c r="B7641" s="7"/>
      <c r="C7641" s="7"/>
      <c r="D7641" s="7"/>
      <c r="E7641" s="7"/>
      <c r="F7641" s="7"/>
      <c r="G7641" s="7"/>
      <c r="H7641" s="8"/>
      <c r="I7641" s="8"/>
      <c r="J7641" s="7"/>
      <c r="K7641" s="7"/>
      <c r="L7641" s="7"/>
      <c r="M7641" s="7"/>
      <c r="N7641" s="7"/>
      <c r="O7641" s="7"/>
      <c r="P7641" s="7"/>
      <c r="Q7641" s="7"/>
      <c r="R7641" s="7"/>
      <c r="S7641" s="7"/>
      <c r="T7641" s="7"/>
      <c r="U7641" s="7"/>
      <c r="V7641" s="7"/>
      <c r="W7641" s="7"/>
      <c r="X7641" s="7"/>
      <c r="Y7641" s="7"/>
      <c r="Z7641" s="7"/>
    </row>
    <row r="7642" hidden="1">
      <c r="A7642" s="7"/>
      <c r="B7642" s="7"/>
      <c r="C7642" s="7"/>
      <c r="D7642" s="7"/>
      <c r="E7642" s="7"/>
      <c r="F7642" s="7"/>
      <c r="G7642" s="7"/>
      <c r="H7642" s="8"/>
      <c r="I7642" s="8"/>
      <c r="J7642" s="7"/>
      <c r="K7642" s="7"/>
      <c r="L7642" s="7"/>
      <c r="M7642" s="7"/>
      <c r="N7642" s="7"/>
      <c r="O7642" s="7"/>
      <c r="P7642" s="7"/>
      <c r="Q7642" s="7"/>
      <c r="R7642" s="7"/>
      <c r="S7642" s="7"/>
      <c r="T7642" s="7"/>
      <c r="U7642" s="7"/>
      <c r="V7642" s="7"/>
      <c r="W7642" s="7"/>
      <c r="X7642" s="7"/>
      <c r="Y7642" s="7"/>
      <c r="Z7642" s="7"/>
    </row>
    <row r="7643" hidden="1">
      <c r="A7643" s="7"/>
      <c r="B7643" s="7"/>
      <c r="C7643" s="7"/>
      <c r="D7643" s="7"/>
      <c r="E7643" s="7"/>
      <c r="F7643" s="7"/>
      <c r="G7643" s="7"/>
      <c r="H7643" s="8"/>
      <c r="I7643" s="8"/>
      <c r="J7643" s="7"/>
      <c r="K7643" s="7"/>
      <c r="L7643" s="7"/>
      <c r="M7643" s="7"/>
      <c r="N7643" s="7"/>
      <c r="O7643" s="7"/>
      <c r="P7643" s="7"/>
      <c r="Q7643" s="7"/>
      <c r="R7643" s="7"/>
      <c r="S7643" s="7"/>
      <c r="T7643" s="7"/>
      <c r="U7643" s="7"/>
      <c r="V7643" s="7"/>
      <c r="W7643" s="7"/>
      <c r="X7643" s="7"/>
      <c r="Y7643" s="7"/>
      <c r="Z7643" s="7"/>
    </row>
    <row r="7644" hidden="1">
      <c r="A7644" s="7"/>
      <c r="B7644" s="7"/>
      <c r="C7644" s="7"/>
      <c r="D7644" s="7"/>
      <c r="E7644" s="7"/>
      <c r="F7644" s="7"/>
      <c r="G7644" s="7"/>
      <c r="H7644" s="8"/>
      <c r="I7644" s="8"/>
      <c r="J7644" s="7"/>
      <c r="K7644" s="7"/>
      <c r="L7644" s="7"/>
      <c r="M7644" s="7"/>
      <c r="N7644" s="7"/>
      <c r="O7644" s="7"/>
      <c r="P7644" s="7"/>
      <c r="Q7644" s="7"/>
      <c r="R7644" s="7"/>
      <c r="S7644" s="7"/>
      <c r="T7644" s="7"/>
      <c r="U7644" s="7"/>
      <c r="V7644" s="7"/>
      <c r="W7644" s="7"/>
      <c r="X7644" s="7"/>
      <c r="Y7644" s="7"/>
      <c r="Z7644" s="7"/>
    </row>
    <row r="7645" hidden="1">
      <c r="A7645" s="7"/>
      <c r="B7645" s="7"/>
      <c r="C7645" s="7"/>
      <c r="D7645" s="7"/>
      <c r="E7645" s="7"/>
      <c r="F7645" s="7"/>
      <c r="G7645" s="7"/>
      <c r="H7645" s="8"/>
      <c r="I7645" s="8"/>
      <c r="J7645" s="7"/>
      <c r="K7645" s="7"/>
      <c r="L7645" s="7"/>
      <c r="M7645" s="7"/>
      <c r="N7645" s="7"/>
      <c r="O7645" s="7"/>
      <c r="P7645" s="7"/>
      <c r="Q7645" s="7"/>
      <c r="R7645" s="7"/>
      <c r="S7645" s="7"/>
      <c r="T7645" s="7"/>
      <c r="U7645" s="7"/>
      <c r="V7645" s="7"/>
      <c r="W7645" s="7"/>
      <c r="X7645" s="7"/>
      <c r="Y7645" s="7"/>
      <c r="Z7645" s="7"/>
    </row>
    <row r="7646" hidden="1">
      <c r="A7646" s="7"/>
      <c r="B7646" s="7"/>
      <c r="C7646" s="7"/>
      <c r="D7646" s="7"/>
      <c r="E7646" s="7"/>
      <c r="F7646" s="7"/>
      <c r="G7646" s="7"/>
      <c r="H7646" s="8"/>
      <c r="I7646" s="8"/>
      <c r="J7646" s="7"/>
      <c r="K7646" s="7"/>
      <c r="L7646" s="7"/>
      <c r="M7646" s="7"/>
      <c r="N7646" s="7"/>
      <c r="O7646" s="7"/>
      <c r="P7646" s="7"/>
      <c r="Q7646" s="7"/>
      <c r="R7646" s="7"/>
      <c r="S7646" s="7"/>
      <c r="T7646" s="7"/>
      <c r="U7646" s="7"/>
      <c r="V7646" s="7"/>
      <c r="W7646" s="7"/>
      <c r="X7646" s="7"/>
      <c r="Y7646" s="7"/>
      <c r="Z7646" s="7"/>
    </row>
    <row r="7647" hidden="1">
      <c r="A7647" s="7"/>
      <c r="B7647" s="7"/>
      <c r="C7647" s="7"/>
      <c r="D7647" s="7"/>
      <c r="E7647" s="7"/>
      <c r="F7647" s="7"/>
      <c r="G7647" s="7"/>
      <c r="H7647" s="8"/>
      <c r="I7647" s="8"/>
      <c r="J7647" s="7"/>
      <c r="K7647" s="7"/>
      <c r="L7647" s="7"/>
      <c r="M7647" s="7"/>
      <c r="N7647" s="7"/>
      <c r="O7647" s="7"/>
      <c r="P7647" s="7"/>
      <c r="Q7647" s="7"/>
      <c r="R7647" s="7"/>
      <c r="S7647" s="7"/>
      <c r="T7647" s="7"/>
      <c r="U7647" s="7"/>
      <c r="V7647" s="7"/>
      <c r="W7647" s="7"/>
      <c r="X7647" s="7"/>
      <c r="Y7647" s="7"/>
      <c r="Z7647" s="7"/>
    </row>
    <row r="7648" hidden="1">
      <c r="A7648" s="7"/>
      <c r="B7648" s="7"/>
      <c r="C7648" s="7"/>
      <c r="D7648" s="7"/>
      <c r="E7648" s="7"/>
      <c r="F7648" s="7"/>
      <c r="G7648" s="7"/>
      <c r="H7648" s="8"/>
      <c r="I7648" s="8"/>
      <c r="J7648" s="7"/>
      <c r="K7648" s="7"/>
      <c r="L7648" s="7"/>
      <c r="M7648" s="7"/>
      <c r="N7648" s="7"/>
      <c r="O7648" s="7"/>
      <c r="P7648" s="7"/>
      <c r="Q7648" s="7"/>
      <c r="R7648" s="7"/>
      <c r="S7648" s="7"/>
      <c r="T7648" s="7"/>
      <c r="U7648" s="7"/>
      <c r="V7648" s="7"/>
      <c r="W7648" s="7"/>
      <c r="X7648" s="7"/>
      <c r="Y7648" s="7"/>
      <c r="Z7648" s="7"/>
    </row>
    <row r="7649" hidden="1">
      <c r="A7649" s="7"/>
      <c r="B7649" s="7"/>
      <c r="C7649" s="7"/>
      <c r="D7649" s="7"/>
      <c r="E7649" s="7"/>
      <c r="F7649" s="7"/>
      <c r="G7649" s="7"/>
      <c r="H7649" s="8"/>
      <c r="I7649" s="8"/>
      <c r="J7649" s="7"/>
      <c r="K7649" s="7"/>
      <c r="L7649" s="7"/>
      <c r="M7649" s="7"/>
      <c r="N7649" s="7"/>
      <c r="O7649" s="7"/>
      <c r="P7649" s="7"/>
      <c r="Q7649" s="7"/>
      <c r="R7649" s="7"/>
      <c r="S7649" s="7"/>
      <c r="T7649" s="7"/>
      <c r="U7649" s="7"/>
      <c r="V7649" s="7"/>
      <c r="W7649" s="7"/>
      <c r="X7649" s="7"/>
      <c r="Y7649" s="7"/>
      <c r="Z7649" s="7"/>
    </row>
    <row r="7650" hidden="1">
      <c r="A7650" s="7"/>
      <c r="B7650" s="7"/>
      <c r="C7650" s="7"/>
      <c r="D7650" s="7"/>
      <c r="E7650" s="7"/>
      <c r="F7650" s="7"/>
      <c r="G7650" s="7"/>
      <c r="H7650" s="8"/>
      <c r="I7650" s="8"/>
      <c r="J7650" s="7"/>
      <c r="K7650" s="7"/>
      <c r="L7650" s="7"/>
      <c r="M7650" s="7"/>
      <c r="N7650" s="7"/>
      <c r="O7650" s="7"/>
      <c r="P7650" s="7"/>
      <c r="Q7650" s="7"/>
      <c r="R7650" s="7"/>
      <c r="S7650" s="7"/>
      <c r="T7650" s="7"/>
      <c r="U7650" s="7"/>
      <c r="V7650" s="7"/>
      <c r="W7650" s="7"/>
      <c r="X7650" s="7"/>
      <c r="Y7650" s="7"/>
      <c r="Z7650" s="7"/>
    </row>
    <row r="7651" hidden="1">
      <c r="A7651" s="7"/>
      <c r="B7651" s="7"/>
      <c r="C7651" s="7"/>
      <c r="D7651" s="7"/>
      <c r="E7651" s="7"/>
      <c r="F7651" s="7"/>
      <c r="G7651" s="7"/>
      <c r="H7651" s="8"/>
      <c r="I7651" s="8"/>
      <c r="J7651" s="7"/>
      <c r="K7651" s="7"/>
      <c r="L7651" s="7"/>
      <c r="M7651" s="7"/>
      <c r="N7651" s="7"/>
      <c r="O7651" s="7"/>
      <c r="P7651" s="7"/>
      <c r="Q7651" s="7"/>
      <c r="R7651" s="7"/>
      <c r="S7651" s="7"/>
      <c r="T7651" s="7"/>
      <c r="U7651" s="7"/>
      <c r="V7651" s="7"/>
      <c r="W7651" s="7"/>
      <c r="X7651" s="7"/>
      <c r="Y7651" s="7"/>
      <c r="Z7651" s="7"/>
    </row>
    <row r="7652" hidden="1">
      <c r="A7652" s="7"/>
      <c r="B7652" s="7"/>
      <c r="C7652" s="7"/>
      <c r="D7652" s="7"/>
      <c r="E7652" s="7"/>
      <c r="F7652" s="7"/>
      <c r="G7652" s="7"/>
      <c r="H7652" s="8"/>
      <c r="I7652" s="8"/>
      <c r="J7652" s="7"/>
      <c r="K7652" s="7"/>
      <c r="L7652" s="7"/>
      <c r="M7652" s="7"/>
      <c r="N7652" s="7"/>
      <c r="O7652" s="7"/>
      <c r="P7652" s="7"/>
      <c r="Q7652" s="7"/>
      <c r="R7652" s="7"/>
      <c r="S7652" s="7"/>
      <c r="T7652" s="7"/>
      <c r="U7652" s="7"/>
      <c r="V7652" s="7"/>
      <c r="W7652" s="7"/>
      <c r="X7652" s="7"/>
      <c r="Y7652" s="7"/>
      <c r="Z7652" s="7"/>
    </row>
    <row r="7653" hidden="1">
      <c r="A7653" s="7"/>
      <c r="B7653" s="7"/>
      <c r="C7653" s="7"/>
      <c r="D7653" s="7"/>
      <c r="E7653" s="7"/>
      <c r="F7653" s="7"/>
      <c r="G7653" s="7"/>
      <c r="H7653" s="8"/>
      <c r="I7653" s="8"/>
      <c r="J7653" s="7"/>
      <c r="K7653" s="7"/>
      <c r="L7653" s="7"/>
      <c r="M7653" s="7"/>
      <c r="N7653" s="7"/>
      <c r="O7653" s="7"/>
      <c r="P7653" s="7"/>
      <c r="Q7653" s="7"/>
      <c r="R7653" s="7"/>
      <c r="S7653" s="7"/>
      <c r="T7653" s="7"/>
      <c r="U7653" s="7"/>
      <c r="V7653" s="7"/>
      <c r="W7653" s="7"/>
      <c r="X7653" s="7"/>
      <c r="Y7653" s="7"/>
      <c r="Z7653" s="7"/>
    </row>
    <row r="7654" hidden="1">
      <c r="A7654" s="7"/>
      <c r="B7654" s="7"/>
      <c r="C7654" s="7"/>
      <c r="D7654" s="7"/>
      <c r="E7654" s="7"/>
      <c r="F7654" s="7"/>
      <c r="G7654" s="7"/>
      <c r="H7654" s="8"/>
      <c r="I7654" s="8"/>
      <c r="J7654" s="7"/>
      <c r="K7654" s="7"/>
      <c r="L7654" s="7"/>
      <c r="M7654" s="7"/>
      <c r="N7654" s="7"/>
      <c r="O7654" s="7"/>
      <c r="P7654" s="7"/>
      <c r="Q7654" s="7"/>
      <c r="R7654" s="7"/>
      <c r="S7654" s="7"/>
      <c r="T7654" s="7"/>
      <c r="U7654" s="7"/>
      <c r="V7654" s="7"/>
      <c r="W7654" s="7"/>
      <c r="X7654" s="7"/>
      <c r="Y7654" s="7"/>
      <c r="Z7654" s="7"/>
    </row>
    <row r="7655" hidden="1">
      <c r="A7655" s="7"/>
      <c r="B7655" s="7"/>
      <c r="C7655" s="7"/>
      <c r="D7655" s="7"/>
      <c r="E7655" s="7"/>
      <c r="F7655" s="7"/>
      <c r="G7655" s="7"/>
      <c r="H7655" s="8"/>
      <c r="I7655" s="8"/>
      <c r="J7655" s="7"/>
      <c r="K7655" s="7"/>
      <c r="L7655" s="7"/>
      <c r="M7655" s="7"/>
      <c r="N7655" s="7"/>
      <c r="O7655" s="7"/>
      <c r="P7655" s="7"/>
      <c r="Q7655" s="7"/>
      <c r="R7655" s="7"/>
      <c r="S7655" s="7"/>
      <c r="T7655" s="7"/>
      <c r="U7655" s="7"/>
      <c r="V7655" s="7"/>
      <c r="W7655" s="7"/>
      <c r="X7655" s="7"/>
      <c r="Y7655" s="7"/>
      <c r="Z7655" s="7"/>
    </row>
    <row r="7656" hidden="1">
      <c r="A7656" s="7"/>
      <c r="B7656" s="7"/>
      <c r="C7656" s="7"/>
      <c r="D7656" s="7"/>
      <c r="E7656" s="7"/>
      <c r="F7656" s="7"/>
      <c r="G7656" s="7"/>
      <c r="H7656" s="8"/>
      <c r="I7656" s="8"/>
      <c r="J7656" s="7"/>
      <c r="K7656" s="7"/>
      <c r="L7656" s="7"/>
      <c r="M7656" s="7"/>
      <c r="N7656" s="7"/>
      <c r="O7656" s="7"/>
      <c r="P7656" s="7"/>
      <c r="Q7656" s="7"/>
      <c r="R7656" s="7"/>
      <c r="S7656" s="7"/>
      <c r="T7656" s="7"/>
      <c r="U7656" s="7"/>
      <c r="V7656" s="7"/>
      <c r="W7656" s="7"/>
      <c r="X7656" s="7"/>
      <c r="Y7656" s="7"/>
      <c r="Z7656" s="7"/>
    </row>
    <row r="7657" hidden="1">
      <c r="A7657" s="7"/>
      <c r="B7657" s="7"/>
      <c r="C7657" s="7"/>
      <c r="D7657" s="7"/>
      <c r="E7657" s="7"/>
      <c r="F7657" s="7"/>
      <c r="G7657" s="7"/>
      <c r="H7657" s="8"/>
      <c r="I7657" s="8"/>
      <c r="J7657" s="7"/>
      <c r="K7657" s="7"/>
      <c r="L7657" s="7"/>
      <c r="M7657" s="7"/>
      <c r="N7657" s="7"/>
      <c r="O7657" s="7"/>
      <c r="P7657" s="7"/>
      <c r="Q7657" s="7"/>
      <c r="R7657" s="7"/>
      <c r="S7657" s="7"/>
      <c r="T7657" s="7"/>
      <c r="U7657" s="7"/>
      <c r="V7657" s="7"/>
      <c r="W7657" s="7"/>
      <c r="X7657" s="7"/>
      <c r="Y7657" s="7"/>
      <c r="Z7657" s="7"/>
    </row>
    <row r="7658" hidden="1">
      <c r="A7658" s="7"/>
      <c r="B7658" s="7"/>
      <c r="C7658" s="7"/>
      <c r="D7658" s="7"/>
      <c r="E7658" s="7"/>
      <c r="F7658" s="7"/>
      <c r="G7658" s="7"/>
      <c r="H7658" s="8"/>
      <c r="I7658" s="8"/>
      <c r="J7658" s="7"/>
      <c r="K7658" s="7"/>
      <c r="L7658" s="7"/>
      <c r="M7658" s="7"/>
      <c r="N7658" s="7"/>
      <c r="O7658" s="7"/>
      <c r="P7658" s="7"/>
      <c r="Q7658" s="7"/>
      <c r="R7658" s="7"/>
      <c r="S7658" s="7"/>
      <c r="T7658" s="7"/>
      <c r="U7658" s="7"/>
      <c r="V7658" s="7"/>
      <c r="W7658" s="7"/>
      <c r="X7658" s="7"/>
      <c r="Y7658" s="7"/>
      <c r="Z7658" s="7"/>
    </row>
    <row r="7659" hidden="1">
      <c r="A7659" s="7"/>
      <c r="B7659" s="7"/>
      <c r="C7659" s="7"/>
      <c r="D7659" s="7"/>
      <c r="E7659" s="7"/>
      <c r="F7659" s="7"/>
      <c r="G7659" s="7"/>
      <c r="H7659" s="8"/>
      <c r="I7659" s="8"/>
      <c r="J7659" s="7"/>
      <c r="K7659" s="7"/>
      <c r="L7659" s="7"/>
      <c r="M7659" s="7"/>
      <c r="N7659" s="7"/>
      <c r="O7659" s="7"/>
      <c r="P7659" s="7"/>
      <c r="Q7659" s="7"/>
      <c r="R7659" s="7"/>
      <c r="S7659" s="7"/>
      <c r="T7659" s="7"/>
      <c r="U7659" s="7"/>
      <c r="V7659" s="7"/>
      <c r="W7659" s="7"/>
      <c r="X7659" s="7"/>
      <c r="Y7659" s="7"/>
      <c r="Z7659" s="7"/>
    </row>
    <row r="7660" hidden="1">
      <c r="A7660" s="7"/>
      <c r="B7660" s="7"/>
      <c r="C7660" s="7"/>
      <c r="D7660" s="7"/>
      <c r="E7660" s="7"/>
      <c r="F7660" s="7"/>
      <c r="G7660" s="7"/>
      <c r="H7660" s="8"/>
      <c r="I7660" s="8"/>
      <c r="J7660" s="7"/>
      <c r="K7660" s="7"/>
      <c r="L7660" s="7"/>
      <c r="M7660" s="7"/>
      <c r="N7660" s="7"/>
      <c r="O7660" s="7"/>
      <c r="P7660" s="7"/>
      <c r="Q7660" s="7"/>
      <c r="R7660" s="7"/>
      <c r="S7660" s="7"/>
      <c r="T7660" s="7"/>
      <c r="U7660" s="7"/>
      <c r="V7660" s="7"/>
      <c r="W7660" s="7"/>
      <c r="X7660" s="7"/>
      <c r="Y7660" s="7"/>
      <c r="Z7660" s="7"/>
    </row>
    <row r="7661" hidden="1">
      <c r="A7661" s="7"/>
      <c r="B7661" s="7"/>
      <c r="C7661" s="7"/>
      <c r="D7661" s="7"/>
      <c r="E7661" s="7"/>
      <c r="F7661" s="7"/>
      <c r="G7661" s="7"/>
      <c r="H7661" s="8"/>
      <c r="I7661" s="8"/>
      <c r="J7661" s="7"/>
      <c r="K7661" s="7"/>
      <c r="L7661" s="7"/>
      <c r="M7661" s="7"/>
      <c r="N7661" s="7"/>
      <c r="O7661" s="7"/>
      <c r="P7661" s="7"/>
      <c r="Q7661" s="7"/>
      <c r="R7661" s="7"/>
      <c r="S7661" s="7"/>
      <c r="T7661" s="7"/>
      <c r="U7661" s="7"/>
      <c r="V7661" s="7"/>
      <c r="W7661" s="7"/>
      <c r="X7661" s="7"/>
      <c r="Y7661" s="7"/>
      <c r="Z7661" s="7"/>
    </row>
    <row r="7662" hidden="1">
      <c r="A7662" s="7"/>
      <c r="B7662" s="7"/>
      <c r="C7662" s="7"/>
      <c r="D7662" s="7"/>
      <c r="E7662" s="7"/>
      <c r="F7662" s="7"/>
      <c r="G7662" s="7"/>
      <c r="H7662" s="8"/>
      <c r="I7662" s="8"/>
      <c r="J7662" s="7"/>
      <c r="K7662" s="7"/>
      <c r="L7662" s="7"/>
      <c r="M7662" s="7"/>
      <c r="N7662" s="7"/>
      <c r="O7662" s="7"/>
      <c r="P7662" s="7"/>
      <c r="Q7662" s="7"/>
      <c r="R7662" s="7"/>
      <c r="S7662" s="7"/>
      <c r="T7662" s="7"/>
      <c r="U7662" s="7"/>
      <c r="V7662" s="7"/>
      <c r="W7662" s="7"/>
      <c r="X7662" s="7"/>
      <c r="Y7662" s="7"/>
      <c r="Z7662" s="7"/>
    </row>
    <row r="7663" hidden="1">
      <c r="A7663" s="7"/>
      <c r="B7663" s="7"/>
      <c r="C7663" s="7"/>
      <c r="D7663" s="7"/>
      <c r="E7663" s="7"/>
      <c r="F7663" s="7"/>
      <c r="G7663" s="7"/>
      <c r="H7663" s="8"/>
      <c r="I7663" s="8"/>
      <c r="J7663" s="7"/>
      <c r="K7663" s="7"/>
      <c r="L7663" s="7"/>
      <c r="M7663" s="7"/>
      <c r="N7663" s="7"/>
      <c r="O7663" s="7"/>
      <c r="P7663" s="7"/>
      <c r="Q7663" s="7"/>
      <c r="R7663" s="7"/>
      <c r="S7663" s="7"/>
      <c r="T7663" s="7"/>
      <c r="U7663" s="7"/>
      <c r="V7663" s="7"/>
      <c r="W7663" s="7"/>
      <c r="X7663" s="7"/>
      <c r="Y7663" s="7"/>
      <c r="Z7663" s="7"/>
    </row>
    <row r="7664" hidden="1">
      <c r="A7664" s="7"/>
      <c r="B7664" s="7"/>
      <c r="C7664" s="7"/>
      <c r="D7664" s="7"/>
      <c r="E7664" s="7"/>
      <c r="F7664" s="7"/>
      <c r="G7664" s="7"/>
      <c r="H7664" s="8"/>
      <c r="I7664" s="8"/>
      <c r="J7664" s="7"/>
      <c r="K7664" s="7"/>
      <c r="L7664" s="7"/>
      <c r="M7664" s="7"/>
      <c r="N7664" s="7"/>
      <c r="O7664" s="7"/>
      <c r="P7664" s="7"/>
      <c r="Q7664" s="7"/>
      <c r="R7664" s="7"/>
      <c r="S7664" s="7"/>
      <c r="T7664" s="7"/>
      <c r="U7664" s="7"/>
      <c r="V7664" s="7"/>
      <c r="W7664" s="7"/>
      <c r="X7664" s="7"/>
      <c r="Y7664" s="7"/>
      <c r="Z7664" s="7"/>
    </row>
    <row r="7665" hidden="1">
      <c r="A7665" s="7"/>
      <c r="B7665" s="7"/>
      <c r="C7665" s="7"/>
      <c r="D7665" s="7"/>
      <c r="E7665" s="7"/>
      <c r="F7665" s="7"/>
      <c r="G7665" s="7"/>
      <c r="H7665" s="8"/>
      <c r="I7665" s="8"/>
      <c r="J7665" s="7"/>
      <c r="K7665" s="7"/>
      <c r="L7665" s="7"/>
      <c r="M7665" s="7"/>
      <c r="N7665" s="7"/>
      <c r="O7665" s="7"/>
      <c r="P7665" s="7"/>
      <c r="Q7665" s="7"/>
      <c r="R7665" s="7"/>
      <c r="S7665" s="7"/>
      <c r="T7665" s="7"/>
      <c r="U7665" s="7"/>
      <c r="V7665" s="7"/>
      <c r="W7665" s="7"/>
      <c r="X7665" s="7"/>
      <c r="Y7665" s="7"/>
      <c r="Z7665" s="7"/>
    </row>
    <row r="7666" hidden="1">
      <c r="A7666" s="7"/>
      <c r="B7666" s="7"/>
      <c r="C7666" s="7"/>
      <c r="D7666" s="7"/>
      <c r="E7666" s="7"/>
      <c r="F7666" s="7"/>
      <c r="G7666" s="7"/>
      <c r="H7666" s="8"/>
      <c r="I7666" s="8"/>
      <c r="J7666" s="7"/>
      <c r="K7666" s="7"/>
      <c r="L7666" s="7"/>
      <c r="M7666" s="7"/>
      <c r="N7666" s="7"/>
      <c r="O7666" s="7"/>
      <c r="P7666" s="7"/>
      <c r="Q7666" s="7"/>
      <c r="R7666" s="7"/>
      <c r="S7666" s="7"/>
      <c r="T7666" s="7"/>
      <c r="U7666" s="7"/>
      <c r="V7666" s="7"/>
      <c r="W7666" s="7"/>
      <c r="X7666" s="7"/>
      <c r="Y7666" s="7"/>
      <c r="Z7666" s="7"/>
    </row>
    <row r="7667" hidden="1">
      <c r="A7667" s="7"/>
      <c r="B7667" s="7"/>
      <c r="C7667" s="7"/>
      <c r="D7667" s="7"/>
      <c r="E7667" s="7"/>
      <c r="F7667" s="7"/>
      <c r="G7667" s="7"/>
      <c r="H7667" s="8"/>
      <c r="I7667" s="8"/>
      <c r="J7667" s="7"/>
      <c r="K7667" s="7"/>
      <c r="L7667" s="7"/>
      <c r="M7667" s="7"/>
      <c r="N7667" s="7"/>
      <c r="O7667" s="7"/>
      <c r="P7667" s="7"/>
      <c r="Q7667" s="7"/>
      <c r="R7667" s="7"/>
      <c r="S7667" s="7"/>
      <c r="T7667" s="7"/>
      <c r="U7667" s="7"/>
      <c r="V7667" s="7"/>
      <c r="W7667" s="7"/>
      <c r="X7667" s="7"/>
      <c r="Y7667" s="7"/>
      <c r="Z7667" s="7"/>
    </row>
    <row r="7668" hidden="1">
      <c r="A7668" s="7"/>
      <c r="B7668" s="7"/>
      <c r="C7668" s="7"/>
      <c r="D7668" s="7"/>
      <c r="E7668" s="7"/>
      <c r="F7668" s="7"/>
      <c r="G7668" s="7"/>
      <c r="H7668" s="8"/>
      <c r="I7668" s="8"/>
      <c r="J7668" s="7"/>
      <c r="K7668" s="7"/>
      <c r="L7668" s="7"/>
      <c r="M7668" s="7"/>
      <c r="N7668" s="7"/>
      <c r="O7668" s="7"/>
      <c r="P7668" s="7"/>
      <c r="Q7668" s="7"/>
      <c r="R7668" s="7"/>
      <c r="S7668" s="7"/>
      <c r="T7668" s="7"/>
      <c r="U7668" s="7"/>
      <c r="V7668" s="7"/>
      <c r="W7668" s="7"/>
      <c r="X7668" s="7"/>
      <c r="Y7668" s="7"/>
      <c r="Z7668" s="7"/>
    </row>
    <row r="7669" hidden="1">
      <c r="A7669" s="7"/>
      <c r="B7669" s="7"/>
      <c r="C7669" s="7"/>
      <c r="D7669" s="7"/>
      <c r="E7669" s="7"/>
      <c r="F7669" s="7"/>
      <c r="G7669" s="7"/>
      <c r="H7669" s="8"/>
      <c r="I7669" s="8"/>
      <c r="J7669" s="7"/>
      <c r="K7669" s="7"/>
      <c r="L7669" s="7"/>
      <c r="M7669" s="7"/>
      <c r="N7669" s="7"/>
      <c r="O7669" s="7"/>
      <c r="P7669" s="7"/>
      <c r="Q7669" s="7"/>
      <c r="R7669" s="7"/>
      <c r="S7669" s="7"/>
      <c r="T7669" s="7"/>
      <c r="U7669" s="7"/>
      <c r="V7669" s="7"/>
      <c r="W7669" s="7"/>
      <c r="X7669" s="7"/>
      <c r="Y7669" s="7"/>
      <c r="Z7669" s="7"/>
    </row>
    <row r="7670" hidden="1">
      <c r="A7670" s="7"/>
      <c r="B7670" s="7"/>
      <c r="C7670" s="7"/>
      <c r="D7670" s="7"/>
      <c r="E7670" s="7"/>
      <c r="F7670" s="7"/>
      <c r="G7670" s="7"/>
      <c r="H7670" s="8"/>
      <c r="I7670" s="8"/>
      <c r="J7670" s="7"/>
      <c r="K7670" s="7"/>
      <c r="L7670" s="7"/>
      <c r="M7670" s="7"/>
      <c r="N7670" s="7"/>
      <c r="O7670" s="7"/>
      <c r="P7670" s="7"/>
      <c r="Q7670" s="7"/>
      <c r="R7670" s="7"/>
      <c r="S7670" s="7"/>
      <c r="T7670" s="7"/>
      <c r="U7670" s="7"/>
      <c r="V7670" s="7"/>
      <c r="W7670" s="7"/>
      <c r="X7670" s="7"/>
      <c r="Y7670" s="7"/>
      <c r="Z7670" s="7"/>
    </row>
    <row r="7671" hidden="1">
      <c r="A7671" s="7"/>
      <c r="B7671" s="7"/>
      <c r="C7671" s="7"/>
      <c r="D7671" s="7"/>
      <c r="E7671" s="7"/>
      <c r="F7671" s="7"/>
      <c r="G7671" s="7"/>
      <c r="H7671" s="8"/>
      <c r="I7671" s="8"/>
      <c r="J7671" s="7"/>
      <c r="K7671" s="7"/>
      <c r="L7671" s="7"/>
      <c r="M7671" s="7"/>
      <c r="N7671" s="7"/>
      <c r="O7671" s="7"/>
      <c r="P7671" s="7"/>
      <c r="Q7671" s="7"/>
      <c r="R7671" s="7"/>
      <c r="S7671" s="7"/>
      <c r="T7671" s="7"/>
      <c r="U7671" s="7"/>
      <c r="V7671" s="7"/>
      <c r="W7671" s="7"/>
      <c r="X7671" s="7"/>
      <c r="Y7671" s="7"/>
      <c r="Z7671" s="7"/>
    </row>
    <row r="7672" hidden="1">
      <c r="A7672" s="7"/>
      <c r="B7672" s="7"/>
      <c r="C7672" s="7"/>
      <c r="D7672" s="7"/>
      <c r="E7672" s="7"/>
      <c r="F7672" s="7"/>
      <c r="G7672" s="7"/>
      <c r="H7672" s="8"/>
      <c r="I7672" s="8"/>
      <c r="J7672" s="7"/>
      <c r="K7672" s="7"/>
      <c r="L7672" s="7"/>
      <c r="M7672" s="7"/>
      <c r="N7672" s="7"/>
      <c r="O7672" s="7"/>
      <c r="P7672" s="7"/>
      <c r="Q7672" s="7"/>
      <c r="R7672" s="7"/>
      <c r="S7672" s="7"/>
      <c r="T7672" s="7"/>
      <c r="U7672" s="7"/>
      <c r="V7672" s="7"/>
      <c r="W7672" s="7"/>
      <c r="X7672" s="7"/>
      <c r="Y7672" s="7"/>
      <c r="Z7672" s="7"/>
    </row>
    <row r="7673" hidden="1">
      <c r="A7673" s="7"/>
      <c r="B7673" s="7"/>
      <c r="C7673" s="7"/>
      <c r="D7673" s="7"/>
      <c r="E7673" s="7"/>
      <c r="F7673" s="7"/>
      <c r="G7673" s="7"/>
      <c r="H7673" s="8"/>
      <c r="I7673" s="8"/>
      <c r="J7673" s="7"/>
      <c r="K7673" s="7"/>
      <c r="L7673" s="7"/>
      <c r="M7673" s="7"/>
      <c r="N7673" s="7"/>
      <c r="O7673" s="7"/>
      <c r="P7673" s="7"/>
      <c r="Q7673" s="7"/>
      <c r="R7673" s="7"/>
      <c r="S7673" s="7"/>
      <c r="T7673" s="7"/>
      <c r="U7673" s="7"/>
      <c r="V7673" s="7"/>
      <c r="W7673" s="7"/>
      <c r="X7673" s="7"/>
      <c r="Y7673" s="7"/>
      <c r="Z7673" s="7"/>
    </row>
    <row r="7674" hidden="1">
      <c r="A7674" s="7"/>
      <c r="B7674" s="7"/>
      <c r="C7674" s="7"/>
      <c r="D7674" s="7"/>
      <c r="E7674" s="7"/>
      <c r="F7674" s="7"/>
      <c r="G7674" s="7"/>
      <c r="H7674" s="8"/>
      <c r="I7674" s="8"/>
      <c r="J7674" s="7"/>
      <c r="K7674" s="7"/>
      <c r="L7674" s="7"/>
      <c r="M7674" s="7"/>
      <c r="N7674" s="7"/>
      <c r="O7674" s="7"/>
      <c r="P7674" s="7"/>
      <c r="Q7674" s="7"/>
      <c r="R7674" s="7"/>
      <c r="S7674" s="7"/>
      <c r="T7674" s="7"/>
      <c r="U7674" s="7"/>
      <c r="V7674" s="7"/>
      <c r="W7674" s="7"/>
      <c r="X7674" s="7"/>
      <c r="Y7674" s="7"/>
      <c r="Z7674" s="7"/>
    </row>
    <row r="7675" hidden="1">
      <c r="A7675" s="7"/>
      <c r="B7675" s="7"/>
      <c r="C7675" s="7"/>
      <c r="D7675" s="7"/>
      <c r="E7675" s="7"/>
      <c r="F7675" s="7"/>
      <c r="G7675" s="7"/>
      <c r="H7675" s="8"/>
      <c r="I7675" s="8"/>
      <c r="J7675" s="7"/>
      <c r="K7675" s="7"/>
      <c r="L7675" s="7"/>
      <c r="M7675" s="7"/>
      <c r="N7675" s="7"/>
      <c r="O7675" s="7"/>
      <c r="P7675" s="7"/>
      <c r="Q7675" s="7"/>
      <c r="R7675" s="7"/>
      <c r="S7675" s="7"/>
      <c r="T7675" s="7"/>
      <c r="U7675" s="7"/>
      <c r="V7675" s="7"/>
      <c r="W7675" s="7"/>
      <c r="X7675" s="7"/>
      <c r="Y7675" s="7"/>
      <c r="Z7675" s="7"/>
    </row>
    <row r="7676" hidden="1">
      <c r="A7676" s="7"/>
      <c r="B7676" s="7"/>
      <c r="C7676" s="7"/>
      <c r="D7676" s="7"/>
      <c r="E7676" s="7"/>
      <c r="F7676" s="7"/>
      <c r="G7676" s="7"/>
      <c r="H7676" s="8"/>
      <c r="I7676" s="8"/>
      <c r="J7676" s="7"/>
      <c r="K7676" s="7"/>
      <c r="L7676" s="7"/>
      <c r="M7676" s="7"/>
      <c r="N7676" s="7"/>
      <c r="O7676" s="7"/>
      <c r="P7676" s="7"/>
      <c r="Q7676" s="7"/>
      <c r="R7676" s="7"/>
      <c r="S7676" s="7"/>
      <c r="T7676" s="7"/>
      <c r="U7676" s="7"/>
      <c r="V7676" s="7"/>
      <c r="W7676" s="7"/>
      <c r="X7676" s="7"/>
      <c r="Y7676" s="7"/>
      <c r="Z7676" s="7"/>
    </row>
    <row r="7677" hidden="1">
      <c r="A7677" s="7"/>
      <c r="B7677" s="7"/>
      <c r="C7677" s="7"/>
      <c r="D7677" s="7"/>
      <c r="E7677" s="7"/>
      <c r="F7677" s="7"/>
      <c r="G7677" s="7"/>
      <c r="H7677" s="8"/>
      <c r="I7677" s="8"/>
      <c r="J7677" s="7"/>
      <c r="K7677" s="7"/>
      <c r="L7677" s="7"/>
      <c r="M7677" s="7"/>
      <c r="N7677" s="7"/>
      <c r="O7677" s="7"/>
      <c r="P7677" s="7"/>
      <c r="Q7677" s="7"/>
      <c r="R7677" s="7"/>
      <c r="S7677" s="7"/>
      <c r="T7677" s="7"/>
      <c r="U7677" s="7"/>
      <c r="V7677" s="7"/>
      <c r="W7677" s="7"/>
      <c r="X7677" s="7"/>
      <c r="Y7677" s="7"/>
      <c r="Z7677" s="7"/>
    </row>
    <row r="7678" hidden="1">
      <c r="A7678" s="7"/>
      <c r="B7678" s="7"/>
      <c r="C7678" s="7"/>
      <c r="D7678" s="7"/>
      <c r="E7678" s="7"/>
      <c r="F7678" s="7"/>
      <c r="G7678" s="7"/>
      <c r="H7678" s="8"/>
      <c r="I7678" s="8"/>
      <c r="J7678" s="7"/>
      <c r="K7678" s="7"/>
      <c r="L7678" s="7"/>
      <c r="M7678" s="7"/>
      <c r="N7678" s="7"/>
      <c r="O7678" s="7"/>
      <c r="P7678" s="7"/>
      <c r="Q7678" s="7"/>
      <c r="R7678" s="7"/>
      <c r="S7678" s="7"/>
      <c r="T7678" s="7"/>
      <c r="U7678" s="7"/>
      <c r="V7678" s="7"/>
      <c r="W7678" s="7"/>
      <c r="X7678" s="7"/>
      <c r="Y7678" s="7"/>
      <c r="Z7678" s="7"/>
    </row>
    <row r="7679" hidden="1">
      <c r="A7679" s="7"/>
      <c r="B7679" s="7"/>
      <c r="C7679" s="7"/>
      <c r="D7679" s="7"/>
      <c r="E7679" s="7"/>
      <c r="F7679" s="7"/>
      <c r="G7679" s="7"/>
      <c r="H7679" s="8"/>
      <c r="I7679" s="8"/>
      <c r="J7679" s="7"/>
      <c r="K7679" s="7"/>
      <c r="L7679" s="7"/>
      <c r="M7679" s="7"/>
      <c r="N7679" s="7"/>
      <c r="O7679" s="7"/>
      <c r="P7679" s="7"/>
      <c r="Q7679" s="7"/>
      <c r="R7679" s="7"/>
      <c r="S7679" s="7"/>
      <c r="T7679" s="7"/>
      <c r="U7679" s="7"/>
      <c r="V7679" s="7"/>
      <c r="W7679" s="7"/>
      <c r="X7679" s="7"/>
      <c r="Y7679" s="7"/>
      <c r="Z7679" s="7"/>
    </row>
    <row r="7680" hidden="1">
      <c r="A7680" s="7"/>
      <c r="B7680" s="7"/>
      <c r="C7680" s="7"/>
      <c r="D7680" s="7"/>
      <c r="E7680" s="7"/>
      <c r="F7680" s="7"/>
      <c r="G7680" s="7"/>
      <c r="H7680" s="8"/>
      <c r="I7680" s="8"/>
      <c r="J7680" s="7"/>
      <c r="K7680" s="7"/>
      <c r="L7680" s="7"/>
      <c r="M7680" s="7"/>
      <c r="N7680" s="7"/>
      <c r="O7680" s="7"/>
      <c r="P7680" s="7"/>
      <c r="Q7680" s="7"/>
      <c r="R7680" s="7"/>
      <c r="S7680" s="7"/>
      <c r="T7680" s="7"/>
      <c r="U7680" s="7"/>
      <c r="V7680" s="7"/>
      <c r="W7680" s="7"/>
      <c r="X7680" s="7"/>
      <c r="Y7680" s="7"/>
      <c r="Z7680" s="7"/>
    </row>
    <row r="7681" hidden="1">
      <c r="A7681" s="7"/>
      <c r="B7681" s="7"/>
      <c r="C7681" s="7"/>
      <c r="D7681" s="7"/>
      <c r="E7681" s="7"/>
      <c r="F7681" s="7"/>
      <c r="G7681" s="7"/>
      <c r="H7681" s="8"/>
      <c r="I7681" s="8"/>
      <c r="J7681" s="7"/>
      <c r="K7681" s="7"/>
      <c r="L7681" s="7"/>
      <c r="M7681" s="7"/>
      <c r="N7681" s="7"/>
      <c r="O7681" s="7"/>
      <c r="P7681" s="7"/>
      <c r="Q7681" s="7"/>
      <c r="R7681" s="7"/>
      <c r="S7681" s="7"/>
      <c r="T7681" s="7"/>
      <c r="U7681" s="7"/>
      <c r="V7681" s="7"/>
      <c r="W7681" s="7"/>
      <c r="X7681" s="7"/>
      <c r="Y7681" s="7"/>
      <c r="Z7681" s="7"/>
    </row>
    <row r="7682" hidden="1">
      <c r="A7682" s="7"/>
      <c r="B7682" s="7"/>
      <c r="C7682" s="7"/>
      <c r="D7682" s="7"/>
      <c r="E7682" s="7"/>
      <c r="F7682" s="7"/>
      <c r="G7682" s="7"/>
      <c r="H7682" s="8"/>
      <c r="I7682" s="8"/>
      <c r="J7682" s="7"/>
      <c r="K7682" s="7"/>
      <c r="L7682" s="7"/>
      <c r="M7682" s="7"/>
      <c r="N7682" s="7"/>
      <c r="O7682" s="7"/>
      <c r="P7682" s="7"/>
      <c r="Q7682" s="7"/>
      <c r="R7682" s="7"/>
      <c r="S7682" s="7"/>
      <c r="T7682" s="7"/>
      <c r="U7682" s="7"/>
      <c r="V7682" s="7"/>
      <c r="W7682" s="7"/>
      <c r="X7682" s="7"/>
      <c r="Y7682" s="7"/>
      <c r="Z7682" s="7"/>
    </row>
    <row r="7683" hidden="1">
      <c r="A7683" s="7"/>
      <c r="B7683" s="7"/>
      <c r="C7683" s="7"/>
      <c r="D7683" s="7"/>
      <c r="E7683" s="7"/>
      <c r="F7683" s="7"/>
      <c r="G7683" s="7"/>
      <c r="H7683" s="8"/>
      <c r="I7683" s="8"/>
      <c r="J7683" s="7"/>
      <c r="K7683" s="7"/>
      <c r="L7683" s="7"/>
      <c r="M7683" s="7"/>
      <c r="N7683" s="7"/>
      <c r="O7683" s="7"/>
      <c r="P7683" s="7"/>
      <c r="Q7683" s="7"/>
      <c r="R7683" s="7"/>
      <c r="S7683" s="7"/>
      <c r="T7683" s="7"/>
      <c r="U7683" s="7"/>
      <c r="V7683" s="7"/>
      <c r="W7683" s="7"/>
      <c r="X7683" s="7"/>
      <c r="Y7683" s="7"/>
      <c r="Z7683" s="7"/>
    </row>
    <row r="7684" hidden="1">
      <c r="A7684" s="7"/>
      <c r="B7684" s="7"/>
      <c r="C7684" s="7"/>
      <c r="D7684" s="7"/>
      <c r="E7684" s="7"/>
      <c r="F7684" s="7"/>
      <c r="G7684" s="7"/>
      <c r="H7684" s="8"/>
      <c r="I7684" s="8"/>
      <c r="J7684" s="7"/>
      <c r="K7684" s="7"/>
      <c r="L7684" s="7"/>
      <c r="M7684" s="7"/>
      <c r="N7684" s="7"/>
      <c r="O7684" s="7"/>
      <c r="P7684" s="7"/>
      <c r="Q7684" s="7"/>
      <c r="R7684" s="7"/>
      <c r="S7684" s="7"/>
      <c r="T7684" s="7"/>
      <c r="U7684" s="7"/>
      <c r="V7684" s="7"/>
      <c r="W7684" s="7"/>
      <c r="X7684" s="7"/>
      <c r="Y7684" s="7"/>
      <c r="Z7684" s="7"/>
    </row>
    <row r="7685" hidden="1">
      <c r="A7685" s="7"/>
      <c r="B7685" s="7"/>
      <c r="C7685" s="7"/>
      <c r="D7685" s="7"/>
      <c r="E7685" s="7"/>
      <c r="F7685" s="7"/>
      <c r="G7685" s="7"/>
      <c r="H7685" s="8"/>
      <c r="I7685" s="8"/>
      <c r="J7685" s="7"/>
      <c r="K7685" s="7"/>
      <c r="L7685" s="7"/>
      <c r="M7685" s="7"/>
      <c r="N7685" s="7"/>
      <c r="O7685" s="7"/>
      <c r="P7685" s="7"/>
      <c r="Q7685" s="7"/>
      <c r="R7685" s="7"/>
      <c r="S7685" s="7"/>
      <c r="T7685" s="7"/>
      <c r="U7685" s="7"/>
      <c r="V7685" s="7"/>
      <c r="W7685" s="7"/>
      <c r="X7685" s="7"/>
      <c r="Y7685" s="7"/>
      <c r="Z7685" s="7"/>
    </row>
    <row r="7686" hidden="1">
      <c r="A7686" s="7"/>
      <c r="B7686" s="7"/>
      <c r="C7686" s="7"/>
      <c r="D7686" s="7"/>
      <c r="E7686" s="7"/>
      <c r="F7686" s="7"/>
      <c r="G7686" s="7"/>
      <c r="H7686" s="8"/>
      <c r="I7686" s="8"/>
      <c r="J7686" s="7"/>
      <c r="K7686" s="7"/>
      <c r="L7686" s="7"/>
      <c r="M7686" s="7"/>
      <c r="N7686" s="7"/>
      <c r="O7686" s="7"/>
      <c r="P7686" s="7"/>
      <c r="Q7686" s="7"/>
      <c r="R7686" s="7"/>
      <c r="S7686" s="7"/>
      <c r="T7686" s="7"/>
      <c r="U7686" s="7"/>
      <c r="V7686" s="7"/>
      <c r="W7686" s="7"/>
      <c r="X7686" s="7"/>
      <c r="Y7686" s="7"/>
      <c r="Z7686" s="7"/>
    </row>
    <row r="7687" hidden="1">
      <c r="A7687" s="7"/>
      <c r="B7687" s="7"/>
      <c r="C7687" s="7"/>
      <c r="D7687" s="7"/>
      <c r="E7687" s="7"/>
      <c r="F7687" s="7"/>
      <c r="G7687" s="7"/>
      <c r="H7687" s="8"/>
      <c r="I7687" s="8"/>
      <c r="J7687" s="7"/>
      <c r="K7687" s="7"/>
      <c r="L7687" s="7"/>
      <c r="M7687" s="7"/>
      <c r="N7687" s="7"/>
      <c r="O7687" s="7"/>
      <c r="P7687" s="7"/>
      <c r="Q7687" s="7"/>
      <c r="R7687" s="7"/>
      <c r="S7687" s="7"/>
      <c r="T7687" s="7"/>
      <c r="U7687" s="7"/>
      <c r="V7687" s="7"/>
      <c r="W7687" s="7"/>
      <c r="X7687" s="7"/>
      <c r="Y7687" s="7"/>
      <c r="Z7687" s="7"/>
    </row>
    <row r="7688" hidden="1">
      <c r="A7688" s="7"/>
      <c r="B7688" s="7"/>
      <c r="C7688" s="7"/>
      <c r="D7688" s="7"/>
      <c r="E7688" s="7"/>
      <c r="F7688" s="7"/>
      <c r="G7688" s="7"/>
      <c r="H7688" s="8"/>
      <c r="I7688" s="8"/>
      <c r="J7688" s="7"/>
      <c r="K7688" s="7"/>
      <c r="L7688" s="7"/>
      <c r="M7688" s="7"/>
      <c r="N7688" s="7"/>
      <c r="O7688" s="7"/>
      <c r="P7688" s="7"/>
      <c r="Q7688" s="7"/>
      <c r="R7688" s="7"/>
      <c r="S7688" s="7"/>
      <c r="T7688" s="7"/>
      <c r="U7688" s="7"/>
      <c r="V7688" s="7"/>
      <c r="W7688" s="7"/>
      <c r="X7688" s="7"/>
      <c r="Y7688" s="7"/>
      <c r="Z7688" s="7"/>
    </row>
    <row r="7689" hidden="1">
      <c r="A7689" s="7"/>
      <c r="B7689" s="7"/>
      <c r="C7689" s="7"/>
      <c r="D7689" s="7"/>
      <c r="E7689" s="7"/>
      <c r="F7689" s="7"/>
      <c r="G7689" s="7"/>
      <c r="H7689" s="8"/>
      <c r="I7689" s="8"/>
      <c r="J7689" s="7"/>
      <c r="K7689" s="7"/>
      <c r="L7689" s="7"/>
      <c r="M7689" s="7"/>
      <c r="N7689" s="7"/>
      <c r="O7689" s="7"/>
      <c r="P7689" s="7"/>
      <c r="Q7689" s="7"/>
      <c r="R7689" s="7"/>
      <c r="S7689" s="7"/>
      <c r="T7689" s="7"/>
      <c r="U7689" s="7"/>
      <c r="V7689" s="7"/>
      <c r="W7689" s="7"/>
      <c r="X7689" s="7"/>
      <c r="Y7689" s="7"/>
      <c r="Z7689" s="7"/>
    </row>
    <row r="7690" hidden="1">
      <c r="A7690" s="7"/>
      <c r="B7690" s="7"/>
      <c r="C7690" s="7"/>
      <c r="D7690" s="7"/>
      <c r="E7690" s="7"/>
      <c r="F7690" s="7"/>
      <c r="G7690" s="7"/>
      <c r="H7690" s="8"/>
      <c r="I7690" s="8"/>
      <c r="J7690" s="7"/>
      <c r="K7690" s="7"/>
      <c r="L7690" s="7"/>
      <c r="M7690" s="7"/>
      <c r="N7690" s="7"/>
      <c r="O7690" s="7"/>
      <c r="P7690" s="7"/>
      <c r="Q7690" s="7"/>
      <c r="R7690" s="7"/>
      <c r="S7690" s="7"/>
      <c r="T7690" s="7"/>
      <c r="U7690" s="7"/>
      <c r="V7690" s="7"/>
      <c r="W7690" s="7"/>
      <c r="X7690" s="7"/>
      <c r="Y7690" s="7"/>
      <c r="Z7690" s="7"/>
    </row>
    <row r="7691" hidden="1">
      <c r="A7691" s="7"/>
      <c r="B7691" s="7"/>
      <c r="C7691" s="7"/>
      <c r="D7691" s="7"/>
      <c r="E7691" s="7"/>
      <c r="F7691" s="7"/>
      <c r="G7691" s="7"/>
      <c r="H7691" s="8"/>
      <c r="I7691" s="8"/>
      <c r="J7691" s="7"/>
      <c r="K7691" s="7"/>
      <c r="L7691" s="7"/>
      <c r="M7691" s="7"/>
      <c r="N7691" s="7"/>
      <c r="O7691" s="7"/>
      <c r="P7691" s="7"/>
      <c r="Q7691" s="7"/>
      <c r="R7691" s="7"/>
      <c r="S7691" s="7"/>
      <c r="T7691" s="7"/>
      <c r="U7691" s="7"/>
      <c r="V7691" s="7"/>
      <c r="W7691" s="7"/>
      <c r="X7691" s="7"/>
      <c r="Y7691" s="7"/>
      <c r="Z7691" s="7"/>
    </row>
    <row r="7692" hidden="1">
      <c r="A7692" s="7"/>
      <c r="B7692" s="7"/>
      <c r="C7692" s="7"/>
      <c r="D7692" s="7"/>
      <c r="E7692" s="7"/>
      <c r="F7692" s="7"/>
      <c r="G7692" s="7"/>
      <c r="H7692" s="8"/>
      <c r="I7692" s="8"/>
      <c r="J7692" s="7"/>
      <c r="K7692" s="7"/>
      <c r="L7692" s="7"/>
      <c r="M7692" s="7"/>
      <c r="N7692" s="7"/>
      <c r="O7692" s="7"/>
      <c r="P7692" s="7"/>
      <c r="Q7692" s="7"/>
      <c r="R7692" s="7"/>
      <c r="S7692" s="7"/>
      <c r="T7692" s="7"/>
      <c r="U7692" s="7"/>
      <c r="V7692" s="7"/>
      <c r="W7692" s="7"/>
      <c r="X7692" s="7"/>
      <c r="Y7692" s="7"/>
      <c r="Z7692" s="7"/>
    </row>
    <row r="7693" hidden="1">
      <c r="A7693" s="7"/>
      <c r="B7693" s="7"/>
      <c r="C7693" s="7"/>
      <c r="D7693" s="7"/>
      <c r="E7693" s="7"/>
      <c r="F7693" s="7"/>
      <c r="G7693" s="7"/>
      <c r="H7693" s="8"/>
      <c r="I7693" s="8"/>
      <c r="J7693" s="7"/>
      <c r="K7693" s="7"/>
      <c r="L7693" s="7"/>
      <c r="M7693" s="7"/>
      <c r="N7693" s="7"/>
      <c r="O7693" s="7"/>
      <c r="P7693" s="7"/>
      <c r="Q7693" s="7"/>
      <c r="R7693" s="7"/>
      <c r="S7693" s="7"/>
      <c r="T7693" s="7"/>
      <c r="U7693" s="7"/>
      <c r="V7693" s="7"/>
      <c r="W7693" s="7"/>
      <c r="X7693" s="7"/>
      <c r="Y7693" s="7"/>
      <c r="Z7693" s="7"/>
    </row>
    <row r="7694" hidden="1">
      <c r="A7694" s="7"/>
      <c r="B7694" s="7"/>
      <c r="C7694" s="7"/>
      <c r="D7694" s="7"/>
      <c r="E7694" s="7"/>
      <c r="F7694" s="7"/>
      <c r="G7694" s="7"/>
      <c r="H7694" s="8"/>
      <c r="I7694" s="8"/>
      <c r="J7694" s="7"/>
      <c r="K7694" s="7"/>
      <c r="L7694" s="7"/>
      <c r="M7694" s="7"/>
      <c r="N7694" s="7"/>
      <c r="O7694" s="7"/>
      <c r="P7694" s="7"/>
      <c r="Q7694" s="7"/>
      <c r="R7694" s="7"/>
      <c r="S7694" s="7"/>
      <c r="T7694" s="7"/>
      <c r="U7694" s="7"/>
      <c r="V7694" s="7"/>
      <c r="W7694" s="7"/>
      <c r="X7694" s="7"/>
      <c r="Y7694" s="7"/>
      <c r="Z7694" s="7"/>
    </row>
    <row r="7695" hidden="1">
      <c r="A7695" s="7"/>
      <c r="B7695" s="7"/>
      <c r="C7695" s="7"/>
      <c r="D7695" s="7"/>
      <c r="E7695" s="7"/>
      <c r="F7695" s="7"/>
      <c r="G7695" s="7"/>
      <c r="H7695" s="8"/>
      <c r="I7695" s="8"/>
      <c r="J7695" s="7"/>
      <c r="K7695" s="7"/>
      <c r="L7695" s="7"/>
      <c r="M7695" s="7"/>
      <c r="N7695" s="7"/>
      <c r="O7695" s="7"/>
      <c r="P7695" s="7"/>
      <c r="Q7695" s="7"/>
      <c r="R7695" s="7"/>
      <c r="S7695" s="7"/>
      <c r="T7695" s="7"/>
      <c r="U7695" s="7"/>
      <c r="V7695" s="7"/>
      <c r="W7695" s="7"/>
      <c r="X7695" s="7"/>
      <c r="Y7695" s="7"/>
      <c r="Z7695" s="7"/>
    </row>
    <row r="7696" hidden="1">
      <c r="A7696" s="7"/>
      <c r="B7696" s="7"/>
      <c r="C7696" s="7"/>
      <c r="D7696" s="7"/>
      <c r="E7696" s="7"/>
      <c r="F7696" s="7"/>
      <c r="G7696" s="7"/>
      <c r="H7696" s="8"/>
      <c r="I7696" s="8"/>
      <c r="J7696" s="7"/>
      <c r="K7696" s="7"/>
      <c r="L7696" s="7"/>
      <c r="M7696" s="7"/>
      <c r="N7696" s="7"/>
      <c r="O7696" s="7"/>
      <c r="P7696" s="7"/>
      <c r="Q7696" s="7"/>
      <c r="R7696" s="7"/>
      <c r="S7696" s="7"/>
      <c r="T7696" s="7"/>
      <c r="U7696" s="7"/>
      <c r="V7696" s="7"/>
      <c r="W7696" s="7"/>
      <c r="X7696" s="7"/>
      <c r="Y7696" s="7"/>
      <c r="Z7696" s="7"/>
    </row>
    <row r="7697" hidden="1">
      <c r="A7697" s="7"/>
      <c r="B7697" s="7"/>
      <c r="C7697" s="7"/>
      <c r="D7697" s="7"/>
      <c r="E7697" s="7"/>
      <c r="F7697" s="7"/>
      <c r="G7697" s="7"/>
      <c r="H7697" s="8"/>
      <c r="I7697" s="8"/>
      <c r="J7697" s="7"/>
      <c r="K7697" s="7"/>
      <c r="L7697" s="7"/>
      <c r="M7697" s="7"/>
      <c r="N7697" s="7"/>
      <c r="O7697" s="7"/>
      <c r="P7697" s="7"/>
      <c r="Q7697" s="7"/>
      <c r="R7697" s="7"/>
      <c r="S7697" s="7"/>
      <c r="T7697" s="7"/>
      <c r="U7697" s="7"/>
      <c r="V7697" s="7"/>
      <c r="W7697" s="7"/>
      <c r="X7697" s="7"/>
      <c r="Y7697" s="7"/>
      <c r="Z7697" s="7"/>
    </row>
    <row r="7698" hidden="1">
      <c r="A7698" s="7"/>
      <c r="B7698" s="7"/>
      <c r="C7698" s="7"/>
      <c r="D7698" s="7"/>
      <c r="E7698" s="7"/>
      <c r="F7698" s="7"/>
      <c r="G7698" s="7"/>
      <c r="H7698" s="8"/>
      <c r="I7698" s="8"/>
      <c r="J7698" s="7"/>
      <c r="K7698" s="7"/>
      <c r="L7698" s="7"/>
      <c r="M7698" s="7"/>
      <c r="N7698" s="7"/>
      <c r="O7698" s="7"/>
      <c r="P7698" s="7"/>
      <c r="Q7698" s="7"/>
      <c r="R7698" s="7"/>
      <c r="S7698" s="7"/>
      <c r="T7698" s="7"/>
      <c r="U7698" s="7"/>
      <c r="V7698" s="7"/>
      <c r="W7698" s="7"/>
      <c r="X7698" s="7"/>
      <c r="Y7698" s="7"/>
      <c r="Z7698" s="7"/>
    </row>
    <row r="7699" hidden="1">
      <c r="A7699" s="7"/>
      <c r="B7699" s="7"/>
      <c r="C7699" s="7"/>
      <c r="D7699" s="7"/>
      <c r="E7699" s="7"/>
      <c r="F7699" s="7"/>
      <c r="G7699" s="7"/>
      <c r="H7699" s="8"/>
      <c r="I7699" s="8"/>
      <c r="J7699" s="7"/>
      <c r="K7699" s="7"/>
      <c r="L7699" s="7"/>
      <c r="M7699" s="7"/>
      <c r="N7699" s="7"/>
      <c r="O7699" s="7"/>
      <c r="P7699" s="7"/>
      <c r="Q7699" s="7"/>
      <c r="R7699" s="7"/>
      <c r="S7699" s="7"/>
      <c r="T7699" s="7"/>
      <c r="U7699" s="7"/>
      <c r="V7699" s="7"/>
      <c r="W7699" s="7"/>
      <c r="X7699" s="7"/>
      <c r="Y7699" s="7"/>
      <c r="Z7699" s="7"/>
    </row>
    <row r="7700" hidden="1">
      <c r="A7700" s="7"/>
      <c r="B7700" s="7"/>
      <c r="C7700" s="7"/>
      <c r="D7700" s="7"/>
      <c r="E7700" s="7"/>
      <c r="F7700" s="7"/>
      <c r="G7700" s="7"/>
      <c r="H7700" s="8"/>
      <c r="I7700" s="8"/>
      <c r="J7700" s="7"/>
      <c r="K7700" s="7"/>
      <c r="L7700" s="7"/>
      <c r="M7700" s="7"/>
      <c r="N7700" s="7"/>
      <c r="O7700" s="7"/>
      <c r="P7700" s="7"/>
      <c r="Q7700" s="7"/>
      <c r="R7700" s="7"/>
      <c r="S7700" s="7"/>
      <c r="T7700" s="7"/>
      <c r="U7700" s="7"/>
      <c r="V7700" s="7"/>
      <c r="W7700" s="7"/>
      <c r="X7700" s="7"/>
      <c r="Y7700" s="7"/>
      <c r="Z7700" s="7"/>
    </row>
    <row r="7701" hidden="1">
      <c r="A7701" s="7"/>
      <c r="B7701" s="7"/>
      <c r="C7701" s="7"/>
      <c r="D7701" s="7"/>
      <c r="E7701" s="7"/>
      <c r="F7701" s="7"/>
      <c r="G7701" s="7"/>
      <c r="H7701" s="8"/>
      <c r="I7701" s="8"/>
      <c r="J7701" s="7"/>
      <c r="K7701" s="7"/>
      <c r="L7701" s="7"/>
      <c r="M7701" s="7"/>
      <c r="N7701" s="7"/>
      <c r="O7701" s="7"/>
      <c r="P7701" s="7"/>
      <c r="Q7701" s="7"/>
      <c r="R7701" s="7"/>
      <c r="S7701" s="7"/>
      <c r="T7701" s="7"/>
      <c r="U7701" s="7"/>
      <c r="V7701" s="7"/>
      <c r="W7701" s="7"/>
      <c r="X7701" s="7"/>
      <c r="Y7701" s="7"/>
      <c r="Z7701" s="7"/>
    </row>
    <row r="7702" hidden="1">
      <c r="A7702" s="7"/>
      <c r="B7702" s="7"/>
      <c r="C7702" s="7"/>
      <c r="D7702" s="7"/>
      <c r="E7702" s="7"/>
      <c r="F7702" s="7"/>
      <c r="G7702" s="7"/>
      <c r="H7702" s="8"/>
      <c r="I7702" s="8"/>
      <c r="J7702" s="7"/>
      <c r="K7702" s="7"/>
      <c r="L7702" s="7"/>
      <c r="M7702" s="7"/>
      <c r="N7702" s="7"/>
      <c r="O7702" s="7"/>
      <c r="P7702" s="7"/>
      <c r="Q7702" s="7"/>
      <c r="R7702" s="7"/>
      <c r="S7702" s="7"/>
      <c r="T7702" s="7"/>
      <c r="U7702" s="7"/>
      <c r="V7702" s="7"/>
      <c r="W7702" s="7"/>
      <c r="X7702" s="7"/>
      <c r="Y7702" s="7"/>
      <c r="Z7702" s="7"/>
    </row>
    <row r="7703" hidden="1">
      <c r="A7703" s="7"/>
      <c r="B7703" s="7"/>
      <c r="C7703" s="7"/>
      <c r="D7703" s="7"/>
      <c r="E7703" s="7"/>
      <c r="F7703" s="7"/>
      <c r="G7703" s="7"/>
      <c r="H7703" s="8"/>
      <c r="I7703" s="8"/>
      <c r="J7703" s="7"/>
      <c r="K7703" s="7"/>
      <c r="L7703" s="7"/>
      <c r="M7703" s="7"/>
      <c r="N7703" s="7"/>
      <c r="O7703" s="7"/>
      <c r="P7703" s="7"/>
      <c r="Q7703" s="7"/>
      <c r="R7703" s="7"/>
      <c r="S7703" s="7"/>
      <c r="T7703" s="7"/>
      <c r="U7703" s="7"/>
      <c r="V7703" s="7"/>
      <c r="W7703" s="7"/>
      <c r="X7703" s="7"/>
      <c r="Y7703" s="7"/>
      <c r="Z7703" s="7"/>
    </row>
    <row r="7704" hidden="1">
      <c r="A7704" s="7"/>
      <c r="B7704" s="7"/>
      <c r="C7704" s="7"/>
      <c r="D7704" s="7"/>
      <c r="E7704" s="7"/>
      <c r="F7704" s="7"/>
      <c r="G7704" s="7"/>
      <c r="H7704" s="8"/>
      <c r="I7704" s="8"/>
      <c r="J7704" s="7"/>
      <c r="K7704" s="7"/>
      <c r="L7704" s="7"/>
      <c r="M7704" s="7"/>
      <c r="N7704" s="7"/>
      <c r="O7704" s="7"/>
      <c r="P7704" s="7"/>
      <c r="Q7704" s="7"/>
      <c r="R7704" s="7"/>
      <c r="S7704" s="7"/>
      <c r="T7704" s="7"/>
      <c r="U7704" s="7"/>
      <c r="V7704" s="7"/>
      <c r="W7704" s="7"/>
      <c r="X7704" s="7"/>
      <c r="Y7704" s="7"/>
      <c r="Z7704" s="7"/>
    </row>
    <row r="7705" hidden="1">
      <c r="A7705" s="7"/>
      <c r="B7705" s="7"/>
      <c r="C7705" s="7"/>
      <c r="D7705" s="7"/>
      <c r="E7705" s="7"/>
      <c r="F7705" s="7"/>
      <c r="G7705" s="7"/>
      <c r="H7705" s="8"/>
      <c r="I7705" s="8"/>
      <c r="J7705" s="7"/>
      <c r="K7705" s="7"/>
      <c r="L7705" s="7"/>
      <c r="M7705" s="7"/>
      <c r="N7705" s="7"/>
      <c r="O7705" s="7"/>
      <c r="P7705" s="7"/>
      <c r="Q7705" s="7"/>
      <c r="R7705" s="7"/>
      <c r="S7705" s="7"/>
      <c r="T7705" s="7"/>
      <c r="U7705" s="7"/>
      <c r="V7705" s="7"/>
      <c r="W7705" s="7"/>
      <c r="X7705" s="7"/>
      <c r="Y7705" s="7"/>
      <c r="Z7705" s="7"/>
    </row>
    <row r="7706" hidden="1">
      <c r="A7706" s="7"/>
      <c r="B7706" s="7"/>
      <c r="C7706" s="7"/>
      <c r="D7706" s="7"/>
      <c r="E7706" s="7"/>
      <c r="F7706" s="7"/>
      <c r="G7706" s="7"/>
      <c r="H7706" s="8"/>
      <c r="I7706" s="8"/>
      <c r="J7706" s="7"/>
      <c r="K7706" s="7"/>
      <c r="L7706" s="7"/>
      <c r="M7706" s="7"/>
      <c r="N7706" s="7"/>
      <c r="O7706" s="7"/>
      <c r="P7706" s="7"/>
      <c r="Q7706" s="7"/>
      <c r="R7706" s="7"/>
      <c r="S7706" s="7"/>
      <c r="T7706" s="7"/>
      <c r="U7706" s="7"/>
      <c r="V7706" s="7"/>
      <c r="W7706" s="7"/>
      <c r="X7706" s="7"/>
      <c r="Y7706" s="7"/>
      <c r="Z7706" s="7"/>
    </row>
    <row r="7707" hidden="1">
      <c r="A7707" s="7"/>
      <c r="B7707" s="7"/>
      <c r="C7707" s="7"/>
      <c r="D7707" s="7"/>
      <c r="E7707" s="7"/>
      <c r="F7707" s="7"/>
      <c r="G7707" s="7"/>
      <c r="H7707" s="8"/>
      <c r="I7707" s="8"/>
      <c r="J7707" s="7"/>
      <c r="K7707" s="7"/>
      <c r="L7707" s="7"/>
      <c r="M7707" s="7"/>
      <c r="N7707" s="7"/>
      <c r="O7707" s="7"/>
      <c r="P7707" s="7"/>
      <c r="Q7707" s="7"/>
      <c r="R7707" s="7"/>
      <c r="S7707" s="7"/>
      <c r="T7707" s="7"/>
      <c r="U7707" s="7"/>
      <c r="V7707" s="7"/>
      <c r="W7707" s="7"/>
      <c r="X7707" s="7"/>
      <c r="Y7707" s="7"/>
      <c r="Z7707" s="7"/>
    </row>
    <row r="7708" hidden="1">
      <c r="A7708" s="7"/>
      <c r="B7708" s="7"/>
      <c r="C7708" s="7"/>
      <c r="D7708" s="7"/>
      <c r="E7708" s="7"/>
      <c r="F7708" s="7"/>
      <c r="G7708" s="7"/>
      <c r="H7708" s="8"/>
      <c r="I7708" s="8"/>
      <c r="J7708" s="7"/>
      <c r="K7708" s="7"/>
      <c r="L7708" s="7"/>
      <c r="M7708" s="7"/>
      <c r="N7708" s="7"/>
      <c r="O7708" s="7"/>
      <c r="P7708" s="7"/>
      <c r="Q7708" s="7"/>
      <c r="R7708" s="7"/>
      <c r="S7708" s="7"/>
      <c r="T7708" s="7"/>
      <c r="U7708" s="7"/>
      <c r="V7708" s="7"/>
      <c r="W7708" s="7"/>
      <c r="X7708" s="7"/>
      <c r="Y7708" s="7"/>
      <c r="Z7708" s="7"/>
    </row>
    <row r="7709" hidden="1">
      <c r="A7709" s="7"/>
      <c r="B7709" s="7"/>
      <c r="C7709" s="7"/>
      <c r="D7709" s="7"/>
      <c r="E7709" s="7"/>
      <c r="F7709" s="7"/>
      <c r="G7709" s="7"/>
      <c r="H7709" s="8"/>
      <c r="I7709" s="8"/>
      <c r="J7709" s="7"/>
      <c r="K7709" s="7"/>
      <c r="L7709" s="7"/>
      <c r="M7709" s="7"/>
      <c r="N7709" s="7"/>
      <c r="O7709" s="7"/>
      <c r="P7709" s="7"/>
      <c r="Q7709" s="7"/>
      <c r="R7709" s="7"/>
      <c r="S7709" s="7"/>
      <c r="T7709" s="7"/>
      <c r="U7709" s="7"/>
      <c r="V7709" s="7"/>
      <c r="W7709" s="7"/>
      <c r="X7709" s="7"/>
      <c r="Y7709" s="7"/>
      <c r="Z7709" s="7"/>
    </row>
    <row r="7710" hidden="1">
      <c r="A7710" s="7"/>
      <c r="B7710" s="7"/>
      <c r="C7710" s="7"/>
      <c r="D7710" s="7"/>
      <c r="E7710" s="7"/>
      <c r="F7710" s="7"/>
      <c r="G7710" s="7"/>
      <c r="H7710" s="8"/>
      <c r="I7710" s="8"/>
      <c r="J7710" s="7"/>
      <c r="K7710" s="7"/>
      <c r="L7710" s="7"/>
      <c r="M7710" s="7"/>
      <c r="N7710" s="7"/>
      <c r="O7710" s="7"/>
      <c r="P7710" s="7"/>
      <c r="Q7710" s="7"/>
      <c r="R7710" s="7"/>
      <c r="S7710" s="7"/>
      <c r="T7710" s="7"/>
      <c r="U7710" s="7"/>
      <c r="V7710" s="7"/>
      <c r="W7710" s="7"/>
      <c r="X7710" s="7"/>
      <c r="Y7710" s="7"/>
      <c r="Z7710" s="7"/>
    </row>
    <row r="7711" hidden="1">
      <c r="A7711" s="7"/>
      <c r="B7711" s="7"/>
      <c r="C7711" s="7"/>
      <c r="D7711" s="7"/>
      <c r="E7711" s="7"/>
      <c r="F7711" s="7"/>
      <c r="G7711" s="7"/>
      <c r="H7711" s="8"/>
      <c r="I7711" s="8"/>
      <c r="J7711" s="7"/>
      <c r="K7711" s="7"/>
      <c r="L7711" s="7"/>
      <c r="M7711" s="7"/>
      <c r="N7711" s="7"/>
      <c r="O7711" s="7"/>
      <c r="P7711" s="7"/>
      <c r="Q7711" s="7"/>
      <c r="R7711" s="7"/>
      <c r="S7711" s="7"/>
      <c r="T7711" s="7"/>
      <c r="U7711" s="7"/>
      <c r="V7711" s="7"/>
      <c r="W7711" s="7"/>
      <c r="X7711" s="7"/>
      <c r="Y7711" s="7"/>
      <c r="Z7711" s="7"/>
    </row>
    <row r="7712" hidden="1">
      <c r="A7712" s="7"/>
      <c r="B7712" s="7"/>
      <c r="C7712" s="7"/>
      <c r="D7712" s="7"/>
      <c r="E7712" s="7"/>
      <c r="F7712" s="7"/>
      <c r="G7712" s="7"/>
      <c r="H7712" s="8"/>
      <c r="I7712" s="8"/>
      <c r="J7712" s="7"/>
      <c r="K7712" s="7"/>
      <c r="L7712" s="7"/>
      <c r="M7712" s="7"/>
      <c r="N7712" s="7"/>
      <c r="O7712" s="7"/>
      <c r="P7712" s="7"/>
      <c r="Q7712" s="7"/>
      <c r="R7712" s="7"/>
      <c r="S7712" s="7"/>
      <c r="T7712" s="7"/>
      <c r="U7712" s="7"/>
      <c r="V7712" s="7"/>
      <c r="W7712" s="7"/>
      <c r="X7712" s="7"/>
      <c r="Y7712" s="7"/>
      <c r="Z7712" s="7"/>
    </row>
    <row r="7713" hidden="1">
      <c r="A7713" s="7"/>
      <c r="B7713" s="7"/>
      <c r="C7713" s="7"/>
      <c r="D7713" s="7"/>
      <c r="E7713" s="7"/>
      <c r="F7713" s="7"/>
      <c r="G7713" s="7"/>
      <c r="H7713" s="8"/>
      <c r="I7713" s="8"/>
      <c r="J7713" s="7"/>
      <c r="K7713" s="7"/>
      <c r="L7713" s="7"/>
      <c r="M7713" s="7"/>
      <c r="N7713" s="7"/>
      <c r="O7713" s="7"/>
      <c r="P7713" s="7"/>
      <c r="Q7713" s="7"/>
      <c r="R7713" s="7"/>
      <c r="S7713" s="7"/>
      <c r="T7713" s="7"/>
      <c r="U7713" s="7"/>
      <c r="V7713" s="7"/>
      <c r="W7713" s="7"/>
      <c r="X7713" s="7"/>
      <c r="Y7713" s="7"/>
      <c r="Z7713" s="7"/>
    </row>
    <row r="7714" hidden="1">
      <c r="A7714" s="7"/>
      <c r="B7714" s="7"/>
      <c r="C7714" s="7"/>
      <c r="D7714" s="7"/>
      <c r="E7714" s="7"/>
      <c r="F7714" s="7"/>
      <c r="G7714" s="7"/>
      <c r="H7714" s="8"/>
      <c r="I7714" s="8"/>
      <c r="J7714" s="7"/>
      <c r="K7714" s="7"/>
      <c r="L7714" s="7"/>
      <c r="M7714" s="7"/>
      <c r="N7714" s="7"/>
      <c r="O7714" s="7"/>
      <c r="P7714" s="7"/>
      <c r="Q7714" s="7"/>
      <c r="R7714" s="7"/>
      <c r="S7714" s="7"/>
      <c r="T7714" s="7"/>
      <c r="U7714" s="7"/>
      <c r="V7714" s="7"/>
      <c r="W7714" s="7"/>
      <c r="X7714" s="7"/>
      <c r="Y7714" s="7"/>
      <c r="Z7714" s="7"/>
    </row>
    <row r="7715" hidden="1">
      <c r="A7715" s="7"/>
      <c r="B7715" s="7"/>
      <c r="C7715" s="7"/>
      <c r="D7715" s="7"/>
      <c r="E7715" s="7"/>
      <c r="F7715" s="7"/>
      <c r="G7715" s="7"/>
      <c r="H7715" s="8"/>
      <c r="I7715" s="8"/>
      <c r="J7715" s="7"/>
      <c r="K7715" s="7"/>
      <c r="L7715" s="7"/>
      <c r="M7715" s="7"/>
      <c r="N7715" s="7"/>
      <c r="O7715" s="7"/>
      <c r="P7715" s="7"/>
      <c r="Q7715" s="7"/>
      <c r="R7715" s="7"/>
      <c r="S7715" s="7"/>
      <c r="T7715" s="7"/>
      <c r="U7715" s="7"/>
      <c r="V7715" s="7"/>
      <c r="W7715" s="7"/>
      <c r="X7715" s="7"/>
      <c r="Y7715" s="7"/>
      <c r="Z7715" s="7"/>
    </row>
    <row r="7716" hidden="1">
      <c r="A7716" s="7"/>
      <c r="B7716" s="7"/>
      <c r="C7716" s="7"/>
      <c r="D7716" s="7"/>
      <c r="E7716" s="7"/>
      <c r="F7716" s="7"/>
      <c r="G7716" s="7"/>
      <c r="H7716" s="8"/>
      <c r="I7716" s="8"/>
      <c r="J7716" s="7"/>
      <c r="K7716" s="7"/>
      <c r="L7716" s="7"/>
      <c r="M7716" s="7"/>
      <c r="N7716" s="7"/>
      <c r="O7716" s="7"/>
      <c r="P7716" s="7"/>
      <c r="Q7716" s="7"/>
      <c r="R7716" s="7"/>
      <c r="S7716" s="7"/>
      <c r="T7716" s="7"/>
      <c r="U7716" s="7"/>
      <c r="V7716" s="7"/>
      <c r="W7716" s="7"/>
      <c r="X7716" s="7"/>
      <c r="Y7716" s="7"/>
      <c r="Z7716" s="7"/>
    </row>
    <row r="7717" hidden="1">
      <c r="A7717" s="7"/>
      <c r="B7717" s="7"/>
      <c r="C7717" s="7"/>
      <c r="D7717" s="7"/>
      <c r="E7717" s="7"/>
      <c r="F7717" s="7"/>
      <c r="G7717" s="7"/>
      <c r="H7717" s="8"/>
      <c r="I7717" s="8"/>
      <c r="J7717" s="7"/>
      <c r="K7717" s="7"/>
      <c r="L7717" s="7"/>
      <c r="M7717" s="7"/>
      <c r="N7717" s="7"/>
      <c r="O7717" s="7"/>
      <c r="P7717" s="7"/>
      <c r="Q7717" s="7"/>
      <c r="R7717" s="7"/>
      <c r="S7717" s="7"/>
      <c r="T7717" s="7"/>
      <c r="U7717" s="7"/>
      <c r="V7717" s="7"/>
      <c r="W7717" s="7"/>
      <c r="X7717" s="7"/>
      <c r="Y7717" s="7"/>
      <c r="Z7717" s="7"/>
    </row>
    <row r="7718" hidden="1">
      <c r="A7718" s="7"/>
      <c r="B7718" s="7"/>
      <c r="C7718" s="7"/>
      <c r="D7718" s="7"/>
      <c r="E7718" s="7"/>
      <c r="F7718" s="7"/>
      <c r="G7718" s="7"/>
      <c r="H7718" s="8"/>
      <c r="I7718" s="8"/>
      <c r="J7718" s="7"/>
      <c r="K7718" s="7"/>
      <c r="L7718" s="7"/>
      <c r="M7718" s="7"/>
      <c r="N7718" s="7"/>
      <c r="O7718" s="7"/>
      <c r="P7718" s="7"/>
      <c r="Q7718" s="7"/>
      <c r="R7718" s="7"/>
      <c r="S7718" s="7"/>
      <c r="T7718" s="7"/>
      <c r="U7718" s="7"/>
      <c r="V7718" s="7"/>
      <c r="W7718" s="7"/>
      <c r="X7718" s="7"/>
      <c r="Y7718" s="7"/>
      <c r="Z7718" s="7"/>
    </row>
    <row r="7719" hidden="1">
      <c r="A7719" s="7"/>
      <c r="B7719" s="7"/>
      <c r="C7719" s="7"/>
      <c r="D7719" s="7"/>
      <c r="E7719" s="7"/>
      <c r="F7719" s="7"/>
      <c r="G7719" s="7"/>
      <c r="H7719" s="8"/>
      <c r="I7719" s="8"/>
      <c r="J7719" s="7"/>
      <c r="K7719" s="7"/>
      <c r="L7719" s="7"/>
      <c r="M7719" s="7"/>
      <c r="N7719" s="7"/>
      <c r="O7719" s="7"/>
      <c r="P7719" s="7"/>
      <c r="Q7719" s="7"/>
      <c r="R7719" s="7"/>
      <c r="S7719" s="7"/>
      <c r="T7719" s="7"/>
      <c r="U7719" s="7"/>
      <c r="V7719" s="7"/>
      <c r="W7719" s="7"/>
      <c r="X7719" s="7"/>
      <c r="Y7719" s="7"/>
      <c r="Z7719" s="7"/>
    </row>
    <row r="7720" hidden="1">
      <c r="A7720" s="7"/>
      <c r="B7720" s="7"/>
      <c r="C7720" s="7"/>
      <c r="D7720" s="7"/>
      <c r="E7720" s="7"/>
      <c r="F7720" s="7"/>
      <c r="G7720" s="7"/>
      <c r="H7720" s="8"/>
      <c r="I7720" s="8"/>
      <c r="J7720" s="7"/>
      <c r="K7720" s="7"/>
      <c r="L7720" s="7"/>
      <c r="M7720" s="7"/>
      <c r="N7720" s="7"/>
      <c r="O7720" s="7"/>
      <c r="P7720" s="7"/>
      <c r="Q7720" s="7"/>
      <c r="R7720" s="7"/>
      <c r="S7720" s="7"/>
      <c r="T7720" s="7"/>
      <c r="U7720" s="7"/>
      <c r="V7720" s="7"/>
      <c r="W7720" s="7"/>
      <c r="X7720" s="7"/>
      <c r="Y7720" s="7"/>
      <c r="Z7720" s="7"/>
    </row>
    <row r="7721" hidden="1">
      <c r="A7721" s="7"/>
      <c r="B7721" s="7"/>
      <c r="C7721" s="7"/>
      <c r="D7721" s="7"/>
      <c r="E7721" s="7"/>
      <c r="F7721" s="7"/>
      <c r="G7721" s="7"/>
      <c r="H7721" s="8"/>
      <c r="I7721" s="8"/>
      <c r="J7721" s="7"/>
      <c r="K7721" s="7"/>
      <c r="L7721" s="7"/>
      <c r="M7721" s="7"/>
      <c r="N7721" s="7"/>
      <c r="O7721" s="7"/>
      <c r="P7721" s="7"/>
      <c r="Q7721" s="7"/>
      <c r="R7721" s="7"/>
      <c r="S7721" s="7"/>
      <c r="T7721" s="7"/>
      <c r="U7721" s="7"/>
      <c r="V7721" s="7"/>
      <c r="W7721" s="7"/>
      <c r="X7721" s="7"/>
      <c r="Y7721" s="7"/>
      <c r="Z7721" s="7"/>
    </row>
    <row r="7722" hidden="1">
      <c r="A7722" s="7"/>
      <c r="B7722" s="7"/>
      <c r="C7722" s="7"/>
      <c r="D7722" s="7"/>
      <c r="E7722" s="7"/>
      <c r="F7722" s="7"/>
      <c r="G7722" s="7"/>
      <c r="H7722" s="8"/>
      <c r="I7722" s="8"/>
      <c r="J7722" s="7"/>
      <c r="K7722" s="7"/>
      <c r="L7722" s="7"/>
      <c r="M7722" s="7"/>
      <c r="N7722" s="7"/>
      <c r="O7722" s="7"/>
      <c r="P7722" s="7"/>
      <c r="Q7722" s="7"/>
      <c r="R7722" s="7"/>
      <c r="S7722" s="7"/>
      <c r="T7722" s="7"/>
      <c r="U7722" s="7"/>
      <c r="V7722" s="7"/>
      <c r="W7722" s="7"/>
      <c r="X7722" s="7"/>
      <c r="Y7722" s="7"/>
      <c r="Z7722" s="7"/>
    </row>
    <row r="7723" hidden="1">
      <c r="A7723" s="7"/>
      <c r="B7723" s="7"/>
      <c r="C7723" s="7"/>
      <c r="D7723" s="7"/>
      <c r="E7723" s="7"/>
      <c r="F7723" s="7"/>
      <c r="G7723" s="7"/>
      <c r="H7723" s="8"/>
      <c r="I7723" s="8"/>
      <c r="J7723" s="7"/>
      <c r="K7723" s="7"/>
      <c r="L7723" s="7"/>
      <c r="M7723" s="7"/>
      <c r="N7723" s="7"/>
      <c r="O7723" s="7"/>
      <c r="P7723" s="7"/>
      <c r="Q7723" s="7"/>
      <c r="R7723" s="7"/>
      <c r="S7723" s="7"/>
      <c r="T7723" s="7"/>
      <c r="U7723" s="7"/>
      <c r="V7723" s="7"/>
      <c r="W7723" s="7"/>
      <c r="X7723" s="7"/>
      <c r="Y7723" s="7"/>
      <c r="Z7723" s="7"/>
    </row>
    <row r="7724" hidden="1">
      <c r="A7724" s="7"/>
      <c r="B7724" s="7"/>
      <c r="C7724" s="7"/>
      <c r="D7724" s="7"/>
      <c r="E7724" s="7"/>
      <c r="F7724" s="7"/>
      <c r="G7724" s="7"/>
      <c r="H7724" s="8"/>
      <c r="I7724" s="8"/>
      <c r="J7724" s="7"/>
      <c r="K7724" s="7"/>
      <c r="L7724" s="7"/>
      <c r="M7724" s="7"/>
      <c r="N7724" s="7"/>
      <c r="O7724" s="7"/>
      <c r="P7724" s="7"/>
      <c r="Q7724" s="7"/>
      <c r="R7724" s="7"/>
      <c r="S7724" s="7"/>
      <c r="T7724" s="7"/>
      <c r="U7724" s="7"/>
      <c r="V7724" s="7"/>
      <c r="W7724" s="7"/>
      <c r="X7724" s="7"/>
      <c r="Y7724" s="7"/>
      <c r="Z7724" s="7"/>
    </row>
    <row r="7725" hidden="1">
      <c r="A7725" s="7"/>
      <c r="B7725" s="7"/>
      <c r="C7725" s="7"/>
      <c r="D7725" s="7"/>
      <c r="E7725" s="7"/>
      <c r="F7725" s="7"/>
      <c r="G7725" s="7"/>
      <c r="H7725" s="8"/>
      <c r="I7725" s="8"/>
      <c r="J7725" s="7"/>
      <c r="K7725" s="7"/>
      <c r="L7725" s="7"/>
      <c r="M7725" s="7"/>
      <c r="N7725" s="7"/>
      <c r="O7725" s="7"/>
      <c r="P7725" s="7"/>
      <c r="Q7725" s="7"/>
      <c r="R7725" s="7"/>
      <c r="S7725" s="7"/>
      <c r="T7725" s="7"/>
      <c r="U7725" s="7"/>
      <c r="V7725" s="7"/>
      <c r="W7725" s="7"/>
      <c r="X7725" s="7"/>
      <c r="Y7725" s="7"/>
      <c r="Z7725" s="7"/>
    </row>
    <row r="7726" hidden="1">
      <c r="A7726" s="7"/>
      <c r="B7726" s="7"/>
      <c r="C7726" s="7"/>
      <c r="D7726" s="7"/>
      <c r="E7726" s="7"/>
      <c r="F7726" s="7"/>
      <c r="G7726" s="7"/>
      <c r="H7726" s="8"/>
      <c r="I7726" s="8"/>
      <c r="J7726" s="7"/>
      <c r="K7726" s="7"/>
      <c r="L7726" s="7"/>
      <c r="M7726" s="7"/>
      <c r="N7726" s="7"/>
      <c r="O7726" s="7"/>
      <c r="P7726" s="7"/>
      <c r="Q7726" s="7"/>
      <c r="R7726" s="7"/>
      <c r="S7726" s="7"/>
      <c r="T7726" s="7"/>
      <c r="U7726" s="7"/>
      <c r="V7726" s="7"/>
      <c r="W7726" s="7"/>
      <c r="X7726" s="7"/>
      <c r="Y7726" s="7"/>
      <c r="Z7726" s="7"/>
    </row>
    <row r="7727" hidden="1">
      <c r="A7727" s="7"/>
      <c r="B7727" s="7"/>
      <c r="C7727" s="7"/>
      <c r="D7727" s="7"/>
      <c r="E7727" s="7"/>
      <c r="F7727" s="7"/>
      <c r="G7727" s="7"/>
      <c r="H7727" s="8"/>
      <c r="I7727" s="8"/>
      <c r="J7727" s="7"/>
      <c r="K7727" s="7"/>
      <c r="L7727" s="7"/>
      <c r="M7727" s="7"/>
      <c r="N7727" s="7"/>
      <c r="O7727" s="7"/>
      <c r="P7727" s="7"/>
      <c r="Q7727" s="7"/>
      <c r="R7727" s="7"/>
      <c r="S7727" s="7"/>
      <c r="T7727" s="7"/>
      <c r="U7727" s="7"/>
      <c r="V7727" s="7"/>
      <c r="W7727" s="7"/>
      <c r="X7727" s="7"/>
      <c r="Y7727" s="7"/>
      <c r="Z7727" s="7"/>
    </row>
    <row r="7728" hidden="1">
      <c r="A7728" s="7"/>
      <c r="B7728" s="7"/>
      <c r="C7728" s="7"/>
      <c r="D7728" s="7"/>
      <c r="E7728" s="7"/>
      <c r="F7728" s="7"/>
      <c r="G7728" s="7"/>
      <c r="H7728" s="8"/>
      <c r="I7728" s="8"/>
      <c r="J7728" s="7"/>
      <c r="K7728" s="7"/>
      <c r="L7728" s="7"/>
      <c r="M7728" s="7"/>
      <c r="N7728" s="7"/>
      <c r="O7728" s="7"/>
      <c r="P7728" s="7"/>
      <c r="Q7728" s="7"/>
      <c r="R7728" s="7"/>
      <c r="S7728" s="7"/>
      <c r="T7728" s="7"/>
      <c r="U7728" s="7"/>
      <c r="V7728" s="7"/>
      <c r="W7728" s="7"/>
      <c r="X7728" s="7"/>
      <c r="Y7728" s="7"/>
      <c r="Z7728" s="7"/>
    </row>
    <row r="7729" hidden="1">
      <c r="A7729" s="7"/>
      <c r="B7729" s="7"/>
      <c r="C7729" s="7"/>
      <c r="D7729" s="7"/>
      <c r="E7729" s="7"/>
      <c r="F7729" s="7"/>
      <c r="G7729" s="7"/>
      <c r="H7729" s="8"/>
      <c r="I7729" s="8"/>
      <c r="J7729" s="7"/>
      <c r="K7729" s="7"/>
      <c r="L7729" s="7"/>
      <c r="M7729" s="7"/>
      <c r="N7729" s="7"/>
      <c r="O7729" s="7"/>
      <c r="P7729" s="7"/>
      <c r="Q7729" s="7"/>
      <c r="R7729" s="7"/>
      <c r="S7729" s="7"/>
      <c r="T7729" s="7"/>
      <c r="U7729" s="7"/>
      <c r="V7729" s="7"/>
      <c r="W7729" s="7"/>
      <c r="X7729" s="7"/>
      <c r="Y7729" s="7"/>
      <c r="Z7729" s="7"/>
    </row>
    <row r="7730" hidden="1">
      <c r="A7730" s="7"/>
      <c r="B7730" s="7"/>
      <c r="C7730" s="7"/>
      <c r="D7730" s="7"/>
      <c r="E7730" s="7"/>
      <c r="F7730" s="7"/>
      <c r="G7730" s="7"/>
      <c r="H7730" s="8"/>
      <c r="I7730" s="8"/>
      <c r="J7730" s="7"/>
      <c r="K7730" s="7"/>
      <c r="L7730" s="7"/>
      <c r="M7730" s="7"/>
      <c r="N7730" s="7"/>
      <c r="O7730" s="7"/>
      <c r="P7730" s="7"/>
      <c r="Q7730" s="7"/>
      <c r="R7730" s="7"/>
      <c r="S7730" s="7"/>
      <c r="T7730" s="7"/>
      <c r="U7730" s="7"/>
      <c r="V7730" s="7"/>
      <c r="W7730" s="7"/>
      <c r="X7730" s="7"/>
      <c r="Y7730" s="7"/>
      <c r="Z7730" s="7"/>
    </row>
    <row r="7731" hidden="1">
      <c r="A7731" s="7"/>
      <c r="B7731" s="7"/>
      <c r="C7731" s="7"/>
      <c r="D7731" s="7"/>
      <c r="E7731" s="7"/>
      <c r="F7731" s="7"/>
      <c r="G7731" s="7"/>
      <c r="H7731" s="8"/>
      <c r="I7731" s="8"/>
      <c r="J7731" s="7"/>
      <c r="K7731" s="7"/>
      <c r="L7731" s="7"/>
      <c r="M7731" s="7"/>
      <c r="N7731" s="7"/>
      <c r="O7731" s="7"/>
      <c r="P7731" s="7"/>
      <c r="Q7731" s="7"/>
      <c r="R7731" s="7"/>
      <c r="S7731" s="7"/>
      <c r="T7731" s="7"/>
      <c r="U7731" s="7"/>
      <c r="V7731" s="7"/>
      <c r="W7731" s="7"/>
      <c r="X7731" s="7"/>
      <c r="Y7731" s="7"/>
      <c r="Z7731" s="7"/>
    </row>
    <row r="7732" hidden="1">
      <c r="A7732" s="7"/>
      <c r="B7732" s="7"/>
      <c r="C7732" s="7"/>
      <c r="D7732" s="7"/>
      <c r="E7732" s="7"/>
      <c r="F7732" s="7"/>
      <c r="G7732" s="7"/>
      <c r="H7732" s="8"/>
      <c r="I7732" s="8"/>
      <c r="J7732" s="7"/>
      <c r="K7732" s="7"/>
      <c r="L7732" s="7"/>
      <c r="M7732" s="7"/>
      <c r="N7732" s="7"/>
      <c r="O7732" s="7"/>
      <c r="P7732" s="7"/>
      <c r="Q7732" s="7"/>
      <c r="R7732" s="7"/>
      <c r="S7732" s="7"/>
      <c r="T7732" s="7"/>
      <c r="U7732" s="7"/>
      <c r="V7732" s="7"/>
      <c r="W7732" s="7"/>
      <c r="X7732" s="7"/>
      <c r="Y7732" s="7"/>
      <c r="Z7732" s="7"/>
    </row>
    <row r="7733" hidden="1">
      <c r="A7733" s="7"/>
      <c r="B7733" s="7"/>
      <c r="C7733" s="7"/>
      <c r="D7733" s="7"/>
      <c r="E7733" s="7"/>
      <c r="F7733" s="7"/>
      <c r="G7733" s="7"/>
      <c r="H7733" s="8"/>
      <c r="I7733" s="8"/>
      <c r="J7733" s="7"/>
      <c r="K7733" s="7"/>
      <c r="L7733" s="7"/>
      <c r="M7733" s="7"/>
      <c r="N7733" s="7"/>
      <c r="O7733" s="7"/>
      <c r="P7733" s="7"/>
      <c r="Q7733" s="7"/>
      <c r="R7733" s="7"/>
      <c r="S7733" s="7"/>
      <c r="T7733" s="7"/>
      <c r="U7733" s="7"/>
      <c r="V7733" s="7"/>
      <c r="W7733" s="7"/>
      <c r="X7733" s="7"/>
      <c r="Y7733" s="7"/>
      <c r="Z7733" s="7"/>
    </row>
    <row r="7734" hidden="1">
      <c r="A7734" s="7"/>
      <c r="B7734" s="7"/>
      <c r="C7734" s="7"/>
      <c r="D7734" s="7"/>
      <c r="E7734" s="7"/>
      <c r="F7734" s="7"/>
      <c r="G7734" s="7"/>
      <c r="H7734" s="8"/>
      <c r="I7734" s="8"/>
      <c r="J7734" s="7"/>
      <c r="K7734" s="7"/>
      <c r="L7734" s="7"/>
      <c r="M7734" s="7"/>
      <c r="N7734" s="7"/>
      <c r="O7734" s="7"/>
      <c r="P7734" s="7"/>
      <c r="Q7734" s="7"/>
      <c r="R7734" s="7"/>
      <c r="S7734" s="7"/>
      <c r="T7734" s="7"/>
      <c r="U7734" s="7"/>
      <c r="V7734" s="7"/>
      <c r="W7734" s="7"/>
      <c r="X7734" s="7"/>
      <c r="Y7734" s="7"/>
      <c r="Z7734" s="7"/>
    </row>
    <row r="7735" hidden="1">
      <c r="A7735" s="7"/>
      <c r="B7735" s="7"/>
      <c r="C7735" s="7"/>
      <c r="D7735" s="7"/>
      <c r="E7735" s="7"/>
      <c r="F7735" s="7"/>
      <c r="G7735" s="7"/>
      <c r="H7735" s="8"/>
      <c r="I7735" s="8"/>
      <c r="J7735" s="7"/>
      <c r="K7735" s="7"/>
      <c r="L7735" s="7"/>
      <c r="M7735" s="7"/>
      <c r="N7735" s="7"/>
      <c r="O7735" s="7"/>
      <c r="P7735" s="7"/>
      <c r="Q7735" s="7"/>
      <c r="R7735" s="7"/>
      <c r="S7735" s="7"/>
      <c r="T7735" s="7"/>
      <c r="U7735" s="7"/>
      <c r="V7735" s="7"/>
      <c r="W7735" s="7"/>
      <c r="X7735" s="7"/>
      <c r="Y7735" s="7"/>
      <c r="Z7735" s="7"/>
    </row>
    <row r="7736" hidden="1">
      <c r="A7736" s="7"/>
      <c r="B7736" s="7"/>
      <c r="C7736" s="7"/>
      <c r="D7736" s="7"/>
      <c r="E7736" s="7"/>
      <c r="F7736" s="7"/>
      <c r="G7736" s="7"/>
      <c r="H7736" s="8"/>
      <c r="I7736" s="8"/>
      <c r="J7736" s="7"/>
      <c r="K7736" s="7"/>
      <c r="L7736" s="7"/>
      <c r="M7736" s="7"/>
      <c r="N7736" s="7"/>
      <c r="O7736" s="7"/>
      <c r="P7736" s="7"/>
      <c r="Q7736" s="7"/>
      <c r="R7736" s="7"/>
      <c r="S7736" s="7"/>
      <c r="T7736" s="7"/>
      <c r="U7736" s="7"/>
      <c r="V7736" s="7"/>
      <c r="W7736" s="7"/>
      <c r="X7736" s="7"/>
      <c r="Y7736" s="7"/>
      <c r="Z7736" s="7"/>
    </row>
    <row r="7737" hidden="1">
      <c r="A7737" s="7"/>
      <c r="B7737" s="7"/>
      <c r="C7737" s="7"/>
      <c r="D7737" s="7"/>
      <c r="E7737" s="7"/>
      <c r="F7737" s="7"/>
      <c r="G7737" s="7"/>
      <c r="H7737" s="8"/>
      <c r="I7737" s="8"/>
      <c r="J7737" s="7"/>
      <c r="K7737" s="7"/>
      <c r="L7737" s="7"/>
      <c r="M7737" s="7"/>
      <c r="N7737" s="7"/>
      <c r="O7737" s="7"/>
      <c r="P7737" s="7"/>
      <c r="Q7737" s="7"/>
      <c r="R7737" s="7"/>
      <c r="S7737" s="7"/>
      <c r="T7737" s="7"/>
      <c r="U7737" s="7"/>
      <c r="V7737" s="7"/>
      <c r="W7737" s="7"/>
      <c r="X7737" s="7"/>
      <c r="Y7737" s="7"/>
      <c r="Z7737" s="7"/>
    </row>
    <row r="7738" hidden="1">
      <c r="A7738" s="7"/>
      <c r="B7738" s="7"/>
      <c r="C7738" s="7"/>
      <c r="D7738" s="7"/>
      <c r="E7738" s="7"/>
      <c r="F7738" s="7"/>
      <c r="G7738" s="7"/>
      <c r="H7738" s="8"/>
      <c r="I7738" s="8"/>
      <c r="J7738" s="7"/>
      <c r="K7738" s="7"/>
      <c r="L7738" s="7"/>
      <c r="M7738" s="7"/>
      <c r="N7738" s="7"/>
      <c r="O7738" s="7"/>
      <c r="P7738" s="7"/>
      <c r="Q7738" s="7"/>
      <c r="R7738" s="7"/>
      <c r="S7738" s="7"/>
      <c r="T7738" s="7"/>
      <c r="U7738" s="7"/>
      <c r="V7738" s="7"/>
      <c r="W7738" s="7"/>
      <c r="X7738" s="7"/>
      <c r="Y7738" s="7"/>
      <c r="Z7738" s="7"/>
    </row>
    <row r="7739" hidden="1">
      <c r="A7739" s="7"/>
      <c r="B7739" s="7"/>
      <c r="C7739" s="7"/>
      <c r="D7739" s="7"/>
      <c r="E7739" s="7"/>
      <c r="F7739" s="7"/>
      <c r="G7739" s="7"/>
      <c r="H7739" s="8"/>
      <c r="I7739" s="8"/>
      <c r="J7739" s="7"/>
      <c r="K7739" s="7"/>
      <c r="L7739" s="7"/>
      <c r="M7739" s="7"/>
      <c r="N7739" s="7"/>
      <c r="O7739" s="7"/>
      <c r="P7739" s="7"/>
      <c r="Q7739" s="7"/>
      <c r="R7739" s="7"/>
      <c r="S7739" s="7"/>
      <c r="T7739" s="7"/>
      <c r="U7739" s="7"/>
      <c r="V7739" s="7"/>
      <c r="W7739" s="7"/>
      <c r="X7739" s="7"/>
      <c r="Y7739" s="7"/>
      <c r="Z7739" s="7"/>
    </row>
    <row r="7740" hidden="1">
      <c r="A7740" s="7"/>
      <c r="B7740" s="7"/>
      <c r="C7740" s="7"/>
      <c r="D7740" s="7"/>
      <c r="E7740" s="7"/>
      <c r="F7740" s="7"/>
      <c r="G7740" s="7"/>
      <c r="H7740" s="8"/>
      <c r="I7740" s="8"/>
      <c r="J7740" s="7"/>
      <c r="K7740" s="7"/>
      <c r="L7740" s="7"/>
      <c r="M7740" s="7"/>
      <c r="N7740" s="7"/>
      <c r="O7740" s="7"/>
      <c r="P7740" s="7"/>
      <c r="Q7740" s="7"/>
      <c r="R7740" s="7"/>
      <c r="S7740" s="7"/>
      <c r="T7740" s="7"/>
      <c r="U7740" s="7"/>
      <c r="V7740" s="7"/>
      <c r="W7740" s="7"/>
      <c r="X7740" s="7"/>
      <c r="Y7740" s="7"/>
      <c r="Z7740" s="7"/>
    </row>
    <row r="7741" hidden="1">
      <c r="A7741" s="7"/>
      <c r="B7741" s="7"/>
      <c r="C7741" s="7"/>
      <c r="D7741" s="7"/>
      <c r="E7741" s="7"/>
      <c r="F7741" s="7"/>
      <c r="G7741" s="7"/>
      <c r="H7741" s="8"/>
      <c r="I7741" s="8"/>
      <c r="J7741" s="7"/>
      <c r="K7741" s="7"/>
      <c r="L7741" s="7"/>
      <c r="M7741" s="7"/>
      <c r="N7741" s="7"/>
      <c r="O7741" s="7"/>
      <c r="P7741" s="7"/>
      <c r="Q7741" s="7"/>
      <c r="R7741" s="7"/>
      <c r="S7741" s="7"/>
      <c r="T7741" s="7"/>
      <c r="U7741" s="7"/>
      <c r="V7741" s="7"/>
      <c r="W7741" s="7"/>
      <c r="X7741" s="7"/>
      <c r="Y7741" s="7"/>
      <c r="Z7741" s="7"/>
    </row>
    <row r="7742" hidden="1">
      <c r="A7742" s="7"/>
      <c r="B7742" s="7"/>
      <c r="C7742" s="7"/>
      <c r="D7742" s="7"/>
      <c r="E7742" s="7"/>
      <c r="F7742" s="7"/>
      <c r="G7742" s="7"/>
      <c r="H7742" s="8"/>
      <c r="I7742" s="8"/>
      <c r="J7742" s="7"/>
      <c r="K7742" s="7"/>
      <c r="L7742" s="7"/>
      <c r="M7742" s="7"/>
      <c r="N7742" s="7"/>
      <c r="O7742" s="7"/>
      <c r="P7742" s="7"/>
      <c r="Q7742" s="7"/>
      <c r="R7742" s="7"/>
      <c r="S7742" s="7"/>
      <c r="T7742" s="7"/>
      <c r="U7742" s="7"/>
      <c r="V7742" s="7"/>
      <c r="W7742" s="7"/>
      <c r="X7742" s="7"/>
      <c r="Y7742" s="7"/>
      <c r="Z7742" s="7"/>
    </row>
    <row r="7743" hidden="1">
      <c r="A7743" s="7"/>
      <c r="B7743" s="7"/>
      <c r="C7743" s="7"/>
      <c r="D7743" s="7"/>
      <c r="E7743" s="7"/>
      <c r="F7743" s="7"/>
      <c r="G7743" s="7"/>
      <c r="H7743" s="8"/>
      <c r="I7743" s="8"/>
      <c r="J7743" s="7"/>
      <c r="K7743" s="7"/>
      <c r="L7743" s="7"/>
      <c r="M7743" s="7"/>
      <c r="N7743" s="7"/>
      <c r="O7743" s="7"/>
      <c r="P7743" s="7"/>
      <c r="Q7743" s="7"/>
      <c r="R7743" s="7"/>
      <c r="S7743" s="7"/>
      <c r="T7743" s="7"/>
      <c r="U7743" s="7"/>
      <c r="V7743" s="7"/>
      <c r="W7743" s="7"/>
      <c r="X7743" s="7"/>
      <c r="Y7743" s="7"/>
      <c r="Z7743" s="7"/>
    </row>
    <row r="7744" hidden="1">
      <c r="A7744" s="7"/>
      <c r="B7744" s="7"/>
      <c r="C7744" s="7"/>
      <c r="D7744" s="7"/>
      <c r="E7744" s="7"/>
      <c r="F7744" s="7"/>
      <c r="G7744" s="7"/>
      <c r="H7744" s="8"/>
      <c r="I7744" s="8"/>
      <c r="J7744" s="7"/>
      <c r="K7744" s="7"/>
      <c r="L7744" s="7"/>
      <c r="M7744" s="7"/>
      <c r="N7744" s="7"/>
      <c r="O7744" s="7"/>
      <c r="P7744" s="7"/>
      <c r="Q7744" s="7"/>
      <c r="R7744" s="7"/>
      <c r="S7744" s="7"/>
      <c r="T7744" s="7"/>
      <c r="U7744" s="7"/>
      <c r="V7744" s="7"/>
      <c r="W7744" s="7"/>
      <c r="X7744" s="7"/>
      <c r="Y7744" s="7"/>
      <c r="Z7744" s="7"/>
    </row>
    <row r="7745" hidden="1">
      <c r="A7745" s="7"/>
      <c r="B7745" s="7"/>
      <c r="C7745" s="7"/>
      <c r="D7745" s="7"/>
      <c r="E7745" s="7"/>
      <c r="F7745" s="7"/>
      <c r="G7745" s="7"/>
      <c r="H7745" s="8"/>
      <c r="I7745" s="8"/>
      <c r="J7745" s="7"/>
      <c r="K7745" s="7"/>
      <c r="L7745" s="7"/>
      <c r="M7745" s="7"/>
      <c r="N7745" s="7"/>
      <c r="O7745" s="7"/>
      <c r="P7745" s="7"/>
      <c r="Q7745" s="7"/>
      <c r="R7745" s="7"/>
      <c r="S7745" s="7"/>
      <c r="T7745" s="7"/>
      <c r="U7745" s="7"/>
      <c r="V7745" s="7"/>
      <c r="W7745" s="7"/>
      <c r="X7745" s="7"/>
      <c r="Y7745" s="7"/>
      <c r="Z7745" s="7"/>
    </row>
    <row r="7746" hidden="1">
      <c r="A7746" s="7"/>
      <c r="B7746" s="7"/>
      <c r="C7746" s="7"/>
      <c r="D7746" s="7"/>
      <c r="E7746" s="7"/>
      <c r="F7746" s="7"/>
      <c r="G7746" s="7"/>
      <c r="H7746" s="8"/>
      <c r="I7746" s="8"/>
      <c r="J7746" s="7"/>
      <c r="K7746" s="7"/>
      <c r="L7746" s="7"/>
      <c r="M7746" s="7"/>
      <c r="N7746" s="7"/>
      <c r="O7746" s="7"/>
      <c r="P7746" s="7"/>
      <c r="Q7746" s="7"/>
      <c r="R7746" s="7"/>
      <c r="S7746" s="7"/>
      <c r="T7746" s="7"/>
      <c r="U7746" s="7"/>
      <c r="V7746" s="7"/>
      <c r="W7746" s="7"/>
      <c r="X7746" s="7"/>
      <c r="Y7746" s="7"/>
      <c r="Z7746" s="7"/>
    </row>
    <row r="7747" hidden="1">
      <c r="A7747" s="7"/>
      <c r="B7747" s="7"/>
      <c r="C7747" s="7"/>
      <c r="D7747" s="7"/>
      <c r="E7747" s="7"/>
      <c r="F7747" s="7"/>
      <c r="G7747" s="7"/>
      <c r="H7747" s="8"/>
      <c r="I7747" s="8"/>
      <c r="J7747" s="7"/>
      <c r="K7747" s="7"/>
      <c r="L7747" s="7"/>
      <c r="M7747" s="7"/>
      <c r="N7747" s="7"/>
      <c r="O7747" s="7"/>
      <c r="P7747" s="7"/>
      <c r="Q7747" s="7"/>
      <c r="R7747" s="7"/>
      <c r="S7747" s="7"/>
      <c r="T7747" s="7"/>
      <c r="U7747" s="7"/>
      <c r="V7747" s="7"/>
      <c r="W7747" s="7"/>
      <c r="X7747" s="7"/>
      <c r="Y7747" s="7"/>
      <c r="Z7747" s="7"/>
    </row>
    <row r="7748" hidden="1">
      <c r="A7748" s="7"/>
      <c r="B7748" s="7"/>
      <c r="C7748" s="7"/>
      <c r="D7748" s="7"/>
      <c r="E7748" s="7"/>
      <c r="F7748" s="7"/>
      <c r="G7748" s="7"/>
      <c r="H7748" s="8"/>
      <c r="I7748" s="8"/>
      <c r="J7748" s="7"/>
      <c r="K7748" s="7"/>
      <c r="L7748" s="7"/>
      <c r="M7748" s="7"/>
      <c r="N7748" s="7"/>
      <c r="O7748" s="7"/>
      <c r="P7748" s="7"/>
      <c r="Q7748" s="7"/>
      <c r="R7748" s="7"/>
      <c r="S7748" s="7"/>
      <c r="T7748" s="7"/>
      <c r="U7748" s="7"/>
      <c r="V7748" s="7"/>
      <c r="W7748" s="7"/>
      <c r="X7748" s="7"/>
      <c r="Y7748" s="7"/>
      <c r="Z7748" s="7"/>
    </row>
    <row r="7749" hidden="1">
      <c r="A7749" s="7"/>
      <c r="B7749" s="7"/>
      <c r="C7749" s="7"/>
      <c r="D7749" s="7"/>
      <c r="E7749" s="7"/>
      <c r="F7749" s="7"/>
      <c r="G7749" s="7"/>
      <c r="H7749" s="8"/>
      <c r="I7749" s="8"/>
      <c r="J7749" s="7"/>
      <c r="K7749" s="7"/>
      <c r="L7749" s="7"/>
      <c r="M7749" s="7"/>
      <c r="N7749" s="7"/>
      <c r="O7749" s="7"/>
      <c r="P7749" s="7"/>
      <c r="Q7749" s="7"/>
      <c r="R7749" s="7"/>
      <c r="S7749" s="7"/>
      <c r="T7749" s="7"/>
      <c r="U7749" s="7"/>
      <c r="V7749" s="7"/>
      <c r="W7749" s="7"/>
      <c r="X7749" s="7"/>
      <c r="Y7749" s="7"/>
      <c r="Z7749" s="7"/>
    </row>
    <row r="7750" hidden="1">
      <c r="A7750" s="7"/>
      <c r="B7750" s="7"/>
      <c r="C7750" s="7"/>
      <c r="D7750" s="7"/>
      <c r="E7750" s="7"/>
      <c r="F7750" s="7"/>
      <c r="G7750" s="7"/>
      <c r="H7750" s="8"/>
      <c r="I7750" s="8"/>
      <c r="J7750" s="7"/>
      <c r="K7750" s="7"/>
      <c r="L7750" s="7"/>
      <c r="M7750" s="7"/>
      <c r="N7750" s="7"/>
      <c r="O7750" s="7"/>
      <c r="P7750" s="7"/>
      <c r="Q7750" s="7"/>
      <c r="R7750" s="7"/>
      <c r="S7750" s="7"/>
      <c r="T7750" s="7"/>
      <c r="U7750" s="7"/>
      <c r="V7750" s="7"/>
      <c r="W7750" s="7"/>
      <c r="X7750" s="7"/>
      <c r="Y7750" s="7"/>
      <c r="Z7750" s="7"/>
    </row>
    <row r="7751" hidden="1">
      <c r="A7751" s="7"/>
      <c r="B7751" s="7"/>
      <c r="C7751" s="7"/>
      <c r="D7751" s="7"/>
      <c r="E7751" s="7"/>
      <c r="F7751" s="7"/>
      <c r="G7751" s="7"/>
      <c r="H7751" s="8"/>
      <c r="I7751" s="8"/>
      <c r="J7751" s="7"/>
      <c r="K7751" s="7"/>
      <c r="L7751" s="7"/>
      <c r="M7751" s="7"/>
      <c r="N7751" s="7"/>
      <c r="O7751" s="7"/>
      <c r="P7751" s="7"/>
      <c r="Q7751" s="7"/>
      <c r="R7751" s="7"/>
      <c r="S7751" s="7"/>
      <c r="T7751" s="7"/>
      <c r="U7751" s="7"/>
      <c r="V7751" s="7"/>
      <c r="W7751" s="7"/>
      <c r="X7751" s="7"/>
      <c r="Y7751" s="7"/>
      <c r="Z7751" s="7"/>
    </row>
    <row r="7752" hidden="1">
      <c r="A7752" s="7"/>
      <c r="B7752" s="7"/>
      <c r="C7752" s="7"/>
      <c r="D7752" s="7"/>
      <c r="E7752" s="7"/>
      <c r="F7752" s="7"/>
      <c r="G7752" s="7"/>
      <c r="H7752" s="8"/>
      <c r="I7752" s="8"/>
      <c r="J7752" s="7"/>
      <c r="K7752" s="7"/>
      <c r="L7752" s="7"/>
      <c r="M7752" s="7"/>
      <c r="N7752" s="7"/>
      <c r="O7752" s="7"/>
      <c r="P7752" s="7"/>
      <c r="Q7752" s="7"/>
      <c r="R7752" s="7"/>
      <c r="S7752" s="7"/>
      <c r="T7752" s="7"/>
      <c r="U7752" s="7"/>
      <c r="V7752" s="7"/>
      <c r="W7752" s="7"/>
      <c r="X7752" s="7"/>
      <c r="Y7752" s="7"/>
      <c r="Z7752" s="7"/>
    </row>
    <row r="7753" hidden="1">
      <c r="A7753" s="7"/>
      <c r="B7753" s="7"/>
      <c r="C7753" s="7"/>
      <c r="D7753" s="7"/>
      <c r="E7753" s="7"/>
      <c r="F7753" s="7"/>
      <c r="G7753" s="7"/>
      <c r="H7753" s="8"/>
      <c r="I7753" s="8"/>
      <c r="J7753" s="7"/>
      <c r="K7753" s="7"/>
      <c r="L7753" s="7"/>
      <c r="M7753" s="7"/>
      <c r="N7753" s="7"/>
      <c r="O7753" s="7"/>
      <c r="P7753" s="7"/>
      <c r="Q7753" s="7"/>
      <c r="R7753" s="7"/>
      <c r="S7753" s="7"/>
      <c r="T7753" s="7"/>
      <c r="U7753" s="7"/>
      <c r="V7753" s="7"/>
      <c r="W7753" s="7"/>
      <c r="X7753" s="7"/>
      <c r="Y7753" s="7"/>
      <c r="Z7753" s="7"/>
    </row>
    <row r="7754" hidden="1">
      <c r="A7754" s="7"/>
      <c r="B7754" s="7"/>
      <c r="C7754" s="7"/>
      <c r="D7754" s="7"/>
      <c r="E7754" s="7"/>
      <c r="F7754" s="7"/>
      <c r="G7754" s="7"/>
      <c r="H7754" s="8"/>
      <c r="I7754" s="8"/>
      <c r="J7754" s="7"/>
      <c r="K7754" s="7"/>
      <c r="L7754" s="7"/>
      <c r="M7754" s="7"/>
      <c r="N7754" s="7"/>
      <c r="O7754" s="7"/>
      <c r="P7754" s="7"/>
      <c r="Q7754" s="7"/>
      <c r="R7754" s="7"/>
      <c r="S7754" s="7"/>
      <c r="T7754" s="7"/>
      <c r="U7754" s="7"/>
      <c r="V7754" s="7"/>
      <c r="W7754" s="7"/>
      <c r="X7754" s="7"/>
      <c r="Y7754" s="7"/>
      <c r="Z7754" s="7"/>
    </row>
    <row r="7755" hidden="1">
      <c r="A7755" s="7"/>
      <c r="B7755" s="7"/>
      <c r="C7755" s="7"/>
      <c r="D7755" s="7"/>
      <c r="E7755" s="7"/>
      <c r="F7755" s="7"/>
      <c r="G7755" s="7"/>
      <c r="H7755" s="8"/>
      <c r="I7755" s="8"/>
      <c r="J7755" s="7"/>
      <c r="K7755" s="7"/>
      <c r="L7755" s="7"/>
      <c r="M7755" s="7"/>
      <c r="N7755" s="7"/>
      <c r="O7755" s="7"/>
      <c r="P7755" s="7"/>
      <c r="Q7755" s="7"/>
      <c r="R7755" s="7"/>
      <c r="S7755" s="7"/>
      <c r="T7755" s="7"/>
      <c r="U7755" s="7"/>
      <c r="V7755" s="7"/>
      <c r="W7755" s="7"/>
      <c r="X7755" s="7"/>
      <c r="Y7755" s="7"/>
      <c r="Z7755" s="7"/>
    </row>
    <row r="7756" hidden="1">
      <c r="A7756" s="7"/>
      <c r="B7756" s="7"/>
      <c r="C7756" s="7"/>
      <c r="D7756" s="7"/>
      <c r="E7756" s="7"/>
      <c r="F7756" s="7"/>
      <c r="G7756" s="7"/>
      <c r="H7756" s="8"/>
      <c r="I7756" s="8"/>
      <c r="J7756" s="7"/>
      <c r="K7756" s="7"/>
      <c r="L7756" s="7"/>
      <c r="M7756" s="7"/>
      <c r="N7756" s="7"/>
      <c r="O7756" s="7"/>
      <c r="P7756" s="7"/>
      <c r="Q7756" s="7"/>
      <c r="R7756" s="7"/>
      <c r="S7756" s="7"/>
      <c r="T7756" s="7"/>
      <c r="U7756" s="7"/>
      <c r="V7756" s="7"/>
      <c r="W7756" s="7"/>
      <c r="X7756" s="7"/>
      <c r="Y7756" s="7"/>
      <c r="Z7756" s="7"/>
    </row>
    <row r="7757" hidden="1">
      <c r="A7757" s="7"/>
      <c r="B7757" s="7"/>
      <c r="C7757" s="7"/>
      <c r="D7757" s="7"/>
      <c r="E7757" s="7"/>
      <c r="F7757" s="7"/>
      <c r="G7757" s="7"/>
      <c r="H7757" s="8"/>
      <c r="I7757" s="8"/>
      <c r="J7757" s="7"/>
      <c r="K7757" s="7"/>
      <c r="L7757" s="7"/>
      <c r="M7757" s="7"/>
      <c r="N7757" s="7"/>
      <c r="O7757" s="7"/>
      <c r="P7757" s="7"/>
      <c r="Q7757" s="7"/>
      <c r="R7757" s="7"/>
      <c r="S7757" s="7"/>
      <c r="T7757" s="7"/>
      <c r="U7757" s="7"/>
      <c r="V7757" s="7"/>
      <c r="W7757" s="7"/>
      <c r="X7757" s="7"/>
      <c r="Y7757" s="7"/>
      <c r="Z7757" s="7"/>
    </row>
    <row r="7758" hidden="1">
      <c r="A7758" s="7"/>
      <c r="B7758" s="7"/>
      <c r="C7758" s="7"/>
      <c r="D7758" s="7"/>
      <c r="E7758" s="7"/>
      <c r="F7758" s="7"/>
      <c r="G7758" s="7"/>
      <c r="H7758" s="8"/>
      <c r="I7758" s="8"/>
      <c r="J7758" s="7"/>
      <c r="K7758" s="7"/>
      <c r="L7758" s="7"/>
      <c r="M7758" s="7"/>
      <c r="N7758" s="7"/>
      <c r="O7758" s="7"/>
      <c r="P7758" s="7"/>
      <c r="Q7758" s="7"/>
      <c r="R7758" s="7"/>
      <c r="S7758" s="7"/>
      <c r="T7758" s="7"/>
      <c r="U7758" s="7"/>
      <c r="V7758" s="7"/>
      <c r="W7758" s="7"/>
      <c r="X7758" s="7"/>
      <c r="Y7758" s="7"/>
      <c r="Z7758" s="7"/>
    </row>
    <row r="7759" hidden="1">
      <c r="A7759" s="7"/>
      <c r="B7759" s="7"/>
      <c r="C7759" s="7"/>
      <c r="D7759" s="7"/>
      <c r="E7759" s="7"/>
      <c r="F7759" s="7"/>
      <c r="G7759" s="7"/>
      <c r="H7759" s="8"/>
      <c r="I7759" s="8"/>
      <c r="J7759" s="7"/>
      <c r="K7759" s="7"/>
      <c r="L7759" s="7"/>
      <c r="M7759" s="7"/>
      <c r="N7759" s="7"/>
      <c r="O7759" s="7"/>
      <c r="P7759" s="7"/>
      <c r="Q7759" s="7"/>
      <c r="R7759" s="7"/>
      <c r="S7759" s="7"/>
      <c r="T7759" s="7"/>
      <c r="U7759" s="7"/>
      <c r="V7759" s="7"/>
      <c r="W7759" s="7"/>
      <c r="X7759" s="7"/>
      <c r="Y7759" s="7"/>
      <c r="Z7759" s="7"/>
    </row>
    <row r="7760" hidden="1">
      <c r="A7760" s="7"/>
      <c r="B7760" s="7"/>
      <c r="C7760" s="7"/>
      <c r="D7760" s="7"/>
      <c r="E7760" s="7"/>
      <c r="F7760" s="7"/>
      <c r="G7760" s="7"/>
      <c r="H7760" s="8"/>
      <c r="I7760" s="8"/>
      <c r="J7760" s="7"/>
      <c r="K7760" s="7"/>
      <c r="L7760" s="7"/>
      <c r="M7760" s="7"/>
      <c r="N7760" s="7"/>
      <c r="O7760" s="7"/>
      <c r="P7760" s="7"/>
      <c r="Q7760" s="7"/>
      <c r="R7760" s="7"/>
      <c r="S7760" s="7"/>
      <c r="T7760" s="7"/>
      <c r="U7760" s="7"/>
      <c r="V7760" s="7"/>
      <c r="W7760" s="7"/>
      <c r="X7760" s="7"/>
      <c r="Y7760" s="7"/>
      <c r="Z7760" s="7"/>
    </row>
    <row r="7761" hidden="1">
      <c r="A7761" s="7"/>
      <c r="B7761" s="7"/>
      <c r="C7761" s="7"/>
      <c r="D7761" s="7"/>
      <c r="E7761" s="7"/>
      <c r="F7761" s="7"/>
      <c r="G7761" s="7"/>
      <c r="H7761" s="8"/>
      <c r="I7761" s="8"/>
      <c r="J7761" s="7"/>
      <c r="K7761" s="7"/>
      <c r="L7761" s="7"/>
      <c r="M7761" s="7"/>
      <c r="N7761" s="7"/>
      <c r="O7761" s="7"/>
      <c r="P7761" s="7"/>
      <c r="Q7761" s="7"/>
      <c r="R7761" s="7"/>
      <c r="S7761" s="7"/>
      <c r="T7761" s="7"/>
      <c r="U7761" s="7"/>
      <c r="V7761" s="7"/>
      <c r="W7761" s="7"/>
      <c r="X7761" s="7"/>
      <c r="Y7761" s="7"/>
      <c r="Z7761" s="7"/>
    </row>
    <row r="7762" hidden="1">
      <c r="A7762" s="7"/>
      <c r="B7762" s="7"/>
      <c r="C7762" s="7"/>
      <c r="D7762" s="7"/>
      <c r="E7762" s="7"/>
      <c r="F7762" s="7"/>
      <c r="G7762" s="7"/>
      <c r="H7762" s="8"/>
      <c r="I7762" s="8"/>
      <c r="J7762" s="7"/>
      <c r="K7762" s="7"/>
      <c r="L7762" s="7"/>
      <c r="M7762" s="7"/>
      <c r="N7762" s="7"/>
      <c r="O7762" s="7"/>
      <c r="P7762" s="7"/>
      <c r="Q7762" s="7"/>
      <c r="R7762" s="7"/>
      <c r="S7762" s="7"/>
      <c r="T7762" s="7"/>
      <c r="U7762" s="7"/>
      <c r="V7762" s="7"/>
      <c r="W7762" s="7"/>
      <c r="X7762" s="7"/>
      <c r="Y7762" s="7"/>
      <c r="Z7762" s="7"/>
    </row>
    <row r="7763" hidden="1">
      <c r="A7763" s="7"/>
      <c r="B7763" s="7"/>
      <c r="C7763" s="7"/>
      <c r="D7763" s="7"/>
      <c r="E7763" s="7"/>
      <c r="F7763" s="7"/>
      <c r="G7763" s="7"/>
      <c r="H7763" s="8"/>
      <c r="I7763" s="8"/>
      <c r="J7763" s="7"/>
      <c r="K7763" s="7"/>
      <c r="L7763" s="7"/>
      <c r="M7763" s="7"/>
      <c r="N7763" s="7"/>
      <c r="O7763" s="7"/>
      <c r="P7763" s="7"/>
      <c r="Q7763" s="7"/>
      <c r="R7763" s="7"/>
      <c r="S7763" s="7"/>
      <c r="T7763" s="7"/>
      <c r="U7763" s="7"/>
      <c r="V7763" s="7"/>
      <c r="W7763" s="7"/>
      <c r="X7763" s="7"/>
      <c r="Y7763" s="7"/>
      <c r="Z7763" s="7"/>
    </row>
    <row r="7764" hidden="1">
      <c r="A7764" s="7"/>
      <c r="B7764" s="7"/>
      <c r="C7764" s="7"/>
      <c r="D7764" s="7"/>
      <c r="E7764" s="7"/>
      <c r="F7764" s="7"/>
      <c r="G7764" s="7"/>
      <c r="H7764" s="8"/>
      <c r="I7764" s="8"/>
      <c r="J7764" s="7"/>
      <c r="K7764" s="7"/>
      <c r="L7764" s="7"/>
      <c r="M7764" s="7"/>
      <c r="N7764" s="7"/>
      <c r="O7764" s="7"/>
      <c r="P7764" s="7"/>
      <c r="Q7764" s="7"/>
      <c r="R7764" s="7"/>
      <c r="S7764" s="7"/>
      <c r="T7764" s="7"/>
      <c r="U7764" s="7"/>
      <c r="V7764" s="7"/>
      <c r="W7764" s="7"/>
      <c r="X7764" s="7"/>
      <c r="Y7764" s="7"/>
      <c r="Z7764" s="7"/>
    </row>
    <row r="7765" hidden="1">
      <c r="A7765" s="7"/>
      <c r="B7765" s="7"/>
      <c r="C7765" s="7"/>
      <c r="D7765" s="7"/>
      <c r="E7765" s="7"/>
      <c r="F7765" s="7"/>
      <c r="G7765" s="7"/>
      <c r="H7765" s="8"/>
      <c r="I7765" s="8"/>
      <c r="J7765" s="7"/>
      <c r="K7765" s="7"/>
      <c r="L7765" s="7"/>
      <c r="M7765" s="7"/>
      <c r="N7765" s="7"/>
      <c r="O7765" s="7"/>
      <c r="P7765" s="7"/>
      <c r="Q7765" s="7"/>
      <c r="R7765" s="7"/>
      <c r="S7765" s="7"/>
      <c r="T7765" s="7"/>
      <c r="U7765" s="7"/>
      <c r="V7765" s="7"/>
      <c r="W7765" s="7"/>
      <c r="X7765" s="7"/>
      <c r="Y7765" s="7"/>
      <c r="Z7765" s="7"/>
    </row>
    <row r="7766" hidden="1">
      <c r="A7766" s="7"/>
      <c r="B7766" s="7"/>
      <c r="C7766" s="7"/>
      <c r="D7766" s="7"/>
      <c r="E7766" s="7"/>
      <c r="F7766" s="7"/>
      <c r="G7766" s="7"/>
      <c r="H7766" s="8"/>
      <c r="I7766" s="8"/>
      <c r="J7766" s="7"/>
      <c r="K7766" s="7"/>
      <c r="L7766" s="7"/>
      <c r="M7766" s="7"/>
      <c r="N7766" s="7"/>
      <c r="O7766" s="7"/>
      <c r="P7766" s="7"/>
      <c r="Q7766" s="7"/>
      <c r="R7766" s="7"/>
      <c r="S7766" s="7"/>
      <c r="T7766" s="7"/>
      <c r="U7766" s="7"/>
      <c r="V7766" s="7"/>
      <c r="W7766" s="7"/>
      <c r="X7766" s="7"/>
      <c r="Y7766" s="7"/>
      <c r="Z7766" s="7"/>
    </row>
    <row r="7767" hidden="1">
      <c r="A7767" s="7"/>
      <c r="B7767" s="7"/>
      <c r="C7767" s="7"/>
      <c r="D7767" s="7"/>
      <c r="E7767" s="7"/>
      <c r="F7767" s="7"/>
      <c r="G7767" s="7"/>
      <c r="H7767" s="8"/>
      <c r="I7767" s="8"/>
      <c r="J7767" s="7"/>
      <c r="K7767" s="7"/>
      <c r="L7767" s="7"/>
      <c r="M7767" s="7"/>
      <c r="N7767" s="7"/>
      <c r="O7767" s="7"/>
      <c r="P7767" s="7"/>
      <c r="Q7767" s="7"/>
      <c r="R7767" s="7"/>
      <c r="S7767" s="7"/>
      <c r="T7767" s="7"/>
      <c r="U7767" s="7"/>
      <c r="V7767" s="7"/>
      <c r="W7767" s="7"/>
      <c r="X7767" s="7"/>
      <c r="Y7767" s="7"/>
      <c r="Z7767" s="7"/>
    </row>
    <row r="7768" hidden="1">
      <c r="A7768" s="7"/>
      <c r="B7768" s="7"/>
      <c r="C7768" s="7"/>
      <c r="D7768" s="7"/>
      <c r="E7768" s="7"/>
      <c r="F7768" s="7"/>
      <c r="G7768" s="7"/>
      <c r="H7768" s="8"/>
      <c r="I7768" s="8"/>
      <c r="J7768" s="7"/>
      <c r="K7768" s="7"/>
      <c r="L7768" s="7"/>
      <c r="M7768" s="7"/>
      <c r="N7768" s="7"/>
      <c r="O7768" s="7"/>
      <c r="P7768" s="7"/>
      <c r="Q7768" s="7"/>
      <c r="R7768" s="7"/>
      <c r="S7768" s="7"/>
      <c r="T7768" s="7"/>
      <c r="U7768" s="7"/>
      <c r="V7768" s="7"/>
      <c r="W7768" s="7"/>
      <c r="X7768" s="7"/>
      <c r="Y7768" s="7"/>
      <c r="Z7768" s="7"/>
    </row>
    <row r="7769" hidden="1">
      <c r="A7769" s="7"/>
      <c r="B7769" s="7"/>
      <c r="C7769" s="7"/>
      <c r="D7769" s="7"/>
      <c r="E7769" s="7"/>
      <c r="F7769" s="7"/>
      <c r="G7769" s="7"/>
      <c r="H7769" s="8"/>
      <c r="I7769" s="8"/>
      <c r="J7769" s="7"/>
      <c r="K7769" s="7"/>
      <c r="L7769" s="7"/>
      <c r="M7769" s="7"/>
      <c r="N7769" s="7"/>
      <c r="O7769" s="7"/>
      <c r="P7769" s="7"/>
      <c r="Q7769" s="7"/>
      <c r="R7769" s="7"/>
      <c r="S7769" s="7"/>
      <c r="T7769" s="7"/>
      <c r="U7769" s="7"/>
      <c r="V7769" s="7"/>
      <c r="W7769" s="7"/>
      <c r="X7769" s="7"/>
      <c r="Y7769" s="7"/>
      <c r="Z7769" s="7"/>
    </row>
    <row r="7770" hidden="1">
      <c r="A7770" s="7"/>
      <c r="B7770" s="7"/>
      <c r="C7770" s="7"/>
      <c r="D7770" s="7"/>
      <c r="E7770" s="7"/>
      <c r="F7770" s="7"/>
      <c r="G7770" s="7"/>
      <c r="H7770" s="8"/>
      <c r="I7770" s="8"/>
      <c r="J7770" s="7"/>
      <c r="K7770" s="7"/>
      <c r="L7770" s="7"/>
      <c r="M7770" s="7"/>
      <c r="N7770" s="7"/>
      <c r="O7770" s="7"/>
      <c r="P7770" s="7"/>
      <c r="Q7770" s="7"/>
      <c r="R7770" s="7"/>
      <c r="S7770" s="7"/>
      <c r="T7770" s="7"/>
      <c r="U7770" s="7"/>
      <c r="V7770" s="7"/>
      <c r="W7770" s="7"/>
      <c r="X7770" s="7"/>
      <c r="Y7770" s="7"/>
      <c r="Z7770" s="7"/>
    </row>
    <row r="7771" hidden="1">
      <c r="A7771" s="7"/>
      <c r="B7771" s="7"/>
      <c r="C7771" s="7"/>
      <c r="D7771" s="7"/>
      <c r="E7771" s="7"/>
      <c r="F7771" s="7"/>
      <c r="G7771" s="7"/>
      <c r="H7771" s="8"/>
      <c r="I7771" s="8"/>
      <c r="J7771" s="7"/>
      <c r="K7771" s="7"/>
      <c r="L7771" s="7"/>
      <c r="M7771" s="7"/>
      <c r="N7771" s="7"/>
      <c r="O7771" s="7"/>
      <c r="P7771" s="7"/>
      <c r="Q7771" s="7"/>
      <c r="R7771" s="7"/>
      <c r="S7771" s="7"/>
      <c r="T7771" s="7"/>
      <c r="U7771" s="7"/>
      <c r="V7771" s="7"/>
      <c r="W7771" s="7"/>
      <c r="X7771" s="7"/>
      <c r="Y7771" s="7"/>
      <c r="Z7771" s="7"/>
    </row>
    <row r="7772" hidden="1">
      <c r="A7772" s="7"/>
      <c r="B7772" s="7"/>
      <c r="C7772" s="7"/>
      <c r="D7772" s="7"/>
      <c r="E7772" s="7"/>
      <c r="F7772" s="7"/>
      <c r="G7772" s="7"/>
      <c r="H7772" s="8"/>
      <c r="I7772" s="8"/>
      <c r="J7772" s="7"/>
      <c r="K7772" s="7"/>
      <c r="L7772" s="7"/>
      <c r="M7772" s="7"/>
      <c r="N7772" s="7"/>
      <c r="O7772" s="7"/>
      <c r="P7772" s="7"/>
      <c r="Q7772" s="7"/>
      <c r="R7772" s="7"/>
      <c r="S7772" s="7"/>
      <c r="T7772" s="7"/>
      <c r="U7772" s="7"/>
      <c r="V7772" s="7"/>
      <c r="W7772" s="7"/>
      <c r="X7772" s="7"/>
      <c r="Y7772" s="7"/>
      <c r="Z7772" s="7"/>
    </row>
    <row r="7773" hidden="1">
      <c r="A7773" s="7"/>
      <c r="B7773" s="7"/>
      <c r="C7773" s="7"/>
      <c r="D7773" s="7"/>
      <c r="E7773" s="7"/>
      <c r="F7773" s="7"/>
      <c r="G7773" s="7"/>
      <c r="H7773" s="8"/>
      <c r="I7773" s="8"/>
      <c r="J7773" s="7"/>
      <c r="K7773" s="7"/>
      <c r="L7773" s="7"/>
      <c r="M7773" s="7"/>
      <c r="N7773" s="7"/>
      <c r="O7773" s="7"/>
      <c r="P7773" s="7"/>
      <c r="Q7773" s="7"/>
      <c r="R7773" s="7"/>
      <c r="S7773" s="7"/>
      <c r="T7773" s="7"/>
      <c r="U7773" s="7"/>
      <c r="V7773" s="7"/>
      <c r="W7773" s="7"/>
      <c r="X7773" s="7"/>
      <c r="Y7773" s="7"/>
      <c r="Z7773" s="7"/>
    </row>
    <row r="7774" hidden="1">
      <c r="A7774" s="7"/>
      <c r="B7774" s="7"/>
      <c r="C7774" s="7"/>
      <c r="D7774" s="7"/>
      <c r="E7774" s="7"/>
      <c r="F7774" s="7"/>
      <c r="G7774" s="7"/>
      <c r="H7774" s="8"/>
      <c r="I7774" s="8"/>
      <c r="J7774" s="7"/>
      <c r="K7774" s="7"/>
      <c r="L7774" s="7"/>
      <c r="M7774" s="7"/>
      <c r="N7774" s="7"/>
      <c r="O7774" s="7"/>
      <c r="P7774" s="7"/>
      <c r="Q7774" s="7"/>
      <c r="R7774" s="7"/>
      <c r="S7774" s="7"/>
      <c r="T7774" s="7"/>
      <c r="U7774" s="7"/>
      <c r="V7774" s="7"/>
      <c r="W7774" s="7"/>
      <c r="X7774" s="7"/>
      <c r="Y7774" s="7"/>
      <c r="Z7774" s="7"/>
    </row>
    <row r="7775" hidden="1">
      <c r="A7775" s="7"/>
      <c r="B7775" s="7"/>
      <c r="C7775" s="7"/>
      <c r="D7775" s="7"/>
      <c r="E7775" s="7"/>
      <c r="F7775" s="7"/>
      <c r="G7775" s="7"/>
      <c r="H7775" s="8"/>
      <c r="I7775" s="8"/>
      <c r="J7775" s="7"/>
      <c r="K7775" s="7"/>
      <c r="L7775" s="7"/>
      <c r="M7775" s="7"/>
      <c r="N7775" s="7"/>
      <c r="O7775" s="7"/>
      <c r="P7775" s="7"/>
      <c r="Q7775" s="7"/>
      <c r="R7775" s="7"/>
      <c r="S7775" s="7"/>
      <c r="T7775" s="7"/>
      <c r="U7775" s="7"/>
      <c r="V7775" s="7"/>
      <c r="W7775" s="7"/>
      <c r="X7775" s="7"/>
      <c r="Y7775" s="7"/>
      <c r="Z7775" s="7"/>
    </row>
    <row r="7776" hidden="1">
      <c r="A7776" s="7"/>
      <c r="B7776" s="7"/>
      <c r="C7776" s="7"/>
      <c r="D7776" s="7"/>
      <c r="E7776" s="7"/>
      <c r="F7776" s="7"/>
      <c r="G7776" s="7"/>
      <c r="H7776" s="8"/>
      <c r="I7776" s="8"/>
      <c r="J7776" s="7"/>
      <c r="K7776" s="7"/>
      <c r="L7776" s="7"/>
      <c r="M7776" s="7"/>
      <c r="N7776" s="7"/>
      <c r="O7776" s="7"/>
      <c r="P7776" s="7"/>
      <c r="Q7776" s="7"/>
      <c r="R7776" s="7"/>
      <c r="S7776" s="7"/>
      <c r="T7776" s="7"/>
      <c r="U7776" s="7"/>
      <c r="V7776" s="7"/>
      <c r="W7776" s="7"/>
      <c r="X7776" s="7"/>
      <c r="Y7776" s="7"/>
      <c r="Z7776" s="7"/>
    </row>
    <row r="7777" hidden="1">
      <c r="A7777" s="7"/>
      <c r="B7777" s="7"/>
      <c r="C7777" s="7"/>
      <c r="D7777" s="7"/>
      <c r="E7777" s="7"/>
      <c r="F7777" s="7"/>
      <c r="G7777" s="7"/>
      <c r="H7777" s="8"/>
      <c r="I7777" s="8"/>
      <c r="J7777" s="7"/>
      <c r="K7777" s="7"/>
      <c r="L7777" s="7"/>
      <c r="M7777" s="7"/>
      <c r="N7777" s="7"/>
      <c r="O7777" s="7"/>
      <c r="P7777" s="7"/>
      <c r="Q7777" s="7"/>
      <c r="R7777" s="7"/>
      <c r="S7777" s="7"/>
      <c r="T7777" s="7"/>
      <c r="U7777" s="7"/>
      <c r="V7777" s="7"/>
      <c r="W7777" s="7"/>
      <c r="X7777" s="7"/>
      <c r="Y7777" s="7"/>
      <c r="Z7777" s="7"/>
    </row>
    <row r="7778" hidden="1">
      <c r="A7778" s="7"/>
      <c r="B7778" s="7"/>
      <c r="C7778" s="7"/>
      <c r="D7778" s="7"/>
      <c r="E7778" s="7"/>
      <c r="F7778" s="7"/>
      <c r="G7778" s="7"/>
      <c r="H7778" s="8"/>
      <c r="I7778" s="8"/>
      <c r="J7778" s="7"/>
      <c r="K7778" s="7"/>
      <c r="L7778" s="7"/>
      <c r="M7778" s="7"/>
      <c r="N7778" s="7"/>
      <c r="O7778" s="7"/>
      <c r="P7778" s="7"/>
      <c r="Q7778" s="7"/>
      <c r="R7778" s="7"/>
      <c r="S7778" s="7"/>
      <c r="T7778" s="7"/>
      <c r="U7778" s="7"/>
      <c r="V7778" s="7"/>
      <c r="W7778" s="7"/>
      <c r="X7778" s="7"/>
      <c r="Y7778" s="7"/>
      <c r="Z7778" s="7"/>
    </row>
    <row r="7779" hidden="1">
      <c r="A7779" s="7"/>
      <c r="B7779" s="7"/>
      <c r="C7779" s="7"/>
      <c r="D7779" s="7"/>
      <c r="E7779" s="7"/>
      <c r="F7779" s="7"/>
      <c r="G7779" s="7"/>
      <c r="H7779" s="8"/>
      <c r="I7779" s="8"/>
      <c r="J7779" s="7"/>
      <c r="K7779" s="7"/>
      <c r="L7779" s="7"/>
      <c r="M7779" s="7"/>
      <c r="N7779" s="7"/>
      <c r="O7779" s="7"/>
      <c r="P7779" s="7"/>
      <c r="Q7779" s="7"/>
      <c r="R7779" s="7"/>
      <c r="S7779" s="7"/>
      <c r="T7779" s="7"/>
      <c r="U7779" s="7"/>
      <c r="V7779" s="7"/>
      <c r="W7779" s="7"/>
      <c r="X7779" s="7"/>
      <c r="Y7779" s="7"/>
      <c r="Z7779" s="7"/>
    </row>
    <row r="7780" hidden="1">
      <c r="A7780" s="7"/>
      <c r="B7780" s="7"/>
      <c r="C7780" s="7"/>
      <c r="D7780" s="7"/>
      <c r="E7780" s="7"/>
      <c r="F7780" s="7"/>
      <c r="G7780" s="7"/>
      <c r="H7780" s="8"/>
      <c r="I7780" s="8"/>
      <c r="J7780" s="7"/>
      <c r="K7780" s="7"/>
      <c r="L7780" s="7"/>
      <c r="M7780" s="7"/>
      <c r="N7780" s="7"/>
      <c r="O7780" s="7"/>
      <c r="P7780" s="7"/>
      <c r="Q7780" s="7"/>
      <c r="R7780" s="7"/>
      <c r="S7780" s="7"/>
      <c r="T7780" s="7"/>
      <c r="U7780" s="7"/>
      <c r="V7780" s="7"/>
      <c r="W7780" s="7"/>
      <c r="X7780" s="7"/>
      <c r="Y7780" s="7"/>
      <c r="Z7780" s="7"/>
    </row>
    <row r="7781" hidden="1">
      <c r="A7781" s="7"/>
      <c r="B7781" s="7"/>
      <c r="C7781" s="7"/>
      <c r="D7781" s="7"/>
      <c r="E7781" s="7"/>
      <c r="F7781" s="7"/>
      <c r="G7781" s="7"/>
      <c r="H7781" s="8"/>
      <c r="I7781" s="8"/>
      <c r="J7781" s="7"/>
      <c r="K7781" s="7"/>
      <c r="L7781" s="7"/>
      <c r="M7781" s="7"/>
      <c r="N7781" s="7"/>
      <c r="O7781" s="7"/>
      <c r="P7781" s="7"/>
      <c r="Q7781" s="7"/>
      <c r="R7781" s="7"/>
      <c r="S7781" s="7"/>
      <c r="T7781" s="7"/>
      <c r="U7781" s="7"/>
      <c r="V7781" s="7"/>
      <c r="W7781" s="7"/>
      <c r="X7781" s="7"/>
      <c r="Y7781" s="7"/>
      <c r="Z7781" s="7"/>
    </row>
    <row r="7782" hidden="1">
      <c r="A7782" s="7"/>
      <c r="B7782" s="7"/>
      <c r="C7782" s="7"/>
      <c r="D7782" s="7"/>
      <c r="E7782" s="7"/>
      <c r="F7782" s="7"/>
      <c r="G7782" s="7"/>
      <c r="H7782" s="8"/>
      <c r="I7782" s="8"/>
      <c r="J7782" s="7"/>
      <c r="K7782" s="7"/>
      <c r="L7782" s="7"/>
      <c r="M7782" s="7"/>
      <c r="N7782" s="7"/>
      <c r="O7782" s="7"/>
      <c r="P7782" s="7"/>
      <c r="Q7782" s="7"/>
      <c r="R7782" s="7"/>
      <c r="S7782" s="7"/>
      <c r="T7782" s="7"/>
      <c r="U7782" s="7"/>
      <c r="V7782" s="7"/>
      <c r="W7782" s="7"/>
      <c r="X7782" s="7"/>
      <c r="Y7782" s="7"/>
      <c r="Z7782" s="7"/>
    </row>
    <row r="7783" hidden="1">
      <c r="A7783" s="7"/>
      <c r="B7783" s="7"/>
      <c r="C7783" s="7"/>
      <c r="D7783" s="7"/>
      <c r="E7783" s="7"/>
      <c r="F7783" s="7"/>
      <c r="G7783" s="7"/>
      <c r="H7783" s="8"/>
      <c r="I7783" s="8"/>
      <c r="J7783" s="7"/>
      <c r="K7783" s="7"/>
      <c r="L7783" s="7"/>
      <c r="M7783" s="7"/>
      <c r="N7783" s="7"/>
      <c r="O7783" s="7"/>
      <c r="P7783" s="7"/>
      <c r="Q7783" s="7"/>
      <c r="R7783" s="7"/>
      <c r="S7783" s="7"/>
      <c r="T7783" s="7"/>
      <c r="U7783" s="7"/>
      <c r="V7783" s="7"/>
      <c r="W7783" s="7"/>
      <c r="X7783" s="7"/>
      <c r="Y7783" s="7"/>
      <c r="Z7783" s="7"/>
    </row>
    <row r="7784" hidden="1">
      <c r="A7784" s="7"/>
      <c r="B7784" s="7"/>
      <c r="C7784" s="7"/>
      <c r="D7784" s="7"/>
      <c r="E7784" s="7"/>
      <c r="F7784" s="7"/>
      <c r="G7784" s="7"/>
      <c r="H7784" s="8"/>
      <c r="I7784" s="8"/>
      <c r="J7784" s="7"/>
      <c r="K7784" s="7"/>
      <c r="L7784" s="7"/>
      <c r="M7784" s="7"/>
      <c r="N7784" s="7"/>
      <c r="O7784" s="7"/>
      <c r="P7784" s="7"/>
      <c r="Q7784" s="7"/>
      <c r="R7784" s="7"/>
      <c r="S7784" s="7"/>
      <c r="T7784" s="7"/>
      <c r="U7784" s="7"/>
      <c r="V7784" s="7"/>
      <c r="W7784" s="7"/>
      <c r="X7784" s="7"/>
      <c r="Y7784" s="7"/>
      <c r="Z7784" s="7"/>
    </row>
    <row r="7785" hidden="1">
      <c r="A7785" s="7"/>
      <c r="B7785" s="7"/>
      <c r="C7785" s="7"/>
      <c r="D7785" s="7"/>
      <c r="E7785" s="7"/>
      <c r="F7785" s="7"/>
      <c r="G7785" s="7"/>
      <c r="H7785" s="8"/>
      <c r="I7785" s="8"/>
      <c r="J7785" s="7"/>
      <c r="K7785" s="7"/>
      <c r="L7785" s="7"/>
      <c r="M7785" s="7"/>
      <c r="N7785" s="7"/>
      <c r="O7785" s="7"/>
      <c r="P7785" s="7"/>
      <c r="Q7785" s="7"/>
      <c r="R7785" s="7"/>
      <c r="S7785" s="7"/>
      <c r="T7785" s="7"/>
      <c r="U7785" s="7"/>
      <c r="V7785" s="7"/>
      <c r="W7785" s="7"/>
      <c r="X7785" s="7"/>
      <c r="Y7785" s="7"/>
      <c r="Z7785" s="7"/>
    </row>
    <row r="7786" hidden="1">
      <c r="A7786" s="7"/>
      <c r="B7786" s="7"/>
      <c r="C7786" s="7"/>
      <c r="D7786" s="7"/>
      <c r="E7786" s="7"/>
      <c r="F7786" s="7"/>
      <c r="G7786" s="7"/>
      <c r="H7786" s="8"/>
      <c r="I7786" s="8"/>
      <c r="J7786" s="7"/>
      <c r="K7786" s="7"/>
      <c r="L7786" s="7"/>
      <c r="M7786" s="7"/>
      <c r="N7786" s="7"/>
      <c r="O7786" s="7"/>
      <c r="P7786" s="7"/>
      <c r="Q7786" s="7"/>
      <c r="R7786" s="7"/>
      <c r="S7786" s="7"/>
      <c r="T7786" s="7"/>
      <c r="U7786" s="7"/>
      <c r="V7786" s="7"/>
      <c r="W7786" s="7"/>
      <c r="X7786" s="7"/>
      <c r="Y7786" s="7"/>
      <c r="Z7786" s="7"/>
    </row>
    <row r="7787" hidden="1">
      <c r="A7787" s="7"/>
      <c r="B7787" s="7"/>
      <c r="C7787" s="7"/>
      <c r="D7787" s="7"/>
      <c r="E7787" s="7"/>
      <c r="F7787" s="7"/>
      <c r="G7787" s="7"/>
      <c r="H7787" s="8"/>
      <c r="I7787" s="8"/>
      <c r="J7787" s="7"/>
      <c r="K7787" s="7"/>
      <c r="L7787" s="7"/>
      <c r="M7787" s="7"/>
      <c r="N7787" s="7"/>
      <c r="O7787" s="7"/>
      <c r="P7787" s="7"/>
      <c r="Q7787" s="7"/>
      <c r="R7787" s="7"/>
      <c r="S7787" s="7"/>
      <c r="T7787" s="7"/>
      <c r="U7787" s="7"/>
      <c r="V7787" s="7"/>
      <c r="W7787" s="7"/>
      <c r="X7787" s="7"/>
      <c r="Y7787" s="7"/>
      <c r="Z7787" s="7"/>
    </row>
    <row r="7788" hidden="1">
      <c r="A7788" s="7"/>
      <c r="B7788" s="7"/>
      <c r="C7788" s="7"/>
      <c r="D7788" s="7"/>
      <c r="E7788" s="7"/>
      <c r="F7788" s="7"/>
      <c r="G7788" s="7"/>
      <c r="H7788" s="8"/>
      <c r="I7788" s="8"/>
      <c r="J7788" s="7"/>
      <c r="K7788" s="7"/>
      <c r="L7788" s="7"/>
      <c r="M7788" s="7"/>
      <c r="N7788" s="7"/>
      <c r="O7788" s="7"/>
      <c r="P7788" s="7"/>
      <c r="Q7788" s="7"/>
      <c r="R7788" s="7"/>
      <c r="S7788" s="7"/>
      <c r="T7788" s="7"/>
      <c r="U7788" s="7"/>
      <c r="V7788" s="7"/>
      <c r="W7788" s="7"/>
      <c r="X7788" s="7"/>
      <c r="Y7788" s="7"/>
      <c r="Z7788" s="7"/>
    </row>
    <row r="7789" hidden="1">
      <c r="A7789" s="7"/>
      <c r="B7789" s="7"/>
      <c r="C7789" s="7"/>
      <c r="D7789" s="7"/>
      <c r="E7789" s="7"/>
      <c r="F7789" s="7"/>
      <c r="G7789" s="7"/>
      <c r="H7789" s="8"/>
      <c r="I7789" s="8"/>
      <c r="J7789" s="7"/>
      <c r="K7789" s="7"/>
      <c r="L7789" s="7"/>
      <c r="M7789" s="7"/>
      <c r="N7789" s="7"/>
      <c r="O7789" s="7"/>
      <c r="P7789" s="7"/>
      <c r="Q7789" s="7"/>
      <c r="R7789" s="7"/>
      <c r="S7789" s="7"/>
      <c r="T7789" s="7"/>
      <c r="U7789" s="7"/>
      <c r="V7789" s="7"/>
      <c r="W7789" s="7"/>
      <c r="X7789" s="7"/>
      <c r="Y7789" s="7"/>
      <c r="Z7789" s="7"/>
    </row>
    <row r="7790" hidden="1">
      <c r="A7790" s="7"/>
      <c r="B7790" s="7"/>
      <c r="C7790" s="7"/>
      <c r="D7790" s="7"/>
      <c r="E7790" s="7"/>
      <c r="F7790" s="7"/>
      <c r="G7790" s="7"/>
      <c r="H7790" s="8"/>
      <c r="I7790" s="8"/>
      <c r="J7790" s="7"/>
      <c r="K7790" s="7"/>
      <c r="L7790" s="7"/>
      <c r="M7790" s="7"/>
      <c r="N7790" s="7"/>
      <c r="O7790" s="7"/>
      <c r="P7790" s="7"/>
      <c r="Q7790" s="7"/>
      <c r="R7790" s="7"/>
      <c r="S7790" s="7"/>
      <c r="T7790" s="7"/>
      <c r="U7790" s="7"/>
      <c r="V7790" s="7"/>
      <c r="W7790" s="7"/>
      <c r="X7790" s="7"/>
      <c r="Y7790" s="7"/>
      <c r="Z7790" s="7"/>
    </row>
    <row r="7791" hidden="1">
      <c r="A7791" s="7"/>
      <c r="B7791" s="7"/>
      <c r="C7791" s="7"/>
      <c r="D7791" s="7"/>
      <c r="E7791" s="7"/>
      <c r="F7791" s="7"/>
      <c r="G7791" s="7"/>
      <c r="H7791" s="8"/>
      <c r="I7791" s="8"/>
      <c r="J7791" s="7"/>
      <c r="K7791" s="7"/>
      <c r="L7791" s="7"/>
      <c r="M7791" s="7"/>
      <c r="N7791" s="7"/>
      <c r="O7791" s="7"/>
      <c r="P7791" s="7"/>
      <c r="Q7791" s="7"/>
      <c r="R7791" s="7"/>
      <c r="S7791" s="7"/>
      <c r="T7791" s="7"/>
      <c r="U7791" s="7"/>
      <c r="V7791" s="7"/>
      <c r="W7791" s="7"/>
      <c r="X7791" s="7"/>
      <c r="Y7791" s="7"/>
      <c r="Z7791" s="7"/>
    </row>
    <row r="7792" hidden="1">
      <c r="A7792" s="7"/>
      <c r="B7792" s="7"/>
      <c r="C7792" s="7"/>
      <c r="D7792" s="7"/>
      <c r="E7792" s="7"/>
      <c r="F7792" s="7"/>
      <c r="G7792" s="7"/>
      <c r="H7792" s="8"/>
      <c r="I7792" s="8"/>
      <c r="J7792" s="7"/>
      <c r="K7792" s="7"/>
      <c r="L7792" s="7"/>
      <c r="M7792" s="7"/>
      <c r="N7792" s="7"/>
      <c r="O7792" s="7"/>
      <c r="P7792" s="7"/>
      <c r="Q7792" s="7"/>
      <c r="R7792" s="7"/>
      <c r="S7792" s="7"/>
      <c r="T7792" s="7"/>
      <c r="U7792" s="7"/>
      <c r="V7792" s="7"/>
      <c r="W7792" s="7"/>
      <c r="X7792" s="7"/>
      <c r="Y7792" s="7"/>
      <c r="Z7792" s="7"/>
    </row>
    <row r="7793" hidden="1">
      <c r="A7793" s="7"/>
      <c r="B7793" s="7"/>
      <c r="C7793" s="7"/>
      <c r="D7793" s="7"/>
      <c r="E7793" s="7"/>
      <c r="F7793" s="7"/>
      <c r="G7793" s="7"/>
      <c r="H7793" s="8"/>
      <c r="I7793" s="8"/>
      <c r="J7793" s="7"/>
      <c r="K7793" s="7"/>
      <c r="L7793" s="7"/>
      <c r="M7793" s="7"/>
      <c r="N7793" s="7"/>
      <c r="O7793" s="7"/>
      <c r="P7793" s="7"/>
      <c r="Q7793" s="7"/>
      <c r="R7793" s="7"/>
      <c r="S7793" s="7"/>
      <c r="T7793" s="7"/>
      <c r="U7793" s="7"/>
      <c r="V7793" s="7"/>
      <c r="W7793" s="7"/>
      <c r="X7793" s="7"/>
      <c r="Y7793" s="7"/>
      <c r="Z7793" s="7"/>
    </row>
    <row r="7794" hidden="1">
      <c r="A7794" s="7"/>
      <c r="B7794" s="7"/>
      <c r="C7794" s="7"/>
      <c r="D7794" s="7"/>
      <c r="E7794" s="7"/>
      <c r="F7794" s="7"/>
      <c r="G7794" s="7"/>
      <c r="H7794" s="8"/>
      <c r="I7794" s="8"/>
      <c r="J7794" s="7"/>
      <c r="K7794" s="7"/>
      <c r="L7794" s="7"/>
      <c r="M7794" s="7"/>
      <c r="N7794" s="7"/>
      <c r="O7794" s="7"/>
      <c r="P7794" s="7"/>
      <c r="Q7794" s="7"/>
      <c r="R7794" s="7"/>
      <c r="S7794" s="7"/>
      <c r="T7794" s="7"/>
      <c r="U7794" s="7"/>
      <c r="V7794" s="7"/>
      <c r="W7794" s="7"/>
      <c r="X7794" s="7"/>
      <c r="Y7794" s="7"/>
      <c r="Z7794" s="7"/>
    </row>
    <row r="7795" hidden="1">
      <c r="A7795" s="7"/>
      <c r="B7795" s="7"/>
      <c r="C7795" s="7"/>
      <c r="D7795" s="7"/>
      <c r="E7795" s="7"/>
      <c r="F7795" s="7"/>
      <c r="G7795" s="7"/>
      <c r="H7795" s="8"/>
      <c r="I7795" s="8"/>
      <c r="J7795" s="7"/>
      <c r="K7795" s="7"/>
      <c r="L7795" s="7"/>
      <c r="M7795" s="7"/>
      <c r="N7795" s="7"/>
      <c r="O7795" s="7"/>
      <c r="P7795" s="7"/>
      <c r="Q7795" s="7"/>
      <c r="R7795" s="7"/>
      <c r="S7795" s="7"/>
      <c r="T7795" s="7"/>
      <c r="U7795" s="7"/>
      <c r="V7795" s="7"/>
      <c r="W7795" s="7"/>
      <c r="X7795" s="7"/>
      <c r="Y7795" s="7"/>
      <c r="Z7795" s="7"/>
    </row>
    <row r="7796" hidden="1">
      <c r="A7796" s="7"/>
      <c r="B7796" s="7"/>
      <c r="C7796" s="7"/>
      <c r="D7796" s="7"/>
      <c r="E7796" s="7"/>
      <c r="F7796" s="7"/>
      <c r="G7796" s="7"/>
      <c r="H7796" s="8"/>
      <c r="I7796" s="8"/>
      <c r="J7796" s="7"/>
      <c r="K7796" s="7"/>
      <c r="L7796" s="7"/>
      <c r="M7796" s="7"/>
      <c r="N7796" s="7"/>
      <c r="O7796" s="7"/>
      <c r="P7796" s="7"/>
      <c r="Q7796" s="7"/>
      <c r="R7796" s="7"/>
      <c r="S7796" s="7"/>
      <c r="T7796" s="7"/>
      <c r="U7796" s="7"/>
      <c r="V7796" s="7"/>
      <c r="W7796" s="7"/>
      <c r="X7796" s="7"/>
      <c r="Y7796" s="7"/>
      <c r="Z7796" s="7"/>
    </row>
    <row r="7797" hidden="1">
      <c r="A7797" s="7"/>
      <c r="B7797" s="7"/>
      <c r="C7797" s="7"/>
      <c r="D7797" s="7"/>
      <c r="E7797" s="7"/>
      <c r="F7797" s="7"/>
      <c r="G7797" s="7"/>
      <c r="H7797" s="8"/>
      <c r="I7797" s="8"/>
      <c r="J7797" s="7"/>
      <c r="K7797" s="7"/>
      <c r="L7797" s="7"/>
      <c r="M7797" s="7"/>
      <c r="N7797" s="7"/>
      <c r="O7797" s="7"/>
      <c r="P7797" s="7"/>
      <c r="Q7797" s="7"/>
      <c r="R7797" s="7"/>
      <c r="S7797" s="7"/>
      <c r="T7797" s="7"/>
      <c r="U7797" s="7"/>
      <c r="V7797" s="7"/>
      <c r="W7797" s="7"/>
      <c r="X7797" s="7"/>
      <c r="Y7797" s="7"/>
      <c r="Z7797" s="7"/>
    </row>
    <row r="7798" hidden="1">
      <c r="A7798" s="7"/>
      <c r="B7798" s="7"/>
      <c r="C7798" s="7"/>
      <c r="D7798" s="7"/>
      <c r="E7798" s="7"/>
      <c r="F7798" s="7"/>
      <c r="G7798" s="7"/>
      <c r="H7798" s="8"/>
      <c r="I7798" s="8"/>
      <c r="J7798" s="7"/>
      <c r="K7798" s="7"/>
      <c r="L7798" s="7"/>
      <c r="M7798" s="7"/>
      <c r="N7798" s="7"/>
      <c r="O7798" s="7"/>
      <c r="P7798" s="7"/>
      <c r="Q7798" s="7"/>
      <c r="R7798" s="7"/>
      <c r="S7798" s="7"/>
      <c r="T7798" s="7"/>
      <c r="U7798" s="7"/>
      <c r="V7798" s="7"/>
      <c r="W7798" s="7"/>
      <c r="X7798" s="7"/>
      <c r="Y7798" s="7"/>
      <c r="Z7798" s="7"/>
    </row>
    <row r="7799" hidden="1">
      <c r="A7799" s="7"/>
      <c r="B7799" s="7"/>
      <c r="C7799" s="7"/>
      <c r="D7799" s="7"/>
      <c r="E7799" s="7"/>
      <c r="F7799" s="7"/>
      <c r="G7799" s="7"/>
      <c r="H7799" s="8"/>
      <c r="I7799" s="8"/>
      <c r="J7799" s="7"/>
      <c r="K7799" s="7"/>
      <c r="L7799" s="7"/>
      <c r="M7799" s="7"/>
      <c r="N7799" s="7"/>
      <c r="O7799" s="7"/>
      <c r="P7799" s="7"/>
      <c r="Q7799" s="7"/>
      <c r="R7799" s="7"/>
      <c r="S7799" s="7"/>
      <c r="T7799" s="7"/>
      <c r="U7799" s="7"/>
      <c r="V7799" s="7"/>
      <c r="W7799" s="7"/>
      <c r="X7799" s="7"/>
      <c r="Y7799" s="7"/>
      <c r="Z7799" s="7"/>
    </row>
    <row r="7800" hidden="1">
      <c r="A7800" s="7"/>
      <c r="B7800" s="7"/>
      <c r="C7800" s="7"/>
      <c r="D7800" s="7"/>
      <c r="E7800" s="7"/>
      <c r="F7800" s="7"/>
      <c r="G7800" s="7"/>
      <c r="H7800" s="8"/>
      <c r="I7800" s="8"/>
      <c r="J7800" s="7"/>
      <c r="K7800" s="7"/>
      <c r="L7800" s="7"/>
      <c r="M7800" s="7"/>
      <c r="N7800" s="7"/>
      <c r="O7800" s="7"/>
      <c r="P7800" s="7"/>
      <c r="Q7800" s="7"/>
      <c r="R7800" s="7"/>
      <c r="S7800" s="7"/>
      <c r="T7800" s="7"/>
      <c r="U7800" s="7"/>
      <c r="V7800" s="7"/>
      <c r="W7800" s="7"/>
      <c r="X7800" s="7"/>
      <c r="Y7800" s="7"/>
      <c r="Z7800" s="7"/>
    </row>
    <row r="7801" hidden="1">
      <c r="A7801" s="7"/>
      <c r="B7801" s="7"/>
      <c r="C7801" s="7"/>
      <c r="D7801" s="7"/>
      <c r="E7801" s="7"/>
      <c r="F7801" s="7"/>
      <c r="G7801" s="7"/>
      <c r="H7801" s="8"/>
      <c r="I7801" s="8"/>
      <c r="J7801" s="7"/>
      <c r="K7801" s="7"/>
      <c r="L7801" s="7"/>
      <c r="M7801" s="7"/>
      <c r="N7801" s="7"/>
      <c r="O7801" s="7"/>
      <c r="P7801" s="7"/>
      <c r="Q7801" s="7"/>
      <c r="R7801" s="7"/>
      <c r="S7801" s="7"/>
      <c r="T7801" s="7"/>
      <c r="U7801" s="7"/>
      <c r="V7801" s="7"/>
      <c r="W7801" s="7"/>
      <c r="X7801" s="7"/>
      <c r="Y7801" s="7"/>
      <c r="Z7801" s="7"/>
    </row>
    <row r="7802" hidden="1">
      <c r="A7802" s="7"/>
      <c r="B7802" s="7"/>
      <c r="C7802" s="7"/>
      <c r="D7802" s="7"/>
      <c r="E7802" s="7"/>
      <c r="F7802" s="7"/>
      <c r="G7802" s="7"/>
      <c r="H7802" s="8"/>
      <c r="I7802" s="8"/>
      <c r="J7802" s="7"/>
      <c r="K7802" s="7"/>
      <c r="L7802" s="7"/>
      <c r="M7802" s="7"/>
      <c r="N7802" s="7"/>
      <c r="O7802" s="7"/>
      <c r="P7802" s="7"/>
      <c r="Q7802" s="7"/>
      <c r="R7802" s="7"/>
      <c r="S7802" s="7"/>
      <c r="T7802" s="7"/>
      <c r="U7802" s="7"/>
      <c r="V7802" s="7"/>
      <c r="W7802" s="7"/>
      <c r="X7802" s="7"/>
      <c r="Y7802" s="7"/>
      <c r="Z7802" s="7"/>
    </row>
    <row r="7803" hidden="1">
      <c r="A7803" s="7"/>
      <c r="B7803" s="7"/>
      <c r="C7803" s="7"/>
      <c r="D7803" s="7"/>
      <c r="E7803" s="7"/>
      <c r="F7803" s="7"/>
      <c r="G7803" s="7"/>
      <c r="H7803" s="8"/>
      <c r="I7803" s="8"/>
      <c r="J7803" s="7"/>
      <c r="K7803" s="7"/>
      <c r="L7803" s="7"/>
      <c r="M7803" s="7"/>
      <c r="N7803" s="7"/>
      <c r="O7803" s="7"/>
      <c r="P7803" s="7"/>
      <c r="Q7803" s="7"/>
      <c r="R7803" s="7"/>
      <c r="S7803" s="7"/>
      <c r="T7803" s="7"/>
      <c r="U7803" s="7"/>
      <c r="V7803" s="7"/>
      <c r="W7803" s="7"/>
      <c r="X7803" s="7"/>
      <c r="Y7803" s="7"/>
      <c r="Z7803" s="7"/>
    </row>
    <row r="7804" hidden="1">
      <c r="A7804" s="7"/>
      <c r="B7804" s="7"/>
      <c r="C7804" s="7"/>
      <c r="D7804" s="7"/>
      <c r="E7804" s="7"/>
      <c r="F7804" s="7"/>
      <c r="G7804" s="7"/>
      <c r="H7804" s="8"/>
      <c r="I7804" s="8"/>
      <c r="J7804" s="7"/>
      <c r="K7804" s="7"/>
      <c r="L7804" s="7"/>
      <c r="M7804" s="7"/>
      <c r="N7804" s="7"/>
      <c r="O7804" s="7"/>
      <c r="P7804" s="7"/>
      <c r="Q7804" s="7"/>
      <c r="R7804" s="7"/>
      <c r="S7804" s="7"/>
      <c r="T7804" s="7"/>
      <c r="U7804" s="7"/>
      <c r="V7804" s="7"/>
      <c r="W7804" s="7"/>
      <c r="X7804" s="7"/>
      <c r="Y7804" s="7"/>
      <c r="Z7804" s="7"/>
    </row>
    <row r="7805" hidden="1">
      <c r="A7805" s="7"/>
      <c r="B7805" s="7"/>
      <c r="C7805" s="7"/>
      <c r="D7805" s="7"/>
      <c r="E7805" s="7"/>
      <c r="F7805" s="7"/>
      <c r="G7805" s="7"/>
      <c r="H7805" s="8"/>
      <c r="I7805" s="8"/>
      <c r="J7805" s="7"/>
      <c r="K7805" s="7"/>
      <c r="L7805" s="7"/>
      <c r="M7805" s="7"/>
      <c r="N7805" s="7"/>
      <c r="O7805" s="7"/>
      <c r="P7805" s="7"/>
      <c r="Q7805" s="7"/>
      <c r="R7805" s="7"/>
      <c r="S7805" s="7"/>
      <c r="T7805" s="7"/>
      <c r="U7805" s="7"/>
      <c r="V7805" s="7"/>
      <c r="W7805" s="7"/>
      <c r="X7805" s="7"/>
      <c r="Y7805" s="7"/>
      <c r="Z7805" s="7"/>
    </row>
    <row r="7806" hidden="1">
      <c r="A7806" s="7"/>
      <c r="B7806" s="7"/>
      <c r="C7806" s="7"/>
      <c r="D7806" s="7"/>
      <c r="E7806" s="7"/>
      <c r="F7806" s="7"/>
      <c r="G7806" s="7"/>
      <c r="H7806" s="8"/>
      <c r="I7806" s="8"/>
      <c r="J7806" s="7"/>
      <c r="K7806" s="7"/>
      <c r="L7806" s="7"/>
      <c r="M7806" s="7"/>
      <c r="N7806" s="7"/>
      <c r="O7806" s="7"/>
      <c r="P7806" s="7"/>
      <c r="Q7806" s="7"/>
      <c r="R7806" s="7"/>
      <c r="S7806" s="7"/>
      <c r="T7806" s="7"/>
      <c r="U7806" s="7"/>
      <c r="V7806" s="7"/>
      <c r="W7806" s="7"/>
      <c r="X7806" s="7"/>
      <c r="Y7806" s="7"/>
      <c r="Z7806" s="7"/>
    </row>
    <row r="7807" hidden="1">
      <c r="A7807" s="7"/>
      <c r="B7807" s="7"/>
      <c r="C7807" s="7"/>
      <c r="D7807" s="7"/>
      <c r="E7807" s="7"/>
      <c r="F7807" s="7"/>
      <c r="G7807" s="7"/>
      <c r="H7807" s="8"/>
      <c r="I7807" s="8"/>
      <c r="J7807" s="7"/>
      <c r="K7807" s="7"/>
      <c r="L7807" s="7"/>
      <c r="M7807" s="7"/>
      <c r="N7807" s="7"/>
      <c r="O7807" s="7"/>
      <c r="P7807" s="7"/>
      <c r="Q7807" s="7"/>
      <c r="R7807" s="7"/>
      <c r="S7807" s="7"/>
      <c r="T7807" s="7"/>
      <c r="U7807" s="7"/>
      <c r="V7807" s="7"/>
      <c r="W7807" s="7"/>
      <c r="X7807" s="7"/>
      <c r="Y7807" s="7"/>
      <c r="Z7807" s="7"/>
    </row>
    <row r="7808" hidden="1">
      <c r="A7808" s="7"/>
      <c r="B7808" s="7"/>
      <c r="C7808" s="7"/>
      <c r="D7808" s="7"/>
      <c r="E7808" s="7"/>
      <c r="F7808" s="7"/>
      <c r="G7808" s="7"/>
      <c r="H7808" s="8"/>
      <c r="I7808" s="8"/>
      <c r="J7808" s="7"/>
      <c r="K7808" s="7"/>
      <c r="L7808" s="7"/>
      <c r="M7808" s="7"/>
      <c r="N7808" s="7"/>
      <c r="O7808" s="7"/>
      <c r="P7808" s="7"/>
      <c r="Q7808" s="7"/>
      <c r="R7808" s="7"/>
      <c r="S7808" s="7"/>
      <c r="T7808" s="7"/>
      <c r="U7808" s="7"/>
      <c r="V7808" s="7"/>
      <c r="W7808" s="7"/>
      <c r="X7808" s="7"/>
      <c r="Y7808" s="7"/>
      <c r="Z7808" s="7"/>
    </row>
    <row r="7809" hidden="1">
      <c r="A7809" s="7"/>
      <c r="B7809" s="7"/>
      <c r="C7809" s="7"/>
      <c r="D7809" s="7"/>
      <c r="E7809" s="7"/>
      <c r="F7809" s="7"/>
      <c r="G7809" s="7"/>
      <c r="H7809" s="8"/>
      <c r="I7809" s="8"/>
      <c r="J7809" s="7"/>
      <c r="K7809" s="7"/>
      <c r="L7809" s="7"/>
      <c r="M7809" s="7"/>
      <c r="N7809" s="7"/>
      <c r="O7809" s="7"/>
      <c r="P7809" s="7"/>
      <c r="Q7809" s="7"/>
      <c r="R7809" s="7"/>
      <c r="S7809" s="7"/>
      <c r="T7809" s="7"/>
      <c r="U7809" s="7"/>
      <c r="V7809" s="7"/>
      <c r="W7809" s="7"/>
      <c r="X7809" s="7"/>
      <c r="Y7809" s="7"/>
      <c r="Z7809" s="7"/>
    </row>
    <row r="7810" hidden="1">
      <c r="A7810" s="7"/>
      <c r="B7810" s="7"/>
      <c r="C7810" s="7"/>
      <c r="D7810" s="7"/>
      <c r="E7810" s="7"/>
      <c r="F7810" s="7"/>
      <c r="G7810" s="7"/>
      <c r="H7810" s="8"/>
      <c r="I7810" s="8"/>
      <c r="J7810" s="7"/>
      <c r="K7810" s="7"/>
      <c r="L7810" s="7"/>
      <c r="M7810" s="7"/>
      <c r="N7810" s="7"/>
      <c r="O7810" s="7"/>
      <c r="P7810" s="7"/>
      <c r="Q7810" s="7"/>
      <c r="R7810" s="7"/>
      <c r="S7810" s="7"/>
      <c r="T7810" s="7"/>
      <c r="U7810" s="7"/>
      <c r="V7810" s="7"/>
      <c r="W7810" s="7"/>
      <c r="X7810" s="7"/>
      <c r="Y7810" s="7"/>
      <c r="Z7810" s="7"/>
    </row>
    <row r="7811" hidden="1">
      <c r="A7811" s="7"/>
      <c r="B7811" s="7"/>
      <c r="C7811" s="7"/>
      <c r="D7811" s="7"/>
      <c r="E7811" s="7"/>
      <c r="F7811" s="7"/>
      <c r="G7811" s="7"/>
      <c r="H7811" s="8"/>
      <c r="I7811" s="8"/>
      <c r="J7811" s="7"/>
      <c r="K7811" s="7"/>
      <c r="L7811" s="7"/>
      <c r="M7811" s="7"/>
      <c r="N7811" s="7"/>
      <c r="O7811" s="7"/>
      <c r="P7811" s="7"/>
      <c r="Q7811" s="7"/>
      <c r="R7811" s="7"/>
      <c r="S7811" s="7"/>
      <c r="T7811" s="7"/>
      <c r="U7811" s="7"/>
      <c r="V7811" s="7"/>
      <c r="W7811" s="7"/>
      <c r="X7811" s="7"/>
      <c r="Y7811" s="7"/>
      <c r="Z7811" s="7"/>
    </row>
    <row r="7812" hidden="1">
      <c r="A7812" s="7"/>
      <c r="B7812" s="7"/>
      <c r="C7812" s="7"/>
      <c r="D7812" s="7"/>
      <c r="E7812" s="7"/>
      <c r="F7812" s="7"/>
      <c r="G7812" s="7"/>
      <c r="H7812" s="8"/>
      <c r="I7812" s="8"/>
      <c r="J7812" s="7"/>
      <c r="K7812" s="7"/>
      <c r="L7812" s="7"/>
      <c r="M7812" s="7"/>
      <c r="N7812" s="7"/>
      <c r="O7812" s="7"/>
      <c r="P7812" s="7"/>
      <c r="Q7812" s="7"/>
      <c r="R7812" s="7"/>
      <c r="S7812" s="7"/>
      <c r="T7812" s="7"/>
      <c r="U7812" s="7"/>
      <c r="V7812" s="7"/>
      <c r="W7812" s="7"/>
      <c r="X7812" s="7"/>
      <c r="Y7812" s="7"/>
      <c r="Z7812" s="7"/>
    </row>
    <row r="7813" hidden="1">
      <c r="A7813" s="7"/>
      <c r="B7813" s="7"/>
      <c r="C7813" s="7"/>
      <c r="D7813" s="7"/>
      <c r="E7813" s="7"/>
      <c r="F7813" s="7"/>
      <c r="G7813" s="7"/>
      <c r="H7813" s="8"/>
      <c r="I7813" s="8"/>
      <c r="J7813" s="7"/>
      <c r="K7813" s="7"/>
      <c r="L7813" s="7"/>
      <c r="M7813" s="7"/>
      <c r="N7813" s="7"/>
      <c r="O7813" s="7"/>
      <c r="P7813" s="7"/>
      <c r="Q7813" s="7"/>
      <c r="R7813" s="7"/>
      <c r="S7813" s="7"/>
      <c r="T7813" s="7"/>
      <c r="U7813" s="7"/>
      <c r="V7813" s="7"/>
      <c r="W7813" s="7"/>
      <c r="X7813" s="7"/>
      <c r="Y7813" s="7"/>
      <c r="Z7813" s="7"/>
    </row>
    <row r="7814" hidden="1">
      <c r="A7814" s="7"/>
      <c r="B7814" s="7"/>
      <c r="C7814" s="7"/>
      <c r="D7814" s="7"/>
      <c r="E7814" s="7"/>
      <c r="F7814" s="7"/>
      <c r="G7814" s="7"/>
      <c r="H7814" s="8"/>
      <c r="I7814" s="8"/>
      <c r="J7814" s="7"/>
      <c r="K7814" s="7"/>
      <c r="L7814" s="7"/>
      <c r="M7814" s="7"/>
      <c r="N7814" s="7"/>
      <c r="O7814" s="7"/>
      <c r="P7814" s="7"/>
      <c r="Q7814" s="7"/>
      <c r="R7814" s="7"/>
      <c r="S7814" s="7"/>
      <c r="T7814" s="7"/>
      <c r="U7814" s="7"/>
      <c r="V7814" s="7"/>
      <c r="W7814" s="7"/>
      <c r="X7814" s="7"/>
      <c r="Y7814" s="7"/>
      <c r="Z7814" s="7"/>
    </row>
    <row r="7815" hidden="1">
      <c r="A7815" s="7"/>
      <c r="B7815" s="7"/>
      <c r="C7815" s="7"/>
      <c r="D7815" s="7"/>
      <c r="E7815" s="7"/>
      <c r="F7815" s="7"/>
      <c r="G7815" s="7"/>
      <c r="H7815" s="8"/>
      <c r="I7815" s="8"/>
      <c r="J7815" s="7"/>
      <c r="K7815" s="7"/>
      <c r="L7815" s="7"/>
      <c r="M7815" s="7"/>
      <c r="N7815" s="7"/>
      <c r="O7815" s="7"/>
      <c r="P7815" s="7"/>
      <c r="Q7815" s="7"/>
      <c r="R7815" s="7"/>
      <c r="S7815" s="7"/>
      <c r="T7815" s="7"/>
      <c r="U7815" s="7"/>
      <c r="V7815" s="7"/>
      <c r="W7815" s="7"/>
      <c r="X7815" s="7"/>
      <c r="Y7815" s="7"/>
      <c r="Z7815" s="7"/>
    </row>
    <row r="7816" hidden="1">
      <c r="A7816" s="7"/>
      <c r="B7816" s="7"/>
      <c r="C7816" s="7"/>
      <c r="D7816" s="7"/>
      <c r="E7816" s="7"/>
      <c r="F7816" s="7"/>
      <c r="G7816" s="7"/>
      <c r="H7816" s="8"/>
      <c r="I7816" s="8"/>
      <c r="J7816" s="7"/>
      <c r="K7816" s="7"/>
      <c r="L7816" s="7"/>
      <c r="M7816" s="7"/>
      <c r="N7816" s="7"/>
      <c r="O7816" s="7"/>
      <c r="P7816" s="7"/>
      <c r="Q7816" s="7"/>
      <c r="R7816" s="7"/>
      <c r="S7816" s="7"/>
      <c r="T7816" s="7"/>
      <c r="U7816" s="7"/>
      <c r="V7816" s="7"/>
      <c r="W7816" s="7"/>
      <c r="X7816" s="7"/>
      <c r="Y7816" s="7"/>
      <c r="Z7816" s="7"/>
    </row>
    <row r="7817" hidden="1">
      <c r="A7817" s="7"/>
      <c r="B7817" s="7"/>
      <c r="C7817" s="7"/>
      <c r="D7817" s="7"/>
      <c r="E7817" s="7"/>
      <c r="F7817" s="7"/>
      <c r="G7817" s="7"/>
      <c r="H7817" s="8"/>
      <c r="I7817" s="8"/>
      <c r="J7817" s="7"/>
      <c r="K7817" s="7"/>
      <c r="L7817" s="7"/>
      <c r="M7817" s="7"/>
      <c r="N7817" s="7"/>
      <c r="O7817" s="7"/>
      <c r="P7817" s="7"/>
      <c r="Q7817" s="7"/>
      <c r="R7817" s="7"/>
      <c r="S7817" s="7"/>
      <c r="T7817" s="7"/>
      <c r="U7817" s="7"/>
      <c r="V7817" s="7"/>
      <c r="W7817" s="7"/>
      <c r="X7817" s="7"/>
      <c r="Y7817" s="7"/>
      <c r="Z7817" s="7"/>
    </row>
    <row r="7818" hidden="1">
      <c r="A7818" s="7"/>
      <c r="B7818" s="7"/>
      <c r="C7818" s="7"/>
      <c r="D7818" s="7"/>
      <c r="E7818" s="7"/>
      <c r="F7818" s="7"/>
      <c r="G7818" s="7"/>
      <c r="H7818" s="8"/>
      <c r="I7818" s="8"/>
      <c r="J7818" s="7"/>
      <c r="K7818" s="7"/>
      <c r="L7818" s="7"/>
      <c r="M7818" s="7"/>
      <c r="N7818" s="7"/>
      <c r="O7818" s="7"/>
      <c r="P7818" s="7"/>
      <c r="Q7818" s="7"/>
      <c r="R7818" s="7"/>
      <c r="S7818" s="7"/>
      <c r="T7818" s="7"/>
      <c r="U7818" s="7"/>
      <c r="V7818" s="7"/>
      <c r="W7818" s="7"/>
      <c r="X7818" s="7"/>
      <c r="Y7818" s="7"/>
      <c r="Z7818" s="7"/>
    </row>
    <row r="7819" hidden="1">
      <c r="A7819" s="7"/>
      <c r="B7819" s="7"/>
      <c r="C7819" s="7"/>
      <c r="D7819" s="7"/>
      <c r="E7819" s="7"/>
      <c r="F7819" s="7"/>
      <c r="G7819" s="7"/>
      <c r="H7819" s="8"/>
      <c r="I7819" s="8"/>
      <c r="J7819" s="7"/>
      <c r="K7819" s="7"/>
      <c r="L7819" s="7"/>
      <c r="M7819" s="7"/>
      <c r="N7819" s="7"/>
      <c r="O7819" s="7"/>
      <c r="P7819" s="7"/>
      <c r="Q7819" s="7"/>
      <c r="R7819" s="7"/>
      <c r="S7819" s="7"/>
      <c r="T7819" s="7"/>
      <c r="U7819" s="7"/>
      <c r="V7819" s="7"/>
      <c r="W7819" s="7"/>
      <c r="X7819" s="7"/>
      <c r="Y7819" s="7"/>
      <c r="Z7819" s="7"/>
    </row>
    <row r="7820" hidden="1">
      <c r="A7820" s="7"/>
      <c r="B7820" s="7"/>
      <c r="C7820" s="7"/>
      <c r="D7820" s="7"/>
      <c r="E7820" s="7"/>
      <c r="F7820" s="7"/>
      <c r="G7820" s="7"/>
      <c r="H7820" s="8"/>
      <c r="I7820" s="8"/>
      <c r="J7820" s="7"/>
      <c r="K7820" s="7"/>
      <c r="L7820" s="7"/>
      <c r="M7820" s="7"/>
      <c r="N7820" s="7"/>
      <c r="O7820" s="7"/>
      <c r="P7820" s="7"/>
      <c r="Q7820" s="7"/>
      <c r="R7820" s="7"/>
      <c r="S7820" s="7"/>
      <c r="T7820" s="7"/>
      <c r="U7820" s="7"/>
      <c r="V7820" s="7"/>
      <c r="W7820" s="7"/>
      <c r="X7820" s="7"/>
      <c r="Y7820" s="7"/>
      <c r="Z7820" s="7"/>
    </row>
    <row r="7821" hidden="1">
      <c r="A7821" s="7"/>
      <c r="B7821" s="7"/>
      <c r="C7821" s="7"/>
      <c r="D7821" s="7"/>
      <c r="E7821" s="7"/>
      <c r="F7821" s="7"/>
      <c r="G7821" s="7"/>
      <c r="H7821" s="8"/>
      <c r="I7821" s="8"/>
      <c r="J7821" s="7"/>
      <c r="K7821" s="7"/>
      <c r="L7821" s="7"/>
      <c r="M7821" s="7"/>
      <c r="N7821" s="7"/>
      <c r="O7821" s="7"/>
      <c r="P7821" s="7"/>
      <c r="Q7821" s="7"/>
      <c r="R7821" s="7"/>
      <c r="S7821" s="7"/>
      <c r="T7821" s="7"/>
      <c r="U7821" s="7"/>
      <c r="V7821" s="7"/>
      <c r="W7821" s="7"/>
      <c r="X7821" s="7"/>
      <c r="Y7821" s="7"/>
      <c r="Z7821" s="7"/>
    </row>
    <row r="7822" hidden="1">
      <c r="A7822" s="7"/>
      <c r="B7822" s="7"/>
      <c r="C7822" s="7"/>
      <c r="D7822" s="7"/>
      <c r="E7822" s="7"/>
      <c r="F7822" s="7"/>
      <c r="G7822" s="7"/>
      <c r="H7822" s="8"/>
      <c r="I7822" s="8"/>
      <c r="J7822" s="7"/>
      <c r="K7822" s="7"/>
      <c r="L7822" s="7"/>
      <c r="M7822" s="7"/>
      <c r="N7822" s="7"/>
      <c r="O7822" s="7"/>
      <c r="P7822" s="7"/>
      <c r="Q7822" s="7"/>
      <c r="R7822" s="7"/>
      <c r="S7822" s="7"/>
      <c r="T7822" s="7"/>
      <c r="U7822" s="7"/>
      <c r="V7822" s="7"/>
      <c r="W7822" s="7"/>
      <c r="X7822" s="7"/>
      <c r="Y7822" s="7"/>
      <c r="Z7822" s="7"/>
    </row>
    <row r="7823" hidden="1">
      <c r="A7823" s="7"/>
      <c r="B7823" s="7"/>
      <c r="C7823" s="7"/>
      <c r="D7823" s="7"/>
      <c r="E7823" s="7"/>
      <c r="F7823" s="7"/>
      <c r="G7823" s="7"/>
      <c r="H7823" s="8"/>
      <c r="I7823" s="8"/>
      <c r="J7823" s="7"/>
      <c r="K7823" s="7"/>
      <c r="L7823" s="7"/>
      <c r="M7823" s="7"/>
      <c r="N7823" s="7"/>
      <c r="O7823" s="7"/>
      <c r="P7823" s="7"/>
      <c r="Q7823" s="7"/>
      <c r="R7823" s="7"/>
      <c r="S7823" s="7"/>
      <c r="T7823" s="7"/>
      <c r="U7823" s="7"/>
      <c r="V7823" s="7"/>
      <c r="W7823" s="7"/>
      <c r="X7823" s="7"/>
      <c r="Y7823" s="7"/>
      <c r="Z7823" s="7"/>
    </row>
    <row r="7824" hidden="1">
      <c r="A7824" s="7"/>
      <c r="B7824" s="7"/>
      <c r="C7824" s="7"/>
      <c r="D7824" s="7"/>
      <c r="E7824" s="7"/>
      <c r="F7824" s="7"/>
      <c r="G7824" s="7"/>
      <c r="H7824" s="8"/>
      <c r="I7824" s="8"/>
      <c r="J7824" s="7"/>
      <c r="K7824" s="7"/>
      <c r="L7824" s="7"/>
      <c r="M7824" s="7"/>
      <c r="N7824" s="7"/>
      <c r="O7824" s="7"/>
      <c r="P7824" s="7"/>
      <c r="Q7824" s="7"/>
      <c r="R7824" s="7"/>
      <c r="S7824" s="7"/>
      <c r="T7824" s="7"/>
      <c r="U7824" s="7"/>
      <c r="V7824" s="7"/>
      <c r="W7824" s="7"/>
      <c r="X7824" s="7"/>
      <c r="Y7824" s="7"/>
      <c r="Z7824" s="7"/>
    </row>
    <row r="7825" hidden="1">
      <c r="A7825" s="7"/>
      <c r="B7825" s="7"/>
      <c r="C7825" s="7"/>
      <c r="D7825" s="7"/>
      <c r="E7825" s="7"/>
      <c r="F7825" s="7"/>
      <c r="G7825" s="7"/>
      <c r="H7825" s="8"/>
      <c r="I7825" s="8"/>
      <c r="J7825" s="7"/>
      <c r="K7825" s="7"/>
      <c r="L7825" s="7"/>
      <c r="M7825" s="7"/>
      <c r="N7825" s="7"/>
      <c r="O7825" s="7"/>
      <c r="P7825" s="7"/>
      <c r="Q7825" s="7"/>
      <c r="R7825" s="7"/>
      <c r="S7825" s="7"/>
      <c r="T7825" s="7"/>
      <c r="U7825" s="7"/>
      <c r="V7825" s="7"/>
      <c r="W7825" s="7"/>
      <c r="X7825" s="7"/>
      <c r="Y7825" s="7"/>
      <c r="Z7825" s="7"/>
    </row>
    <row r="7826" hidden="1">
      <c r="A7826" s="7"/>
      <c r="B7826" s="7"/>
      <c r="C7826" s="7"/>
      <c r="D7826" s="7"/>
      <c r="E7826" s="7"/>
      <c r="F7826" s="7"/>
      <c r="G7826" s="7"/>
      <c r="H7826" s="8"/>
      <c r="I7826" s="8"/>
      <c r="J7826" s="7"/>
      <c r="K7826" s="7"/>
      <c r="L7826" s="7"/>
      <c r="M7826" s="7"/>
      <c r="N7826" s="7"/>
      <c r="O7826" s="7"/>
      <c r="P7826" s="7"/>
      <c r="Q7826" s="7"/>
      <c r="R7826" s="7"/>
      <c r="S7826" s="7"/>
      <c r="T7826" s="7"/>
      <c r="U7826" s="7"/>
      <c r="V7826" s="7"/>
      <c r="W7826" s="7"/>
      <c r="X7826" s="7"/>
      <c r="Y7826" s="7"/>
      <c r="Z7826" s="7"/>
    </row>
    <row r="7827" hidden="1">
      <c r="A7827" s="7"/>
      <c r="B7827" s="7"/>
      <c r="C7827" s="7"/>
      <c r="D7827" s="7"/>
      <c r="E7827" s="7"/>
      <c r="F7827" s="7"/>
      <c r="G7827" s="7"/>
      <c r="H7827" s="8"/>
      <c r="I7827" s="8"/>
      <c r="J7827" s="7"/>
      <c r="K7827" s="7"/>
      <c r="L7827" s="7"/>
      <c r="M7827" s="7"/>
      <c r="N7827" s="7"/>
      <c r="O7827" s="7"/>
      <c r="P7827" s="7"/>
      <c r="Q7827" s="7"/>
      <c r="R7827" s="7"/>
      <c r="S7827" s="7"/>
      <c r="T7827" s="7"/>
      <c r="U7827" s="7"/>
      <c r="V7827" s="7"/>
      <c r="W7827" s="7"/>
      <c r="X7827" s="7"/>
      <c r="Y7827" s="7"/>
      <c r="Z7827" s="7"/>
    </row>
    <row r="7828" hidden="1">
      <c r="A7828" s="7"/>
      <c r="B7828" s="7"/>
      <c r="C7828" s="7"/>
      <c r="D7828" s="7"/>
      <c r="E7828" s="7"/>
      <c r="F7828" s="7"/>
      <c r="G7828" s="7"/>
      <c r="H7828" s="8"/>
      <c r="I7828" s="8"/>
      <c r="J7828" s="7"/>
      <c r="K7828" s="7"/>
      <c r="L7828" s="7"/>
      <c r="M7828" s="7"/>
      <c r="N7828" s="7"/>
      <c r="O7828" s="7"/>
      <c r="P7828" s="7"/>
      <c r="Q7828" s="7"/>
      <c r="R7828" s="7"/>
      <c r="S7828" s="7"/>
      <c r="T7828" s="7"/>
      <c r="U7828" s="7"/>
      <c r="V7828" s="7"/>
      <c r="W7828" s="7"/>
      <c r="X7828" s="7"/>
      <c r="Y7828" s="7"/>
      <c r="Z7828" s="7"/>
    </row>
    <row r="7829" hidden="1">
      <c r="A7829" s="7"/>
      <c r="B7829" s="7"/>
      <c r="C7829" s="7"/>
      <c r="D7829" s="7"/>
      <c r="E7829" s="7"/>
      <c r="F7829" s="7"/>
      <c r="G7829" s="7"/>
      <c r="H7829" s="8"/>
      <c r="I7829" s="8"/>
      <c r="J7829" s="7"/>
      <c r="K7829" s="7"/>
      <c r="L7829" s="7"/>
      <c r="M7829" s="7"/>
      <c r="N7829" s="7"/>
      <c r="O7829" s="7"/>
      <c r="P7829" s="7"/>
      <c r="Q7829" s="7"/>
      <c r="R7829" s="7"/>
      <c r="S7829" s="7"/>
      <c r="T7829" s="7"/>
      <c r="U7829" s="7"/>
      <c r="V7829" s="7"/>
      <c r="W7829" s="7"/>
      <c r="X7829" s="7"/>
      <c r="Y7829" s="7"/>
      <c r="Z7829" s="7"/>
    </row>
    <row r="7830" hidden="1">
      <c r="A7830" s="7"/>
      <c r="B7830" s="7"/>
      <c r="C7830" s="7"/>
      <c r="D7830" s="7"/>
      <c r="E7830" s="7"/>
      <c r="F7830" s="7"/>
      <c r="G7830" s="7"/>
      <c r="H7830" s="8"/>
      <c r="I7830" s="8"/>
      <c r="J7830" s="7"/>
      <c r="K7830" s="7"/>
      <c r="L7830" s="7"/>
      <c r="M7830" s="7"/>
      <c r="N7830" s="7"/>
      <c r="O7830" s="7"/>
      <c r="P7830" s="7"/>
      <c r="Q7830" s="7"/>
      <c r="R7830" s="7"/>
      <c r="S7830" s="7"/>
      <c r="T7830" s="7"/>
      <c r="U7830" s="7"/>
      <c r="V7830" s="7"/>
      <c r="W7830" s="7"/>
      <c r="X7830" s="7"/>
      <c r="Y7830" s="7"/>
      <c r="Z7830" s="7"/>
    </row>
    <row r="7831" hidden="1">
      <c r="A7831" s="7"/>
      <c r="B7831" s="7"/>
      <c r="C7831" s="7"/>
      <c r="D7831" s="7"/>
      <c r="E7831" s="7"/>
      <c r="F7831" s="7"/>
      <c r="G7831" s="7"/>
      <c r="H7831" s="8"/>
      <c r="I7831" s="8"/>
      <c r="J7831" s="7"/>
      <c r="K7831" s="7"/>
      <c r="L7831" s="7"/>
      <c r="M7831" s="7"/>
      <c r="N7831" s="7"/>
      <c r="O7831" s="7"/>
      <c r="P7831" s="7"/>
      <c r="Q7831" s="7"/>
      <c r="R7831" s="7"/>
      <c r="S7831" s="7"/>
      <c r="T7831" s="7"/>
      <c r="U7831" s="7"/>
      <c r="V7831" s="7"/>
      <c r="W7831" s="7"/>
      <c r="X7831" s="7"/>
      <c r="Y7831" s="7"/>
      <c r="Z7831" s="7"/>
    </row>
    <row r="7832" hidden="1">
      <c r="A7832" s="7"/>
      <c r="B7832" s="7"/>
      <c r="C7832" s="7"/>
      <c r="D7832" s="7"/>
      <c r="E7832" s="7"/>
      <c r="F7832" s="7"/>
      <c r="G7832" s="7"/>
      <c r="H7832" s="8"/>
      <c r="I7832" s="8"/>
      <c r="J7832" s="7"/>
      <c r="K7832" s="7"/>
      <c r="L7832" s="7"/>
      <c r="M7832" s="7"/>
      <c r="N7832" s="7"/>
      <c r="O7832" s="7"/>
      <c r="P7832" s="7"/>
      <c r="Q7832" s="7"/>
      <c r="R7832" s="7"/>
      <c r="S7832" s="7"/>
      <c r="T7832" s="7"/>
      <c r="U7832" s="7"/>
      <c r="V7832" s="7"/>
      <c r="W7832" s="7"/>
      <c r="X7832" s="7"/>
      <c r="Y7832" s="7"/>
      <c r="Z7832" s="7"/>
    </row>
    <row r="7833" hidden="1">
      <c r="A7833" s="7"/>
      <c r="B7833" s="7"/>
      <c r="C7833" s="7"/>
      <c r="D7833" s="7"/>
      <c r="E7833" s="7"/>
      <c r="F7833" s="7"/>
      <c r="G7833" s="7"/>
      <c r="H7833" s="8"/>
      <c r="I7833" s="8"/>
      <c r="J7833" s="7"/>
      <c r="K7833" s="7"/>
      <c r="L7833" s="7"/>
      <c r="M7833" s="7"/>
      <c r="N7833" s="7"/>
      <c r="O7833" s="7"/>
      <c r="P7833" s="7"/>
      <c r="Q7833" s="7"/>
      <c r="R7833" s="7"/>
      <c r="S7833" s="7"/>
      <c r="T7833" s="7"/>
      <c r="U7833" s="7"/>
      <c r="V7833" s="7"/>
      <c r="W7833" s="7"/>
      <c r="X7833" s="7"/>
      <c r="Y7833" s="7"/>
      <c r="Z7833" s="7"/>
    </row>
    <row r="7834" hidden="1">
      <c r="A7834" s="7"/>
      <c r="B7834" s="7"/>
      <c r="C7834" s="7"/>
      <c r="D7834" s="7"/>
      <c r="E7834" s="7"/>
      <c r="F7834" s="7"/>
      <c r="G7834" s="7"/>
      <c r="H7834" s="8"/>
      <c r="I7834" s="8"/>
      <c r="J7834" s="7"/>
      <c r="K7834" s="7"/>
      <c r="L7834" s="7"/>
      <c r="M7834" s="7"/>
      <c r="N7834" s="7"/>
      <c r="O7834" s="7"/>
      <c r="P7834" s="7"/>
      <c r="Q7834" s="7"/>
      <c r="R7834" s="7"/>
      <c r="S7834" s="7"/>
      <c r="T7834" s="7"/>
      <c r="U7834" s="7"/>
      <c r="V7834" s="7"/>
      <c r="W7834" s="7"/>
      <c r="X7834" s="7"/>
      <c r="Y7834" s="7"/>
      <c r="Z7834" s="7"/>
    </row>
    <row r="7835" hidden="1">
      <c r="A7835" s="7"/>
      <c r="B7835" s="7"/>
      <c r="C7835" s="7"/>
      <c r="D7835" s="7"/>
      <c r="E7835" s="7"/>
      <c r="F7835" s="7"/>
      <c r="G7835" s="7"/>
      <c r="H7835" s="8"/>
      <c r="I7835" s="8"/>
      <c r="J7835" s="7"/>
      <c r="K7835" s="7"/>
      <c r="L7835" s="7"/>
      <c r="M7835" s="7"/>
      <c r="N7835" s="7"/>
      <c r="O7835" s="7"/>
      <c r="P7835" s="7"/>
      <c r="Q7835" s="7"/>
      <c r="R7835" s="7"/>
      <c r="S7835" s="7"/>
      <c r="T7835" s="7"/>
      <c r="U7835" s="7"/>
      <c r="V7835" s="7"/>
      <c r="W7835" s="7"/>
      <c r="X7835" s="7"/>
      <c r="Y7835" s="7"/>
      <c r="Z7835" s="7"/>
    </row>
    <row r="7836" hidden="1">
      <c r="A7836" s="7"/>
      <c r="B7836" s="7"/>
      <c r="C7836" s="7"/>
      <c r="D7836" s="7"/>
      <c r="E7836" s="7"/>
      <c r="F7836" s="7"/>
      <c r="G7836" s="7"/>
      <c r="H7836" s="8"/>
      <c r="I7836" s="8"/>
      <c r="J7836" s="7"/>
      <c r="K7836" s="7"/>
      <c r="L7836" s="7"/>
      <c r="M7836" s="7"/>
      <c r="N7836" s="7"/>
      <c r="O7836" s="7"/>
      <c r="P7836" s="7"/>
      <c r="Q7836" s="7"/>
      <c r="R7836" s="7"/>
      <c r="S7836" s="7"/>
      <c r="T7836" s="7"/>
      <c r="U7836" s="7"/>
      <c r="V7836" s="7"/>
      <c r="W7836" s="7"/>
      <c r="X7836" s="7"/>
      <c r="Y7836" s="7"/>
      <c r="Z7836" s="7"/>
    </row>
    <row r="7837" hidden="1">
      <c r="A7837" s="7"/>
      <c r="B7837" s="7"/>
      <c r="C7837" s="7"/>
      <c r="D7837" s="7"/>
      <c r="E7837" s="7"/>
      <c r="F7837" s="7"/>
      <c r="G7837" s="7"/>
      <c r="H7837" s="8"/>
      <c r="I7837" s="8"/>
      <c r="J7837" s="7"/>
      <c r="K7837" s="7"/>
      <c r="L7837" s="7"/>
      <c r="M7837" s="7"/>
      <c r="N7837" s="7"/>
      <c r="O7837" s="7"/>
      <c r="P7837" s="7"/>
      <c r="Q7837" s="7"/>
      <c r="R7837" s="7"/>
      <c r="S7837" s="7"/>
      <c r="T7837" s="7"/>
      <c r="U7837" s="7"/>
      <c r="V7837" s="7"/>
      <c r="W7837" s="7"/>
      <c r="X7837" s="7"/>
      <c r="Y7837" s="7"/>
      <c r="Z7837" s="7"/>
    </row>
    <row r="7838" hidden="1">
      <c r="A7838" s="7"/>
      <c r="B7838" s="7"/>
      <c r="C7838" s="7"/>
      <c r="D7838" s="7"/>
      <c r="E7838" s="7"/>
      <c r="F7838" s="7"/>
      <c r="G7838" s="7"/>
      <c r="H7838" s="8"/>
      <c r="I7838" s="8"/>
      <c r="J7838" s="7"/>
      <c r="K7838" s="7"/>
      <c r="L7838" s="7"/>
      <c r="M7838" s="7"/>
      <c r="N7838" s="7"/>
      <c r="O7838" s="7"/>
      <c r="P7838" s="7"/>
      <c r="Q7838" s="7"/>
      <c r="R7838" s="7"/>
      <c r="S7838" s="7"/>
      <c r="T7838" s="7"/>
      <c r="U7838" s="7"/>
      <c r="V7838" s="7"/>
      <c r="W7838" s="7"/>
      <c r="X7838" s="7"/>
      <c r="Y7838" s="7"/>
      <c r="Z7838" s="7"/>
    </row>
    <row r="7839" hidden="1">
      <c r="A7839" s="7"/>
      <c r="B7839" s="7"/>
      <c r="C7839" s="7"/>
      <c r="D7839" s="7"/>
      <c r="E7839" s="7"/>
      <c r="F7839" s="7"/>
      <c r="G7839" s="7"/>
      <c r="H7839" s="8"/>
      <c r="I7839" s="8"/>
      <c r="J7839" s="7"/>
      <c r="K7839" s="7"/>
      <c r="L7839" s="7"/>
      <c r="M7839" s="7"/>
      <c r="N7839" s="7"/>
      <c r="O7839" s="7"/>
      <c r="P7839" s="7"/>
      <c r="Q7839" s="7"/>
      <c r="R7839" s="7"/>
      <c r="S7839" s="7"/>
      <c r="T7839" s="7"/>
      <c r="U7839" s="7"/>
      <c r="V7839" s="7"/>
      <c r="W7839" s="7"/>
      <c r="X7839" s="7"/>
      <c r="Y7839" s="7"/>
      <c r="Z7839" s="7"/>
    </row>
    <row r="7840" hidden="1">
      <c r="A7840" s="7"/>
      <c r="B7840" s="7"/>
      <c r="C7840" s="7"/>
      <c r="D7840" s="7"/>
      <c r="E7840" s="7"/>
      <c r="F7840" s="7"/>
      <c r="G7840" s="7"/>
      <c r="H7840" s="8"/>
      <c r="I7840" s="8"/>
      <c r="J7840" s="7"/>
      <c r="K7840" s="7"/>
      <c r="L7840" s="7"/>
      <c r="M7840" s="7"/>
      <c r="N7840" s="7"/>
      <c r="O7840" s="7"/>
      <c r="P7840" s="7"/>
      <c r="Q7840" s="7"/>
      <c r="R7840" s="7"/>
      <c r="S7840" s="7"/>
      <c r="T7840" s="7"/>
      <c r="U7840" s="7"/>
      <c r="V7840" s="7"/>
      <c r="W7840" s="7"/>
      <c r="X7840" s="7"/>
      <c r="Y7840" s="7"/>
      <c r="Z7840" s="7"/>
    </row>
    <row r="7841" hidden="1">
      <c r="A7841" s="7"/>
      <c r="B7841" s="7"/>
      <c r="C7841" s="7"/>
      <c r="D7841" s="7"/>
      <c r="E7841" s="7"/>
      <c r="F7841" s="7"/>
      <c r="G7841" s="7"/>
      <c r="H7841" s="8"/>
      <c r="I7841" s="8"/>
      <c r="J7841" s="7"/>
      <c r="K7841" s="7"/>
      <c r="L7841" s="7"/>
      <c r="M7841" s="7"/>
      <c r="N7841" s="7"/>
      <c r="O7841" s="7"/>
      <c r="P7841" s="7"/>
      <c r="Q7841" s="7"/>
      <c r="R7841" s="7"/>
      <c r="S7841" s="7"/>
      <c r="T7841" s="7"/>
      <c r="U7841" s="7"/>
      <c r="V7841" s="7"/>
      <c r="W7841" s="7"/>
      <c r="X7841" s="7"/>
      <c r="Y7841" s="7"/>
      <c r="Z7841" s="7"/>
    </row>
    <row r="7842" hidden="1">
      <c r="A7842" s="7"/>
      <c r="B7842" s="7"/>
      <c r="C7842" s="7"/>
      <c r="D7842" s="7"/>
      <c r="E7842" s="7"/>
      <c r="F7842" s="7"/>
      <c r="G7842" s="7"/>
      <c r="H7842" s="8"/>
      <c r="I7842" s="8"/>
      <c r="J7842" s="7"/>
      <c r="K7842" s="7"/>
      <c r="L7842" s="7"/>
      <c r="M7842" s="7"/>
      <c r="N7842" s="7"/>
      <c r="O7842" s="7"/>
      <c r="P7842" s="7"/>
      <c r="Q7842" s="7"/>
      <c r="R7842" s="7"/>
      <c r="S7842" s="7"/>
      <c r="T7842" s="7"/>
      <c r="U7842" s="7"/>
      <c r="V7842" s="7"/>
      <c r="W7842" s="7"/>
      <c r="X7842" s="7"/>
      <c r="Y7842" s="7"/>
      <c r="Z7842" s="7"/>
    </row>
    <row r="7843" hidden="1">
      <c r="A7843" s="7"/>
      <c r="B7843" s="7"/>
      <c r="C7843" s="7"/>
      <c r="D7843" s="7"/>
      <c r="E7843" s="7"/>
      <c r="F7843" s="7"/>
      <c r="G7843" s="7"/>
      <c r="H7843" s="8"/>
      <c r="I7843" s="8"/>
      <c r="J7843" s="7"/>
      <c r="K7843" s="7"/>
      <c r="L7843" s="7"/>
      <c r="M7843" s="7"/>
      <c r="N7843" s="7"/>
      <c r="O7843" s="7"/>
      <c r="P7843" s="7"/>
      <c r="Q7843" s="7"/>
      <c r="R7843" s="7"/>
      <c r="S7843" s="7"/>
      <c r="T7843" s="7"/>
      <c r="U7843" s="7"/>
      <c r="V7843" s="7"/>
      <c r="W7843" s="7"/>
      <c r="X7843" s="7"/>
      <c r="Y7843" s="7"/>
      <c r="Z7843" s="7"/>
    </row>
    <row r="7844" hidden="1">
      <c r="A7844" s="7"/>
      <c r="B7844" s="7"/>
      <c r="C7844" s="7"/>
      <c r="D7844" s="7"/>
      <c r="E7844" s="7"/>
      <c r="F7844" s="7"/>
      <c r="G7844" s="7"/>
      <c r="H7844" s="8"/>
      <c r="I7844" s="8"/>
      <c r="J7844" s="7"/>
      <c r="K7844" s="7"/>
      <c r="L7844" s="7"/>
      <c r="M7844" s="7"/>
      <c r="N7844" s="7"/>
      <c r="O7844" s="7"/>
      <c r="P7844" s="7"/>
      <c r="Q7844" s="7"/>
      <c r="R7844" s="7"/>
      <c r="S7844" s="7"/>
      <c r="T7844" s="7"/>
      <c r="U7844" s="7"/>
      <c r="V7844" s="7"/>
      <c r="W7844" s="7"/>
      <c r="X7844" s="7"/>
      <c r="Y7844" s="7"/>
      <c r="Z7844" s="7"/>
    </row>
    <row r="7845" hidden="1">
      <c r="A7845" s="7"/>
      <c r="B7845" s="7"/>
      <c r="C7845" s="7"/>
      <c r="D7845" s="7"/>
      <c r="E7845" s="7"/>
      <c r="F7845" s="7"/>
      <c r="G7845" s="7"/>
      <c r="H7845" s="8"/>
      <c r="I7845" s="8"/>
      <c r="J7845" s="7"/>
      <c r="K7845" s="7"/>
      <c r="L7845" s="7"/>
      <c r="M7845" s="7"/>
      <c r="N7845" s="7"/>
      <c r="O7845" s="7"/>
      <c r="P7845" s="7"/>
      <c r="Q7845" s="7"/>
      <c r="R7845" s="7"/>
      <c r="S7845" s="7"/>
      <c r="T7845" s="7"/>
      <c r="U7845" s="7"/>
      <c r="V7845" s="7"/>
      <c r="W7845" s="7"/>
      <c r="X7845" s="7"/>
      <c r="Y7845" s="7"/>
      <c r="Z7845" s="7"/>
    </row>
    <row r="7846" hidden="1">
      <c r="A7846" s="7"/>
      <c r="B7846" s="7"/>
      <c r="C7846" s="7"/>
      <c r="D7846" s="7"/>
      <c r="E7846" s="7"/>
      <c r="F7846" s="7"/>
      <c r="G7846" s="7"/>
      <c r="H7846" s="8"/>
      <c r="I7846" s="8"/>
      <c r="J7846" s="7"/>
      <c r="K7846" s="7"/>
      <c r="L7846" s="7"/>
      <c r="M7846" s="7"/>
      <c r="N7846" s="7"/>
      <c r="O7846" s="7"/>
      <c r="P7846" s="7"/>
      <c r="Q7846" s="7"/>
      <c r="R7846" s="7"/>
      <c r="S7846" s="7"/>
      <c r="T7846" s="7"/>
      <c r="U7846" s="7"/>
      <c r="V7846" s="7"/>
      <c r="W7846" s="7"/>
      <c r="X7846" s="7"/>
      <c r="Y7846" s="7"/>
      <c r="Z7846" s="7"/>
    </row>
    <row r="7847" hidden="1">
      <c r="A7847" s="7"/>
      <c r="B7847" s="7"/>
      <c r="C7847" s="7"/>
      <c r="D7847" s="7"/>
      <c r="E7847" s="7"/>
      <c r="F7847" s="7"/>
      <c r="G7847" s="7"/>
      <c r="H7847" s="8"/>
      <c r="I7847" s="8"/>
      <c r="J7847" s="7"/>
      <c r="K7847" s="7"/>
      <c r="L7847" s="7"/>
      <c r="M7847" s="7"/>
      <c r="N7847" s="7"/>
      <c r="O7847" s="7"/>
      <c r="P7847" s="7"/>
      <c r="Q7847" s="7"/>
      <c r="R7847" s="7"/>
      <c r="S7847" s="7"/>
      <c r="T7847" s="7"/>
      <c r="U7847" s="7"/>
      <c r="V7847" s="7"/>
      <c r="W7847" s="7"/>
      <c r="X7847" s="7"/>
      <c r="Y7847" s="7"/>
      <c r="Z7847" s="7"/>
    </row>
    <row r="7848" hidden="1">
      <c r="A7848" s="7"/>
      <c r="B7848" s="7"/>
      <c r="C7848" s="7"/>
      <c r="D7848" s="7"/>
      <c r="E7848" s="7"/>
      <c r="F7848" s="7"/>
      <c r="G7848" s="7"/>
      <c r="H7848" s="8"/>
      <c r="I7848" s="8"/>
      <c r="J7848" s="7"/>
      <c r="K7848" s="7"/>
      <c r="L7848" s="7"/>
      <c r="M7848" s="7"/>
      <c r="N7848" s="7"/>
      <c r="O7848" s="7"/>
      <c r="P7848" s="7"/>
      <c r="Q7848" s="7"/>
      <c r="R7848" s="7"/>
      <c r="S7848" s="7"/>
      <c r="T7848" s="7"/>
      <c r="U7848" s="7"/>
      <c r="V7848" s="7"/>
      <c r="W7848" s="7"/>
      <c r="X7848" s="7"/>
      <c r="Y7848" s="7"/>
      <c r="Z7848" s="7"/>
    </row>
    <row r="7849" hidden="1">
      <c r="A7849" s="7"/>
      <c r="B7849" s="7"/>
      <c r="C7849" s="7"/>
      <c r="D7849" s="7"/>
      <c r="E7849" s="7"/>
      <c r="F7849" s="7"/>
      <c r="G7849" s="7"/>
      <c r="H7849" s="8"/>
      <c r="I7849" s="8"/>
      <c r="J7849" s="7"/>
      <c r="K7849" s="7"/>
      <c r="L7849" s="7"/>
      <c r="M7849" s="7"/>
      <c r="N7849" s="7"/>
      <c r="O7849" s="7"/>
      <c r="P7849" s="7"/>
      <c r="Q7849" s="7"/>
      <c r="R7849" s="7"/>
      <c r="S7849" s="7"/>
      <c r="T7849" s="7"/>
      <c r="U7849" s="7"/>
      <c r="V7849" s="7"/>
      <c r="W7849" s="7"/>
      <c r="X7849" s="7"/>
      <c r="Y7849" s="7"/>
      <c r="Z7849" s="7"/>
    </row>
    <row r="7850" hidden="1">
      <c r="A7850" s="7"/>
      <c r="B7850" s="7"/>
      <c r="C7850" s="7"/>
      <c r="D7850" s="7"/>
      <c r="E7850" s="7"/>
      <c r="F7850" s="7"/>
      <c r="G7850" s="7"/>
      <c r="H7850" s="8"/>
      <c r="I7850" s="8"/>
      <c r="J7850" s="7"/>
      <c r="K7850" s="7"/>
      <c r="L7850" s="7"/>
      <c r="M7850" s="7"/>
      <c r="N7850" s="7"/>
      <c r="O7850" s="7"/>
      <c r="P7850" s="7"/>
      <c r="Q7850" s="7"/>
      <c r="R7850" s="7"/>
      <c r="S7850" s="7"/>
      <c r="T7850" s="7"/>
      <c r="U7850" s="7"/>
      <c r="V7850" s="7"/>
      <c r="W7850" s="7"/>
      <c r="X7850" s="7"/>
      <c r="Y7850" s="7"/>
      <c r="Z7850" s="7"/>
    </row>
    <row r="7851" hidden="1">
      <c r="A7851" s="7"/>
      <c r="B7851" s="7"/>
      <c r="C7851" s="7"/>
      <c r="D7851" s="7"/>
      <c r="E7851" s="7"/>
      <c r="F7851" s="7"/>
      <c r="G7851" s="7"/>
      <c r="H7851" s="8"/>
      <c r="I7851" s="8"/>
      <c r="J7851" s="7"/>
      <c r="K7851" s="7"/>
      <c r="L7851" s="7"/>
      <c r="M7851" s="7"/>
      <c r="N7851" s="7"/>
      <c r="O7851" s="7"/>
      <c r="P7851" s="7"/>
      <c r="Q7851" s="7"/>
      <c r="R7851" s="7"/>
      <c r="S7851" s="7"/>
      <c r="T7851" s="7"/>
      <c r="U7851" s="7"/>
      <c r="V7851" s="7"/>
      <c r="W7851" s="7"/>
      <c r="X7851" s="7"/>
      <c r="Y7851" s="7"/>
      <c r="Z7851" s="7"/>
    </row>
    <row r="7852" hidden="1">
      <c r="A7852" s="7"/>
      <c r="B7852" s="7"/>
      <c r="C7852" s="7"/>
      <c r="D7852" s="7"/>
      <c r="E7852" s="7"/>
      <c r="F7852" s="7"/>
      <c r="G7852" s="7"/>
      <c r="H7852" s="8"/>
      <c r="I7852" s="8"/>
      <c r="J7852" s="7"/>
      <c r="K7852" s="7"/>
      <c r="L7852" s="7"/>
      <c r="M7852" s="7"/>
      <c r="N7852" s="7"/>
      <c r="O7852" s="7"/>
      <c r="P7852" s="7"/>
      <c r="Q7852" s="7"/>
      <c r="R7852" s="7"/>
      <c r="S7852" s="7"/>
      <c r="T7852" s="7"/>
      <c r="U7852" s="7"/>
      <c r="V7852" s="7"/>
      <c r="W7852" s="7"/>
      <c r="X7852" s="7"/>
      <c r="Y7852" s="7"/>
      <c r="Z7852" s="7"/>
    </row>
    <row r="7853" hidden="1">
      <c r="A7853" s="7"/>
      <c r="B7853" s="7"/>
      <c r="C7853" s="7"/>
      <c r="D7853" s="7"/>
      <c r="E7853" s="7"/>
      <c r="F7853" s="7"/>
      <c r="G7853" s="7"/>
      <c r="H7853" s="8"/>
      <c r="I7853" s="8"/>
      <c r="J7853" s="7"/>
      <c r="K7853" s="7"/>
      <c r="L7853" s="7"/>
      <c r="M7853" s="7"/>
      <c r="N7853" s="7"/>
      <c r="O7853" s="7"/>
      <c r="P7853" s="7"/>
      <c r="Q7853" s="7"/>
      <c r="R7853" s="7"/>
      <c r="S7853" s="7"/>
      <c r="T7853" s="7"/>
      <c r="U7853" s="7"/>
      <c r="V7853" s="7"/>
      <c r="W7853" s="7"/>
      <c r="X7853" s="7"/>
      <c r="Y7853" s="7"/>
      <c r="Z7853" s="7"/>
    </row>
    <row r="7854" hidden="1">
      <c r="A7854" s="7"/>
      <c r="B7854" s="7"/>
      <c r="C7854" s="7"/>
      <c r="D7854" s="7"/>
      <c r="E7854" s="7"/>
      <c r="F7854" s="7"/>
      <c r="G7854" s="7"/>
      <c r="H7854" s="8"/>
      <c r="I7854" s="8"/>
      <c r="J7854" s="7"/>
      <c r="K7854" s="7"/>
      <c r="L7854" s="7"/>
      <c r="M7854" s="7"/>
      <c r="N7854" s="7"/>
      <c r="O7854" s="7"/>
      <c r="P7854" s="7"/>
      <c r="Q7854" s="7"/>
      <c r="R7854" s="7"/>
      <c r="S7854" s="7"/>
      <c r="T7854" s="7"/>
      <c r="U7854" s="7"/>
      <c r="V7854" s="7"/>
      <c r="W7854" s="7"/>
      <c r="X7854" s="7"/>
      <c r="Y7854" s="7"/>
      <c r="Z7854" s="7"/>
    </row>
    <row r="7855" hidden="1">
      <c r="A7855" s="7"/>
      <c r="B7855" s="7"/>
      <c r="C7855" s="7"/>
      <c r="D7855" s="7"/>
      <c r="E7855" s="7"/>
      <c r="F7855" s="7"/>
      <c r="G7855" s="7"/>
      <c r="H7855" s="8"/>
      <c r="I7855" s="8"/>
      <c r="J7855" s="7"/>
      <c r="K7855" s="7"/>
      <c r="L7855" s="7"/>
      <c r="M7855" s="7"/>
      <c r="N7855" s="7"/>
      <c r="O7855" s="7"/>
      <c r="P7855" s="7"/>
      <c r="Q7855" s="7"/>
      <c r="R7855" s="7"/>
      <c r="S7855" s="7"/>
      <c r="T7855" s="7"/>
      <c r="U7855" s="7"/>
      <c r="V7855" s="7"/>
      <c r="W7855" s="7"/>
      <c r="X7855" s="7"/>
      <c r="Y7855" s="7"/>
      <c r="Z7855" s="7"/>
    </row>
    <row r="7856" hidden="1">
      <c r="A7856" s="7"/>
      <c r="B7856" s="7"/>
      <c r="C7856" s="7"/>
      <c r="D7856" s="7"/>
      <c r="E7856" s="7"/>
      <c r="F7856" s="7"/>
      <c r="G7856" s="7"/>
      <c r="H7856" s="8"/>
      <c r="I7856" s="8"/>
      <c r="J7856" s="7"/>
      <c r="K7856" s="7"/>
      <c r="L7856" s="7"/>
      <c r="M7856" s="7"/>
      <c r="N7856" s="7"/>
      <c r="O7856" s="7"/>
      <c r="P7856" s="7"/>
      <c r="Q7856" s="7"/>
      <c r="R7856" s="7"/>
      <c r="S7856" s="7"/>
      <c r="T7856" s="7"/>
      <c r="U7856" s="7"/>
      <c r="V7856" s="7"/>
      <c r="W7856" s="7"/>
      <c r="X7856" s="7"/>
      <c r="Y7856" s="7"/>
      <c r="Z7856" s="7"/>
    </row>
    <row r="7857" hidden="1">
      <c r="A7857" s="7"/>
      <c r="B7857" s="7"/>
      <c r="C7857" s="7"/>
      <c r="D7857" s="7"/>
      <c r="E7857" s="7"/>
      <c r="F7857" s="7"/>
      <c r="G7857" s="7"/>
      <c r="H7857" s="8"/>
      <c r="I7857" s="8"/>
      <c r="J7857" s="7"/>
      <c r="K7857" s="7"/>
      <c r="L7857" s="7"/>
      <c r="M7857" s="7"/>
      <c r="N7857" s="7"/>
      <c r="O7857" s="7"/>
      <c r="P7857" s="7"/>
      <c r="Q7857" s="7"/>
      <c r="R7857" s="7"/>
      <c r="S7857" s="7"/>
      <c r="T7857" s="7"/>
      <c r="U7857" s="7"/>
      <c r="V7857" s="7"/>
      <c r="W7857" s="7"/>
      <c r="X7857" s="7"/>
      <c r="Y7857" s="7"/>
      <c r="Z7857" s="7"/>
    </row>
    <row r="7858" hidden="1">
      <c r="A7858" s="7"/>
      <c r="B7858" s="7"/>
      <c r="C7858" s="7"/>
      <c r="D7858" s="7"/>
      <c r="E7858" s="7"/>
      <c r="F7858" s="7"/>
      <c r="G7858" s="7"/>
      <c r="H7858" s="8"/>
      <c r="I7858" s="8"/>
      <c r="J7858" s="7"/>
      <c r="K7858" s="7"/>
      <c r="L7858" s="7"/>
      <c r="M7858" s="7"/>
      <c r="N7858" s="7"/>
      <c r="O7858" s="7"/>
      <c r="P7858" s="7"/>
      <c r="Q7858" s="7"/>
      <c r="R7858" s="7"/>
      <c r="S7858" s="7"/>
      <c r="T7858" s="7"/>
      <c r="U7858" s="7"/>
      <c r="V7858" s="7"/>
      <c r="W7858" s="7"/>
      <c r="X7858" s="7"/>
      <c r="Y7858" s="7"/>
      <c r="Z7858" s="7"/>
    </row>
    <row r="7859" hidden="1">
      <c r="A7859" s="7"/>
      <c r="B7859" s="7"/>
      <c r="C7859" s="7"/>
      <c r="D7859" s="7"/>
      <c r="E7859" s="7"/>
      <c r="F7859" s="7"/>
      <c r="G7859" s="7"/>
      <c r="H7859" s="8"/>
      <c r="I7859" s="8"/>
      <c r="J7859" s="7"/>
      <c r="K7859" s="7"/>
      <c r="L7859" s="7"/>
      <c r="M7859" s="7"/>
      <c r="N7859" s="7"/>
      <c r="O7859" s="7"/>
      <c r="P7859" s="7"/>
      <c r="Q7859" s="7"/>
      <c r="R7859" s="7"/>
      <c r="S7859" s="7"/>
      <c r="T7859" s="7"/>
      <c r="U7859" s="7"/>
      <c r="V7859" s="7"/>
      <c r="W7859" s="7"/>
      <c r="X7859" s="7"/>
      <c r="Y7859" s="7"/>
      <c r="Z7859" s="7"/>
    </row>
    <row r="7860" hidden="1">
      <c r="A7860" s="7"/>
      <c r="B7860" s="7"/>
      <c r="C7860" s="7"/>
      <c r="D7860" s="7"/>
      <c r="E7860" s="7"/>
      <c r="F7860" s="7"/>
      <c r="G7860" s="7"/>
      <c r="H7860" s="8"/>
      <c r="I7860" s="8"/>
      <c r="J7860" s="7"/>
      <c r="K7860" s="7"/>
      <c r="L7860" s="7"/>
      <c r="M7860" s="7"/>
      <c r="N7860" s="7"/>
      <c r="O7860" s="7"/>
      <c r="P7860" s="7"/>
      <c r="Q7860" s="7"/>
      <c r="R7860" s="7"/>
      <c r="S7860" s="7"/>
      <c r="T7860" s="7"/>
      <c r="U7860" s="7"/>
      <c r="V7860" s="7"/>
      <c r="W7860" s="7"/>
      <c r="X7860" s="7"/>
      <c r="Y7860" s="7"/>
      <c r="Z7860" s="7"/>
    </row>
    <row r="7861" hidden="1">
      <c r="A7861" s="7"/>
      <c r="B7861" s="7"/>
      <c r="C7861" s="7"/>
      <c r="D7861" s="7"/>
      <c r="E7861" s="7"/>
      <c r="F7861" s="7"/>
      <c r="G7861" s="7"/>
      <c r="H7861" s="8"/>
      <c r="I7861" s="8"/>
      <c r="J7861" s="7"/>
      <c r="K7861" s="7"/>
      <c r="L7861" s="7"/>
      <c r="M7861" s="7"/>
      <c r="N7861" s="7"/>
      <c r="O7861" s="7"/>
      <c r="P7861" s="7"/>
      <c r="Q7861" s="7"/>
      <c r="R7861" s="7"/>
      <c r="S7861" s="7"/>
      <c r="T7861" s="7"/>
      <c r="U7861" s="7"/>
      <c r="V7861" s="7"/>
      <c r="W7861" s="7"/>
      <c r="X7861" s="7"/>
      <c r="Y7861" s="7"/>
      <c r="Z7861" s="7"/>
    </row>
    <row r="7862" hidden="1">
      <c r="A7862" s="7"/>
      <c r="B7862" s="7"/>
      <c r="C7862" s="7"/>
      <c r="D7862" s="7"/>
      <c r="E7862" s="7"/>
      <c r="F7862" s="7"/>
      <c r="G7862" s="7"/>
      <c r="H7862" s="8"/>
      <c r="I7862" s="8"/>
      <c r="J7862" s="7"/>
      <c r="K7862" s="7"/>
      <c r="L7862" s="7"/>
      <c r="M7862" s="7"/>
      <c r="N7862" s="7"/>
      <c r="O7862" s="7"/>
      <c r="P7862" s="7"/>
      <c r="Q7862" s="7"/>
      <c r="R7862" s="7"/>
      <c r="S7862" s="7"/>
      <c r="T7862" s="7"/>
      <c r="U7862" s="7"/>
      <c r="V7862" s="7"/>
      <c r="W7862" s="7"/>
      <c r="X7862" s="7"/>
      <c r="Y7862" s="7"/>
      <c r="Z7862" s="7"/>
    </row>
    <row r="7863" hidden="1">
      <c r="A7863" s="7"/>
      <c r="B7863" s="7"/>
      <c r="C7863" s="7"/>
      <c r="D7863" s="7"/>
      <c r="E7863" s="7"/>
      <c r="F7863" s="7"/>
      <c r="G7863" s="7"/>
      <c r="H7863" s="8"/>
      <c r="I7863" s="8"/>
      <c r="J7863" s="7"/>
      <c r="K7863" s="7"/>
      <c r="L7863" s="7"/>
      <c r="M7863" s="7"/>
      <c r="N7863" s="7"/>
      <c r="O7863" s="7"/>
      <c r="P7863" s="7"/>
      <c r="Q7863" s="7"/>
      <c r="R7863" s="7"/>
      <c r="S7863" s="7"/>
      <c r="T7863" s="7"/>
      <c r="U7863" s="7"/>
      <c r="V7863" s="7"/>
      <c r="W7863" s="7"/>
      <c r="X7863" s="7"/>
      <c r="Y7863" s="7"/>
      <c r="Z7863" s="7"/>
    </row>
    <row r="7864" hidden="1">
      <c r="A7864" s="7"/>
      <c r="B7864" s="7"/>
      <c r="C7864" s="7"/>
      <c r="D7864" s="7"/>
      <c r="E7864" s="7"/>
      <c r="F7864" s="7"/>
      <c r="G7864" s="7"/>
      <c r="H7864" s="8"/>
      <c r="I7864" s="8"/>
      <c r="J7864" s="7"/>
      <c r="K7864" s="7"/>
      <c r="L7864" s="7"/>
      <c r="M7864" s="7"/>
      <c r="N7864" s="7"/>
      <c r="O7864" s="7"/>
      <c r="P7864" s="7"/>
      <c r="Q7864" s="7"/>
      <c r="R7864" s="7"/>
      <c r="S7864" s="7"/>
      <c r="T7864" s="7"/>
      <c r="U7864" s="7"/>
      <c r="V7864" s="7"/>
      <c r="W7864" s="7"/>
      <c r="X7864" s="7"/>
      <c r="Y7864" s="7"/>
      <c r="Z7864" s="7"/>
    </row>
    <row r="7865" hidden="1">
      <c r="A7865" s="7"/>
      <c r="B7865" s="7"/>
      <c r="C7865" s="7"/>
      <c r="D7865" s="7"/>
      <c r="E7865" s="7"/>
      <c r="F7865" s="7"/>
      <c r="G7865" s="7"/>
      <c r="H7865" s="8"/>
      <c r="I7865" s="8"/>
      <c r="J7865" s="7"/>
      <c r="K7865" s="7"/>
      <c r="L7865" s="7"/>
      <c r="M7865" s="7"/>
      <c r="N7865" s="7"/>
      <c r="O7865" s="7"/>
      <c r="P7865" s="7"/>
      <c r="Q7865" s="7"/>
      <c r="R7865" s="7"/>
      <c r="S7865" s="7"/>
      <c r="T7865" s="7"/>
      <c r="U7865" s="7"/>
      <c r="V7865" s="7"/>
      <c r="W7865" s="7"/>
      <c r="X7865" s="7"/>
      <c r="Y7865" s="7"/>
      <c r="Z7865" s="7"/>
    </row>
    <row r="7866" hidden="1">
      <c r="A7866" s="7"/>
      <c r="B7866" s="7"/>
      <c r="C7866" s="7"/>
      <c r="D7866" s="7"/>
      <c r="E7866" s="7"/>
      <c r="F7866" s="7"/>
      <c r="G7866" s="7"/>
      <c r="H7866" s="8"/>
      <c r="I7866" s="8"/>
      <c r="J7866" s="7"/>
      <c r="K7866" s="7"/>
      <c r="L7866" s="7"/>
      <c r="M7866" s="7"/>
      <c r="N7866" s="7"/>
      <c r="O7866" s="7"/>
      <c r="P7866" s="7"/>
      <c r="Q7866" s="7"/>
      <c r="R7866" s="7"/>
      <c r="S7866" s="7"/>
      <c r="T7866" s="7"/>
      <c r="U7866" s="7"/>
      <c r="V7866" s="7"/>
      <c r="W7866" s="7"/>
      <c r="X7866" s="7"/>
      <c r="Y7866" s="7"/>
      <c r="Z7866" s="7"/>
    </row>
    <row r="7867" hidden="1">
      <c r="A7867" s="7"/>
      <c r="B7867" s="7"/>
      <c r="C7867" s="7"/>
      <c r="D7867" s="7"/>
      <c r="E7867" s="7"/>
      <c r="F7867" s="7"/>
      <c r="G7867" s="7"/>
      <c r="H7867" s="8"/>
      <c r="I7867" s="8"/>
      <c r="J7867" s="7"/>
      <c r="K7867" s="7"/>
      <c r="L7867" s="7"/>
      <c r="M7867" s="7"/>
      <c r="N7867" s="7"/>
      <c r="O7867" s="7"/>
      <c r="P7867" s="7"/>
      <c r="Q7867" s="7"/>
      <c r="R7867" s="7"/>
      <c r="S7867" s="7"/>
      <c r="T7867" s="7"/>
      <c r="U7867" s="7"/>
      <c r="V7867" s="7"/>
      <c r="W7867" s="7"/>
      <c r="X7867" s="7"/>
      <c r="Y7867" s="7"/>
      <c r="Z7867" s="7"/>
    </row>
    <row r="7868" hidden="1">
      <c r="A7868" s="7"/>
      <c r="B7868" s="7"/>
      <c r="C7868" s="7"/>
      <c r="D7868" s="7"/>
      <c r="E7868" s="7"/>
      <c r="F7868" s="7"/>
      <c r="G7868" s="7"/>
      <c r="H7868" s="8"/>
      <c r="I7868" s="8"/>
      <c r="J7868" s="7"/>
      <c r="K7868" s="7"/>
      <c r="L7868" s="7"/>
      <c r="M7868" s="7"/>
      <c r="N7868" s="7"/>
      <c r="O7868" s="7"/>
      <c r="P7868" s="7"/>
      <c r="Q7868" s="7"/>
      <c r="R7868" s="7"/>
      <c r="S7868" s="7"/>
      <c r="T7868" s="7"/>
      <c r="U7868" s="7"/>
      <c r="V7868" s="7"/>
      <c r="W7868" s="7"/>
      <c r="X7868" s="7"/>
      <c r="Y7868" s="7"/>
      <c r="Z7868" s="7"/>
    </row>
    <row r="7869" hidden="1">
      <c r="A7869" s="7"/>
      <c r="B7869" s="7"/>
      <c r="C7869" s="7"/>
      <c r="D7869" s="7"/>
      <c r="E7869" s="7"/>
      <c r="F7869" s="7"/>
      <c r="G7869" s="7"/>
      <c r="H7869" s="8"/>
      <c r="I7869" s="8"/>
      <c r="J7869" s="7"/>
      <c r="K7869" s="7"/>
      <c r="L7869" s="7"/>
      <c r="M7869" s="7"/>
      <c r="N7869" s="7"/>
      <c r="O7869" s="7"/>
      <c r="P7869" s="7"/>
      <c r="Q7869" s="7"/>
      <c r="R7869" s="7"/>
      <c r="S7869" s="7"/>
      <c r="T7869" s="7"/>
      <c r="U7869" s="7"/>
      <c r="V7869" s="7"/>
      <c r="W7869" s="7"/>
      <c r="X7869" s="7"/>
      <c r="Y7869" s="7"/>
      <c r="Z7869" s="7"/>
    </row>
    <row r="7870" hidden="1">
      <c r="A7870" s="7"/>
      <c r="B7870" s="7"/>
      <c r="C7870" s="7"/>
      <c r="D7870" s="7"/>
      <c r="E7870" s="7"/>
      <c r="F7870" s="7"/>
      <c r="G7870" s="7"/>
      <c r="H7870" s="8"/>
      <c r="I7870" s="8"/>
      <c r="J7870" s="7"/>
      <c r="K7870" s="7"/>
      <c r="L7870" s="7"/>
      <c r="M7870" s="7"/>
      <c r="N7870" s="7"/>
      <c r="O7870" s="7"/>
      <c r="P7870" s="7"/>
      <c r="Q7870" s="7"/>
      <c r="R7870" s="7"/>
      <c r="S7870" s="7"/>
      <c r="T7870" s="7"/>
      <c r="U7870" s="7"/>
      <c r="V7870" s="7"/>
      <c r="W7870" s="7"/>
      <c r="X7870" s="7"/>
      <c r="Y7870" s="7"/>
      <c r="Z7870" s="7"/>
    </row>
    <row r="7871" hidden="1">
      <c r="A7871" s="7"/>
      <c r="B7871" s="7"/>
      <c r="C7871" s="7"/>
      <c r="D7871" s="7"/>
      <c r="E7871" s="7"/>
      <c r="F7871" s="7"/>
      <c r="G7871" s="7"/>
      <c r="H7871" s="8"/>
      <c r="I7871" s="8"/>
      <c r="J7871" s="7"/>
      <c r="K7871" s="7"/>
      <c r="L7871" s="7"/>
      <c r="M7871" s="7"/>
      <c r="N7871" s="7"/>
      <c r="O7871" s="7"/>
      <c r="P7871" s="7"/>
      <c r="Q7871" s="7"/>
      <c r="R7871" s="7"/>
      <c r="S7871" s="7"/>
      <c r="T7871" s="7"/>
      <c r="U7871" s="7"/>
      <c r="V7871" s="7"/>
      <c r="W7871" s="7"/>
      <c r="X7871" s="7"/>
      <c r="Y7871" s="7"/>
      <c r="Z7871" s="7"/>
    </row>
    <row r="7872" hidden="1">
      <c r="A7872" s="7"/>
      <c r="B7872" s="7"/>
      <c r="C7872" s="7"/>
      <c r="D7872" s="7"/>
      <c r="E7872" s="7"/>
      <c r="F7872" s="7"/>
      <c r="G7872" s="7"/>
      <c r="H7872" s="8"/>
      <c r="I7872" s="8"/>
      <c r="J7872" s="7"/>
      <c r="K7872" s="7"/>
      <c r="L7872" s="7"/>
      <c r="M7872" s="7"/>
      <c r="N7872" s="7"/>
      <c r="O7872" s="7"/>
      <c r="P7872" s="7"/>
      <c r="Q7872" s="7"/>
      <c r="R7872" s="7"/>
      <c r="S7872" s="7"/>
      <c r="T7872" s="7"/>
      <c r="U7872" s="7"/>
      <c r="V7872" s="7"/>
      <c r="W7872" s="7"/>
      <c r="X7872" s="7"/>
      <c r="Y7872" s="7"/>
      <c r="Z7872" s="7"/>
    </row>
    <row r="7873" hidden="1">
      <c r="A7873" s="7"/>
      <c r="B7873" s="7"/>
      <c r="C7873" s="7"/>
      <c r="D7873" s="7"/>
      <c r="E7873" s="7"/>
      <c r="F7873" s="7"/>
      <c r="G7873" s="7"/>
      <c r="H7873" s="8"/>
      <c r="I7873" s="8"/>
      <c r="J7873" s="7"/>
      <c r="K7873" s="7"/>
      <c r="L7873" s="7"/>
      <c r="M7873" s="7"/>
      <c r="N7873" s="7"/>
      <c r="O7873" s="7"/>
      <c r="P7873" s="7"/>
      <c r="Q7873" s="7"/>
      <c r="R7873" s="7"/>
      <c r="S7873" s="7"/>
      <c r="T7873" s="7"/>
      <c r="U7873" s="7"/>
      <c r="V7873" s="7"/>
      <c r="W7873" s="7"/>
      <c r="X7873" s="7"/>
      <c r="Y7873" s="7"/>
      <c r="Z7873" s="7"/>
    </row>
    <row r="7874" hidden="1">
      <c r="A7874" s="7"/>
      <c r="B7874" s="7"/>
      <c r="C7874" s="7"/>
      <c r="D7874" s="7"/>
      <c r="E7874" s="7"/>
      <c r="F7874" s="7"/>
      <c r="G7874" s="7"/>
      <c r="H7874" s="8"/>
      <c r="I7874" s="8"/>
      <c r="J7874" s="7"/>
      <c r="K7874" s="7"/>
      <c r="L7874" s="7"/>
      <c r="M7874" s="7"/>
      <c r="N7874" s="7"/>
      <c r="O7874" s="7"/>
      <c r="P7874" s="7"/>
      <c r="Q7874" s="7"/>
      <c r="R7874" s="7"/>
      <c r="S7874" s="7"/>
      <c r="T7874" s="7"/>
      <c r="U7874" s="7"/>
      <c r="V7874" s="7"/>
      <c r="W7874" s="7"/>
      <c r="X7874" s="7"/>
      <c r="Y7874" s="7"/>
      <c r="Z7874" s="7"/>
    </row>
    <row r="7875" hidden="1">
      <c r="A7875" s="7"/>
      <c r="B7875" s="7"/>
      <c r="C7875" s="7"/>
      <c r="D7875" s="7"/>
      <c r="E7875" s="7"/>
      <c r="F7875" s="7"/>
      <c r="G7875" s="7"/>
      <c r="H7875" s="8"/>
      <c r="I7875" s="8"/>
      <c r="J7875" s="7"/>
      <c r="K7875" s="7"/>
      <c r="L7875" s="7"/>
      <c r="M7875" s="7"/>
      <c r="N7875" s="7"/>
      <c r="O7875" s="7"/>
      <c r="P7875" s="7"/>
      <c r="Q7875" s="7"/>
      <c r="R7875" s="7"/>
      <c r="S7875" s="7"/>
      <c r="T7875" s="7"/>
      <c r="U7875" s="7"/>
      <c r="V7875" s="7"/>
      <c r="W7875" s="7"/>
      <c r="X7875" s="7"/>
      <c r="Y7875" s="7"/>
      <c r="Z7875" s="7"/>
    </row>
    <row r="7876" hidden="1">
      <c r="A7876" s="7"/>
      <c r="B7876" s="7"/>
      <c r="C7876" s="7"/>
      <c r="D7876" s="7"/>
      <c r="E7876" s="7"/>
      <c r="F7876" s="7"/>
      <c r="G7876" s="7"/>
      <c r="H7876" s="8"/>
      <c r="I7876" s="8"/>
      <c r="J7876" s="7"/>
      <c r="K7876" s="7"/>
      <c r="L7876" s="7"/>
      <c r="M7876" s="7"/>
      <c r="N7876" s="7"/>
      <c r="O7876" s="7"/>
      <c r="P7876" s="7"/>
      <c r="Q7876" s="7"/>
      <c r="R7876" s="7"/>
      <c r="S7876" s="7"/>
      <c r="T7876" s="7"/>
      <c r="U7876" s="7"/>
      <c r="V7876" s="7"/>
      <c r="W7876" s="7"/>
      <c r="X7876" s="7"/>
      <c r="Y7876" s="7"/>
      <c r="Z7876" s="7"/>
    </row>
    <row r="7877" hidden="1">
      <c r="A7877" s="7"/>
      <c r="B7877" s="7"/>
      <c r="C7877" s="7"/>
      <c r="D7877" s="7"/>
      <c r="E7877" s="7"/>
      <c r="F7877" s="7"/>
      <c r="G7877" s="7"/>
      <c r="H7877" s="8"/>
      <c r="I7877" s="8"/>
      <c r="J7877" s="7"/>
      <c r="K7877" s="7"/>
      <c r="L7877" s="7"/>
      <c r="M7877" s="7"/>
      <c r="N7877" s="7"/>
      <c r="O7877" s="7"/>
      <c r="P7877" s="7"/>
      <c r="Q7877" s="7"/>
      <c r="R7877" s="7"/>
      <c r="S7877" s="7"/>
      <c r="T7877" s="7"/>
      <c r="U7877" s="7"/>
      <c r="V7877" s="7"/>
      <c r="W7877" s="7"/>
      <c r="X7877" s="7"/>
      <c r="Y7877" s="7"/>
      <c r="Z7877" s="7"/>
    </row>
    <row r="7878" hidden="1">
      <c r="A7878" s="7"/>
      <c r="B7878" s="7"/>
      <c r="C7878" s="7"/>
      <c r="D7878" s="7"/>
      <c r="E7878" s="7"/>
      <c r="F7878" s="7"/>
      <c r="G7878" s="7"/>
      <c r="H7878" s="8"/>
      <c r="I7878" s="8"/>
      <c r="J7878" s="7"/>
      <c r="K7878" s="7"/>
      <c r="L7878" s="7"/>
      <c r="M7878" s="7"/>
      <c r="N7878" s="7"/>
      <c r="O7878" s="7"/>
      <c r="P7878" s="7"/>
      <c r="Q7878" s="7"/>
      <c r="R7878" s="7"/>
      <c r="S7878" s="7"/>
      <c r="T7878" s="7"/>
      <c r="U7878" s="7"/>
      <c r="V7878" s="7"/>
      <c r="W7878" s="7"/>
      <c r="X7878" s="7"/>
      <c r="Y7878" s="7"/>
      <c r="Z7878" s="7"/>
    </row>
    <row r="7879" hidden="1">
      <c r="A7879" s="7"/>
      <c r="B7879" s="7"/>
      <c r="C7879" s="7"/>
      <c r="D7879" s="7"/>
      <c r="E7879" s="7"/>
      <c r="F7879" s="7"/>
      <c r="G7879" s="7"/>
      <c r="H7879" s="8"/>
      <c r="I7879" s="8"/>
      <c r="J7879" s="7"/>
      <c r="K7879" s="7"/>
      <c r="L7879" s="7"/>
      <c r="M7879" s="7"/>
      <c r="N7879" s="7"/>
      <c r="O7879" s="7"/>
      <c r="P7879" s="7"/>
      <c r="Q7879" s="7"/>
      <c r="R7879" s="7"/>
      <c r="S7879" s="7"/>
      <c r="T7879" s="7"/>
      <c r="U7879" s="7"/>
      <c r="V7879" s="7"/>
      <c r="W7879" s="7"/>
      <c r="X7879" s="7"/>
      <c r="Y7879" s="7"/>
      <c r="Z7879" s="7"/>
    </row>
    <row r="7880" hidden="1">
      <c r="A7880" s="7"/>
      <c r="B7880" s="7"/>
      <c r="C7880" s="7"/>
      <c r="D7880" s="7"/>
      <c r="E7880" s="7"/>
      <c r="F7880" s="7"/>
      <c r="G7880" s="7"/>
      <c r="H7880" s="8"/>
      <c r="I7880" s="8"/>
      <c r="J7880" s="7"/>
      <c r="K7880" s="7"/>
      <c r="L7880" s="7"/>
      <c r="M7880" s="7"/>
      <c r="N7880" s="7"/>
      <c r="O7880" s="7"/>
      <c r="P7880" s="7"/>
      <c r="Q7880" s="7"/>
      <c r="R7880" s="7"/>
      <c r="S7880" s="7"/>
      <c r="T7880" s="7"/>
      <c r="U7880" s="7"/>
      <c r="V7880" s="7"/>
      <c r="W7880" s="7"/>
      <c r="X7880" s="7"/>
      <c r="Y7880" s="7"/>
      <c r="Z7880" s="7"/>
    </row>
    <row r="7881" hidden="1">
      <c r="A7881" s="7"/>
      <c r="B7881" s="7"/>
      <c r="C7881" s="7"/>
      <c r="D7881" s="7"/>
      <c r="E7881" s="7"/>
      <c r="F7881" s="7"/>
      <c r="G7881" s="7"/>
      <c r="H7881" s="8"/>
      <c r="I7881" s="8"/>
      <c r="J7881" s="7"/>
      <c r="K7881" s="7"/>
      <c r="L7881" s="7"/>
      <c r="M7881" s="7"/>
      <c r="N7881" s="7"/>
      <c r="O7881" s="7"/>
      <c r="P7881" s="7"/>
      <c r="Q7881" s="7"/>
      <c r="R7881" s="7"/>
      <c r="S7881" s="7"/>
      <c r="T7881" s="7"/>
      <c r="U7881" s="7"/>
      <c r="V7881" s="7"/>
      <c r="W7881" s="7"/>
      <c r="X7881" s="7"/>
      <c r="Y7881" s="7"/>
      <c r="Z7881" s="7"/>
    </row>
    <row r="7882" hidden="1">
      <c r="A7882" s="7"/>
      <c r="B7882" s="7"/>
      <c r="C7882" s="7"/>
      <c r="D7882" s="7"/>
      <c r="E7882" s="7"/>
      <c r="F7882" s="7"/>
      <c r="G7882" s="7"/>
      <c r="H7882" s="8"/>
      <c r="I7882" s="8"/>
      <c r="J7882" s="7"/>
      <c r="K7882" s="7"/>
      <c r="L7882" s="7"/>
      <c r="M7882" s="7"/>
      <c r="N7882" s="7"/>
      <c r="O7882" s="7"/>
      <c r="P7882" s="7"/>
      <c r="Q7882" s="7"/>
      <c r="R7882" s="7"/>
      <c r="S7882" s="7"/>
      <c r="T7882" s="7"/>
      <c r="U7882" s="7"/>
      <c r="V7882" s="7"/>
      <c r="W7882" s="7"/>
      <c r="X7882" s="7"/>
      <c r="Y7882" s="7"/>
      <c r="Z7882" s="7"/>
    </row>
    <row r="7883" hidden="1">
      <c r="A7883" s="7"/>
      <c r="B7883" s="7"/>
      <c r="C7883" s="7"/>
      <c r="D7883" s="7"/>
      <c r="E7883" s="7"/>
      <c r="F7883" s="7"/>
      <c r="G7883" s="7"/>
      <c r="H7883" s="8"/>
      <c r="I7883" s="8"/>
      <c r="J7883" s="7"/>
      <c r="K7883" s="7"/>
      <c r="L7883" s="7"/>
      <c r="M7883" s="7"/>
      <c r="N7883" s="7"/>
      <c r="O7883" s="7"/>
      <c r="P7883" s="7"/>
      <c r="Q7883" s="7"/>
      <c r="R7883" s="7"/>
      <c r="S7883" s="7"/>
      <c r="T7883" s="7"/>
      <c r="U7883" s="7"/>
      <c r="V7883" s="7"/>
      <c r="W7883" s="7"/>
      <c r="X7883" s="7"/>
      <c r="Y7883" s="7"/>
      <c r="Z7883" s="7"/>
    </row>
    <row r="7884" hidden="1">
      <c r="A7884" s="7"/>
      <c r="B7884" s="7"/>
      <c r="C7884" s="7"/>
      <c r="D7884" s="7"/>
      <c r="E7884" s="7"/>
      <c r="F7884" s="7"/>
      <c r="G7884" s="7"/>
      <c r="H7884" s="8"/>
      <c r="I7884" s="8"/>
      <c r="J7884" s="7"/>
      <c r="K7884" s="7"/>
      <c r="L7884" s="7"/>
      <c r="M7884" s="7"/>
      <c r="N7884" s="7"/>
      <c r="O7884" s="7"/>
      <c r="P7884" s="7"/>
      <c r="Q7884" s="7"/>
      <c r="R7884" s="7"/>
      <c r="S7884" s="7"/>
      <c r="T7884" s="7"/>
      <c r="U7884" s="7"/>
      <c r="V7884" s="7"/>
      <c r="W7884" s="7"/>
      <c r="X7884" s="7"/>
      <c r="Y7884" s="7"/>
      <c r="Z7884" s="7"/>
    </row>
    <row r="7885" hidden="1">
      <c r="A7885" s="7"/>
      <c r="B7885" s="7"/>
      <c r="C7885" s="7"/>
      <c r="D7885" s="7"/>
      <c r="E7885" s="7"/>
      <c r="F7885" s="7"/>
      <c r="G7885" s="7"/>
      <c r="H7885" s="8"/>
      <c r="I7885" s="8"/>
      <c r="J7885" s="7"/>
      <c r="K7885" s="7"/>
      <c r="L7885" s="7"/>
      <c r="M7885" s="7"/>
      <c r="N7885" s="7"/>
      <c r="O7885" s="7"/>
      <c r="P7885" s="7"/>
      <c r="Q7885" s="7"/>
      <c r="R7885" s="7"/>
      <c r="S7885" s="7"/>
      <c r="T7885" s="7"/>
      <c r="U7885" s="7"/>
      <c r="V7885" s="7"/>
      <c r="W7885" s="7"/>
      <c r="X7885" s="7"/>
      <c r="Y7885" s="7"/>
      <c r="Z7885" s="7"/>
    </row>
    <row r="7886" hidden="1">
      <c r="A7886" s="7"/>
      <c r="B7886" s="7"/>
      <c r="C7886" s="7"/>
      <c r="D7886" s="7"/>
      <c r="E7886" s="7"/>
      <c r="F7886" s="7"/>
      <c r="G7886" s="7"/>
      <c r="H7886" s="8"/>
      <c r="I7886" s="8"/>
      <c r="J7886" s="7"/>
      <c r="K7886" s="7"/>
      <c r="L7886" s="7"/>
      <c r="M7886" s="7"/>
      <c r="N7886" s="7"/>
      <c r="O7886" s="7"/>
      <c r="P7886" s="7"/>
      <c r="Q7886" s="7"/>
      <c r="R7886" s="7"/>
      <c r="S7886" s="7"/>
      <c r="T7886" s="7"/>
      <c r="U7886" s="7"/>
      <c r="V7886" s="7"/>
      <c r="W7886" s="7"/>
      <c r="X7886" s="7"/>
      <c r="Y7886" s="7"/>
      <c r="Z7886" s="7"/>
    </row>
    <row r="7887" hidden="1">
      <c r="A7887" s="7"/>
      <c r="B7887" s="7"/>
      <c r="C7887" s="7"/>
      <c r="D7887" s="7"/>
      <c r="E7887" s="7"/>
      <c r="F7887" s="7"/>
      <c r="G7887" s="7"/>
      <c r="H7887" s="8"/>
      <c r="I7887" s="8"/>
      <c r="J7887" s="7"/>
      <c r="K7887" s="7"/>
      <c r="L7887" s="7"/>
      <c r="M7887" s="7"/>
      <c r="N7887" s="7"/>
      <c r="O7887" s="7"/>
      <c r="P7887" s="7"/>
      <c r="Q7887" s="7"/>
      <c r="R7887" s="7"/>
      <c r="S7887" s="7"/>
      <c r="T7887" s="7"/>
      <c r="U7887" s="7"/>
      <c r="V7887" s="7"/>
      <c r="W7887" s="7"/>
      <c r="X7887" s="7"/>
      <c r="Y7887" s="7"/>
      <c r="Z7887" s="7"/>
    </row>
    <row r="7888" hidden="1">
      <c r="A7888" s="7"/>
      <c r="B7888" s="7"/>
      <c r="C7888" s="7"/>
      <c r="D7888" s="7"/>
      <c r="E7888" s="7"/>
      <c r="F7888" s="7"/>
      <c r="G7888" s="7"/>
      <c r="H7888" s="8"/>
      <c r="I7888" s="8"/>
      <c r="J7888" s="7"/>
      <c r="K7888" s="7"/>
      <c r="L7888" s="7"/>
      <c r="M7888" s="7"/>
      <c r="N7888" s="7"/>
      <c r="O7888" s="7"/>
      <c r="P7888" s="7"/>
      <c r="Q7888" s="7"/>
      <c r="R7888" s="7"/>
      <c r="S7888" s="7"/>
      <c r="T7888" s="7"/>
      <c r="U7888" s="7"/>
      <c r="V7888" s="7"/>
      <c r="W7888" s="7"/>
      <c r="X7888" s="7"/>
      <c r="Y7888" s="7"/>
      <c r="Z7888" s="7"/>
    </row>
    <row r="7889" hidden="1">
      <c r="A7889" s="7"/>
      <c r="B7889" s="7"/>
      <c r="C7889" s="7"/>
      <c r="D7889" s="7"/>
      <c r="E7889" s="7"/>
      <c r="F7889" s="7"/>
      <c r="G7889" s="7"/>
      <c r="H7889" s="8"/>
      <c r="I7889" s="8"/>
      <c r="J7889" s="7"/>
      <c r="K7889" s="7"/>
      <c r="L7889" s="7"/>
      <c r="M7889" s="7"/>
      <c r="N7889" s="7"/>
      <c r="O7889" s="7"/>
      <c r="P7889" s="7"/>
      <c r="Q7889" s="7"/>
      <c r="R7889" s="7"/>
      <c r="S7889" s="7"/>
      <c r="T7889" s="7"/>
      <c r="U7889" s="7"/>
      <c r="V7889" s="7"/>
      <c r="W7889" s="7"/>
      <c r="X7889" s="7"/>
      <c r="Y7889" s="7"/>
      <c r="Z7889" s="7"/>
    </row>
    <row r="7890" hidden="1">
      <c r="A7890" s="7"/>
      <c r="B7890" s="7"/>
      <c r="C7890" s="7"/>
      <c r="D7890" s="7"/>
      <c r="E7890" s="7"/>
      <c r="F7890" s="7"/>
      <c r="G7890" s="7"/>
      <c r="H7890" s="8"/>
      <c r="I7890" s="8"/>
      <c r="J7890" s="7"/>
      <c r="K7890" s="7"/>
      <c r="L7890" s="7"/>
      <c r="M7890" s="7"/>
      <c r="N7890" s="7"/>
      <c r="O7890" s="7"/>
      <c r="P7890" s="7"/>
      <c r="Q7890" s="7"/>
      <c r="R7890" s="7"/>
      <c r="S7890" s="7"/>
      <c r="T7890" s="7"/>
      <c r="U7890" s="7"/>
      <c r="V7890" s="7"/>
      <c r="W7890" s="7"/>
      <c r="X7890" s="7"/>
      <c r="Y7890" s="7"/>
      <c r="Z7890" s="7"/>
    </row>
    <row r="7891" hidden="1">
      <c r="A7891" s="7"/>
      <c r="B7891" s="7"/>
      <c r="C7891" s="7"/>
      <c r="D7891" s="7"/>
      <c r="E7891" s="7"/>
      <c r="F7891" s="7"/>
      <c r="G7891" s="7"/>
      <c r="H7891" s="8"/>
      <c r="I7891" s="8"/>
      <c r="J7891" s="7"/>
      <c r="K7891" s="7"/>
      <c r="L7891" s="7"/>
      <c r="M7891" s="7"/>
      <c r="N7891" s="7"/>
      <c r="O7891" s="7"/>
      <c r="P7891" s="7"/>
      <c r="Q7891" s="7"/>
      <c r="R7891" s="7"/>
      <c r="S7891" s="7"/>
      <c r="T7891" s="7"/>
      <c r="U7891" s="7"/>
      <c r="V7891" s="7"/>
      <c r="W7891" s="7"/>
      <c r="X7891" s="7"/>
      <c r="Y7891" s="7"/>
      <c r="Z7891" s="7"/>
    </row>
    <row r="7892" hidden="1">
      <c r="A7892" s="7"/>
      <c r="B7892" s="7"/>
      <c r="C7892" s="7"/>
      <c r="D7892" s="7"/>
      <c r="E7892" s="7"/>
      <c r="F7892" s="7"/>
      <c r="G7892" s="7"/>
      <c r="H7892" s="8"/>
      <c r="I7892" s="8"/>
      <c r="J7892" s="7"/>
      <c r="K7892" s="7"/>
      <c r="L7892" s="7"/>
      <c r="M7892" s="7"/>
      <c r="N7892" s="7"/>
      <c r="O7892" s="7"/>
      <c r="P7892" s="7"/>
      <c r="Q7892" s="7"/>
      <c r="R7892" s="7"/>
      <c r="S7892" s="7"/>
      <c r="T7892" s="7"/>
      <c r="U7892" s="7"/>
      <c r="V7892" s="7"/>
      <c r="W7892" s="7"/>
      <c r="X7892" s="7"/>
      <c r="Y7892" s="7"/>
      <c r="Z7892" s="7"/>
    </row>
    <row r="7893" hidden="1">
      <c r="A7893" s="7"/>
      <c r="B7893" s="7"/>
      <c r="C7893" s="7"/>
      <c r="D7893" s="7"/>
      <c r="E7893" s="7"/>
      <c r="F7893" s="7"/>
      <c r="G7893" s="7"/>
      <c r="H7893" s="8"/>
      <c r="I7893" s="8"/>
      <c r="J7893" s="7"/>
      <c r="K7893" s="7"/>
      <c r="L7893" s="7"/>
      <c r="M7893" s="7"/>
      <c r="N7893" s="7"/>
      <c r="O7893" s="7"/>
      <c r="P7893" s="7"/>
      <c r="Q7893" s="7"/>
      <c r="R7893" s="7"/>
      <c r="S7893" s="7"/>
      <c r="T7893" s="7"/>
      <c r="U7893" s="7"/>
      <c r="V7893" s="7"/>
      <c r="W7893" s="7"/>
      <c r="X7893" s="7"/>
      <c r="Y7893" s="7"/>
      <c r="Z7893" s="7"/>
    </row>
    <row r="7894" hidden="1">
      <c r="A7894" s="7"/>
      <c r="B7894" s="7"/>
      <c r="C7894" s="7"/>
      <c r="D7894" s="7"/>
      <c r="E7894" s="7"/>
      <c r="F7894" s="7"/>
      <c r="G7894" s="7"/>
      <c r="H7894" s="8"/>
      <c r="I7894" s="8"/>
      <c r="J7894" s="7"/>
      <c r="K7894" s="7"/>
      <c r="L7894" s="7"/>
      <c r="M7894" s="7"/>
      <c r="N7894" s="7"/>
      <c r="O7894" s="7"/>
      <c r="P7894" s="7"/>
      <c r="Q7894" s="7"/>
      <c r="R7894" s="7"/>
      <c r="S7894" s="7"/>
      <c r="T7894" s="7"/>
      <c r="U7894" s="7"/>
      <c r="V7894" s="7"/>
      <c r="W7894" s="7"/>
      <c r="X7894" s="7"/>
      <c r="Y7894" s="7"/>
      <c r="Z7894" s="7"/>
    </row>
    <row r="7895" hidden="1">
      <c r="A7895" s="7"/>
      <c r="B7895" s="7"/>
      <c r="C7895" s="7"/>
      <c r="D7895" s="7"/>
      <c r="E7895" s="7"/>
      <c r="F7895" s="7"/>
      <c r="G7895" s="7"/>
      <c r="H7895" s="8"/>
      <c r="I7895" s="8"/>
      <c r="J7895" s="7"/>
      <c r="K7895" s="7"/>
      <c r="L7895" s="7"/>
      <c r="M7895" s="7"/>
      <c r="N7895" s="7"/>
      <c r="O7895" s="7"/>
      <c r="P7895" s="7"/>
      <c r="Q7895" s="7"/>
      <c r="R7895" s="7"/>
      <c r="S7895" s="7"/>
      <c r="T7895" s="7"/>
      <c r="U7895" s="7"/>
      <c r="V7895" s="7"/>
      <c r="W7895" s="7"/>
      <c r="X7895" s="7"/>
      <c r="Y7895" s="7"/>
      <c r="Z7895" s="7"/>
    </row>
    <row r="7896" hidden="1">
      <c r="A7896" s="7"/>
      <c r="B7896" s="7"/>
      <c r="C7896" s="7"/>
      <c r="D7896" s="7"/>
      <c r="E7896" s="7"/>
      <c r="F7896" s="7"/>
      <c r="G7896" s="7"/>
      <c r="H7896" s="8"/>
      <c r="I7896" s="8"/>
      <c r="J7896" s="7"/>
      <c r="K7896" s="7"/>
      <c r="L7896" s="7"/>
      <c r="M7896" s="7"/>
      <c r="N7896" s="7"/>
      <c r="O7896" s="7"/>
      <c r="P7896" s="7"/>
      <c r="Q7896" s="7"/>
      <c r="R7896" s="7"/>
      <c r="S7896" s="7"/>
      <c r="T7896" s="7"/>
      <c r="U7896" s="7"/>
      <c r="V7896" s="7"/>
      <c r="W7896" s="7"/>
      <c r="X7896" s="7"/>
      <c r="Y7896" s="7"/>
      <c r="Z7896" s="7"/>
    </row>
    <row r="7897" hidden="1">
      <c r="A7897" s="7"/>
      <c r="B7897" s="7"/>
      <c r="C7897" s="7"/>
      <c r="D7897" s="7"/>
      <c r="E7897" s="7"/>
      <c r="F7897" s="7"/>
      <c r="G7897" s="7"/>
      <c r="H7897" s="8"/>
      <c r="I7897" s="8"/>
      <c r="J7897" s="7"/>
      <c r="K7897" s="7"/>
      <c r="L7897" s="7"/>
      <c r="M7897" s="7"/>
      <c r="N7897" s="7"/>
      <c r="O7897" s="7"/>
      <c r="P7897" s="7"/>
      <c r="Q7897" s="7"/>
      <c r="R7897" s="7"/>
      <c r="S7897" s="7"/>
      <c r="T7897" s="7"/>
      <c r="U7897" s="7"/>
      <c r="V7897" s="7"/>
      <c r="W7897" s="7"/>
      <c r="X7897" s="7"/>
      <c r="Y7897" s="7"/>
      <c r="Z7897" s="7"/>
    </row>
    <row r="7898" hidden="1">
      <c r="A7898" s="7"/>
      <c r="B7898" s="7"/>
      <c r="C7898" s="7"/>
      <c r="D7898" s="7"/>
      <c r="E7898" s="7"/>
      <c r="F7898" s="7"/>
      <c r="G7898" s="7"/>
      <c r="H7898" s="8"/>
      <c r="I7898" s="8"/>
      <c r="J7898" s="7"/>
      <c r="K7898" s="7"/>
      <c r="L7898" s="7"/>
      <c r="M7898" s="7"/>
      <c r="N7898" s="7"/>
      <c r="O7898" s="7"/>
      <c r="P7898" s="7"/>
      <c r="Q7898" s="7"/>
      <c r="R7898" s="7"/>
      <c r="S7898" s="7"/>
      <c r="T7898" s="7"/>
      <c r="U7898" s="7"/>
      <c r="V7898" s="7"/>
      <c r="W7898" s="7"/>
      <c r="X7898" s="7"/>
      <c r="Y7898" s="7"/>
      <c r="Z7898" s="7"/>
    </row>
    <row r="7899" hidden="1">
      <c r="A7899" s="7"/>
      <c r="B7899" s="7"/>
      <c r="C7899" s="7"/>
      <c r="D7899" s="7"/>
      <c r="E7899" s="7"/>
      <c r="F7899" s="7"/>
      <c r="G7899" s="7"/>
      <c r="H7899" s="8"/>
      <c r="I7899" s="8"/>
      <c r="J7899" s="7"/>
      <c r="K7899" s="7"/>
      <c r="L7899" s="7"/>
      <c r="M7899" s="7"/>
      <c r="N7899" s="7"/>
      <c r="O7899" s="7"/>
      <c r="P7899" s="7"/>
      <c r="Q7899" s="7"/>
      <c r="R7899" s="7"/>
      <c r="S7899" s="7"/>
      <c r="T7899" s="7"/>
      <c r="U7899" s="7"/>
      <c r="V7899" s="7"/>
      <c r="W7899" s="7"/>
      <c r="X7899" s="7"/>
      <c r="Y7899" s="7"/>
      <c r="Z7899" s="7"/>
    </row>
    <row r="7900" hidden="1">
      <c r="A7900" s="7"/>
      <c r="B7900" s="7"/>
      <c r="C7900" s="7"/>
      <c r="D7900" s="7"/>
      <c r="E7900" s="7"/>
      <c r="F7900" s="7"/>
      <c r="G7900" s="7"/>
      <c r="H7900" s="8"/>
      <c r="I7900" s="8"/>
      <c r="J7900" s="7"/>
      <c r="K7900" s="7"/>
      <c r="L7900" s="7"/>
      <c r="M7900" s="7"/>
      <c r="N7900" s="7"/>
      <c r="O7900" s="7"/>
      <c r="P7900" s="7"/>
      <c r="Q7900" s="7"/>
      <c r="R7900" s="7"/>
      <c r="S7900" s="7"/>
      <c r="T7900" s="7"/>
      <c r="U7900" s="7"/>
      <c r="V7900" s="7"/>
      <c r="W7900" s="7"/>
      <c r="X7900" s="7"/>
      <c r="Y7900" s="7"/>
      <c r="Z7900" s="7"/>
    </row>
    <row r="7901" hidden="1">
      <c r="A7901" s="7"/>
      <c r="B7901" s="7"/>
      <c r="C7901" s="7"/>
      <c r="D7901" s="7"/>
      <c r="E7901" s="7"/>
      <c r="F7901" s="7"/>
      <c r="G7901" s="7"/>
      <c r="H7901" s="8"/>
      <c r="I7901" s="8"/>
      <c r="J7901" s="7"/>
      <c r="K7901" s="7"/>
      <c r="L7901" s="7"/>
      <c r="M7901" s="7"/>
      <c r="N7901" s="7"/>
      <c r="O7901" s="7"/>
      <c r="P7901" s="7"/>
      <c r="Q7901" s="7"/>
      <c r="R7901" s="7"/>
      <c r="S7901" s="7"/>
      <c r="T7901" s="7"/>
      <c r="U7901" s="7"/>
      <c r="V7901" s="7"/>
      <c r="W7901" s="7"/>
      <c r="X7901" s="7"/>
      <c r="Y7901" s="7"/>
      <c r="Z7901" s="7"/>
    </row>
    <row r="7902" hidden="1">
      <c r="A7902" s="7"/>
      <c r="B7902" s="7"/>
      <c r="C7902" s="7"/>
      <c r="D7902" s="7"/>
      <c r="E7902" s="7"/>
      <c r="F7902" s="7"/>
      <c r="G7902" s="7"/>
      <c r="H7902" s="8"/>
      <c r="I7902" s="8"/>
      <c r="J7902" s="7"/>
      <c r="K7902" s="7"/>
      <c r="L7902" s="7"/>
      <c r="M7902" s="7"/>
      <c r="N7902" s="7"/>
      <c r="O7902" s="7"/>
      <c r="P7902" s="7"/>
      <c r="Q7902" s="7"/>
      <c r="R7902" s="7"/>
      <c r="S7902" s="7"/>
      <c r="T7902" s="7"/>
      <c r="U7902" s="7"/>
      <c r="V7902" s="7"/>
      <c r="W7902" s="7"/>
      <c r="X7902" s="7"/>
      <c r="Y7902" s="7"/>
      <c r="Z7902" s="7"/>
    </row>
    <row r="7903" hidden="1">
      <c r="A7903" s="7"/>
      <c r="B7903" s="7"/>
      <c r="C7903" s="7"/>
      <c r="D7903" s="7"/>
      <c r="E7903" s="7"/>
      <c r="F7903" s="7"/>
      <c r="G7903" s="7"/>
      <c r="H7903" s="8"/>
      <c r="I7903" s="8"/>
      <c r="J7903" s="7"/>
      <c r="K7903" s="7"/>
      <c r="L7903" s="7"/>
      <c r="M7903" s="7"/>
      <c r="N7903" s="7"/>
      <c r="O7903" s="7"/>
      <c r="P7903" s="7"/>
      <c r="Q7903" s="7"/>
      <c r="R7903" s="7"/>
      <c r="S7903" s="7"/>
      <c r="T7903" s="7"/>
      <c r="U7903" s="7"/>
      <c r="V7903" s="7"/>
      <c r="W7903" s="7"/>
      <c r="X7903" s="7"/>
      <c r="Y7903" s="7"/>
      <c r="Z7903" s="7"/>
    </row>
    <row r="7904" hidden="1">
      <c r="A7904" s="7"/>
      <c r="B7904" s="7"/>
      <c r="C7904" s="7"/>
      <c r="D7904" s="7"/>
      <c r="E7904" s="7"/>
      <c r="F7904" s="7"/>
      <c r="G7904" s="7"/>
      <c r="H7904" s="8"/>
      <c r="I7904" s="8"/>
      <c r="J7904" s="7"/>
      <c r="K7904" s="7"/>
      <c r="L7904" s="7"/>
      <c r="M7904" s="7"/>
      <c r="N7904" s="7"/>
      <c r="O7904" s="7"/>
      <c r="P7904" s="7"/>
      <c r="Q7904" s="7"/>
      <c r="R7904" s="7"/>
      <c r="S7904" s="7"/>
      <c r="T7904" s="7"/>
      <c r="U7904" s="7"/>
      <c r="V7904" s="7"/>
      <c r="W7904" s="7"/>
      <c r="X7904" s="7"/>
      <c r="Y7904" s="7"/>
      <c r="Z7904" s="7"/>
    </row>
    <row r="7905" hidden="1">
      <c r="A7905" s="7"/>
      <c r="B7905" s="7"/>
      <c r="C7905" s="7"/>
      <c r="D7905" s="7"/>
      <c r="E7905" s="7"/>
      <c r="F7905" s="7"/>
      <c r="G7905" s="7"/>
      <c r="H7905" s="8"/>
      <c r="I7905" s="8"/>
      <c r="J7905" s="7"/>
      <c r="K7905" s="7"/>
      <c r="L7905" s="7"/>
      <c r="M7905" s="7"/>
      <c r="N7905" s="7"/>
      <c r="O7905" s="7"/>
      <c r="P7905" s="7"/>
      <c r="Q7905" s="7"/>
      <c r="R7905" s="7"/>
      <c r="S7905" s="7"/>
      <c r="T7905" s="7"/>
      <c r="U7905" s="7"/>
      <c r="V7905" s="7"/>
      <c r="W7905" s="7"/>
      <c r="X7905" s="7"/>
      <c r="Y7905" s="7"/>
      <c r="Z7905" s="7"/>
    </row>
    <row r="7906" hidden="1">
      <c r="A7906" s="7"/>
      <c r="B7906" s="7"/>
      <c r="C7906" s="7"/>
      <c r="D7906" s="7"/>
      <c r="E7906" s="7"/>
      <c r="F7906" s="7"/>
      <c r="G7906" s="7"/>
      <c r="H7906" s="8"/>
      <c r="I7906" s="8"/>
      <c r="J7906" s="7"/>
      <c r="K7906" s="7"/>
      <c r="L7906" s="7"/>
      <c r="M7906" s="7"/>
      <c r="N7906" s="7"/>
      <c r="O7906" s="7"/>
      <c r="P7906" s="7"/>
      <c r="Q7906" s="7"/>
      <c r="R7906" s="7"/>
      <c r="S7906" s="7"/>
      <c r="T7906" s="7"/>
      <c r="U7906" s="7"/>
      <c r="V7906" s="7"/>
      <c r="W7906" s="7"/>
      <c r="X7906" s="7"/>
      <c r="Y7906" s="7"/>
      <c r="Z7906" s="7"/>
    </row>
    <row r="7907" hidden="1">
      <c r="A7907" s="7"/>
      <c r="B7907" s="7"/>
      <c r="C7907" s="7"/>
      <c r="D7907" s="7"/>
      <c r="E7907" s="7"/>
      <c r="F7907" s="7"/>
      <c r="G7907" s="7"/>
      <c r="H7907" s="8"/>
      <c r="I7907" s="8"/>
      <c r="J7907" s="7"/>
      <c r="K7907" s="7"/>
      <c r="L7907" s="7"/>
      <c r="M7907" s="7"/>
      <c r="N7907" s="7"/>
      <c r="O7907" s="7"/>
      <c r="P7907" s="7"/>
      <c r="Q7907" s="7"/>
      <c r="R7907" s="7"/>
      <c r="S7907" s="7"/>
      <c r="T7907" s="7"/>
      <c r="U7907" s="7"/>
      <c r="V7907" s="7"/>
      <c r="W7907" s="7"/>
      <c r="X7907" s="7"/>
      <c r="Y7907" s="7"/>
      <c r="Z7907" s="7"/>
    </row>
    <row r="7908" hidden="1">
      <c r="A7908" s="7"/>
      <c r="B7908" s="7"/>
      <c r="C7908" s="7"/>
      <c r="D7908" s="7"/>
      <c r="E7908" s="7"/>
      <c r="F7908" s="7"/>
      <c r="G7908" s="7"/>
      <c r="H7908" s="8"/>
      <c r="I7908" s="8"/>
      <c r="J7908" s="7"/>
      <c r="K7908" s="7"/>
      <c r="L7908" s="7"/>
      <c r="M7908" s="7"/>
      <c r="N7908" s="7"/>
      <c r="O7908" s="7"/>
      <c r="P7908" s="7"/>
      <c r="Q7908" s="7"/>
      <c r="R7908" s="7"/>
      <c r="S7908" s="7"/>
      <c r="T7908" s="7"/>
      <c r="U7908" s="7"/>
      <c r="V7908" s="7"/>
      <c r="W7908" s="7"/>
      <c r="X7908" s="7"/>
      <c r="Y7908" s="7"/>
      <c r="Z7908" s="7"/>
    </row>
    <row r="7909" hidden="1">
      <c r="A7909" s="7"/>
      <c r="B7909" s="7"/>
      <c r="C7909" s="7"/>
      <c r="D7909" s="7"/>
      <c r="E7909" s="7"/>
      <c r="F7909" s="7"/>
      <c r="G7909" s="7"/>
      <c r="H7909" s="8"/>
      <c r="I7909" s="8"/>
      <c r="J7909" s="7"/>
      <c r="K7909" s="7"/>
      <c r="L7909" s="7"/>
      <c r="M7909" s="7"/>
      <c r="N7909" s="7"/>
      <c r="O7909" s="7"/>
      <c r="P7909" s="7"/>
      <c r="Q7909" s="7"/>
      <c r="R7909" s="7"/>
      <c r="S7909" s="7"/>
      <c r="T7909" s="7"/>
      <c r="U7909" s="7"/>
      <c r="V7909" s="7"/>
      <c r="W7909" s="7"/>
      <c r="X7909" s="7"/>
      <c r="Y7909" s="7"/>
      <c r="Z7909" s="7"/>
    </row>
    <row r="7910" hidden="1">
      <c r="A7910" s="7"/>
      <c r="B7910" s="7"/>
      <c r="C7910" s="7"/>
      <c r="D7910" s="7"/>
      <c r="E7910" s="7"/>
      <c r="F7910" s="7"/>
      <c r="G7910" s="7"/>
      <c r="H7910" s="8"/>
      <c r="I7910" s="8"/>
      <c r="J7910" s="7"/>
      <c r="K7910" s="7"/>
      <c r="L7910" s="7"/>
      <c r="M7910" s="7"/>
      <c r="N7910" s="7"/>
      <c r="O7910" s="7"/>
      <c r="P7910" s="7"/>
      <c r="Q7910" s="7"/>
      <c r="R7910" s="7"/>
      <c r="S7910" s="7"/>
      <c r="T7910" s="7"/>
      <c r="U7910" s="7"/>
      <c r="V7910" s="7"/>
      <c r="W7910" s="7"/>
      <c r="X7910" s="7"/>
      <c r="Y7910" s="7"/>
      <c r="Z7910" s="7"/>
    </row>
    <row r="7911" hidden="1">
      <c r="A7911" s="7"/>
      <c r="B7911" s="7"/>
      <c r="C7911" s="7"/>
      <c r="D7911" s="7"/>
      <c r="E7911" s="7"/>
      <c r="F7911" s="7"/>
      <c r="G7911" s="7"/>
      <c r="H7911" s="8"/>
      <c r="I7911" s="8"/>
      <c r="J7911" s="7"/>
      <c r="K7911" s="7"/>
      <c r="L7911" s="7"/>
      <c r="M7911" s="7"/>
      <c r="N7911" s="7"/>
      <c r="O7911" s="7"/>
      <c r="P7911" s="7"/>
      <c r="Q7911" s="7"/>
      <c r="R7911" s="7"/>
      <c r="S7911" s="7"/>
      <c r="T7911" s="7"/>
      <c r="U7911" s="7"/>
      <c r="V7911" s="7"/>
      <c r="W7911" s="7"/>
      <c r="X7911" s="7"/>
      <c r="Y7911" s="7"/>
      <c r="Z7911" s="7"/>
    </row>
    <row r="7912" hidden="1">
      <c r="A7912" s="7"/>
      <c r="B7912" s="7"/>
      <c r="C7912" s="7"/>
      <c r="D7912" s="7"/>
      <c r="E7912" s="7"/>
      <c r="F7912" s="7"/>
      <c r="G7912" s="7"/>
      <c r="H7912" s="8"/>
      <c r="I7912" s="8"/>
      <c r="J7912" s="7"/>
      <c r="K7912" s="7"/>
      <c r="L7912" s="7"/>
      <c r="M7912" s="7"/>
      <c r="N7912" s="7"/>
      <c r="O7912" s="7"/>
      <c r="P7912" s="7"/>
      <c r="Q7912" s="7"/>
      <c r="R7912" s="7"/>
      <c r="S7912" s="7"/>
      <c r="T7912" s="7"/>
      <c r="U7912" s="7"/>
      <c r="V7912" s="7"/>
      <c r="W7912" s="7"/>
      <c r="X7912" s="7"/>
      <c r="Y7912" s="7"/>
      <c r="Z7912" s="7"/>
    </row>
    <row r="7913" hidden="1">
      <c r="A7913" s="7"/>
      <c r="B7913" s="7"/>
      <c r="C7913" s="7"/>
      <c r="D7913" s="7"/>
      <c r="E7913" s="7"/>
      <c r="F7913" s="7"/>
      <c r="G7913" s="7"/>
      <c r="H7913" s="8"/>
      <c r="I7913" s="8"/>
      <c r="J7913" s="7"/>
      <c r="K7913" s="7"/>
      <c r="L7913" s="7"/>
      <c r="M7913" s="7"/>
      <c r="N7913" s="7"/>
      <c r="O7913" s="7"/>
      <c r="P7913" s="7"/>
      <c r="Q7913" s="7"/>
      <c r="R7913" s="7"/>
      <c r="S7913" s="7"/>
      <c r="T7913" s="7"/>
      <c r="U7913" s="7"/>
      <c r="V7913" s="7"/>
      <c r="W7913" s="7"/>
      <c r="X7913" s="7"/>
      <c r="Y7913" s="7"/>
      <c r="Z7913" s="7"/>
    </row>
    <row r="7914" hidden="1">
      <c r="A7914" s="7"/>
      <c r="B7914" s="7"/>
      <c r="C7914" s="7"/>
      <c r="D7914" s="7"/>
      <c r="E7914" s="7"/>
      <c r="F7914" s="7"/>
      <c r="G7914" s="7"/>
      <c r="H7914" s="8"/>
      <c r="I7914" s="8"/>
      <c r="J7914" s="7"/>
      <c r="K7914" s="7"/>
      <c r="L7914" s="7"/>
      <c r="M7914" s="7"/>
      <c r="N7914" s="7"/>
      <c r="O7914" s="7"/>
      <c r="P7914" s="7"/>
      <c r="Q7914" s="7"/>
      <c r="R7914" s="7"/>
      <c r="S7914" s="7"/>
      <c r="T7914" s="7"/>
      <c r="U7914" s="7"/>
      <c r="V7914" s="7"/>
      <c r="W7914" s="7"/>
      <c r="X7914" s="7"/>
      <c r="Y7914" s="7"/>
      <c r="Z7914" s="7"/>
    </row>
    <row r="7915" hidden="1">
      <c r="A7915" s="7"/>
      <c r="B7915" s="7"/>
      <c r="C7915" s="7"/>
      <c r="D7915" s="7"/>
      <c r="E7915" s="7"/>
      <c r="F7915" s="7"/>
      <c r="G7915" s="7"/>
      <c r="H7915" s="8"/>
      <c r="I7915" s="8"/>
      <c r="J7915" s="7"/>
      <c r="K7915" s="7"/>
      <c r="L7915" s="7"/>
      <c r="M7915" s="7"/>
      <c r="N7915" s="7"/>
      <c r="O7915" s="7"/>
      <c r="P7915" s="7"/>
      <c r="Q7915" s="7"/>
      <c r="R7915" s="7"/>
      <c r="S7915" s="7"/>
      <c r="T7915" s="7"/>
      <c r="U7915" s="7"/>
      <c r="V7915" s="7"/>
      <c r="W7915" s="7"/>
      <c r="X7915" s="7"/>
      <c r="Y7915" s="7"/>
      <c r="Z7915" s="7"/>
    </row>
    <row r="7916" hidden="1">
      <c r="A7916" s="7"/>
      <c r="B7916" s="7"/>
      <c r="C7916" s="7"/>
      <c r="D7916" s="7"/>
      <c r="E7916" s="7"/>
      <c r="F7916" s="7"/>
      <c r="G7916" s="7"/>
      <c r="H7916" s="8"/>
      <c r="I7916" s="8"/>
      <c r="J7916" s="7"/>
      <c r="K7916" s="7"/>
      <c r="L7916" s="7"/>
      <c r="M7916" s="7"/>
      <c r="N7916" s="7"/>
      <c r="O7916" s="7"/>
      <c r="P7916" s="7"/>
      <c r="Q7916" s="7"/>
      <c r="R7916" s="7"/>
      <c r="S7916" s="7"/>
      <c r="T7916" s="7"/>
      <c r="U7916" s="7"/>
      <c r="V7916" s="7"/>
      <c r="W7916" s="7"/>
      <c r="X7916" s="7"/>
      <c r="Y7916" s="7"/>
      <c r="Z7916" s="7"/>
    </row>
    <row r="7917" hidden="1">
      <c r="A7917" s="7"/>
      <c r="B7917" s="7"/>
      <c r="C7917" s="7"/>
      <c r="D7917" s="7"/>
      <c r="E7917" s="7"/>
      <c r="F7917" s="7"/>
      <c r="G7917" s="7"/>
      <c r="H7917" s="8"/>
      <c r="I7917" s="8"/>
      <c r="J7917" s="7"/>
      <c r="K7917" s="7"/>
      <c r="L7917" s="7"/>
      <c r="M7917" s="7"/>
      <c r="N7917" s="7"/>
      <c r="O7917" s="7"/>
      <c r="P7917" s="7"/>
      <c r="Q7917" s="7"/>
      <c r="R7917" s="7"/>
      <c r="S7917" s="7"/>
      <c r="T7917" s="7"/>
      <c r="U7917" s="7"/>
      <c r="V7917" s="7"/>
      <c r="W7917" s="7"/>
      <c r="X7917" s="7"/>
      <c r="Y7917" s="7"/>
      <c r="Z7917" s="7"/>
    </row>
    <row r="7918" hidden="1">
      <c r="A7918" s="7"/>
      <c r="B7918" s="7"/>
      <c r="C7918" s="7"/>
      <c r="D7918" s="7"/>
      <c r="E7918" s="7"/>
      <c r="F7918" s="7"/>
      <c r="G7918" s="7"/>
      <c r="H7918" s="8"/>
      <c r="I7918" s="8"/>
      <c r="J7918" s="7"/>
      <c r="K7918" s="7"/>
      <c r="L7918" s="7"/>
      <c r="M7918" s="7"/>
      <c r="N7918" s="7"/>
      <c r="O7918" s="7"/>
      <c r="P7918" s="7"/>
      <c r="Q7918" s="7"/>
      <c r="R7918" s="7"/>
      <c r="S7918" s="7"/>
      <c r="T7918" s="7"/>
      <c r="U7918" s="7"/>
      <c r="V7918" s="7"/>
      <c r="W7918" s="7"/>
      <c r="X7918" s="7"/>
      <c r="Y7918" s="7"/>
      <c r="Z7918" s="7"/>
    </row>
    <row r="7919" hidden="1">
      <c r="A7919" s="7"/>
      <c r="B7919" s="7"/>
      <c r="C7919" s="7"/>
      <c r="D7919" s="7"/>
      <c r="E7919" s="7"/>
      <c r="F7919" s="7"/>
      <c r="G7919" s="7"/>
      <c r="H7919" s="8"/>
      <c r="I7919" s="8"/>
      <c r="J7919" s="7"/>
      <c r="K7919" s="7"/>
      <c r="L7919" s="7"/>
      <c r="M7919" s="7"/>
      <c r="N7919" s="7"/>
      <c r="O7919" s="7"/>
      <c r="P7919" s="7"/>
      <c r="Q7919" s="7"/>
      <c r="R7919" s="7"/>
      <c r="S7919" s="7"/>
      <c r="T7919" s="7"/>
      <c r="U7919" s="7"/>
      <c r="V7919" s="7"/>
      <c r="W7919" s="7"/>
      <c r="X7919" s="7"/>
      <c r="Y7919" s="7"/>
      <c r="Z7919" s="7"/>
    </row>
    <row r="7920" hidden="1">
      <c r="A7920" s="7"/>
      <c r="B7920" s="7"/>
      <c r="C7920" s="7"/>
      <c r="D7920" s="7"/>
      <c r="E7920" s="7"/>
      <c r="F7920" s="7"/>
      <c r="G7920" s="7"/>
      <c r="H7920" s="8"/>
      <c r="I7920" s="8"/>
      <c r="J7920" s="7"/>
      <c r="K7920" s="7"/>
      <c r="L7920" s="7"/>
      <c r="M7920" s="7"/>
      <c r="N7920" s="7"/>
      <c r="O7920" s="7"/>
      <c r="P7920" s="7"/>
      <c r="Q7920" s="7"/>
      <c r="R7920" s="7"/>
      <c r="S7920" s="7"/>
      <c r="T7920" s="7"/>
      <c r="U7920" s="7"/>
      <c r="V7920" s="7"/>
      <c r="W7920" s="7"/>
      <c r="X7920" s="7"/>
      <c r="Y7920" s="7"/>
      <c r="Z7920" s="7"/>
    </row>
    <row r="7921" hidden="1">
      <c r="A7921" s="7"/>
      <c r="B7921" s="7"/>
      <c r="C7921" s="7"/>
      <c r="D7921" s="7"/>
      <c r="E7921" s="7"/>
      <c r="F7921" s="7"/>
      <c r="G7921" s="7"/>
      <c r="H7921" s="8"/>
      <c r="I7921" s="8"/>
      <c r="J7921" s="7"/>
      <c r="K7921" s="7"/>
      <c r="L7921" s="7"/>
      <c r="M7921" s="7"/>
      <c r="N7921" s="7"/>
      <c r="O7921" s="7"/>
      <c r="P7921" s="7"/>
      <c r="Q7921" s="7"/>
      <c r="R7921" s="7"/>
      <c r="S7921" s="7"/>
      <c r="T7921" s="7"/>
      <c r="U7921" s="7"/>
      <c r="V7921" s="7"/>
      <c r="W7921" s="7"/>
      <c r="X7921" s="7"/>
      <c r="Y7921" s="7"/>
      <c r="Z7921" s="7"/>
    </row>
    <row r="7922" hidden="1">
      <c r="A7922" s="7"/>
      <c r="B7922" s="7"/>
      <c r="C7922" s="7"/>
      <c r="D7922" s="7"/>
      <c r="E7922" s="7"/>
      <c r="F7922" s="7"/>
      <c r="G7922" s="7"/>
      <c r="H7922" s="8"/>
      <c r="I7922" s="8"/>
      <c r="J7922" s="7"/>
      <c r="K7922" s="7"/>
      <c r="L7922" s="7"/>
      <c r="M7922" s="7"/>
      <c r="N7922" s="7"/>
      <c r="O7922" s="7"/>
      <c r="P7922" s="7"/>
      <c r="Q7922" s="7"/>
      <c r="R7922" s="7"/>
      <c r="S7922" s="7"/>
      <c r="T7922" s="7"/>
      <c r="U7922" s="7"/>
      <c r="V7922" s="7"/>
      <c r="W7922" s="7"/>
      <c r="X7922" s="7"/>
      <c r="Y7922" s="7"/>
      <c r="Z7922" s="7"/>
    </row>
    <row r="7923" hidden="1">
      <c r="A7923" s="7"/>
      <c r="B7923" s="7"/>
      <c r="C7923" s="7"/>
      <c r="D7923" s="7"/>
      <c r="E7923" s="7"/>
      <c r="F7923" s="7"/>
      <c r="G7923" s="7"/>
      <c r="H7923" s="8"/>
      <c r="I7923" s="8"/>
      <c r="J7923" s="7"/>
      <c r="K7923" s="7"/>
      <c r="L7923" s="7"/>
      <c r="M7923" s="7"/>
      <c r="N7923" s="7"/>
      <c r="O7923" s="7"/>
      <c r="P7923" s="7"/>
      <c r="Q7923" s="7"/>
      <c r="R7923" s="7"/>
      <c r="S7923" s="7"/>
      <c r="T7923" s="7"/>
      <c r="U7923" s="7"/>
      <c r="V7923" s="7"/>
      <c r="W7923" s="7"/>
      <c r="X7923" s="7"/>
      <c r="Y7923" s="7"/>
      <c r="Z7923" s="7"/>
    </row>
    <row r="7924" hidden="1">
      <c r="A7924" s="7"/>
      <c r="B7924" s="7"/>
      <c r="C7924" s="7"/>
      <c r="D7924" s="7"/>
      <c r="E7924" s="7"/>
      <c r="F7924" s="7"/>
      <c r="G7924" s="7"/>
      <c r="H7924" s="8"/>
      <c r="I7924" s="8"/>
      <c r="J7924" s="7"/>
      <c r="K7924" s="7"/>
      <c r="L7924" s="7"/>
      <c r="M7924" s="7"/>
      <c r="N7924" s="7"/>
      <c r="O7924" s="7"/>
      <c r="P7924" s="7"/>
      <c r="Q7924" s="7"/>
      <c r="R7924" s="7"/>
      <c r="S7924" s="7"/>
      <c r="T7924" s="7"/>
      <c r="U7924" s="7"/>
      <c r="V7924" s="7"/>
      <c r="W7924" s="7"/>
      <c r="X7924" s="7"/>
      <c r="Y7924" s="7"/>
      <c r="Z7924" s="7"/>
    </row>
    <row r="7925" hidden="1">
      <c r="A7925" s="7"/>
      <c r="B7925" s="7"/>
      <c r="C7925" s="7"/>
      <c r="D7925" s="7"/>
      <c r="E7925" s="7"/>
      <c r="F7925" s="7"/>
      <c r="G7925" s="7"/>
      <c r="H7925" s="8"/>
      <c r="I7925" s="8"/>
      <c r="J7925" s="7"/>
      <c r="K7925" s="7"/>
      <c r="L7925" s="7"/>
      <c r="M7925" s="7"/>
      <c r="N7925" s="7"/>
      <c r="O7925" s="7"/>
      <c r="P7925" s="7"/>
      <c r="Q7925" s="7"/>
      <c r="R7925" s="7"/>
      <c r="S7925" s="7"/>
      <c r="T7925" s="7"/>
      <c r="U7925" s="7"/>
      <c r="V7925" s="7"/>
      <c r="W7925" s="7"/>
      <c r="X7925" s="7"/>
      <c r="Y7925" s="7"/>
      <c r="Z7925" s="7"/>
    </row>
    <row r="7926" hidden="1">
      <c r="A7926" s="7"/>
      <c r="B7926" s="7"/>
      <c r="C7926" s="7"/>
      <c r="D7926" s="7"/>
      <c r="E7926" s="7"/>
      <c r="F7926" s="7"/>
      <c r="G7926" s="7"/>
      <c r="H7926" s="8"/>
      <c r="I7926" s="8"/>
      <c r="J7926" s="7"/>
      <c r="K7926" s="7"/>
      <c r="L7926" s="7"/>
      <c r="M7926" s="7"/>
      <c r="N7926" s="7"/>
      <c r="O7926" s="7"/>
      <c r="P7926" s="7"/>
      <c r="Q7926" s="7"/>
      <c r="R7926" s="7"/>
      <c r="S7926" s="7"/>
      <c r="T7926" s="7"/>
      <c r="U7926" s="7"/>
      <c r="V7926" s="7"/>
      <c r="W7926" s="7"/>
      <c r="X7926" s="7"/>
      <c r="Y7926" s="7"/>
      <c r="Z7926" s="7"/>
    </row>
    <row r="7927" hidden="1">
      <c r="A7927" s="7"/>
      <c r="B7927" s="7"/>
      <c r="C7927" s="7"/>
      <c r="D7927" s="7"/>
      <c r="E7927" s="7"/>
      <c r="F7927" s="7"/>
      <c r="G7927" s="7"/>
      <c r="H7927" s="8"/>
      <c r="I7927" s="8"/>
      <c r="J7927" s="7"/>
      <c r="K7927" s="7"/>
      <c r="L7927" s="7"/>
      <c r="M7927" s="7"/>
      <c r="N7927" s="7"/>
      <c r="O7927" s="7"/>
      <c r="P7927" s="7"/>
      <c r="Q7927" s="7"/>
      <c r="R7927" s="7"/>
      <c r="S7927" s="7"/>
      <c r="T7927" s="7"/>
      <c r="U7927" s="7"/>
      <c r="V7927" s="7"/>
      <c r="W7927" s="7"/>
      <c r="X7927" s="7"/>
      <c r="Y7927" s="7"/>
      <c r="Z7927" s="7"/>
    </row>
    <row r="7928" hidden="1">
      <c r="A7928" s="7"/>
      <c r="B7928" s="7"/>
      <c r="C7928" s="7"/>
      <c r="D7928" s="7"/>
      <c r="E7928" s="7"/>
      <c r="F7928" s="7"/>
      <c r="G7928" s="7"/>
      <c r="H7928" s="8"/>
      <c r="I7928" s="8"/>
      <c r="J7928" s="7"/>
      <c r="K7928" s="7"/>
      <c r="L7928" s="7"/>
      <c r="M7928" s="7"/>
      <c r="N7928" s="7"/>
      <c r="O7928" s="7"/>
      <c r="P7928" s="7"/>
      <c r="Q7928" s="7"/>
      <c r="R7928" s="7"/>
      <c r="S7928" s="7"/>
      <c r="T7928" s="7"/>
      <c r="U7928" s="7"/>
      <c r="V7928" s="7"/>
      <c r="W7928" s="7"/>
      <c r="X7928" s="7"/>
      <c r="Y7928" s="7"/>
      <c r="Z7928" s="7"/>
    </row>
    <row r="7929" hidden="1">
      <c r="A7929" s="7"/>
      <c r="B7929" s="7"/>
      <c r="C7929" s="7"/>
      <c r="D7929" s="7"/>
      <c r="E7929" s="7"/>
      <c r="F7929" s="7"/>
      <c r="G7929" s="7"/>
      <c r="H7929" s="8"/>
      <c r="I7929" s="8"/>
      <c r="J7929" s="7"/>
      <c r="K7929" s="7"/>
      <c r="L7929" s="7"/>
      <c r="M7929" s="7"/>
      <c r="N7929" s="7"/>
      <c r="O7929" s="7"/>
      <c r="P7929" s="7"/>
      <c r="Q7929" s="7"/>
      <c r="R7929" s="7"/>
      <c r="S7929" s="7"/>
      <c r="T7929" s="7"/>
      <c r="U7929" s="7"/>
      <c r="V7929" s="7"/>
      <c r="W7929" s="7"/>
      <c r="X7929" s="7"/>
      <c r="Y7929" s="7"/>
      <c r="Z7929" s="7"/>
    </row>
    <row r="7930" hidden="1">
      <c r="A7930" s="7"/>
      <c r="B7930" s="7"/>
      <c r="C7930" s="7"/>
      <c r="D7930" s="7"/>
      <c r="E7930" s="7"/>
      <c r="F7930" s="7"/>
      <c r="G7930" s="7"/>
      <c r="H7930" s="8"/>
      <c r="I7930" s="8"/>
      <c r="J7930" s="7"/>
      <c r="K7930" s="7"/>
      <c r="L7930" s="7"/>
      <c r="M7930" s="7"/>
      <c r="N7930" s="7"/>
      <c r="O7930" s="7"/>
      <c r="P7930" s="7"/>
      <c r="Q7930" s="7"/>
      <c r="R7930" s="7"/>
      <c r="S7930" s="7"/>
      <c r="T7930" s="7"/>
      <c r="U7930" s="7"/>
      <c r="V7930" s="7"/>
      <c r="W7930" s="7"/>
      <c r="X7930" s="7"/>
      <c r="Y7930" s="7"/>
      <c r="Z7930" s="7"/>
    </row>
    <row r="7931" hidden="1">
      <c r="A7931" s="7"/>
      <c r="B7931" s="7"/>
      <c r="C7931" s="7"/>
      <c r="D7931" s="7"/>
      <c r="E7931" s="7"/>
      <c r="F7931" s="7"/>
      <c r="G7931" s="7"/>
      <c r="H7931" s="8"/>
      <c r="I7931" s="8"/>
      <c r="J7931" s="7"/>
      <c r="K7931" s="7"/>
      <c r="L7931" s="7"/>
      <c r="M7931" s="7"/>
      <c r="N7931" s="7"/>
      <c r="O7931" s="7"/>
      <c r="P7931" s="7"/>
      <c r="Q7931" s="7"/>
      <c r="R7931" s="7"/>
      <c r="S7931" s="7"/>
      <c r="T7931" s="7"/>
      <c r="U7931" s="7"/>
      <c r="V7931" s="7"/>
      <c r="W7931" s="7"/>
      <c r="X7931" s="7"/>
      <c r="Y7931" s="7"/>
      <c r="Z7931" s="7"/>
    </row>
    <row r="7932" hidden="1">
      <c r="A7932" s="7"/>
      <c r="B7932" s="7"/>
      <c r="C7932" s="7"/>
      <c r="D7932" s="7"/>
      <c r="E7932" s="7"/>
      <c r="F7932" s="7"/>
      <c r="G7932" s="7"/>
      <c r="H7932" s="8"/>
      <c r="I7932" s="8"/>
      <c r="J7932" s="7"/>
      <c r="K7932" s="7"/>
      <c r="L7932" s="7"/>
      <c r="M7932" s="7"/>
      <c r="N7932" s="7"/>
      <c r="O7932" s="7"/>
      <c r="P7932" s="7"/>
      <c r="Q7932" s="7"/>
      <c r="R7932" s="7"/>
      <c r="S7932" s="7"/>
      <c r="T7932" s="7"/>
      <c r="U7932" s="7"/>
      <c r="V7932" s="7"/>
      <c r="W7932" s="7"/>
      <c r="X7932" s="7"/>
      <c r="Y7932" s="7"/>
      <c r="Z7932" s="7"/>
    </row>
    <row r="7933" hidden="1">
      <c r="A7933" s="7"/>
      <c r="B7933" s="7"/>
      <c r="C7933" s="7"/>
      <c r="D7933" s="7"/>
      <c r="E7933" s="7"/>
      <c r="F7933" s="7"/>
      <c r="G7933" s="7"/>
      <c r="H7933" s="8"/>
      <c r="I7933" s="8"/>
      <c r="J7933" s="7"/>
      <c r="K7933" s="7"/>
      <c r="L7933" s="7"/>
      <c r="M7933" s="7"/>
      <c r="N7933" s="7"/>
      <c r="O7933" s="7"/>
      <c r="P7933" s="7"/>
      <c r="Q7933" s="7"/>
      <c r="R7933" s="7"/>
      <c r="S7933" s="7"/>
      <c r="T7933" s="7"/>
      <c r="U7933" s="7"/>
      <c r="V7933" s="7"/>
      <c r="W7933" s="7"/>
      <c r="X7933" s="7"/>
      <c r="Y7933" s="7"/>
      <c r="Z7933" s="7"/>
    </row>
    <row r="7934" hidden="1">
      <c r="A7934" s="7"/>
      <c r="B7934" s="7"/>
      <c r="C7934" s="7"/>
      <c r="D7934" s="7"/>
      <c r="E7934" s="7"/>
      <c r="F7934" s="7"/>
      <c r="G7934" s="7"/>
      <c r="H7934" s="8"/>
      <c r="I7934" s="8"/>
      <c r="J7934" s="7"/>
      <c r="K7934" s="7"/>
      <c r="L7934" s="7"/>
      <c r="M7934" s="7"/>
      <c r="N7934" s="7"/>
      <c r="O7934" s="7"/>
      <c r="P7934" s="7"/>
      <c r="Q7934" s="7"/>
      <c r="R7934" s="7"/>
      <c r="S7934" s="7"/>
      <c r="T7934" s="7"/>
      <c r="U7934" s="7"/>
      <c r="V7934" s="7"/>
      <c r="W7934" s="7"/>
      <c r="X7934" s="7"/>
      <c r="Y7934" s="7"/>
      <c r="Z7934" s="7"/>
    </row>
    <row r="7935" hidden="1">
      <c r="A7935" s="7"/>
      <c r="B7935" s="7"/>
      <c r="C7935" s="7"/>
      <c r="D7935" s="7"/>
      <c r="E7935" s="7"/>
      <c r="F7935" s="7"/>
      <c r="G7935" s="7"/>
      <c r="H7935" s="8"/>
      <c r="I7935" s="8"/>
      <c r="J7935" s="7"/>
      <c r="K7935" s="7"/>
      <c r="L7935" s="7"/>
      <c r="M7935" s="7"/>
      <c r="N7935" s="7"/>
      <c r="O7935" s="7"/>
      <c r="P7935" s="7"/>
      <c r="Q7935" s="7"/>
      <c r="R7935" s="7"/>
      <c r="S7935" s="7"/>
      <c r="T7935" s="7"/>
      <c r="U7935" s="7"/>
      <c r="V7935" s="7"/>
      <c r="W7935" s="7"/>
      <c r="X7935" s="7"/>
      <c r="Y7935" s="7"/>
      <c r="Z7935" s="7"/>
    </row>
    <row r="7936" hidden="1">
      <c r="A7936" s="7"/>
      <c r="B7936" s="7"/>
      <c r="C7936" s="7"/>
      <c r="D7936" s="7"/>
      <c r="E7936" s="7"/>
      <c r="F7936" s="7"/>
      <c r="G7936" s="7"/>
      <c r="H7936" s="8"/>
      <c r="I7936" s="8"/>
      <c r="J7936" s="7"/>
      <c r="K7936" s="7"/>
      <c r="L7936" s="7"/>
      <c r="M7936" s="7"/>
      <c r="N7936" s="7"/>
      <c r="O7936" s="7"/>
      <c r="P7936" s="7"/>
      <c r="Q7936" s="7"/>
      <c r="R7936" s="7"/>
      <c r="S7936" s="7"/>
      <c r="T7936" s="7"/>
      <c r="U7936" s="7"/>
      <c r="V7936" s="7"/>
      <c r="W7936" s="7"/>
      <c r="X7936" s="7"/>
      <c r="Y7936" s="7"/>
      <c r="Z7936" s="7"/>
    </row>
    <row r="7937" hidden="1">
      <c r="A7937" s="7"/>
      <c r="B7937" s="7"/>
      <c r="C7937" s="7"/>
      <c r="D7937" s="7"/>
      <c r="E7937" s="7"/>
      <c r="F7937" s="7"/>
      <c r="G7937" s="7"/>
      <c r="H7937" s="8"/>
      <c r="I7937" s="8"/>
      <c r="J7937" s="7"/>
      <c r="K7937" s="7"/>
      <c r="L7937" s="7"/>
      <c r="M7937" s="7"/>
      <c r="N7937" s="7"/>
      <c r="O7937" s="7"/>
      <c r="P7937" s="7"/>
      <c r="Q7937" s="7"/>
      <c r="R7937" s="7"/>
      <c r="S7937" s="7"/>
      <c r="T7937" s="7"/>
      <c r="U7937" s="7"/>
      <c r="V7937" s="7"/>
      <c r="W7937" s="7"/>
      <c r="X7937" s="7"/>
      <c r="Y7937" s="7"/>
      <c r="Z7937" s="7"/>
    </row>
    <row r="7938" hidden="1">
      <c r="A7938" s="7"/>
      <c r="B7938" s="7"/>
      <c r="C7938" s="7"/>
      <c r="D7938" s="7"/>
      <c r="E7938" s="7"/>
      <c r="F7938" s="7"/>
      <c r="G7938" s="7"/>
      <c r="H7938" s="8"/>
      <c r="I7938" s="8"/>
      <c r="J7938" s="7"/>
      <c r="K7938" s="7"/>
      <c r="L7938" s="7"/>
      <c r="M7938" s="7"/>
      <c r="N7938" s="7"/>
      <c r="O7938" s="7"/>
      <c r="P7938" s="7"/>
      <c r="Q7938" s="7"/>
      <c r="R7938" s="7"/>
      <c r="S7938" s="7"/>
      <c r="T7938" s="7"/>
      <c r="U7938" s="7"/>
      <c r="V7938" s="7"/>
      <c r="W7938" s="7"/>
      <c r="X7938" s="7"/>
      <c r="Y7938" s="7"/>
      <c r="Z7938" s="7"/>
    </row>
    <row r="7939" hidden="1">
      <c r="A7939" s="7"/>
      <c r="B7939" s="7"/>
      <c r="C7939" s="7"/>
      <c r="D7939" s="7"/>
      <c r="E7939" s="7"/>
      <c r="F7939" s="7"/>
      <c r="G7939" s="7"/>
      <c r="H7939" s="8"/>
      <c r="I7939" s="8"/>
      <c r="J7939" s="7"/>
      <c r="K7939" s="7"/>
      <c r="L7939" s="7"/>
      <c r="M7939" s="7"/>
      <c r="N7939" s="7"/>
      <c r="O7939" s="7"/>
      <c r="P7939" s="7"/>
      <c r="Q7939" s="7"/>
      <c r="R7939" s="7"/>
      <c r="S7939" s="7"/>
      <c r="T7939" s="7"/>
      <c r="U7939" s="7"/>
      <c r="V7939" s="7"/>
      <c r="W7939" s="7"/>
      <c r="X7939" s="7"/>
      <c r="Y7939" s="7"/>
      <c r="Z7939" s="7"/>
    </row>
    <row r="7940" hidden="1">
      <c r="A7940" s="7"/>
      <c r="B7940" s="7"/>
      <c r="C7940" s="7"/>
      <c r="D7940" s="7"/>
      <c r="E7940" s="7"/>
      <c r="F7940" s="7"/>
      <c r="G7940" s="7"/>
      <c r="H7940" s="8"/>
      <c r="I7940" s="8"/>
      <c r="J7940" s="7"/>
      <c r="K7940" s="7"/>
      <c r="L7940" s="7"/>
      <c r="M7940" s="7"/>
      <c r="N7940" s="7"/>
      <c r="O7940" s="7"/>
      <c r="P7940" s="7"/>
      <c r="Q7940" s="7"/>
      <c r="R7940" s="7"/>
      <c r="S7940" s="7"/>
      <c r="T7940" s="7"/>
      <c r="U7940" s="7"/>
      <c r="V7940" s="7"/>
      <c r="W7940" s="7"/>
      <c r="X7940" s="7"/>
      <c r="Y7940" s="7"/>
      <c r="Z7940" s="7"/>
    </row>
    <row r="7941" hidden="1">
      <c r="A7941" s="7"/>
      <c r="B7941" s="7"/>
      <c r="C7941" s="7"/>
      <c r="D7941" s="7"/>
      <c r="E7941" s="7"/>
      <c r="F7941" s="7"/>
      <c r="G7941" s="7"/>
      <c r="H7941" s="8"/>
      <c r="I7941" s="8"/>
      <c r="J7941" s="7"/>
      <c r="K7941" s="7"/>
      <c r="L7941" s="7"/>
      <c r="M7941" s="7"/>
      <c r="N7941" s="7"/>
      <c r="O7941" s="7"/>
      <c r="P7941" s="7"/>
      <c r="Q7941" s="7"/>
      <c r="R7941" s="7"/>
      <c r="S7941" s="7"/>
      <c r="T7941" s="7"/>
      <c r="U7941" s="7"/>
      <c r="V7941" s="7"/>
      <c r="W7941" s="7"/>
      <c r="X7941" s="7"/>
      <c r="Y7941" s="7"/>
      <c r="Z7941" s="7"/>
    </row>
    <row r="7942" hidden="1">
      <c r="A7942" s="7"/>
      <c r="B7942" s="7"/>
      <c r="C7942" s="7"/>
      <c r="D7942" s="7"/>
      <c r="E7942" s="7"/>
      <c r="F7942" s="7"/>
      <c r="G7942" s="7"/>
      <c r="H7942" s="8"/>
      <c r="I7942" s="8"/>
      <c r="J7942" s="7"/>
      <c r="K7942" s="7"/>
      <c r="L7942" s="7"/>
      <c r="M7942" s="7"/>
      <c r="N7942" s="7"/>
      <c r="O7942" s="7"/>
      <c r="P7942" s="7"/>
      <c r="Q7942" s="7"/>
      <c r="R7942" s="7"/>
      <c r="S7942" s="7"/>
      <c r="T7942" s="7"/>
      <c r="U7942" s="7"/>
      <c r="V7942" s="7"/>
      <c r="W7942" s="7"/>
      <c r="X7942" s="7"/>
      <c r="Y7942" s="7"/>
      <c r="Z7942" s="7"/>
    </row>
    <row r="7943" hidden="1">
      <c r="A7943" s="7"/>
      <c r="B7943" s="7"/>
      <c r="C7943" s="7"/>
      <c r="D7943" s="7"/>
      <c r="E7943" s="7"/>
      <c r="F7943" s="7"/>
      <c r="G7943" s="7"/>
      <c r="H7943" s="8"/>
      <c r="I7943" s="8"/>
      <c r="J7943" s="7"/>
      <c r="K7943" s="7"/>
      <c r="L7943" s="7"/>
      <c r="M7943" s="7"/>
      <c r="N7943" s="7"/>
      <c r="O7943" s="7"/>
      <c r="P7943" s="7"/>
      <c r="Q7943" s="7"/>
      <c r="R7943" s="7"/>
      <c r="S7943" s="7"/>
      <c r="T7943" s="7"/>
      <c r="U7943" s="7"/>
      <c r="V7943" s="7"/>
      <c r="W7943" s="7"/>
      <c r="X7943" s="7"/>
      <c r="Y7943" s="7"/>
      <c r="Z7943" s="7"/>
    </row>
    <row r="7944" hidden="1">
      <c r="A7944" s="7"/>
      <c r="B7944" s="7"/>
      <c r="C7944" s="7"/>
      <c r="D7944" s="7"/>
      <c r="E7944" s="7"/>
      <c r="F7944" s="7"/>
      <c r="G7944" s="7"/>
      <c r="H7944" s="8"/>
      <c r="I7944" s="8"/>
      <c r="J7944" s="7"/>
      <c r="K7944" s="7"/>
      <c r="L7944" s="7"/>
      <c r="M7944" s="7"/>
      <c r="N7944" s="7"/>
      <c r="O7944" s="7"/>
      <c r="P7944" s="7"/>
      <c r="Q7944" s="7"/>
      <c r="R7944" s="7"/>
      <c r="S7944" s="7"/>
      <c r="T7944" s="7"/>
      <c r="U7944" s="7"/>
      <c r="V7944" s="7"/>
      <c r="W7944" s="7"/>
      <c r="X7944" s="7"/>
      <c r="Y7944" s="7"/>
      <c r="Z7944" s="7"/>
    </row>
    <row r="7945" hidden="1">
      <c r="A7945" s="7"/>
      <c r="B7945" s="7"/>
      <c r="C7945" s="7"/>
      <c r="D7945" s="7"/>
      <c r="E7945" s="7"/>
      <c r="F7945" s="7"/>
      <c r="G7945" s="7"/>
      <c r="H7945" s="8"/>
      <c r="I7945" s="8"/>
      <c r="J7945" s="7"/>
      <c r="K7945" s="7"/>
      <c r="L7945" s="7"/>
      <c r="M7945" s="7"/>
      <c r="N7945" s="7"/>
      <c r="O7945" s="7"/>
      <c r="P7945" s="7"/>
      <c r="Q7945" s="7"/>
      <c r="R7945" s="7"/>
      <c r="S7945" s="7"/>
      <c r="T7945" s="7"/>
      <c r="U7945" s="7"/>
      <c r="V7945" s="7"/>
      <c r="W7945" s="7"/>
      <c r="X7945" s="7"/>
      <c r="Y7945" s="7"/>
      <c r="Z7945" s="7"/>
    </row>
    <row r="7946" hidden="1">
      <c r="A7946" s="7"/>
      <c r="B7946" s="7"/>
      <c r="C7946" s="7"/>
      <c r="D7946" s="7"/>
      <c r="E7946" s="7"/>
      <c r="F7946" s="7"/>
      <c r="G7946" s="7"/>
      <c r="H7946" s="8"/>
      <c r="I7946" s="8"/>
      <c r="J7946" s="7"/>
      <c r="K7946" s="7"/>
      <c r="L7946" s="7"/>
      <c r="M7946" s="7"/>
      <c r="N7946" s="7"/>
      <c r="O7946" s="7"/>
      <c r="P7946" s="7"/>
      <c r="Q7946" s="7"/>
      <c r="R7946" s="7"/>
      <c r="S7946" s="7"/>
      <c r="T7946" s="7"/>
      <c r="U7946" s="7"/>
      <c r="V7946" s="7"/>
      <c r="W7946" s="7"/>
      <c r="X7946" s="7"/>
      <c r="Y7946" s="7"/>
      <c r="Z7946" s="7"/>
    </row>
    <row r="7947" hidden="1">
      <c r="A7947" s="7"/>
      <c r="B7947" s="7"/>
      <c r="C7947" s="7"/>
      <c r="D7947" s="7"/>
      <c r="E7947" s="7"/>
      <c r="F7947" s="7"/>
      <c r="G7947" s="7"/>
      <c r="H7947" s="8"/>
      <c r="I7947" s="8"/>
      <c r="J7947" s="7"/>
      <c r="K7947" s="7"/>
      <c r="L7947" s="7"/>
      <c r="M7947" s="7"/>
      <c r="N7947" s="7"/>
      <c r="O7947" s="7"/>
      <c r="P7947" s="7"/>
      <c r="Q7947" s="7"/>
      <c r="R7947" s="7"/>
      <c r="S7947" s="7"/>
      <c r="T7947" s="7"/>
      <c r="U7947" s="7"/>
      <c r="V7947" s="7"/>
      <c r="W7947" s="7"/>
      <c r="X7947" s="7"/>
      <c r="Y7947" s="7"/>
      <c r="Z7947" s="7"/>
    </row>
    <row r="7948" hidden="1">
      <c r="A7948" s="7"/>
      <c r="B7948" s="7"/>
      <c r="C7948" s="7"/>
      <c r="D7948" s="7"/>
      <c r="E7948" s="7"/>
      <c r="F7948" s="7"/>
      <c r="G7948" s="7"/>
      <c r="H7948" s="8"/>
      <c r="I7948" s="8"/>
      <c r="J7948" s="7"/>
      <c r="K7948" s="7"/>
      <c r="L7948" s="7"/>
      <c r="M7948" s="7"/>
      <c r="N7948" s="7"/>
      <c r="O7948" s="7"/>
      <c r="P7948" s="7"/>
      <c r="Q7948" s="7"/>
      <c r="R7948" s="7"/>
      <c r="S7948" s="7"/>
      <c r="T7948" s="7"/>
      <c r="U7948" s="7"/>
      <c r="V7948" s="7"/>
      <c r="W7948" s="7"/>
      <c r="X7948" s="7"/>
      <c r="Y7948" s="7"/>
      <c r="Z7948" s="7"/>
    </row>
    <row r="7949" hidden="1">
      <c r="A7949" s="7"/>
      <c r="B7949" s="7"/>
      <c r="C7949" s="7"/>
      <c r="D7949" s="7"/>
      <c r="E7949" s="7"/>
      <c r="F7949" s="7"/>
      <c r="G7949" s="7"/>
      <c r="H7949" s="8"/>
      <c r="I7949" s="8"/>
      <c r="J7949" s="7"/>
      <c r="K7949" s="7"/>
      <c r="L7949" s="7"/>
      <c r="M7949" s="7"/>
      <c r="N7949" s="7"/>
      <c r="O7949" s="7"/>
      <c r="P7949" s="7"/>
      <c r="Q7949" s="7"/>
      <c r="R7949" s="7"/>
      <c r="S7949" s="7"/>
      <c r="T7949" s="7"/>
      <c r="U7949" s="7"/>
      <c r="V7949" s="7"/>
      <c r="W7949" s="7"/>
      <c r="X7949" s="7"/>
      <c r="Y7949" s="7"/>
      <c r="Z7949" s="7"/>
    </row>
    <row r="7950" hidden="1">
      <c r="A7950" s="7"/>
      <c r="B7950" s="7"/>
      <c r="C7950" s="7"/>
      <c r="D7950" s="7"/>
      <c r="E7950" s="7"/>
      <c r="F7950" s="7"/>
      <c r="G7950" s="7"/>
      <c r="H7950" s="8"/>
      <c r="I7950" s="8"/>
      <c r="J7950" s="7"/>
      <c r="K7950" s="7"/>
      <c r="L7950" s="7"/>
      <c r="M7950" s="7"/>
      <c r="N7950" s="7"/>
      <c r="O7950" s="7"/>
      <c r="P7950" s="7"/>
      <c r="Q7950" s="7"/>
      <c r="R7950" s="7"/>
      <c r="S7950" s="7"/>
      <c r="T7950" s="7"/>
      <c r="U7950" s="7"/>
      <c r="V7950" s="7"/>
      <c r="W7950" s="7"/>
      <c r="X7950" s="7"/>
      <c r="Y7950" s="7"/>
      <c r="Z7950" s="7"/>
    </row>
    <row r="7951" hidden="1">
      <c r="A7951" s="7"/>
      <c r="B7951" s="7"/>
      <c r="C7951" s="7"/>
      <c r="D7951" s="7"/>
      <c r="E7951" s="7"/>
      <c r="F7951" s="7"/>
      <c r="G7951" s="7"/>
      <c r="H7951" s="8"/>
      <c r="I7951" s="8"/>
      <c r="J7951" s="7"/>
      <c r="K7951" s="7"/>
      <c r="L7951" s="7"/>
      <c r="M7951" s="7"/>
      <c r="N7951" s="7"/>
      <c r="O7951" s="7"/>
      <c r="P7951" s="7"/>
      <c r="Q7951" s="7"/>
      <c r="R7951" s="7"/>
      <c r="S7951" s="7"/>
      <c r="T7951" s="7"/>
      <c r="U7951" s="7"/>
      <c r="V7951" s="7"/>
      <c r="W7951" s="7"/>
      <c r="X7951" s="7"/>
      <c r="Y7951" s="7"/>
      <c r="Z7951" s="7"/>
    </row>
    <row r="7952" hidden="1">
      <c r="A7952" s="7"/>
      <c r="B7952" s="7"/>
      <c r="C7952" s="7"/>
      <c r="D7952" s="7"/>
      <c r="E7952" s="7"/>
      <c r="F7952" s="7"/>
      <c r="G7952" s="7"/>
      <c r="H7952" s="8"/>
      <c r="I7952" s="8"/>
      <c r="J7952" s="7"/>
      <c r="K7952" s="7"/>
      <c r="L7952" s="7"/>
      <c r="M7952" s="7"/>
      <c r="N7952" s="7"/>
      <c r="O7952" s="7"/>
      <c r="P7952" s="7"/>
      <c r="Q7952" s="7"/>
      <c r="R7952" s="7"/>
      <c r="S7952" s="7"/>
      <c r="T7952" s="7"/>
      <c r="U7952" s="7"/>
      <c r="V7952" s="7"/>
      <c r="W7952" s="7"/>
      <c r="X7952" s="7"/>
      <c r="Y7952" s="7"/>
      <c r="Z7952" s="7"/>
    </row>
    <row r="7953" hidden="1">
      <c r="A7953" s="7"/>
      <c r="B7953" s="7"/>
      <c r="C7953" s="7"/>
      <c r="D7953" s="7"/>
      <c r="E7953" s="7"/>
      <c r="F7953" s="7"/>
      <c r="G7953" s="7"/>
      <c r="H7953" s="8"/>
      <c r="I7953" s="8"/>
      <c r="J7953" s="7"/>
      <c r="K7953" s="7"/>
      <c r="L7953" s="7"/>
      <c r="M7953" s="7"/>
      <c r="N7953" s="7"/>
      <c r="O7953" s="7"/>
      <c r="P7953" s="7"/>
      <c r="Q7953" s="7"/>
      <c r="R7953" s="7"/>
      <c r="S7953" s="7"/>
      <c r="T7953" s="7"/>
      <c r="U7953" s="7"/>
      <c r="V7953" s="7"/>
      <c r="W7953" s="7"/>
      <c r="X7953" s="7"/>
      <c r="Y7953" s="7"/>
      <c r="Z7953" s="7"/>
    </row>
    <row r="7954" hidden="1">
      <c r="A7954" s="7"/>
      <c r="B7954" s="7"/>
      <c r="C7954" s="7"/>
      <c r="D7954" s="7"/>
      <c r="E7954" s="7"/>
      <c r="F7954" s="7"/>
      <c r="G7954" s="7"/>
      <c r="H7954" s="8"/>
      <c r="I7954" s="8"/>
      <c r="J7954" s="7"/>
      <c r="K7954" s="7"/>
      <c r="L7954" s="7"/>
      <c r="M7954" s="7"/>
      <c r="N7954" s="7"/>
      <c r="O7954" s="7"/>
      <c r="P7954" s="7"/>
      <c r="Q7954" s="7"/>
      <c r="R7954" s="7"/>
      <c r="S7954" s="7"/>
      <c r="T7954" s="7"/>
      <c r="U7954" s="7"/>
      <c r="V7954" s="7"/>
      <c r="W7954" s="7"/>
      <c r="X7954" s="7"/>
      <c r="Y7954" s="7"/>
      <c r="Z7954" s="7"/>
    </row>
    <row r="7955" hidden="1">
      <c r="A7955" s="7"/>
      <c r="B7955" s="7"/>
      <c r="C7955" s="7"/>
      <c r="D7955" s="7"/>
      <c r="E7955" s="7"/>
      <c r="F7955" s="7"/>
      <c r="G7955" s="7"/>
      <c r="H7955" s="8"/>
      <c r="I7955" s="8"/>
      <c r="J7955" s="7"/>
      <c r="K7955" s="7"/>
      <c r="L7955" s="7"/>
      <c r="M7955" s="7"/>
      <c r="N7955" s="7"/>
      <c r="O7955" s="7"/>
      <c r="P7955" s="7"/>
      <c r="Q7955" s="7"/>
      <c r="R7955" s="7"/>
      <c r="S7955" s="7"/>
      <c r="T7955" s="7"/>
      <c r="U7955" s="7"/>
      <c r="V7955" s="7"/>
      <c r="W7955" s="7"/>
      <c r="X7955" s="7"/>
      <c r="Y7955" s="7"/>
      <c r="Z7955" s="7"/>
    </row>
    <row r="7956" hidden="1">
      <c r="A7956" s="7"/>
      <c r="B7956" s="7"/>
      <c r="C7956" s="7"/>
      <c r="D7956" s="7"/>
      <c r="E7956" s="7"/>
      <c r="F7956" s="7"/>
      <c r="G7956" s="7"/>
      <c r="H7956" s="8"/>
      <c r="I7956" s="8"/>
      <c r="J7956" s="7"/>
      <c r="K7956" s="7"/>
      <c r="L7956" s="7"/>
      <c r="M7956" s="7"/>
      <c r="N7956" s="7"/>
      <c r="O7956" s="7"/>
      <c r="P7956" s="7"/>
      <c r="Q7956" s="7"/>
      <c r="R7956" s="7"/>
      <c r="S7956" s="7"/>
      <c r="T7956" s="7"/>
      <c r="U7956" s="7"/>
      <c r="V7956" s="7"/>
      <c r="W7956" s="7"/>
      <c r="X7956" s="7"/>
      <c r="Y7956" s="7"/>
      <c r="Z7956" s="7"/>
    </row>
    <row r="7957" hidden="1">
      <c r="A7957" s="7"/>
      <c r="B7957" s="7"/>
      <c r="C7957" s="7"/>
      <c r="D7957" s="7"/>
      <c r="E7957" s="7"/>
      <c r="F7957" s="7"/>
      <c r="G7957" s="7"/>
      <c r="H7957" s="8"/>
      <c r="I7957" s="8"/>
      <c r="J7957" s="7"/>
      <c r="K7957" s="7"/>
      <c r="L7957" s="7"/>
      <c r="M7957" s="7"/>
      <c r="N7957" s="7"/>
      <c r="O7957" s="7"/>
      <c r="P7957" s="7"/>
      <c r="Q7957" s="7"/>
      <c r="R7957" s="7"/>
      <c r="S7957" s="7"/>
      <c r="T7957" s="7"/>
      <c r="U7957" s="7"/>
      <c r="V7957" s="7"/>
      <c r="W7957" s="7"/>
      <c r="X7957" s="7"/>
      <c r="Y7957" s="7"/>
      <c r="Z7957" s="7"/>
    </row>
    <row r="7958" hidden="1">
      <c r="A7958" s="7"/>
      <c r="B7958" s="7"/>
      <c r="C7958" s="7"/>
      <c r="D7958" s="7"/>
      <c r="E7958" s="7"/>
      <c r="F7958" s="7"/>
      <c r="G7958" s="7"/>
      <c r="H7958" s="8"/>
      <c r="I7958" s="8"/>
      <c r="J7958" s="7"/>
      <c r="K7958" s="7"/>
      <c r="L7958" s="7"/>
      <c r="M7958" s="7"/>
      <c r="N7958" s="7"/>
      <c r="O7958" s="7"/>
      <c r="P7958" s="7"/>
      <c r="Q7958" s="7"/>
      <c r="R7958" s="7"/>
      <c r="S7958" s="7"/>
      <c r="T7958" s="7"/>
      <c r="U7958" s="7"/>
      <c r="V7958" s="7"/>
      <c r="W7958" s="7"/>
      <c r="X7958" s="7"/>
      <c r="Y7958" s="7"/>
      <c r="Z7958" s="7"/>
    </row>
    <row r="7959" hidden="1">
      <c r="A7959" s="7"/>
      <c r="B7959" s="7"/>
      <c r="C7959" s="7"/>
      <c r="D7959" s="7"/>
      <c r="E7959" s="7"/>
      <c r="F7959" s="7"/>
      <c r="G7959" s="7"/>
      <c r="H7959" s="8"/>
      <c r="I7959" s="8"/>
      <c r="J7959" s="7"/>
      <c r="K7959" s="7"/>
      <c r="L7959" s="7"/>
      <c r="M7959" s="7"/>
      <c r="N7959" s="7"/>
      <c r="O7959" s="7"/>
      <c r="P7959" s="7"/>
      <c r="Q7959" s="7"/>
      <c r="R7959" s="7"/>
      <c r="S7959" s="7"/>
      <c r="T7959" s="7"/>
      <c r="U7959" s="7"/>
      <c r="V7959" s="7"/>
      <c r="W7959" s="7"/>
      <c r="X7959" s="7"/>
      <c r="Y7959" s="7"/>
      <c r="Z7959" s="7"/>
    </row>
    <row r="7960" hidden="1">
      <c r="A7960" s="7"/>
      <c r="B7960" s="7"/>
      <c r="C7960" s="7"/>
      <c r="D7960" s="7"/>
      <c r="E7960" s="7"/>
      <c r="F7960" s="7"/>
      <c r="G7960" s="7"/>
      <c r="H7960" s="8"/>
      <c r="I7960" s="8"/>
      <c r="J7960" s="7"/>
      <c r="K7960" s="7"/>
      <c r="L7960" s="7"/>
      <c r="M7960" s="7"/>
      <c r="N7960" s="7"/>
      <c r="O7960" s="7"/>
      <c r="P7960" s="7"/>
      <c r="Q7960" s="7"/>
      <c r="R7960" s="7"/>
      <c r="S7960" s="7"/>
      <c r="T7960" s="7"/>
      <c r="U7960" s="7"/>
      <c r="V7960" s="7"/>
      <c r="W7960" s="7"/>
      <c r="X7960" s="7"/>
      <c r="Y7960" s="7"/>
      <c r="Z7960" s="7"/>
    </row>
    <row r="7961" hidden="1">
      <c r="A7961" s="7"/>
      <c r="B7961" s="7"/>
      <c r="C7961" s="7"/>
      <c r="D7961" s="7"/>
      <c r="E7961" s="7"/>
      <c r="F7961" s="7"/>
      <c r="G7961" s="7"/>
      <c r="H7961" s="8"/>
      <c r="I7961" s="8"/>
      <c r="J7961" s="7"/>
      <c r="K7961" s="7"/>
      <c r="L7961" s="7"/>
      <c r="M7961" s="7"/>
      <c r="N7961" s="7"/>
      <c r="O7961" s="7"/>
      <c r="P7961" s="7"/>
      <c r="Q7961" s="7"/>
      <c r="R7961" s="7"/>
      <c r="S7961" s="7"/>
      <c r="T7961" s="7"/>
      <c r="U7961" s="7"/>
      <c r="V7961" s="7"/>
      <c r="W7961" s="7"/>
      <c r="X7961" s="7"/>
      <c r="Y7961" s="7"/>
      <c r="Z7961" s="7"/>
    </row>
    <row r="7962" hidden="1">
      <c r="A7962" s="7"/>
      <c r="B7962" s="7"/>
      <c r="C7962" s="7"/>
      <c r="D7962" s="7"/>
      <c r="E7962" s="7"/>
      <c r="F7962" s="7"/>
      <c r="G7962" s="7"/>
      <c r="H7962" s="8"/>
      <c r="I7962" s="8"/>
      <c r="J7962" s="7"/>
      <c r="K7962" s="7"/>
      <c r="L7962" s="7"/>
      <c r="M7962" s="7"/>
      <c r="N7962" s="7"/>
      <c r="O7962" s="7"/>
      <c r="P7962" s="7"/>
      <c r="Q7962" s="7"/>
      <c r="R7962" s="7"/>
      <c r="S7962" s="7"/>
      <c r="T7962" s="7"/>
      <c r="U7962" s="7"/>
      <c r="V7962" s="7"/>
      <c r="W7962" s="7"/>
      <c r="X7962" s="7"/>
      <c r="Y7962" s="7"/>
      <c r="Z7962" s="7"/>
    </row>
    <row r="7963" hidden="1">
      <c r="A7963" s="7"/>
      <c r="B7963" s="7"/>
      <c r="C7963" s="7"/>
      <c r="D7963" s="7"/>
      <c r="E7963" s="7"/>
      <c r="F7963" s="7"/>
      <c r="G7963" s="7"/>
      <c r="H7963" s="8"/>
      <c r="I7963" s="8"/>
      <c r="J7963" s="7"/>
      <c r="K7963" s="7"/>
      <c r="L7963" s="7"/>
      <c r="M7963" s="7"/>
      <c r="N7963" s="7"/>
      <c r="O7963" s="7"/>
      <c r="P7963" s="7"/>
      <c r="Q7963" s="7"/>
      <c r="R7963" s="7"/>
      <c r="S7963" s="7"/>
      <c r="T7963" s="7"/>
      <c r="U7963" s="7"/>
      <c r="V7963" s="7"/>
      <c r="W7963" s="7"/>
      <c r="X7963" s="7"/>
      <c r="Y7963" s="7"/>
      <c r="Z7963" s="7"/>
    </row>
    <row r="7964" hidden="1">
      <c r="A7964" s="7"/>
      <c r="B7964" s="7"/>
      <c r="C7964" s="7"/>
      <c r="D7964" s="7"/>
      <c r="E7964" s="7"/>
      <c r="F7964" s="7"/>
      <c r="G7964" s="7"/>
      <c r="H7964" s="8"/>
      <c r="I7964" s="8"/>
      <c r="J7964" s="7"/>
      <c r="K7964" s="7"/>
      <c r="L7964" s="7"/>
      <c r="M7964" s="7"/>
      <c r="N7964" s="7"/>
      <c r="O7964" s="7"/>
      <c r="P7964" s="7"/>
      <c r="Q7964" s="7"/>
      <c r="R7964" s="7"/>
      <c r="S7964" s="7"/>
      <c r="T7964" s="7"/>
      <c r="U7964" s="7"/>
      <c r="V7964" s="7"/>
      <c r="W7964" s="7"/>
      <c r="X7964" s="7"/>
      <c r="Y7964" s="7"/>
      <c r="Z7964" s="7"/>
    </row>
    <row r="7965" hidden="1">
      <c r="A7965" s="7"/>
      <c r="B7965" s="7"/>
      <c r="C7965" s="7"/>
      <c r="D7965" s="7"/>
      <c r="E7965" s="7"/>
      <c r="F7965" s="7"/>
      <c r="G7965" s="7"/>
      <c r="H7965" s="8"/>
      <c r="I7965" s="8"/>
      <c r="J7965" s="7"/>
      <c r="K7965" s="7"/>
      <c r="L7965" s="7"/>
      <c r="M7965" s="7"/>
      <c r="N7965" s="7"/>
      <c r="O7965" s="7"/>
      <c r="P7965" s="7"/>
      <c r="Q7965" s="7"/>
      <c r="R7965" s="7"/>
      <c r="S7965" s="7"/>
      <c r="T7965" s="7"/>
      <c r="U7965" s="7"/>
      <c r="V7965" s="7"/>
      <c r="W7965" s="7"/>
      <c r="X7965" s="7"/>
      <c r="Y7965" s="7"/>
      <c r="Z7965" s="7"/>
    </row>
    <row r="7966" hidden="1">
      <c r="A7966" s="7"/>
      <c r="B7966" s="7"/>
      <c r="C7966" s="7"/>
      <c r="D7966" s="7"/>
      <c r="E7966" s="7"/>
      <c r="F7966" s="7"/>
      <c r="G7966" s="7"/>
      <c r="H7966" s="8"/>
      <c r="I7966" s="8"/>
      <c r="J7966" s="7"/>
      <c r="K7966" s="7"/>
      <c r="L7966" s="7"/>
      <c r="M7966" s="7"/>
      <c r="N7966" s="7"/>
      <c r="O7966" s="7"/>
      <c r="P7966" s="7"/>
      <c r="Q7966" s="7"/>
      <c r="R7966" s="7"/>
      <c r="S7966" s="7"/>
      <c r="T7966" s="7"/>
      <c r="U7966" s="7"/>
      <c r="V7966" s="7"/>
      <c r="W7966" s="7"/>
      <c r="X7966" s="7"/>
      <c r="Y7966" s="7"/>
      <c r="Z7966" s="7"/>
    </row>
    <row r="7967" hidden="1">
      <c r="A7967" s="7"/>
      <c r="B7967" s="7"/>
      <c r="C7967" s="7"/>
      <c r="D7967" s="7"/>
      <c r="E7967" s="7"/>
      <c r="F7967" s="7"/>
      <c r="G7967" s="7"/>
      <c r="H7967" s="8"/>
      <c r="I7967" s="8"/>
      <c r="J7967" s="7"/>
      <c r="K7967" s="7"/>
      <c r="L7967" s="7"/>
      <c r="M7967" s="7"/>
      <c r="N7967" s="7"/>
      <c r="O7967" s="7"/>
      <c r="P7967" s="7"/>
      <c r="Q7967" s="7"/>
      <c r="R7967" s="7"/>
      <c r="S7967" s="7"/>
      <c r="T7967" s="7"/>
      <c r="U7967" s="7"/>
      <c r="V7967" s="7"/>
      <c r="W7967" s="7"/>
      <c r="X7967" s="7"/>
      <c r="Y7967" s="7"/>
      <c r="Z7967" s="7"/>
    </row>
    <row r="7968" hidden="1">
      <c r="A7968" s="7"/>
      <c r="B7968" s="7"/>
      <c r="C7968" s="7"/>
      <c r="D7968" s="7"/>
      <c r="E7968" s="7"/>
      <c r="F7968" s="7"/>
      <c r="G7968" s="7"/>
      <c r="H7968" s="8"/>
      <c r="I7968" s="8"/>
      <c r="J7968" s="7"/>
      <c r="K7968" s="7"/>
      <c r="L7968" s="7"/>
      <c r="M7968" s="7"/>
      <c r="N7968" s="7"/>
      <c r="O7968" s="7"/>
      <c r="P7968" s="7"/>
      <c r="Q7968" s="7"/>
      <c r="R7968" s="7"/>
      <c r="S7968" s="7"/>
      <c r="T7968" s="7"/>
      <c r="U7968" s="7"/>
      <c r="V7968" s="7"/>
      <c r="W7968" s="7"/>
      <c r="X7968" s="7"/>
      <c r="Y7968" s="7"/>
      <c r="Z7968" s="7"/>
    </row>
    <row r="7969" hidden="1">
      <c r="A7969" s="7"/>
      <c r="B7969" s="7"/>
      <c r="C7969" s="7"/>
      <c r="D7969" s="7"/>
      <c r="E7969" s="7"/>
      <c r="F7969" s="7"/>
      <c r="G7969" s="7"/>
      <c r="H7969" s="8"/>
      <c r="I7969" s="8"/>
      <c r="J7969" s="7"/>
      <c r="K7969" s="7"/>
      <c r="L7969" s="7"/>
      <c r="M7969" s="7"/>
      <c r="N7969" s="7"/>
      <c r="O7969" s="7"/>
      <c r="P7969" s="7"/>
      <c r="Q7969" s="7"/>
      <c r="R7969" s="7"/>
      <c r="S7969" s="7"/>
      <c r="T7969" s="7"/>
      <c r="U7969" s="7"/>
      <c r="V7969" s="7"/>
      <c r="W7969" s="7"/>
      <c r="X7969" s="7"/>
      <c r="Y7969" s="7"/>
      <c r="Z7969" s="7"/>
    </row>
    <row r="7970" hidden="1">
      <c r="A7970" s="7"/>
      <c r="B7970" s="7"/>
      <c r="C7970" s="7"/>
      <c r="D7970" s="7"/>
      <c r="E7970" s="7"/>
      <c r="F7970" s="7"/>
      <c r="G7970" s="7"/>
      <c r="H7970" s="8"/>
      <c r="I7970" s="8"/>
      <c r="J7970" s="7"/>
      <c r="K7970" s="7"/>
      <c r="L7970" s="7"/>
      <c r="M7970" s="7"/>
      <c r="N7970" s="7"/>
      <c r="O7970" s="7"/>
      <c r="P7970" s="7"/>
      <c r="Q7970" s="7"/>
      <c r="R7970" s="7"/>
      <c r="S7970" s="7"/>
      <c r="T7970" s="7"/>
      <c r="U7970" s="7"/>
      <c r="V7970" s="7"/>
      <c r="W7970" s="7"/>
      <c r="X7970" s="7"/>
      <c r="Y7970" s="7"/>
      <c r="Z7970" s="7"/>
    </row>
    <row r="7971" hidden="1">
      <c r="A7971" s="7"/>
      <c r="B7971" s="7"/>
      <c r="C7971" s="7"/>
      <c r="D7971" s="7"/>
      <c r="E7971" s="7"/>
      <c r="F7971" s="7"/>
      <c r="G7971" s="7"/>
      <c r="H7971" s="8"/>
      <c r="I7971" s="8"/>
      <c r="J7971" s="7"/>
      <c r="K7971" s="7"/>
      <c r="L7971" s="7"/>
      <c r="M7971" s="7"/>
      <c r="N7971" s="7"/>
      <c r="O7971" s="7"/>
      <c r="P7971" s="7"/>
      <c r="Q7971" s="7"/>
      <c r="R7971" s="7"/>
      <c r="S7971" s="7"/>
      <c r="T7971" s="7"/>
      <c r="U7971" s="7"/>
      <c r="V7971" s="7"/>
      <c r="W7971" s="7"/>
      <c r="X7971" s="7"/>
      <c r="Y7971" s="7"/>
      <c r="Z7971" s="7"/>
    </row>
    <row r="7972" hidden="1">
      <c r="A7972" s="7"/>
      <c r="B7972" s="7"/>
      <c r="C7972" s="7"/>
      <c r="D7972" s="7"/>
      <c r="E7972" s="7"/>
      <c r="F7972" s="7"/>
      <c r="G7972" s="7"/>
      <c r="H7972" s="8"/>
      <c r="I7972" s="8"/>
      <c r="J7972" s="7"/>
      <c r="K7972" s="7"/>
      <c r="L7972" s="7"/>
      <c r="M7972" s="7"/>
      <c r="N7972" s="7"/>
      <c r="O7972" s="7"/>
      <c r="P7972" s="7"/>
      <c r="Q7972" s="7"/>
      <c r="R7972" s="7"/>
      <c r="S7972" s="7"/>
      <c r="T7972" s="7"/>
      <c r="U7972" s="7"/>
      <c r="V7972" s="7"/>
      <c r="W7972" s="7"/>
      <c r="X7972" s="7"/>
      <c r="Y7972" s="7"/>
      <c r="Z7972" s="7"/>
    </row>
    <row r="7973" hidden="1">
      <c r="A7973" s="7"/>
      <c r="B7973" s="7"/>
      <c r="C7973" s="7"/>
      <c r="D7973" s="7"/>
      <c r="E7973" s="7"/>
      <c r="F7973" s="7"/>
      <c r="G7973" s="7"/>
      <c r="H7973" s="8"/>
      <c r="I7973" s="8"/>
      <c r="J7973" s="7"/>
      <c r="K7973" s="7"/>
      <c r="L7973" s="7"/>
      <c r="M7973" s="7"/>
      <c r="N7973" s="7"/>
      <c r="O7973" s="7"/>
      <c r="P7973" s="7"/>
      <c r="Q7973" s="7"/>
      <c r="R7973" s="7"/>
      <c r="S7973" s="7"/>
      <c r="T7973" s="7"/>
      <c r="U7973" s="7"/>
      <c r="V7973" s="7"/>
      <c r="W7973" s="7"/>
      <c r="X7973" s="7"/>
      <c r="Y7973" s="7"/>
      <c r="Z7973" s="7"/>
    </row>
    <row r="7974" hidden="1">
      <c r="A7974" s="7"/>
      <c r="B7974" s="7"/>
      <c r="C7974" s="7"/>
      <c r="D7974" s="7"/>
      <c r="E7974" s="7"/>
      <c r="F7974" s="7"/>
      <c r="G7974" s="7"/>
      <c r="H7974" s="8"/>
      <c r="I7974" s="8"/>
      <c r="J7974" s="7"/>
      <c r="K7974" s="7"/>
      <c r="L7974" s="7"/>
      <c r="M7974" s="7"/>
      <c r="N7974" s="7"/>
      <c r="O7974" s="7"/>
      <c r="P7974" s="7"/>
      <c r="Q7974" s="7"/>
      <c r="R7974" s="7"/>
      <c r="S7974" s="7"/>
      <c r="T7974" s="7"/>
      <c r="U7974" s="7"/>
      <c r="V7974" s="7"/>
      <c r="W7974" s="7"/>
      <c r="X7974" s="7"/>
      <c r="Y7974" s="7"/>
      <c r="Z7974" s="7"/>
    </row>
    <row r="7975" hidden="1">
      <c r="A7975" s="7"/>
      <c r="B7975" s="7"/>
      <c r="C7975" s="7"/>
      <c r="D7975" s="7"/>
      <c r="E7975" s="7"/>
      <c r="F7975" s="7"/>
      <c r="G7975" s="7"/>
      <c r="H7975" s="8"/>
      <c r="I7975" s="8"/>
      <c r="J7975" s="7"/>
      <c r="K7975" s="7"/>
      <c r="L7975" s="7"/>
      <c r="M7975" s="7"/>
      <c r="N7975" s="7"/>
      <c r="O7975" s="7"/>
      <c r="P7975" s="7"/>
      <c r="Q7975" s="7"/>
      <c r="R7975" s="7"/>
      <c r="S7975" s="7"/>
      <c r="T7975" s="7"/>
      <c r="U7975" s="7"/>
      <c r="V7975" s="7"/>
      <c r="W7975" s="7"/>
      <c r="X7975" s="7"/>
      <c r="Y7975" s="7"/>
      <c r="Z7975" s="7"/>
    </row>
    <row r="7976" hidden="1">
      <c r="A7976" s="7"/>
      <c r="B7976" s="7"/>
      <c r="C7976" s="7"/>
      <c r="D7976" s="7"/>
      <c r="E7976" s="7"/>
      <c r="F7976" s="7"/>
      <c r="G7976" s="7"/>
      <c r="H7976" s="8"/>
      <c r="I7976" s="8"/>
      <c r="J7976" s="7"/>
      <c r="K7976" s="7"/>
      <c r="L7976" s="7"/>
      <c r="M7976" s="7"/>
      <c r="N7976" s="7"/>
      <c r="O7976" s="7"/>
      <c r="P7976" s="7"/>
      <c r="Q7976" s="7"/>
      <c r="R7976" s="7"/>
      <c r="S7976" s="7"/>
      <c r="T7976" s="7"/>
      <c r="U7976" s="7"/>
      <c r="V7976" s="7"/>
      <c r="W7976" s="7"/>
      <c r="X7976" s="7"/>
      <c r="Y7976" s="7"/>
      <c r="Z7976" s="7"/>
    </row>
    <row r="7977" hidden="1">
      <c r="A7977" s="7"/>
      <c r="B7977" s="7"/>
      <c r="C7977" s="7"/>
      <c r="D7977" s="7"/>
      <c r="E7977" s="7"/>
      <c r="F7977" s="7"/>
      <c r="G7977" s="7"/>
      <c r="H7977" s="8"/>
      <c r="I7977" s="8"/>
      <c r="J7977" s="7"/>
      <c r="K7977" s="7"/>
      <c r="L7977" s="7"/>
      <c r="M7977" s="7"/>
      <c r="N7977" s="7"/>
      <c r="O7977" s="7"/>
      <c r="P7977" s="7"/>
      <c r="Q7977" s="7"/>
      <c r="R7977" s="7"/>
      <c r="S7977" s="7"/>
      <c r="T7977" s="7"/>
      <c r="U7977" s="7"/>
      <c r="V7977" s="7"/>
      <c r="W7977" s="7"/>
      <c r="X7977" s="7"/>
      <c r="Y7977" s="7"/>
      <c r="Z7977" s="7"/>
    </row>
    <row r="7978" hidden="1">
      <c r="A7978" s="7"/>
      <c r="B7978" s="7"/>
      <c r="C7978" s="7"/>
      <c r="D7978" s="7"/>
      <c r="E7978" s="7"/>
      <c r="F7978" s="7"/>
      <c r="G7978" s="7"/>
      <c r="H7978" s="8"/>
      <c r="I7978" s="8"/>
      <c r="J7978" s="7"/>
      <c r="K7978" s="7"/>
      <c r="L7978" s="7"/>
      <c r="M7978" s="7"/>
      <c r="N7978" s="7"/>
      <c r="O7978" s="7"/>
      <c r="P7978" s="7"/>
      <c r="Q7978" s="7"/>
      <c r="R7978" s="7"/>
      <c r="S7978" s="7"/>
      <c r="T7978" s="7"/>
      <c r="U7978" s="7"/>
      <c r="V7978" s="7"/>
      <c r="W7978" s="7"/>
      <c r="X7978" s="7"/>
      <c r="Y7978" s="7"/>
      <c r="Z7978" s="7"/>
    </row>
    <row r="7979" hidden="1">
      <c r="A7979" s="7"/>
      <c r="B7979" s="7"/>
      <c r="C7979" s="7"/>
      <c r="D7979" s="7"/>
      <c r="E7979" s="7"/>
      <c r="F7979" s="7"/>
      <c r="G7979" s="7"/>
      <c r="H7979" s="8"/>
      <c r="I7979" s="8"/>
      <c r="J7979" s="7"/>
      <c r="K7979" s="7"/>
      <c r="L7979" s="7"/>
      <c r="M7979" s="7"/>
      <c r="N7979" s="7"/>
      <c r="O7979" s="7"/>
      <c r="P7979" s="7"/>
      <c r="Q7979" s="7"/>
      <c r="R7979" s="7"/>
      <c r="S7979" s="7"/>
      <c r="T7979" s="7"/>
      <c r="U7979" s="7"/>
      <c r="V7979" s="7"/>
      <c r="W7979" s="7"/>
      <c r="X7979" s="7"/>
      <c r="Y7979" s="7"/>
      <c r="Z7979" s="7"/>
    </row>
    <row r="7980" hidden="1">
      <c r="A7980" s="7"/>
      <c r="B7980" s="7"/>
      <c r="C7980" s="7"/>
      <c r="D7980" s="7"/>
      <c r="E7980" s="7"/>
      <c r="F7980" s="7"/>
      <c r="G7980" s="7"/>
      <c r="H7980" s="8"/>
      <c r="I7980" s="8"/>
      <c r="J7980" s="7"/>
      <c r="K7980" s="7"/>
      <c r="L7980" s="7"/>
      <c r="M7980" s="7"/>
      <c r="N7980" s="7"/>
      <c r="O7980" s="7"/>
      <c r="P7980" s="7"/>
      <c r="Q7980" s="7"/>
      <c r="R7980" s="7"/>
      <c r="S7980" s="7"/>
      <c r="T7980" s="7"/>
      <c r="U7980" s="7"/>
      <c r="V7980" s="7"/>
      <c r="W7980" s="7"/>
      <c r="X7980" s="7"/>
      <c r="Y7980" s="7"/>
      <c r="Z7980" s="7"/>
    </row>
    <row r="7981" hidden="1">
      <c r="A7981" s="7"/>
      <c r="B7981" s="7"/>
      <c r="C7981" s="7"/>
      <c r="D7981" s="7"/>
      <c r="E7981" s="7"/>
      <c r="F7981" s="7"/>
      <c r="G7981" s="7"/>
      <c r="H7981" s="8"/>
      <c r="I7981" s="8"/>
      <c r="J7981" s="7"/>
      <c r="K7981" s="7"/>
      <c r="L7981" s="7"/>
      <c r="M7981" s="7"/>
      <c r="N7981" s="7"/>
      <c r="O7981" s="7"/>
      <c r="P7981" s="7"/>
      <c r="Q7981" s="7"/>
      <c r="R7981" s="7"/>
      <c r="S7981" s="7"/>
      <c r="T7981" s="7"/>
      <c r="U7981" s="7"/>
      <c r="V7981" s="7"/>
      <c r="W7981" s="7"/>
      <c r="X7981" s="7"/>
      <c r="Y7981" s="7"/>
      <c r="Z7981" s="7"/>
    </row>
    <row r="7982" hidden="1">
      <c r="A7982" s="7"/>
      <c r="B7982" s="7"/>
      <c r="C7982" s="7"/>
      <c r="D7982" s="7"/>
      <c r="E7982" s="7"/>
      <c r="F7982" s="7"/>
      <c r="G7982" s="7"/>
      <c r="H7982" s="8"/>
      <c r="I7982" s="8"/>
      <c r="J7982" s="7"/>
      <c r="K7982" s="7"/>
      <c r="L7982" s="7"/>
      <c r="M7982" s="7"/>
      <c r="N7982" s="7"/>
      <c r="O7982" s="7"/>
      <c r="P7982" s="7"/>
      <c r="Q7982" s="7"/>
      <c r="R7982" s="7"/>
      <c r="S7982" s="7"/>
      <c r="T7982" s="7"/>
      <c r="U7982" s="7"/>
      <c r="V7982" s="7"/>
      <c r="W7982" s="7"/>
      <c r="X7982" s="7"/>
      <c r="Y7982" s="7"/>
      <c r="Z7982" s="7"/>
    </row>
    <row r="7983" hidden="1">
      <c r="A7983" s="7"/>
      <c r="B7983" s="7"/>
      <c r="C7983" s="7"/>
      <c r="D7983" s="7"/>
      <c r="E7983" s="7"/>
      <c r="F7983" s="7"/>
      <c r="G7983" s="7"/>
      <c r="H7983" s="8"/>
      <c r="I7983" s="8"/>
      <c r="J7983" s="7"/>
      <c r="K7983" s="7"/>
      <c r="L7983" s="7"/>
      <c r="M7983" s="7"/>
      <c r="N7983" s="7"/>
      <c r="O7983" s="7"/>
      <c r="P7983" s="7"/>
      <c r="Q7983" s="7"/>
      <c r="R7983" s="7"/>
      <c r="S7983" s="7"/>
      <c r="T7983" s="7"/>
      <c r="U7983" s="7"/>
      <c r="V7983" s="7"/>
      <c r="W7983" s="7"/>
      <c r="X7983" s="7"/>
      <c r="Y7983" s="7"/>
      <c r="Z7983" s="7"/>
    </row>
    <row r="7984" hidden="1">
      <c r="A7984" s="7"/>
      <c r="B7984" s="7"/>
      <c r="C7984" s="7"/>
      <c r="D7984" s="7"/>
      <c r="E7984" s="7"/>
      <c r="F7984" s="7"/>
      <c r="G7984" s="7"/>
      <c r="H7984" s="8"/>
      <c r="I7984" s="8"/>
      <c r="J7984" s="7"/>
      <c r="K7984" s="7"/>
      <c r="L7984" s="7"/>
      <c r="M7984" s="7"/>
      <c r="N7984" s="7"/>
      <c r="O7984" s="7"/>
      <c r="P7984" s="7"/>
      <c r="Q7984" s="7"/>
      <c r="R7984" s="7"/>
      <c r="S7984" s="7"/>
      <c r="T7984" s="7"/>
      <c r="U7984" s="7"/>
      <c r="V7984" s="7"/>
      <c r="W7984" s="7"/>
      <c r="X7984" s="7"/>
      <c r="Y7984" s="7"/>
      <c r="Z7984" s="7"/>
    </row>
    <row r="7985" hidden="1">
      <c r="A7985" s="7"/>
      <c r="B7985" s="7"/>
      <c r="C7985" s="7"/>
      <c r="D7985" s="7"/>
      <c r="E7985" s="7"/>
      <c r="F7985" s="7"/>
      <c r="G7985" s="7"/>
      <c r="H7985" s="8"/>
      <c r="I7985" s="8"/>
      <c r="J7985" s="7"/>
      <c r="K7985" s="7"/>
      <c r="L7985" s="7"/>
      <c r="M7985" s="7"/>
      <c r="N7985" s="7"/>
      <c r="O7985" s="7"/>
      <c r="P7985" s="7"/>
      <c r="Q7985" s="7"/>
      <c r="R7985" s="7"/>
      <c r="S7985" s="7"/>
      <c r="T7985" s="7"/>
      <c r="U7985" s="7"/>
      <c r="V7985" s="7"/>
      <c r="W7985" s="7"/>
      <c r="X7985" s="7"/>
      <c r="Y7985" s="7"/>
      <c r="Z7985" s="7"/>
    </row>
    <row r="7986" hidden="1">
      <c r="A7986" s="7"/>
      <c r="B7986" s="7"/>
      <c r="C7986" s="7"/>
      <c r="D7986" s="7"/>
      <c r="E7986" s="7"/>
      <c r="F7986" s="7"/>
      <c r="G7986" s="7"/>
      <c r="H7986" s="8"/>
      <c r="I7986" s="8"/>
      <c r="J7986" s="7"/>
      <c r="K7986" s="7"/>
      <c r="L7986" s="7"/>
      <c r="M7986" s="7"/>
      <c r="N7986" s="7"/>
      <c r="O7986" s="7"/>
      <c r="P7986" s="7"/>
      <c r="Q7986" s="7"/>
      <c r="R7986" s="7"/>
      <c r="S7986" s="7"/>
      <c r="T7986" s="7"/>
      <c r="U7986" s="7"/>
      <c r="V7986" s="7"/>
      <c r="W7986" s="7"/>
      <c r="X7986" s="7"/>
      <c r="Y7986" s="7"/>
      <c r="Z7986" s="7"/>
    </row>
    <row r="7987" hidden="1">
      <c r="A7987" s="7"/>
      <c r="B7987" s="7"/>
      <c r="C7987" s="7"/>
      <c r="D7987" s="7"/>
      <c r="E7987" s="7"/>
      <c r="F7987" s="7"/>
      <c r="G7987" s="7"/>
      <c r="H7987" s="8"/>
      <c r="I7987" s="8"/>
      <c r="J7987" s="7"/>
      <c r="K7987" s="7"/>
      <c r="L7987" s="7"/>
      <c r="M7987" s="7"/>
      <c r="N7987" s="7"/>
      <c r="O7987" s="7"/>
      <c r="P7987" s="7"/>
      <c r="Q7987" s="7"/>
      <c r="R7987" s="7"/>
      <c r="S7987" s="7"/>
      <c r="T7987" s="7"/>
      <c r="U7987" s="7"/>
      <c r="V7987" s="7"/>
      <c r="W7987" s="7"/>
      <c r="X7987" s="7"/>
      <c r="Y7987" s="7"/>
      <c r="Z7987" s="7"/>
    </row>
    <row r="7988" hidden="1">
      <c r="A7988" s="7"/>
      <c r="B7988" s="7"/>
      <c r="C7988" s="7"/>
      <c r="D7988" s="7"/>
      <c r="E7988" s="7"/>
      <c r="F7988" s="7"/>
      <c r="G7988" s="7"/>
      <c r="H7988" s="8"/>
      <c r="I7988" s="8"/>
      <c r="J7988" s="7"/>
      <c r="K7988" s="7"/>
      <c r="L7988" s="7"/>
      <c r="M7988" s="7"/>
      <c r="N7988" s="7"/>
      <c r="O7988" s="7"/>
      <c r="P7988" s="7"/>
      <c r="Q7988" s="7"/>
      <c r="R7988" s="7"/>
      <c r="S7988" s="7"/>
      <c r="T7988" s="7"/>
      <c r="U7988" s="7"/>
      <c r="V7988" s="7"/>
      <c r="W7988" s="7"/>
      <c r="X7988" s="7"/>
      <c r="Y7988" s="7"/>
      <c r="Z7988" s="7"/>
    </row>
    <row r="7989" hidden="1">
      <c r="A7989" s="7"/>
      <c r="B7989" s="7"/>
      <c r="C7989" s="7"/>
      <c r="D7989" s="7"/>
      <c r="E7989" s="7"/>
      <c r="F7989" s="7"/>
      <c r="G7989" s="7"/>
      <c r="H7989" s="8"/>
      <c r="I7989" s="8"/>
      <c r="J7989" s="7"/>
      <c r="K7989" s="7"/>
      <c r="L7989" s="7"/>
      <c r="M7989" s="7"/>
      <c r="N7989" s="7"/>
      <c r="O7989" s="7"/>
      <c r="P7989" s="7"/>
      <c r="Q7989" s="7"/>
      <c r="R7989" s="7"/>
      <c r="S7989" s="7"/>
      <c r="T7989" s="7"/>
      <c r="U7989" s="7"/>
      <c r="V7989" s="7"/>
      <c r="W7989" s="7"/>
      <c r="X7989" s="7"/>
      <c r="Y7989" s="7"/>
      <c r="Z7989" s="7"/>
    </row>
    <row r="7990" hidden="1">
      <c r="A7990" s="7"/>
      <c r="B7990" s="7"/>
      <c r="C7990" s="7"/>
      <c r="D7990" s="7"/>
      <c r="E7990" s="7"/>
      <c r="F7990" s="7"/>
      <c r="G7990" s="7"/>
      <c r="H7990" s="8"/>
      <c r="I7990" s="8"/>
      <c r="J7990" s="7"/>
      <c r="K7990" s="7"/>
      <c r="L7990" s="7"/>
      <c r="M7990" s="7"/>
      <c r="N7990" s="7"/>
      <c r="O7990" s="7"/>
      <c r="P7990" s="7"/>
      <c r="Q7990" s="7"/>
      <c r="R7990" s="7"/>
      <c r="S7990" s="7"/>
      <c r="T7990" s="7"/>
      <c r="U7990" s="7"/>
      <c r="V7990" s="7"/>
      <c r="W7990" s="7"/>
      <c r="X7990" s="7"/>
      <c r="Y7990" s="7"/>
      <c r="Z7990" s="7"/>
    </row>
    <row r="7991" hidden="1">
      <c r="A7991" s="7"/>
      <c r="B7991" s="7"/>
      <c r="C7991" s="7"/>
      <c r="D7991" s="7"/>
      <c r="E7991" s="7"/>
      <c r="F7991" s="7"/>
      <c r="G7991" s="7"/>
      <c r="H7991" s="8"/>
      <c r="I7991" s="8"/>
      <c r="J7991" s="7"/>
      <c r="K7991" s="7"/>
      <c r="L7991" s="7"/>
      <c r="M7991" s="7"/>
      <c r="N7991" s="7"/>
      <c r="O7991" s="7"/>
      <c r="P7991" s="7"/>
      <c r="Q7991" s="7"/>
      <c r="R7991" s="7"/>
      <c r="S7991" s="7"/>
      <c r="T7991" s="7"/>
      <c r="U7991" s="7"/>
      <c r="V7991" s="7"/>
      <c r="W7991" s="7"/>
      <c r="X7991" s="7"/>
      <c r="Y7991" s="7"/>
      <c r="Z7991" s="7"/>
    </row>
    <row r="7992" hidden="1">
      <c r="A7992" s="7"/>
      <c r="B7992" s="7"/>
      <c r="C7992" s="7"/>
      <c r="D7992" s="7"/>
      <c r="E7992" s="7"/>
      <c r="F7992" s="7"/>
      <c r="G7992" s="7"/>
      <c r="H7992" s="8"/>
      <c r="I7992" s="8"/>
      <c r="J7992" s="7"/>
      <c r="K7992" s="7"/>
      <c r="L7992" s="7"/>
      <c r="M7992" s="7"/>
      <c r="N7992" s="7"/>
      <c r="O7992" s="7"/>
      <c r="P7992" s="7"/>
      <c r="Q7992" s="7"/>
      <c r="R7992" s="7"/>
      <c r="S7992" s="7"/>
      <c r="T7992" s="7"/>
      <c r="U7992" s="7"/>
      <c r="V7992" s="7"/>
      <c r="W7992" s="7"/>
      <c r="X7992" s="7"/>
      <c r="Y7992" s="7"/>
      <c r="Z7992" s="7"/>
    </row>
    <row r="7993" hidden="1">
      <c r="A7993" s="7"/>
      <c r="B7993" s="7"/>
      <c r="C7993" s="7"/>
      <c r="D7993" s="7"/>
      <c r="E7993" s="7"/>
      <c r="F7993" s="7"/>
      <c r="G7993" s="7"/>
      <c r="H7993" s="8"/>
      <c r="I7993" s="8"/>
      <c r="J7993" s="7"/>
      <c r="K7993" s="7"/>
      <c r="L7993" s="7"/>
      <c r="M7993" s="7"/>
      <c r="N7993" s="7"/>
      <c r="O7993" s="7"/>
      <c r="P7993" s="7"/>
      <c r="Q7993" s="7"/>
      <c r="R7993" s="7"/>
      <c r="S7993" s="7"/>
      <c r="T7993" s="7"/>
      <c r="U7993" s="7"/>
      <c r="V7993" s="7"/>
      <c r="W7993" s="7"/>
      <c r="X7993" s="7"/>
      <c r="Y7993" s="7"/>
      <c r="Z7993" s="7"/>
    </row>
    <row r="7994" hidden="1">
      <c r="A7994" s="7"/>
      <c r="B7994" s="7"/>
      <c r="C7994" s="7"/>
      <c r="D7994" s="7"/>
      <c r="E7994" s="7"/>
      <c r="F7994" s="7"/>
      <c r="G7994" s="7"/>
      <c r="H7994" s="8"/>
      <c r="I7994" s="8"/>
      <c r="J7994" s="7"/>
      <c r="K7994" s="7"/>
      <c r="L7994" s="7"/>
      <c r="M7994" s="7"/>
      <c r="N7994" s="7"/>
      <c r="O7994" s="7"/>
      <c r="P7994" s="7"/>
      <c r="Q7994" s="7"/>
      <c r="R7994" s="7"/>
      <c r="S7994" s="7"/>
      <c r="T7994" s="7"/>
      <c r="U7994" s="7"/>
      <c r="V7994" s="7"/>
      <c r="W7994" s="7"/>
      <c r="X7994" s="7"/>
      <c r="Y7994" s="7"/>
      <c r="Z7994" s="7"/>
    </row>
    <row r="7995" hidden="1">
      <c r="A7995" s="7"/>
      <c r="B7995" s="7"/>
      <c r="C7995" s="7"/>
      <c r="D7995" s="7"/>
      <c r="E7995" s="7"/>
      <c r="F7995" s="7"/>
      <c r="G7995" s="7"/>
      <c r="H7995" s="8"/>
      <c r="I7995" s="8"/>
      <c r="J7995" s="7"/>
      <c r="K7995" s="7"/>
      <c r="L7995" s="7"/>
      <c r="M7995" s="7"/>
      <c r="N7995" s="7"/>
      <c r="O7995" s="7"/>
      <c r="P7995" s="7"/>
      <c r="Q7995" s="7"/>
      <c r="R7995" s="7"/>
      <c r="S7995" s="7"/>
      <c r="T7995" s="7"/>
      <c r="U7995" s="7"/>
      <c r="V7995" s="7"/>
      <c r="W7995" s="7"/>
      <c r="X7995" s="7"/>
      <c r="Y7995" s="7"/>
      <c r="Z7995" s="7"/>
    </row>
    <row r="7996" hidden="1">
      <c r="A7996" s="7"/>
      <c r="B7996" s="7"/>
      <c r="C7996" s="7"/>
      <c r="D7996" s="7"/>
      <c r="E7996" s="7"/>
      <c r="F7996" s="7"/>
      <c r="G7996" s="7"/>
      <c r="H7996" s="8"/>
      <c r="I7996" s="8"/>
      <c r="J7996" s="7"/>
      <c r="K7996" s="7"/>
      <c r="L7996" s="7"/>
      <c r="M7996" s="7"/>
      <c r="N7996" s="7"/>
      <c r="O7996" s="7"/>
      <c r="P7996" s="7"/>
      <c r="Q7996" s="7"/>
      <c r="R7996" s="7"/>
      <c r="S7996" s="7"/>
      <c r="T7996" s="7"/>
      <c r="U7996" s="7"/>
      <c r="V7996" s="7"/>
      <c r="W7996" s="7"/>
      <c r="X7996" s="7"/>
      <c r="Y7996" s="7"/>
      <c r="Z7996" s="7"/>
    </row>
    <row r="7997" hidden="1">
      <c r="A7997" s="7"/>
      <c r="B7997" s="7"/>
      <c r="C7997" s="7"/>
      <c r="D7997" s="7"/>
      <c r="E7997" s="7"/>
      <c r="F7997" s="7"/>
      <c r="G7997" s="7"/>
      <c r="H7997" s="8"/>
      <c r="I7997" s="8"/>
      <c r="J7997" s="7"/>
      <c r="K7997" s="7"/>
      <c r="L7997" s="7"/>
      <c r="M7997" s="7"/>
      <c r="N7997" s="7"/>
      <c r="O7997" s="7"/>
      <c r="P7997" s="7"/>
      <c r="Q7997" s="7"/>
      <c r="R7997" s="7"/>
      <c r="S7997" s="7"/>
      <c r="T7997" s="7"/>
      <c r="U7997" s="7"/>
      <c r="V7997" s="7"/>
      <c r="W7997" s="7"/>
      <c r="X7997" s="7"/>
      <c r="Y7997" s="7"/>
      <c r="Z7997" s="7"/>
    </row>
    <row r="7998" hidden="1">
      <c r="A7998" s="7"/>
      <c r="B7998" s="7"/>
      <c r="C7998" s="7"/>
      <c r="D7998" s="7"/>
      <c r="E7998" s="7"/>
      <c r="F7998" s="7"/>
      <c r="G7998" s="7"/>
      <c r="H7998" s="8"/>
      <c r="I7998" s="8"/>
      <c r="J7998" s="7"/>
      <c r="K7998" s="7"/>
      <c r="L7998" s="7"/>
      <c r="M7998" s="7"/>
      <c r="N7998" s="7"/>
      <c r="O7998" s="7"/>
      <c r="P7998" s="7"/>
      <c r="Q7998" s="7"/>
      <c r="R7998" s="7"/>
      <c r="S7998" s="7"/>
      <c r="T7998" s="7"/>
      <c r="U7998" s="7"/>
      <c r="V7998" s="7"/>
      <c r="W7998" s="7"/>
      <c r="X7998" s="7"/>
      <c r="Y7998" s="7"/>
      <c r="Z7998" s="7"/>
    </row>
    <row r="7999" hidden="1">
      <c r="A7999" s="7"/>
      <c r="B7999" s="7"/>
      <c r="C7999" s="7"/>
      <c r="D7999" s="7"/>
      <c r="E7999" s="7"/>
      <c r="F7999" s="7"/>
      <c r="G7999" s="7"/>
      <c r="H7999" s="8"/>
      <c r="I7999" s="8"/>
      <c r="J7999" s="7"/>
      <c r="K7999" s="7"/>
      <c r="L7999" s="7"/>
      <c r="M7999" s="7"/>
      <c r="N7999" s="7"/>
      <c r="O7999" s="7"/>
      <c r="P7999" s="7"/>
      <c r="Q7999" s="7"/>
      <c r="R7999" s="7"/>
      <c r="S7999" s="7"/>
      <c r="T7999" s="7"/>
      <c r="U7999" s="7"/>
      <c r="V7999" s="7"/>
      <c r="W7999" s="7"/>
      <c r="X7999" s="7"/>
      <c r="Y7999" s="7"/>
      <c r="Z7999" s="7"/>
    </row>
    <row r="8000" hidden="1">
      <c r="A8000" s="7"/>
      <c r="B8000" s="7"/>
      <c r="C8000" s="7"/>
      <c r="D8000" s="7"/>
      <c r="E8000" s="7"/>
      <c r="F8000" s="7"/>
      <c r="G8000" s="7"/>
      <c r="H8000" s="8"/>
      <c r="I8000" s="8"/>
      <c r="J8000" s="7"/>
      <c r="K8000" s="7"/>
      <c r="L8000" s="7"/>
      <c r="M8000" s="7"/>
      <c r="N8000" s="7"/>
      <c r="O8000" s="7"/>
      <c r="P8000" s="7"/>
      <c r="Q8000" s="7"/>
      <c r="R8000" s="7"/>
      <c r="S8000" s="7"/>
      <c r="T8000" s="7"/>
      <c r="U8000" s="7"/>
      <c r="V8000" s="7"/>
      <c r="W8000" s="7"/>
      <c r="X8000" s="7"/>
      <c r="Y8000" s="7"/>
      <c r="Z8000" s="7"/>
    </row>
    <row r="8001" hidden="1">
      <c r="A8001" s="7"/>
      <c r="B8001" s="7"/>
      <c r="C8001" s="7"/>
      <c r="D8001" s="7"/>
      <c r="E8001" s="7"/>
      <c r="F8001" s="7"/>
      <c r="G8001" s="7"/>
      <c r="H8001" s="8"/>
      <c r="I8001" s="8"/>
      <c r="J8001" s="7"/>
      <c r="K8001" s="7"/>
      <c r="L8001" s="7"/>
      <c r="M8001" s="7"/>
      <c r="N8001" s="7"/>
      <c r="O8001" s="7"/>
      <c r="P8001" s="7"/>
      <c r="Q8001" s="7"/>
      <c r="R8001" s="7"/>
      <c r="S8001" s="7"/>
      <c r="T8001" s="7"/>
      <c r="U8001" s="7"/>
      <c r="V8001" s="7"/>
      <c r="W8001" s="7"/>
      <c r="X8001" s="7"/>
      <c r="Y8001" s="7"/>
      <c r="Z8001" s="7"/>
    </row>
    <row r="8002" hidden="1">
      <c r="A8002" s="7"/>
      <c r="B8002" s="7"/>
      <c r="C8002" s="7"/>
      <c r="D8002" s="7"/>
      <c r="E8002" s="7"/>
      <c r="F8002" s="7"/>
      <c r="G8002" s="7"/>
      <c r="H8002" s="8"/>
      <c r="I8002" s="8"/>
      <c r="J8002" s="7"/>
      <c r="K8002" s="7"/>
      <c r="L8002" s="7"/>
      <c r="M8002" s="7"/>
      <c r="N8002" s="7"/>
      <c r="O8002" s="7"/>
      <c r="P8002" s="7"/>
      <c r="Q8002" s="7"/>
      <c r="R8002" s="7"/>
      <c r="S8002" s="7"/>
      <c r="T8002" s="7"/>
      <c r="U8002" s="7"/>
      <c r="V8002" s="7"/>
      <c r="W8002" s="7"/>
      <c r="X8002" s="7"/>
      <c r="Y8002" s="7"/>
      <c r="Z8002" s="7"/>
    </row>
    <row r="8003" hidden="1">
      <c r="A8003" s="7"/>
      <c r="B8003" s="7"/>
      <c r="C8003" s="7"/>
      <c r="D8003" s="7"/>
      <c r="E8003" s="7"/>
      <c r="F8003" s="7"/>
      <c r="G8003" s="7"/>
      <c r="H8003" s="8"/>
      <c r="I8003" s="8"/>
      <c r="J8003" s="7"/>
      <c r="K8003" s="7"/>
      <c r="L8003" s="7"/>
      <c r="M8003" s="7"/>
      <c r="N8003" s="7"/>
      <c r="O8003" s="7"/>
      <c r="P8003" s="7"/>
      <c r="Q8003" s="7"/>
      <c r="R8003" s="7"/>
      <c r="S8003" s="7"/>
      <c r="T8003" s="7"/>
      <c r="U8003" s="7"/>
      <c r="V8003" s="7"/>
      <c r="W8003" s="7"/>
      <c r="X8003" s="7"/>
      <c r="Y8003" s="7"/>
      <c r="Z8003" s="7"/>
    </row>
    <row r="8004" hidden="1">
      <c r="A8004" s="7"/>
      <c r="B8004" s="7"/>
      <c r="C8004" s="7"/>
      <c r="D8004" s="7"/>
      <c r="E8004" s="7"/>
      <c r="F8004" s="7"/>
      <c r="G8004" s="7"/>
      <c r="H8004" s="8"/>
      <c r="I8004" s="8"/>
      <c r="J8004" s="7"/>
      <c r="K8004" s="7"/>
      <c r="L8004" s="7"/>
      <c r="M8004" s="7"/>
      <c r="N8004" s="7"/>
      <c r="O8004" s="7"/>
      <c r="P8004" s="7"/>
      <c r="Q8004" s="7"/>
      <c r="R8004" s="7"/>
      <c r="S8004" s="7"/>
      <c r="T8004" s="7"/>
      <c r="U8004" s="7"/>
      <c r="V8004" s="7"/>
      <c r="W8004" s="7"/>
      <c r="X8004" s="7"/>
      <c r="Y8004" s="7"/>
      <c r="Z8004" s="7"/>
    </row>
    <row r="8005" hidden="1">
      <c r="A8005" s="7"/>
      <c r="B8005" s="7"/>
      <c r="C8005" s="7"/>
      <c r="D8005" s="7"/>
      <c r="E8005" s="7"/>
      <c r="F8005" s="7"/>
      <c r="G8005" s="7"/>
      <c r="H8005" s="8"/>
      <c r="I8005" s="8"/>
      <c r="J8005" s="7"/>
      <c r="K8005" s="7"/>
      <c r="L8005" s="7"/>
      <c r="M8005" s="7"/>
      <c r="N8005" s="7"/>
      <c r="O8005" s="7"/>
      <c r="P8005" s="7"/>
      <c r="Q8005" s="7"/>
      <c r="R8005" s="7"/>
      <c r="S8005" s="7"/>
      <c r="T8005" s="7"/>
      <c r="U8005" s="7"/>
      <c r="V8005" s="7"/>
      <c r="W8005" s="7"/>
      <c r="X8005" s="7"/>
      <c r="Y8005" s="7"/>
      <c r="Z8005" s="7"/>
    </row>
    <row r="8006" hidden="1">
      <c r="A8006" s="7"/>
      <c r="B8006" s="7"/>
      <c r="C8006" s="7"/>
      <c r="D8006" s="7"/>
      <c r="E8006" s="7"/>
      <c r="F8006" s="7"/>
      <c r="G8006" s="7"/>
      <c r="H8006" s="8"/>
      <c r="I8006" s="8"/>
      <c r="J8006" s="7"/>
      <c r="K8006" s="7"/>
      <c r="L8006" s="7"/>
      <c r="M8006" s="7"/>
      <c r="N8006" s="7"/>
      <c r="O8006" s="7"/>
      <c r="P8006" s="7"/>
      <c r="Q8006" s="7"/>
      <c r="R8006" s="7"/>
      <c r="S8006" s="7"/>
      <c r="T8006" s="7"/>
      <c r="U8006" s="7"/>
      <c r="V8006" s="7"/>
      <c r="W8006" s="7"/>
      <c r="X8006" s="7"/>
      <c r="Y8006" s="7"/>
      <c r="Z8006" s="7"/>
    </row>
    <row r="8007" hidden="1">
      <c r="A8007" s="7"/>
      <c r="B8007" s="7"/>
      <c r="C8007" s="7"/>
      <c r="D8007" s="7"/>
      <c r="E8007" s="7"/>
      <c r="F8007" s="7"/>
      <c r="G8007" s="7"/>
      <c r="H8007" s="8"/>
      <c r="I8007" s="8"/>
      <c r="J8007" s="7"/>
      <c r="K8007" s="7"/>
      <c r="L8007" s="7"/>
      <c r="M8007" s="7"/>
      <c r="N8007" s="7"/>
      <c r="O8007" s="7"/>
      <c r="P8007" s="7"/>
      <c r="Q8007" s="7"/>
      <c r="R8007" s="7"/>
      <c r="S8007" s="7"/>
      <c r="T8007" s="7"/>
      <c r="U8007" s="7"/>
      <c r="V8007" s="7"/>
      <c r="W8007" s="7"/>
      <c r="X8007" s="7"/>
      <c r="Y8007" s="7"/>
      <c r="Z8007" s="7"/>
    </row>
    <row r="8008" hidden="1">
      <c r="A8008" s="7"/>
      <c r="B8008" s="7"/>
      <c r="C8008" s="7"/>
      <c r="D8008" s="7"/>
      <c r="E8008" s="7"/>
      <c r="F8008" s="7"/>
      <c r="G8008" s="7"/>
      <c r="H8008" s="8"/>
      <c r="I8008" s="8"/>
      <c r="J8008" s="7"/>
      <c r="K8008" s="7"/>
      <c r="L8008" s="7"/>
      <c r="M8008" s="7"/>
      <c r="N8008" s="7"/>
      <c r="O8008" s="7"/>
      <c r="P8008" s="7"/>
      <c r="Q8008" s="7"/>
      <c r="R8008" s="7"/>
      <c r="S8008" s="7"/>
      <c r="T8008" s="7"/>
      <c r="U8008" s="7"/>
      <c r="V8008" s="7"/>
      <c r="W8008" s="7"/>
      <c r="X8008" s="7"/>
      <c r="Y8008" s="7"/>
      <c r="Z8008" s="7"/>
    </row>
    <row r="8009" hidden="1">
      <c r="A8009" s="7"/>
      <c r="B8009" s="7"/>
      <c r="C8009" s="7"/>
      <c r="D8009" s="7"/>
      <c r="E8009" s="7"/>
      <c r="F8009" s="7"/>
      <c r="G8009" s="7"/>
      <c r="H8009" s="8"/>
      <c r="I8009" s="8"/>
      <c r="J8009" s="7"/>
      <c r="K8009" s="7"/>
      <c r="L8009" s="7"/>
      <c r="M8009" s="7"/>
      <c r="N8009" s="7"/>
      <c r="O8009" s="7"/>
      <c r="P8009" s="7"/>
      <c r="Q8009" s="7"/>
      <c r="R8009" s="7"/>
      <c r="S8009" s="7"/>
      <c r="T8009" s="7"/>
      <c r="U8009" s="7"/>
      <c r="V8009" s="7"/>
      <c r="W8009" s="7"/>
      <c r="X8009" s="7"/>
      <c r="Y8009" s="7"/>
      <c r="Z8009" s="7"/>
    </row>
    <row r="8010" hidden="1">
      <c r="A8010" s="7"/>
      <c r="B8010" s="7"/>
      <c r="C8010" s="7"/>
      <c r="D8010" s="7"/>
      <c r="E8010" s="7"/>
      <c r="F8010" s="7"/>
      <c r="G8010" s="7"/>
      <c r="H8010" s="8"/>
      <c r="I8010" s="8"/>
      <c r="J8010" s="7"/>
      <c r="K8010" s="7"/>
      <c r="L8010" s="7"/>
      <c r="M8010" s="7"/>
      <c r="N8010" s="7"/>
      <c r="O8010" s="7"/>
      <c r="P8010" s="7"/>
      <c r="Q8010" s="7"/>
      <c r="R8010" s="7"/>
      <c r="S8010" s="7"/>
      <c r="T8010" s="7"/>
      <c r="U8010" s="7"/>
      <c r="V8010" s="7"/>
      <c r="W8010" s="7"/>
      <c r="X8010" s="7"/>
      <c r="Y8010" s="7"/>
      <c r="Z8010" s="7"/>
    </row>
    <row r="8011" hidden="1">
      <c r="A8011" s="7"/>
      <c r="B8011" s="7"/>
      <c r="C8011" s="7"/>
      <c r="D8011" s="7"/>
      <c r="E8011" s="7"/>
      <c r="F8011" s="7"/>
      <c r="G8011" s="7"/>
      <c r="H8011" s="8"/>
      <c r="I8011" s="8"/>
      <c r="J8011" s="7"/>
      <c r="K8011" s="7"/>
      <c r="L8011" s="7"/>
      <c r="M8011" s="7"/>
      <c r="N8011" s="7"/>
      <c r="O8011" s="7"/>
      <c r="P8011" s="7"/>
      <c r="Q8011" s="7"/>
      <c r="R8011" s="7"/>
      <c r="S8011" s="7"/>
      <c r="T8011" s="7"/>
      <c r="U8011" s="7"/>
      <c r="V8011" s="7"/>
      <c r="W8011" s="7"/>
      <c r="X8011" s="7"/>
      <c r="Y8011" s="7"/>
      <c r="Z8011" s="7"/>
    </row>
    <row r="8012" hidden="1">
      <c r="A8012" s="7"/>
      <c r="B8012" s="7"/>
      <c r="C8012" s="7"/>
      <c r="D8012" s="7"/>
      <c r="E8012" s="7"/>
      <c r="F8012" s="7"/>
      <c r="G8012" s="7"/>
      <c r="H8012" s="8"/>
      <c r="I8012" s="8"/>
      <c r="J8012" s="7"/>
      <c r="K8012" s="7"/>
      <c r="L8012" s="7"/>
      <c r="M8012" s="7"/>
      <c r="N8012" s="7"/>
      <c r="O8012" s="7"/>
      <c r="P8012" s="7"/>
      <c r="Q8012" s="7"/>
      <c r="R8012" s="7"/>
      <c r="S8012" s="7"/>
      <c r="T8012" s="7"/>
      <c r="U8012" s="7"/>
      <c r="V8012" s="7"/>
      <c r="W8012" s="7"/>
      <c r="X8012" s="7"/>
      <c r="Y8012" s="7"/>
      <c r="Z8012" s="7"/>
    </row>
    <row r="8013" hidden="1">
      <c r="A8013" s="7"/>
      <c r="B8013" s="7"/>
      <c r="C8013" s="7"/>
      <c r="D8013" s="7"/>
      <c r="E8013" s="7"/>
      <c r="F8013" s="7"/>
      <c r="G8013" s="7"/>
      <c r="H8013" s="8"/>
      <c r="I8013" s="8"/>
      <c r="J8013" s="7"/>
      <c r="K8013" s="7"/>
      <c r="L8013" s="7"/>
      <c r="M8013" s="7"/>
      <c r="N8013" s="7"/>
      <c r="O8013" s="7"/>
      <c r="P8013" s="7"/>
      <c r="Q8013" s="7"/>
      <c r="R8013" s="7"/>
      <c r="S8013" s="7"/>
      <c r="T8013" s="7"/>
      <c r="U8013" s="7"/>
      <c r="V8013" s="7"/>
      <c r="W8013" s="7"/>
      <c r="X8013" s="7"/>
      <c r="Y8013" s="7"/>
      <c r="Z8013" s="7"/>
    </row>
    <row r="8014" hidden="1">
      <c r="A8014" s="7"/>
      <c r="B8014" s="7"/>
      <c r="C8014" s="7"/>
      <c r="D8014" s="7"/>
      <c r="E8014" s="7"/>
      <c r="F8014" s="7"/>
      <c r="G8014" s="7"/>
      <c r="H8014" s="8"/>
      <c r="I8014" s="8"/>
      <c r="J8014" s="7"/>
      <c r="K8014" s="7"/>
      <c r="L8014" s="7"/>
      <c r="M8014" s="7"/>
      <c r="N8014" s="7"/>
      <c r="O8014" s="7"/>
      <c r="P8014" s="7"/>
      <c r="Q8014" s="7"/>
      <c r="R8014" s="7"/>
      <c r="S8014" s="7"/>
      <c r="T8014" s="7"/>
      <c r="U8014" s="7"/>
      <c r="V8014" s="7"/>
      <c r="W8014" s="7"/>
      <c r="X8014" s="7"/>
      <c r="Y8014" s="7"/>
      <c r="Z8014" s="7"/>
    </row>
    <row r="8015" hidden="1">
      <c r="A8015" s="7"/>
      <c r="B8015" s="7"/>
      <c r="C8015" s="7"/>
      <c r="D8015" s="7"/>
      <c r="E8015" s="7"/>
      <c r="F8015" s="7"/>
      <c r="G8015" s="7"/>
      <c r="H8015" s="8"/>
      <c r="I8015" s="8"/>
      <c r="J8015" s="7"/>
      <c r="K8015" s="7"/>
      <c r="L8015" s="7"/>
      <c r="M8015" s="7"/>
      <c r="N8015" s="7"/>
      <c r="O8015" s="7"/>
      <c r="P8015" s="7"/>
      <c r="Q8015" s="7"/>
      <c r="R8015" s="7"/>
      <c r="S8015" s="7"/>
      <c r="T8015" s="7"/>
      <c r="U8015" s="7"/>
      <c r="V8015" s="7"/>
      <c r="W8015" s="7"/>
      <c r="X8015" s="7"/>
      <c r="Y8015" s="7"/>
      <c r="Z8015" s="7"/>
    </row>
    <row r="8016" hidden="1">
      <c r="A8016" s="7"/>
      <c r="B8016" s="7"/>
      <c r="C8016" s="7"/>
      <c r="D8016" s="7"/>
      <c r="E8016" s="7"/>
      <c r="F8016" s="7"/>
      <c r="G8016" s="7"/>
      <c r="H8016" s="8"/>
      <c r="I8016" s="8"/>
      <c r="J8016" s="7"/>
      <c r="K8016" s="7"/>
      <c r="L8016" s="7"/>
      <c r="M8016" s="7"/>
      <c r="N8016" s="7"/>
      <c r="O8016" s="7"/>
      <c r="P8016" s="7"/>
      <c r="Q8016" s="7"/>
      <c r="R8016" s="7"/>
      <c r="S8016" s="7"/>
      <c r="T8016" s="7"/>
      <c r="U8016" s="7"/>
      <c r="V8016" s="7"/>
      <c r="W8016" s="7"/>
      <c r="X8016" s="7"/>
      <c r="Y8016" s="7"/>
      <c r="Z8016" s="7"/>
    </row>
    <row r="8017" hidden="1">
      <c r="A8017" s="7"/>
      <c r="B8017" s="7"/>
      <c r="C8017" s="7"/>
      <c r="D8017" s="7"/>
      <c r="E8017" s="7"/>
      <c r="F8017" s="7"/>
      <c r="G8017" s="7"/>
      <c r="H8017" s="8"/>
      <c r="I8017" s="8"/>
      <c r="J8017" s="7"/>
      <c r="K8017" s="7"/>
      <c r="L8017" s="7"/>
      <c r="M8017" s="7"/>
      <c r="N8017" s="7"/>
      <c r="O8017" s="7"/>
      <c r="P8017" s="7"/>
      <c r="Q8017" s="7"/>
      <c r="R8017" s="7"/>
      <c r="S8017" s="7"/>
      <c r="T8017" s="7"/>
      <c r="U8017" s="7"/>
      <c r="V8017" s="7"/>
      <c r="W8017" s="7"/>
      <c r="X8017" s="7"/>
      <c r="Y8017" s="7"/>
      <c r="Z8017" s="7"/>
    </row>
    <row r="8018" hidden="1">
      <c r="A8018" s="7"/>
      <c r="B8018" s="7"/>
      <c r="C8018" s="7"/>
      <c r="D8018" s="7"/>
      <c r="E8018" s="7"/>
      <c r="F8018" s="7"/>
      <c r="G8018" s="7"/>
      <c r="H8018" s="8"/>
      <c r="I8018" s="8"/>
      <c r="J8018" s="7"/>
      <c r="K8018" s="7"/>
      <c r="L8018" s="7"/>
      <c r="M8018" s="7"/>
      <c r="N8018" s="7"/>
      <c r="O8018" s="7"/>
      <c r="P8018" s="7"/>
      <c r="Q8018" s="7"/>
      <c r="R8018" s="7"/>
      <c r="S8018" s="7"/>
      <c r="T8018" s="7"/>
      <c r="U8018" s="7"/>
      <c r="V8018" s="7"/>
      <c r="W8018" s="7"/>
      <c r="X8018" s="7"/>
      <c r="Y8018" s="7"/>
      <c r="Z8018" s="7"/>
    </row>
    <row r="8019" hidden="1">
      <c r="A8019" s="7"/>
      <c r="B8019" s="7"/>
      <c r="C8019" s="7"/>
      <c r="D8019" s="7"/>
      <c r="E8019" s="7"/>
      <c r="F8019" s="7"/>
      <c r="G8019" s="7"/>
      <c r="H8019" s="8"/>
      <c r="I8019" s="8"/>
      <c r="J8019" s="7"/>
      <c r="K8019" s="7"/>
      <c r="L8019" s="7"/>
      <c r="M8019" s="7"/>
      <c r="N8019" s="7"/>
      <c r="O8019" s="7"/>
      <c r="P8019" s="7"/>
      <c r="Q8019" s="7"/>
      <c r="R8019" s="7"/>
      <c r="S8019" s="7"/>
      <c r="T8019" s="7"/>
      <c r="U8019" s="7"/>
      <c r="V8019" s="7"/>
      <c r="W8019" s="7"/>
      <c r="X8019" s="7"/>
      <c r="Y8019" s="7"/>
      <c r="Z8019" s="7"/>
    </row>
    <row r="8020" hidden="1">
      <c r="A8020" s="7"/>
      <c r="B8020" s="7"/>
      <c r="C8020" s="7"/>
      <c r="D8020" s="7"/>
      <c r="E8020" s="7"/>
      <c r="F8020" s="7"/>
      <c r="G8020" s="7"/>
      <c r="H8020" s="8"/>
      <c r="I8020" s="8"/>
      <c r="J8020" s="7"/>
      <c r="K8020" s="7"/>
      <c r="L8020" s="7"/>
      <c r="M8020" s="7"/>
      <c r="N8020" s="7"/>
      <c r="O8020" s="7"/>
      <c r="P8020" s="7"/>
      <c r="Q8020" s="7"/>
      <c r="R8020" s="7"/>
      <c r="S8020" s="7"/>
      <c r="T8020" s="7"/>
      <c r="U8020" s="7"/>
      <c r="V8020" s="7"/>
      <c r="W8020" s="7"/>
      <c r="X8020" s="7"/>
      <c r="Y8020" s="7"/>
      <c r="Z8020" s="7"/>
    </row>
    <row r="8021" hidden="1">
      <c r="A8021" s="7"/>
      <c r="B8021" s="7"/>
      <c r="C8021" s="7"/>
      <c r="D8021" s="7"/>
      <c r="E8021" s="7"/>
      <c r="F8021" s="7"/>
      <c r="G8021" s="7"/>
      <c r="H8021" s="8"/>
      <c r="I8021" s="8"/>
      <c r="J8021" s="7"/>
      <c r="K8021" s="7"/>
      <c r="L8021" s="7"/>
      <c r="M8021" s="7"/>
      <c r="N8021" s="7"/>
      <c r="O8021" s="7"/>
      <c r="P8021" s="7"/>
      <c r="Q8021" s="7"/>
      <c r="R8021" s="7"/>
      <c r="S8021" s="7"/>
      <c r="T8021" s="7"/>
      <c r="U8021" s="7"/>
      <c r="V8021" s="7"/>
      <c r="W8021" s="7"/>
      <c r="X8021" s="7"/>
      <c r="Y8021" s="7"/>
      <c r="Z8021" s="7"/>
    </row>
    <row r="8022" hidden="1">
      <c r="A8022" s="7"/>
      <c r="B8022" s="7"/>
      <c r="C8022" s="7"/>
      <c r="D8022" s="7"/>
      <c r="E8022" s="7"/>
      <c r="F8022" s="7"/>
      <c r="G8022" s="7"/>
      <c r="H8022" s="8"/>
      <c r="I8022" s="8"/>
      <c r="J8022" s="7"/>
      <c r="K8022" s="7"/>
      <c r="L8022" s="7"/>
      <c r="M8022" s="7"/>
      <c r="N8022" s="7"/>
      <c r="O8022" s="7"/>
      <c r="P8022" s="7"/>
      <c r="Q8022" s="7"/>
      <c r="R8022" s="7"/>
      <c r="S8022" s="7"/>
      <c r="T8022" s="7"/>
      <c r="U8022" s="7"/>
      <c r="V8022" s="7"/>
      <c r="W8022" s="7"/>
      <c r="X8022" s="7"/>
      <c r="Y8022" s="7"/>
      <c r="Z8022" s="7"/>
    </row>
    <row r="8023" hidden="1">
      <c r="A8023" s="7"/>
      <c r="B8023" s="7"/>
      <c r="C8023" s="7"/>
      <c r="D8023" s="7"/>
      <c r="E8023" s="7"/>
      <c r="F8023" s="7"/>
      <c r="G8023" s="7"/>
      <c r="H8023" s="8"/>
      <c r="I8023" s="8"/>
      <c r="J8023" s="7"/>
      <c r="K8023" s="7"/>
      <c r="L8023" s="7"/>
      <c r="M8023" s="7"/>
      <c r="N8023" s="7"/>
      <c r="O8023" s="7"/>
      <c r="P8023" s="7"/>
      <c r="Q8023" s="7"/>
      <c r="R8023" s="7"/>
      <c r="S8023" s="7"/>
      <c r="T8023" s="7"/>
      <c r="U8023" s="7"/>
      <c r="V8023" s="7"/>
      <c r="W8023" s="7"/>
      <c r="X8023" s="7"/>
      <c r="Y8023" s="7"/>
      <c r="Z8023" s="7"/>
    </row>
    <row r="8024" hidden="1">
      <c r="A8024" s="7"/>
      <c r="B8024" s="7"/>
      <c r="C8024" s="7"/>
      <c r="D8024" s="7"/>
      <c r="E8024" s="7"/>
      <c r="F8024" s="7"/>
      <c r="G8024" s="7"/>
      <c r="H8024" s="8"/>
      <c r="I8024" s="8"/>
      <c r="J8024" s="7"/>
      <c r="K8024" s="7"/>
      <c r="L8024" s="7"/>
      <c r="M8024" s="7"/>
      <c r="N8024" s="7"/>
      <c r="O8024" s="7"/>
      <c r="P8024" s="7"/>
      <c r="Q8024" s="7"/>
      <c r="R8024" s="7"/>
      <c r="S8024" s="7"/>
      <c r="T8024" s="7"/>
      <c r="U8024" s="7"/>
      <c r="V8024" s="7"/>
      <c r="W8024" s="7"/>
      <c r="X8024" s="7"/>
      <c r="Y8024" s="7"/>
      <c r="Z8024" s="7"/>
    </row>
    <row r="8025" hidden="1">
      <c r="A8025" s="7"/>
      <c r="B8025" s="7"/>
      <c r="C8025" s="7"/>
      <c r="D8025" s="7"/>
      <c r="E8025" s="7"/>
      <c r="F8025" s="7"/>
      <c r="G8025" s="7"/>
      <c r="H8025" s="8"/>
      <c r="I8025" s="8"/>
      <c r="J8025" s="7"/>
      <c r="K8025" s="7"/>
      <c r="L8025" s="7"/>
      <c r="M8025" s="7"/>
      <c r="N8025" s="7"/>
      <c r="O8025" s="7"/>
      <c r="P8025" s="7"/>
      <c r="Q8025" s="7"/>
      <c r="R8025" s="7"/>
      <c r="S8025" s="7"/>
      <c r="T8025" s="7"/>
      <c r="U8025" s="7"/>
      <c r="V8025" s="7"/>
      <c r="W8025" s="7"/>
      <c r="X8025" s="7"/>
      <c r="Y8025" s="7"/>
      <c r="Z8025" s="7"/>
    </row>
    <row r="8026" hidden="1">
      <c r="A8026" s="7"/>
      <c r="B8026" s="7"/>
      <c r="C8026" s="7"/>
      <c r="D8026" s="7"/>
      <c r="E8026" s="7"/>
      <c r="F8026" s="7"/>
      <c r="G8026" s="7"/>
      <c r="H8026" s="8"/>
      <c r="I8026" s="8"/>
      <c r="J8026" s="7"/>
      <c r="K8026" s="7"/>
      <c r="L8026" s="7"/>
      <c r="M8026" s="7"/>
      <c r="N8026" s="7"/>
      <c r="O8026" s="7"/>
      <c r="P8026" s="7"/>
      <c r="Q8026" s="7"/>
      <c r="R8026" s="7"/>
      <c r="S8026" s="7"/>
      <c r="T8026" s="7"/>
      <c r="U8026" s="7"/>
      <c r="V8026" s="7"/>
      <c r="W8026" s="7"/>
      <c r="X8026" s="7"/>
      <c r="Y8026" s="7"/>
      <c r="Z8026" s="7"/>
    </row>
    <row r="8027" hidden="1">
      <c r="A8027" s="7"/>
      <c r="B8027" s="7"/>
      <c r="C8027" s="7"/>
      <c r="D8027" s="7"/>
      <c r="E8027" s="7"/>
      <c r="F8027" s="7"/>
      <c r="G8027" s="7"/>
      <c r="H8027" s="8"/>
      <c r="I8027" s="8"/>
      <c r="J8027" s="7"/>
      <c r="K8027" s="7"/>
      <c r="L8027" s="7"/>
      <c r="M8027" s="7"/>
      <c r="N8027" s="7"/>
      <c r="O8027" s="7"/>
      <c r="P8027" s="7"/>
      <c r="Q8027" s="7"/>
      <c r="R8027" s="7"/>
      <c r="S8027" s="7"/>
      <c r="T8027" s="7"/>
      <c r="U8027" s="7"/>
      <c r="V8027" s="7"/>
      <c r="W8027" s="7"/>
      <c r="X8027" s="7"/>
      <c r="Y8027" s="7"/>
      <c r="Z8027" s="7"/>
    </row>
    <row r="8028" hidden="1">
      <c r="A8028" s="7"/>
      <c r="B8028" s="7"/>
      <c r="C8028" s="7"/>
      <c r="D8028" s="7"/>
      <c r="E8028" s="7"/>
      <c r="F8028" s="7"/>
      <c r="G8028" s="7"/>
      <c r="H8028" s="8"/>
      <c r="I8028" s="8"/>
      <c r="J8028" s="7"/>
      <c r="K8028" s="7"/>
      <c r="L8028" s="7"/>
      <c r="M8028" s="7"/>
      <c r="N8028" s="7"/>
      <c r="O8028" s="7"/>
      <c r="P8028" s="7"/>
      <c r="Q8028" s="7"/>
      <c r="R8028" s="7"/>
      <c r="S8028" s="7"/>
      <c r="T8028" s="7"/>
      <c r="U8028" s="7"/>
      <c r="V8028" s="7"/>
      <c r="W8028" s="7"/>
      <c r="X8028" s="7"/>
      <c r="Y8028" s="7"/>
      <c r="Z8028" s="7"/>
    </row>
    <row r="8029" hidden="1">
      <c r="A8029" s="7"/>
      <c r="B8029" s="7"/>
      <c r="C8029" s="7"/>
      <c r="D8029" s="7"/>
      <c r="E8029" s="7"/>
      <c r="F8029" s="7"/>
      <c r="G8029" s="7"/>
      <c r="H8029" s="8"/>
      <c r="I8029" s="8"/>
      <c r="J8029" s="7"/>
      <c r="K8029" s="7"/>
      <c r="L8029" s="7"/>
      <c r="M8029" s="7"/>
      <c r="N8029" s="7"/>
      <c r="O8029" s="7"/>
      <c r="P8029" s="7"/>
      <c r="Q8029" s="7"/>
      <c r="R8029" s="7"/>
      <c r="S8029" s="7"/>
      <c r="T8029" s="7"/>
      <c r="U8029" s="7"/>
      <c r="V8029" s="7"/>
      <c r="W8029" s="7"/>
      <c r="X8029" s="7"/>
      <c r="Y8029" s="7"/>
      <c r="Z8029" s="7"/>
    </row>
    <row r="8030" hidden="1">
      <c r="A8030" s="7"/>
      <c r="B8030" s="7"/>
      <c r="C8030" s="7"/>
      <c r="D8030" s="7"/>
      <c r="E8030" s="7"/>
      <c r="F8030" s="7"/>
      <c r="G8030" s="7"/>
      <c r="H8030" s="8"/>
      <c r="I8030" s="8"/>
      <c r="J8030" s="7"/>
      <c r="K8030" s="7"/>
      <c r="L8030" s="7"/>
      <c r="M8030" s="7"/>
      <c r="N8030" s="7"/>
      <c r="O8030" s="7"/>
      <c r="P8030" s="7"/>
      <c r="Q8030" s="7"/>
      <c r="R8030" s="7"/>
      <c r="S8030" s="7"/>
      <c r="T8030" s="7"/>
      <c r="U8030" s="7"/>
      <c r="V8030" s="7"/>
      <c r="W8030" s="7"/>
      <c r="X8030" s="7"/>
      <c r="Y8030" s="7"/>
      <c r="Z8030" s="7"/>
    </row>
    <row r="8031" hidden="1">
      <c r="A8031" s="7"/>
      <c r="B8031" s="7"/>
      <c r="C8031" s="7"/>
      <c r="D8031" s="7"/>
      <c r="E8031" s="7"/>
      <c r="F8031" s="7"/>
      <c r="G8031" s="7"/>
      <c r="H8031" s="8"/>
      <c r="I8031" s="8"/>
      <c r="J8031" s="7"/>
      <c r="K8031" s="7"/>
      <c r="L8031" s="7"/>
      <c r="M8031" s="7"/>
      <c r="N8031" s="7"/>
      <c r="O8031" s="7"/>
      <c r="P8031" s="7"/>
      <c r="Q8031" s="7"/>
      <c r="R8031" s="7"/>
      <c r="S8031" s="7"/>
      <c r="T8031" s="7"/>
      <c r="U8031" s="7"/>
      <c r="V8031" s="7"/>
      <c r="W8031" s="7"/>
      <c r="X8031" s="7"/>
      <c r="Y8031" s="7"/>
      <c r="Z8031" s="7"/>
    </row>
    <row r="8032" hidden="1">
      <c r="A8032" s="7"/>
      <c r="B8032" s="7"/>
      <c r="C8032" s="7"/>
      <c r="D8032" s="7"/>
      <c r="E8032" s="7"/>
      <c r="F8032" s="7"/>
      <c r="G8032" s="7"/>
      <c r="H8032" s="8"/>
      <c r="I8032" s="8"/>
      <c r="J8032" s="7"/>
      <c r="K8032" s="7"/>
      <c r="L8032" s="7"/>
      <c r="M8032" s="7"/>
      <c r="N8032" s="7"/>
      <c r="O8032" s="7"/>
      <c r="P8032" s="7"/>
      <c r="Q8032" s="7"/>
      <c r="R8032" s="7"/>
      <c r="S8032" s="7"/>
      <c r="T8032" s="7"/>
      <c r="U8032" s="7"/>
      <c r="V8032" s="7"/>
      <c r="W8032" s="7"/>
      <c r="X8032" s="7"/>
      <c r="Y8032" s="7"/>
      <c r="Z8032" s="7"/>
    </row>
    <row r="8033" hidden="1">
      <c r="A8033" s="7"/>
      <c r="B8033" s="7"/>
      <c r="C8033" s="7"/>
      <c r="D8033" s="7"/>
      <c r="E8033" s="7"/>
      <c r="F8033" s="7"/>
      <c r="G8033" s="7"/>
      <c r="H8033" s="8"/>
      <c r="I8033" s="8"/>
      <c r="J8033" s="7"/>
      <c r="K8033" s="7"/>
      <c r="L8033" s="7"/>
      <c r="M8033" s="7"/>
      <c r="N8033" s="7"/>
      <c r="O8033" s="7"/>
      <c r="P8033" s="7"/>
      <c r="Q8033" s="7"/>
      <c r="R8033" s="7"/>
      <c r="S8033" s="7"/>
      <c r="T8033" s="7"/>
      <c r="U8033" s="7"/>
      <c r="V8033" s="7"/>
      <c r="W8033" s="7"/>
      <c r="X8033" s="7"/>
      <c r="Y8033" s="7"/>
      <c r="Z8033" s="7"/>
    </row>
    <row r="8034" hidden="1">
      <c r="A8034" s="7"/>
      <c r="B8034" s="7"/>
      <c r="C8034" s="7"/>
      <c r="D8034" s="7"/>
      <c r="E8034" s="7"/>
      <c r="F8034" s="7"/>
      <c r="G8034" s="7"/>
      <c r="H8034" s="8"/>
      <c r="I8034" s="8"/>
      <c r="J8034" s="7"/>
      <c r="K8034" s="7"/>
      <c r="L8034" s="7"/>
      <c r="M8034" s="7"/>
      <c r="N8034" s="7"/>
      <c r="O8034" s="7"/>
      <c r="P8034" s="7"/>
      <c r="Q8034" s="7"/>
      <c r="R8034" s="7"/>
      <c r="S8034" s="7"/>
      <c r="T8034" s="7"/>
      <c r="U8034" s="7"/>
      <c r="V8034" s="7"/>
      <c r="W8034" s="7"/>
      <c r="X8034" s="7"/>
      <c r="Y8034" s="7"/>
      <c r="Z8034" s="7"/>
    </row>
    <row r="8035" hidden="1">
      <c r="A8035" s="7"/>
      <c r="B8035" s="7"/>
      <c r="C8035" s="7"/>
      <c r="D8035" s="7"/>
      <c r="E8035" s="7"/>
      <c r="F8035" s="7"/>
      <c r="G8035" s="7"/>
      <c r="H8035" s="8"/>
      <c r="I8035" s="8"/>
      <c r="J8035" s="7"/>
      <c r="K8035" s="7"/>
      <c r="L8035" s="7"/>
      <c r="M8035" s="7"/>
      <c r="N8035" s="7"/>
      <c r="O8035" s="7"/>
      <c r="P8035" s="7"/>
      <c r="Q8035" s="7"/>
      <c r="R8035" s="7"/>
      <c r="S8035" s="7"/>
      <c r="T8035" s="7"/>
      <c r="U8035" s="7"/>
      <c r="V8035" s="7"/>
      <c r="W8035" s="7"/>
      <c r="X8035" s="7"/>
      <c r="Y8035" s="7"/>
      <c r="Z8035" s="7"/>
    </row>
    <row r="8036" hidden="1">
      <c r="A8036" s="7"/>
      <c r="B8036" s="7"/>
      <c r="C8036" s="7"/>
      <c r="D8036" s="7"/>
      <c r="E8036" s="7"/>
      <c r="F8036" s="7"/>
      <c r="G8036" s="7"/>
      <c r="H8036" s="8"/>
      <c r="I8036" s="8"/>
      <c r="J8036" s="7"/>
      <c r="K8036" s="7"/>
      <c r="L8036" s="7"/>
      <c r="M8036" s="7"/>
      <c r="N8036" s="7"/>
      <c r="O8036" s="7"/>
      <c r="P8036" s="7"/>
      <c r="Q8036" s="7"/>
      <c r="R8036" s="7"/>
      <c r="S8036" s="7"/>
      <c r="T8036" s="7"/>
      <c r="U8036" s="7"/>
      <c r="V8036" s="7"/>
      <c r="W8036" s="7"/>
      <c r="X8036" s="7"/>
      <c r="Y8036" s="7"/>
      <c r="Z8036" s="7"/>
    </row>
    <row r="8037" hidden="1">
      <c r="A8037" s="7"/>
      <c r="B8037" s="7"/>
      <c r="C8037" s="7"/>
      <c r="D8037" s="7"/>
      <c r="E8037" s="7"/>
      <c r="F8037" s="7"/>
      <c r="G8037" s="7"/>
      <c r="H8037" s="8"/>
      <c r="I8037" s="8"/>
      <c r="J8037" s="7"/>
      <c r="K8037" s="7"/>
      <c r="L8037" s="7"/>
      <c r="M8037" s="7"/>
      <c r="N8037" s="7"/>
      <c r="O8037" s="7"/>
      <c r="P8037" s="7"/>
      <c r="Q8037" s="7"/>
      <c r="R8037" s="7"/>
      <c r="S8037" s="7"/>
      <c r="T8037" s="7"/>
      <c r="U8037" s="7"/>
      <c r="V8037" s="7"/>
      <c r="W8037" s="7"/>
      <c r="X8037" s="7"/>
      <c r="Y8037" s="7"/>
      <c r="Z8037" s="7"/>
    </row>
    <row r="8038" hidden="1">
      <c r="A8038" s="7"/>
      <c r="B8038" s="7"/>
      <c r="C8038" s="7"/>
      <c r="D8038" s="7"/>
      <c r="E8038" s="7"/>
      <c r="F8038" s="7"/>
      <c r="G8038" s="7"/>
      <c r="H8038" s="8"/>
      <c r="I8038" s="8"/>
      <c r="J8038" s="7"/>
      <c r="K8038" s="7"/>
      <c r="L8038" s="7"/>
      <c r="M8038" s="7"/>
      <c r="N8038" s="7"/>
      <c r="O8038" s="7"/>
      <c r="P8038" s="7"/>
      <c r="Q8038" s="7"/>
      <c r="R8038" s="7"/>
      <c r="S8038" s="7"/>
      <c r="T8038" s="7"/>
      <c r="U8038" s="7"/>
      <c r="V8038" s="7"/>
      <c r="W8038" s="7"/>
      <c r="X8038" s="7"/>
      <c r="Y8038" s="7"/>
      <c r="Z8038" s="7"/>
    </row>
    <row r="8039" hidden="1">
      <c r="A8039" s="7"/>
      <c r="B8039" s="7"/>
      <c r="C8039" s="7"/>
      <c r="D8039" s="7"/>
      <c r="E8039" s="7"/>
      <c r="F8039" s="7"/>
      <c r="G8039" s="7"/>
      <c r="H8039" s="8"/>
      <c r="I8039" s="8"/>
      <c r="J8039" s="7"/>
      <c r="K8039" s="7"/>
      <c r="L8039" s="7"/>
      <c r="M8039" s="7"/>
      <c r="N8039" s="7"/>
      <c r="O8039" s="7"/>
      <c r="P8039" s="7"/>
      <c r="Q8039" s="7"/>
      <c r="R8039" s="7"/>
      <c r="S8039" s="7"/>
      <c r="T8039" s="7"/>
      <c r="U8039" s="7"/>
      <c r="V8039" s="7"/>
      <c r="W8039" s="7"/>
      <c r="X8039" s="7"/>
      <c r="Y8039" s="7"/>
      <c r="Z8039" s="7"/>
    </row>
    <row r="8040" hidden="1">
      <c r="A8040" s="7"/>
      <c r="B8040" s="7"/>
      <c r="C8040" s="7"/>
      <c r="D8040" s="7"/>
      <c r="E8040" s="7"/>
      <c r="F8040" s="7"/>
      <c r="G8040" s="7"/>
      <c r="H8040" s="8"/>
      <c r="I8040" s="8"/>
      <c r="J8040" s="7"/>
      <c r="K8040" s="7"/>
      <c r="L8040" s="7"/>
      <c r="M8040" s="7"/>
      <c r="N8040" s="7"/>
      <c r="O8040" s="7"/>
      <c r="P8040" s="7"/>
      <c r="Q8040" s="7"/>
      <c r="R8040" s="7"/>
      <c r="S8040" s="7"/>
      <c r="T8040" s="7"/>
      <c r="U8040" s="7"/>
      <c r="V8040" s="7"/>
      <c r="W8040" s="7"/>
      <c r="X8040" s="7"/>
      <c r="Y8040" s="7"/>
      <c r="Z8040" s="7"/>
    </row>
    <row r="8041" hidden="1">
      <c r="A8041" s="7"/>
      <c r="B8041" s="7"/>
      <c r="C8041" s="7"/>
      <c r="D8041" s="7"/>
      <c r="E8041" s="7"/>
      <c r="F8041" s="7"/>
      <c r="G8041" s="7"/>
      <c r="H8041" s="8"/>
      <c r="I8041" s="8"/>
      <c r="J8041" s="7"/>
      <c r="K8041" s="7"/>
      <c r="L8041" s="7"/>
      <c r="M8041" s="7"/>
      <c r="N8041" s="7"/>
      <c r="O8041" s="7"/>
      <c r="P8041" s="7"/>
      <c r="Q8041" s="7"/>
      <c r="R8041" s="7"/>
      <c r="S8041" s="7"/>
      <c r="T8041" s="7"/>
      <c r="U8041" s="7"/>
      <c r="V8041" s="7"/>
      <c r="W8041" s="7"/>
      <c r="X8041" s="7"/>
      <c r="Y8041" s="7"/>
      <c r="Z8041" s="7"/>
    </row>
    <row r="8042" hidden="1">
      <c r="A8042" s="7"/>
      <c r="B8042" s="7"/>
      <c r="C8042" s="7"/>
      <c r="D8042" s="7"/>
      <c r="E8042" s="7"/>
      <c r="F8042" s="7"/>
      <c r="G8042" s="7"/>
      <c r="H8042" s="8"/>
      <c r="I8042" s="8"/>
      <c r="J8042" s="7"/>
      <c r="K8042" s="7"/>
      <c r="L8042" s="7"/>
      <c r="M8042" s="7"/>
      <c r="N8042" s="7"/>
      <c r="O8042" s="7"/>
      <c r="P8042" s="7"/>
      <c r="Q8042" s="7"/>
      <c r="R8042" s="7"/>
      <c r="S8042" s="7"/>
      <c r="T8042" s="7"/>
      <c r="U8042" s="7"/>
      <c r="V8042" s="7"/>
      <c r="W8042" s="7"/>
      <c r="X8042" s="7"/>
      <c r="Y8042" s="7"/>
      <c r="Z8042" s="7"/>
    </row>
    <row r="8043" hidden="1">
      <c r="A8043" s="7"/>
      <c r="B8043" s="7"/>
      <c r="C8043" s="7"/>
      <c r="D8043" s="7"/>
      <c r="E8043" s="7"/>
      <c r="F8043" s="7"/>
      <c r="G8043" s="7"/>
      <c r="H8043" s="8"/>
      <c r="I8043" s="8"/>
      <c r="J8043" s="7"/>
      <c r="K8043" s="7"/>
      <c r="L8043" s="7"/>
      <c r="M8043" s="7"/>
      <c r="N8043" s="7"/>
      <c r="O8043" s="7"/>
      <c r="P8043" s="7"/>
      <c r="Q8043" s="7"/>
      <c r="R8043" s="7"/>
      <c r="S8043" s="7"/>
      <c r="T8043" s="7"/>
      <c r="U8043" s="7"/>
      <c r="V8043" s="7"/>
      <c r="W8043" s="7"/>
      <c r="X8043" s="7"/>
      <c r="Y8043" s="7"/>
      <c r="Z8043" s="7"/>
    </row>
    <row r="8044" hidden="1">
      <c r="A8044" s="7"/>
      <c r="B8044" s="7"/>
      <c r="C8044" s="7"/>
      <c r="D8044" s="7"/>
      <c r="E8044" s="7"/>
      <c r="F8044" s="7"/>
      <c r="G8044" s="7"/>
      <c r="H8044" s="8"/>
      <c r="I8044" s="8"/>
      <c r="J8044" s="7"/>
      <c r="K8044" s="7"/>
      <c r="L8044" s="7"/>
      <c r="M8044" s="7"/>
      <c r="N8044" s="7"/>
      <c r="O8044" s="7"/>
      <c r="P8044" s="7"/>
      <c r="Q8044" s="7"/>
      <c r="R8044" s="7"/>
      <c r="S8044" s="7"/>
      <c r="T8044" s="7"/>
      <c r="U8044" s="7"/>
      <c r="V8044" s="7"/>
      <c r="W8044" s="7"/>
      <c r="X8044" s="7"/>
      <c r="Y8044" s="7"/>
      <c r="Z8044" s="7"/>
    </row>
    <row r="8045" hidden="1">
      <c r="A8045" s="7"/>
      <c r="B8045" s="7"/>
      <c r="C8045" s="7"/>
      <c r="D8045" s="7"/>
      <c r="E8045" s="7"/>
      <c r="F8045" s="7"/>
      <c r="G8045" s="7"/>
      <c r="H8045" s="8"/>
      <c r="I8045" s="8"/>
      <c r="J8045" s="7"/>
      <c r="K8045" s="7"/>
      <c r="L8045" s="7"/>
      <c r="M8045" s="7"/>
      <c r="N8045" s="7"/>
      <c r="O8045" s="7"/>
      <c r="P8045" s="7"/>
      <c r="Q8045" s="7"/>
      <c r="R8045" s="7"/>
      <c r="S8045" s="7"/>
      <c r="T8045" s="7"/>
      <c r="U8045" s="7"/>
      <c r="V8045" s="7"/>
      <c r="W8045" s="7"/>
      <c r="X8045" s="7"/>
      <c r="Y8045" s="7"/>
      <c r="Z8045" s="7"/>
    </row>
    <row r="8046" hidden="1">
      <c r="A8046" s="7"/>
      <c r="B8046" s="7"/>
      <c r="C8046" s="7"/>
      <c r="D8046" s="7"/>
      <c r="E8046" s="7"/>
      <c r="F8046" s="7"/>
      <c r="G8046" s="7"/>
      <c r="H8046" s="8"/>
      <c r="I8046" s="8"/>
      <c r="J8046" s="7"/>
      <c r="K8046" s="7"/>
      <c r="L8046" s="7"/>
      <c r="M8046" s="7"/>
      <c r="N8046" s="7"/>
      <c r="O8046" s="7"/>
      <c r="P8046" s="7"/>
      <c r="Q8046" s="7"/>
      <c r="R8046" s="7"/>
      <c r="S8046" s="7"/>
      <c r="T8046" s="7"/>
      <c r="U8046" s="7"/>
      <c r="V8046" s="7"/>
      <c r="W8046" s="7"/>
      <c r="X8046" s="7"/>
      <c r="Y8046" s="7"/>
      <c r="Z8046" s="7"/>
    </row>
    <row r="8047" hidden="1">
      <c r="A8047" s="7"/>
      <c r="B8047" s="7"/>
      <c r="C8047" s="7"/>
      <c r="D8047" s="7"/>
      <c r="E8047" s="7"/>
      <c r="F8047" s="7"/>
      <c r="G8047" s="7"/>
      <c r="H8047" s="8"/>
      <c r="I8047" s="8"/>
      <c r="J8047" s="7"/>
      <c r="K8047" s="7"/>
      <c r="L8047" s="7"/>
      <c r="M8047" s="7"/>
      <c r="N8047" s="7"/>
      <c r="O8047" s="7"/>
      <c r="P8047" s="7"/>
      <c r="Q8047" s="7"/>
      <c r="R8047" s="7"/>
      <c r="S8047" s="7"/>
      <c r="T8047" s="7"/>
      <c r="U8047" s="7"/>
      <c r="V8047" s="7"/>
      <c r="W8047" s="7"/>
      <c r="X8047" s="7"/>
      <c r="Y8047" s="7"/>
      <c r="Z8047" s="7"/>
    </row>
    <row r="8048" hidden="1">
      <c r="A8048" s="7"/>
      <c r="B8048" s="7"/>
      <c r="C8048" s="7"/>
      <c r="D8048" s="7"/>
      <c r="E8048" s="7"/>
      <c r="F8048" s="7"/>
      <c r="G8048" s="7"/>
      <c r="H8048" s="8"/>
      <c r="I8048" s="8"/>
      <c r="J8048" s="7"/>
      <c r="K8048" s="7"/>
      <c r="L8048" s="7"/>
      <c r="M8048" s="7"/>
      <c r="N8048" s="7"/>
      <c r="O8048" s="7"/>
      <c r="P8048" s="7"/>
      <c r="Q8048" s="7"/>
      <c r="R8048" s="7"/>
      <c r="S8048" s="7"/>
      <c r="T8048" s="7"/>
      <c r="U8048" s="7"/>
      <c r="V8048" s="7"/>
      <c r="W8048" s="7"/>
      <c r="X8048" s="7"/>
      <c r="Y8048" s="7"/>
      <c r="Z8048" s="7"/>
    </row>
    <row r="8049" hidden="1">
      <c r="A8049" s="7"/>
      <c r="B8049" s="7"/>
      <c r="C8049" s="7"/>
      <c r="D8049" s="7"/>
      <c r="E8049" s="7"/>
      <c r="F8049" s="7"/>
      <c r="G8049" s="7"/>
      <c r="H8049" s="8"/>
      <c r="I8049" s="8"/>
      <c r="J8049" s="7"/>
      <c r="K8049" s="7"/>
      <c r="L8049" s="7"/>
      <c r="M8049" s="7"/>
      <c r="N8049" s="7"/>
      <c r="O8049" s="7"/>
      <c r="P8049" s="7"/>
      <c r="Q8049" s="7"/>
      <c r="R8049" s="7"/>
      <c r="S8049" s="7"/>
      <c r="T8049" s="7"/>
      <c r="U8049" s="7"/>
      <c r="V8049" s="7"/>
      <c r="W8049" s="7"/>
      <c r="X8049" s="7"/>
      <c r="Y8049" s="7"/>
      <c r="Z8049" s="7"/>
    </row>
    <row r="8050" hidden="1">
      <c r="A8050" s="7"/>
      <c r="B8050" s="7"/>
      <c r="C8050" s="7"/>
      <c r="D8050" s="7"/>
      <c r="E8050" s="7"/>
      <c r="F8050" s="7"/>
      <c r="G8050" s="7"/>
      <c r="H8050" s="8"/>
      <c r="I8050" s="8"/>
      <c r="J8050" s="7"/>
      <c r="K8050" s="7"/>
      <c r="L8050" s="7"/>
      <c r="M8050" s="7"/>
      <c r="N8050" s="7"/>
      <c r="O8050" s="7"/>
      <c r="P8050" s="7"/>
      <c r="Q8050" s="7"/>
      <c r="R8050" s="7"/>
      <c r="S8050" s="7"/>
      <c r="T8050" s="7"/>
      <c r="U8050" s="7"/>
      <c r="V8050" s="7"/>
      <c r="W8050" s="7"/>
      <c r="X8050" s="7"/>
      <c r="Y8050" s="7"/>
      <c r="Z8050" s="7"/>
    </row>
    <row r="8051" hidden="1">
      <c r="A8051" s="7"/>
      <c r="B8051" s="7"/>
      <c r="C8051" s="7"/>
      <c r="D8051" s="7"/>
      <c r="E8051" s="7"/>
      <c r="F8051" s="7"/>
      <c r="G8051" s="7"/>
      <c r="H8051" s="8"/>
      <c r="I8051" s="8"/>
      <c r="J8051" s="7"/>
      <c r="K8051" s="7"/>
      <c r="L8051" s="7"/>
      <c r="M8051" s="7"/>
      <c r="N8051" s="7"/>
      <c r="O8051" s="7"/>
      <c r="P8051" s="7"/>
      <c r="Q8051" s="7"/>
      <c r="R8051" s="7"/>
      <c r="S8051" s="7"/>
      <c r="T8051" s="7"/>
      <c r="U8051" s="7"/>
      <c r="V8051" s="7"/>
      <c r="W8051" s="7"/>
      <c r="X8051" s="7"/>
      <c r="Y8051" s="7"/>
      <c r="Z8051" s="7"/>
    </row>
    <row r="8052" hidden="1">
      <c r="A8052" s="7"/>
      <c r="B8052" s="7"/>
      <c r="C8052" s="7"/>
      <c r="D8052" s="7"/>
      <c r="E8052" s="7"/>
      <c r="F8052" s="7"/>
      <c r="G8052" s="7"/>
      <c r="H8052" s="8"/>
      <c r="I8052" s="8"/>
      <c r="J8052" s="7"/>
      <c r="K8052" s="7"/>
      <c r="L8052" s="7"/>
      <c r="M8052" s="7"/>
      <c r="N8052" s="7"/>
      <c r="O8052" s="7"/>
      <c r="P8052" s="7"/>
      <c r="Q8052" s="7"/>
      <c r="R8052" s="7"/>
      <c r="S8052" s="7"/>
      <c r="T8052" s="7"/>
      <c r="U8052" s="7"/>
      <c r="V8052" s="7"/>
      <c r="W8052" s="7"/>
      <c r="X8052" s="7"/>
      <c r="Y8052" s="7"/>
      <c r="Z8052" s="7"/>
    </row>
    <row r="8053" hidden="1">
      <c r="A8053" s="7"/>
      <c r="B8053" s="7"/>
      <c r="C8053" s="7"/>
      <c r="D8053" s="7"/>
      <c r="E8053" s="7"/>
      <c r="F8053" s="7"/>
      <c r="G8053" s="7"/>
      <c r="H8053" s="8"/>
      <c r="I8053" s="8"/>
      <c r="J8053" s="7"/>
      <c r="K8053" s="7"/>
      <c r="L8053" s="7"/>
      <c r="M8053" s="7"/>
      <c r="N8053" s="7"/>
      <c r="O8053" s="7"/>
      <c r="P8053" s="7"/>
      <c r="Q8053" s="7"/>
      <c r="R8053" s="7"/>
      <c r="S8053" s="7"/>
      <c r="T8053" s="7"/>
      <c r="U8053" s="7"/>
      <c r="V8053" s="7"/>
      <c r="W8053" s="7"/>
      <c r="X8053" s="7"/>
      <c r="Y8053" s="7"/>
      <c r="Z8053" s="7"/>
    </row>
    <row r="8054" hidden="1">
      <c r="A8054" s="7"/>
      <c r="B8054" s="7"/>
      <c r="C8054" s="7"/>
      <c r="D8054" s="7"/>
      <c r="E8054" s="7"/>
      <c r="F8054" s="7"/>
      <c r="G8054" s="7"/>
      <c r="H8054" s="8"/>
      <c r="I8054" s="8"/>
      <c r="J8054" s="7"/>
      <c r="K8054" s="7"/>
      <c r="L8054" s="7"/>
      <c r="M8054" s="7"/>
      <c r="N8054" s="7"/>
      <c r="O8054" s="7"/>
      <c r="P8054" s="7"/>
      <c r="Q8054" s="7"/>
      <c r="R8054" s="7"/>
      <c r="S8054" s="7"/>
      <c r="T8054" s="7"/>
      <c r="U8054" s="7"/>
      <c r="V8054" s="7"/>
      <c r="W8054" s="7"/>
      <c r="X8054" s="7"/>
      <c r="Y8054" s="7"/>
      <c r="Z8054" s="7"/>
    </row>
    <row r="8055" hidden="1">
      <c r="A8055" s="7"/>
      <c r="B8055" s="7"/>
      <c r="C8055" s="7"/>
      <c r="D8055" s="7"/>
      <c r="E8055" s="7"/>
      <c r="F8055" s="7"/>
      <c r="G8055" s="7"/>
      <c r="H8055" s="8"/>
      <c r="I8055" s="8"/>
      <c r="J8055" s="7"/>
      <c r="K8055" s="7"/>
      <c r="L8055" s="7"/>
      <c r="M8055" s="7"/>
      <c r="N8055" s="7"/>
      <c r="O8055" s="7"/>
      <c r="P8055" s="7"/>
      <c r="Q8055" s="7"/>
      <c r="R8055" s="7"/>
      <c r="S8055" s="7"/>
      <c r="T8055" s="7"/>
      <c r="U8055" s="7"/>
      <c r="V8055" s="7"/>
      <c r="W8055" s="7"/>
      <c r="X8055" s="7"/>
      <c r="Y8055" s="7"/>
      <c r="Z8055" s="7"/>
    </row>
    <row r="8056" hidden="1">
      <c r="A8056" s="7"/>
      <c r="B8056" s="7"/>
      <c r="C8056" s="7"/>
      <c r="D8056" s="7"/>
      <c r="E8056" s="7"/>
      <c r="F8056" s="7"/>
      <c r="G8056" s="7"/>
      <c r="H8056" s="8"/>
      <c r="I8056" s="8"/>
      <c r="J8056" s="7"/>
      <c r="K8056" s="7"/>
      <c r="L8056" s="7"/>
      <c r="M8056" s="7"/>
      <c r="N8056" s="7"/>
      <c r="O8056" s="7"/>
      <c r="P8056" s="7"/>
      <c r="Q8056" s="7"/>
      <c r="R8056" s="7"/>
      <c r="S8056" s="7"/>
      <c r="T8056" s="7"/>
      <c r="U8056" s="7"/>
      <c r="V8056" s="7"/>
      <c r="W8056" s="7"/>
      <c r="X8056" s="7"/>
      <c r="Y8056" s="7"/>
      <c r="Z8056" s="7"/>
    </row>
    <row r="8057" hidden="1">
      <c r="A8057" s="7"/>
      <c r="B8057" s="7"/>
      <c r="C8057" s="7"/>
      <c r="D8057" s="7"/>
      <c r="E8057" s="7"/>
      <c r="F8057" s="7"/>
      <c r="G8057" s="7"/>
      <c r="H8057" s="8"/>
      <c r="I8057" s="8"/>
      <c r="J8057" s="7"/>
      <c r="K8057" s="7"/>
      <c r="L8057" s="7"/>
      <c r="M8057" s="7"/>
      <c r="N8057" s="7"/>
      <c r="O8057" s="7"/>
      <c r="P8057" s="7"/>
      <c r="Q8057" s="7"/>
      <c r="R8057" s="7"/>
      <c r="S8057" s="7"/>
      <c r="T8057" s="7"/>
      <c r="U8057" s="7"/>
      <c r="V8057" s="7"/>
      <c r="W8057" s="7"/>
      <c r="X8057" s="7"/>
      <c r="Y8057" s="7"/>
      <c r="Z8057" s="7"/>
    </row>
    <row r="8058" hidden="1">
      <c r="A8058" s="7"/>
      <c r="B8058" s="7"/>
      <c r="C8058" s="7"/>
      <c r="D8058" s="7"/>
      <c r="E8058" s="7"/>
      <c r="F8058" s="7"/>
      <c r="G8058" s="7"/>
      <c r="H8058" s="8"/>
      <c r="I8058" s="8"/>
      <c r="J8058" s="7"/>
      <c r="K8058" s="7"/>
      <c r="L8058" s="7"/>
      <c r="M8058" s="7"/>
      <c r="N8058" s="7"/>
      <c r="O8058" s="7"/>
      <c r="P8058" s="7"/>
      <c r="Q8058" s="7"/>
      <c r="R8058" s="7"/>
      <c r="S8058" s="7"/>
      <c r="T8058" s="7"/>
      <c r="U8058" s="7"/>
      <c r="V8058" s="7"/>
      <c r="W8058" s="7"/>
      <c r="X8058" s="7"/>
      <c r="Y8058" s="7"/>
      <c r="Z8058" s="7"/>
    </row>
    <row r="8059" hidden="1">
      <c r="A8059" s="7"/>
      <c r="B8059" s="7"/>
      <c r="C8059" s="7"/>
      <c r="D8059" s="7"/>
      <c r="E8059" s="7"/>
      <c r="F8059" s="7"/>
      <c r="G8059" s="7"/>
      <c r="H8059" s="8"/>
      <c r="I8059" s="8"/>
      <c r="J8059" s="7"/>
      <c r="K8059" s="7"/>
      <c r="L8059" s="7"/>
      <c r="M8059" s="7"/>
      <c r="N8059" s="7"/>
      <c r="O8059" s="7"/>
      <c r="P8059" s="7"/>
      <c r="Q8059" s="7"/>
      <c r="R8059" s="7"/>
      <c r="S8059" s="7"/>
      <c r="T8059" s="7"/>
      <c r="U8059" s="7"/>
      <c r="V8059" s="7"/>
      <c r="W8059" s="7"/>
      <c r="X8059" s="7"/>
      <c r="Y8059" s="7"/>
      <c r="Z8059" s="7"/>
    </row>
    <row r="8060" hidden="1">
      <c r="A8060" s="7"/>
      <c r="B8060" s="7"/>
      <c r="C8060" s="7"/>
      <c r="D8060" s="7"/>
      <c r="E8060" s="7"/>
      <c r="F8060" s="7"/>
      <c r="G8060" s="7"/>
      <c r="H8060" s="8"/>
      <c r="I8060" s="8"/>
      <c r="J8060" s="7"/>
      <c r="K8060" s="7"/>
      <c r="L8060" s="7"/>
      <c r="M8060" s="7"/>
      <c r="N8060" s="7"/>
      <c r="O8060" s="7"/>
      <c r="P8060" s="7"/>
      <c r="Q8060" s="7"/>
      <c r="R8060" s="7"/>
      <c r="S8060" s="7"/>
      <c r="T8060" s="7"/>
      <c r="U8060" s="7"/>
      <c r="V8060" s="7"/>
      <c r="W8060" s="7"/>
      <c r="X8060" s="7"/>
      <c r="Y8060" s="7"/>
      <c r="Z8060" s="7"/>
    </row>
    <row r="8061" hidden="1">
      <c r="A8061" s="7"/>
      <c r="B8061" s="7"/>
      <c r="C8061" s="7"/>
      <c r="D8061" s="7"/>
      <c r="E8061" s="7"/>
      <c r="F8061" s="7"/>
      <c r="G8061" s="7"/>
      <c r="H8061" s="8"/>
      <c r="I8061" s="8"/>
      <c r="J8061" s="7"/>
      <c r="K8061" s="7"/>
      <c r="L8061" s="7"/>
      <c r="M8061" s="7"/>
      <c r="N8061" s="7"/>
      <c r="O8061" s="7"/>
      <c r="P8061" s="7"/>
      <c r="Q8061" s="7"/>
      <c r="R8061" s="7"/>
      <c r="S8061" s="7"/>
      <c r="T8061" s="7"/>
      <c r="U8061" s="7"/>
      <c r="V8061" s="7"/>
      <c r="W8061" s="7"/>
      <c r="X8061" s="7"/>
      <c r="Y8061" s="7"/>
      <c r="Z8061" s="7"/>
    </row>
    <row r="8062" hidden="1">
      <c r="A8062" s="7"/>
      <c r="B8062" s="7"/>
      <c r="C8062" s="7"/>
      <c r="D8062" s="7"/>
      <c r="E8062" s="7"/>
      <c r="F8062" s="7"/>
      <c r="G8062" s="7"/>
      <c r="H8062" s="8"/>
      <c r="I8062" s="8"/>
      <c r="J8062" s="7"/>
      <c r="K8062" s="7"/>
      <c r="L8062" s="7"/>
      <c r="M8062" s="7"/>
      <c r="N8062" s="7"/>
      <c r="O8062" s="7"/>
      <c r="P8062" s="7"/>
      <c r="Q8062" s="7"/>
      <c r="R8062" s="7"/>
      <c r="S8062" s="7"/>
      <c r="T8062" s="7"/>
      <c r="U8062" s="7"/>
      <c r="V8062" s="7"/>
      <c r="W8062" s="7"/>
      <c r="X8062" s="7"/>
      <c r="Y8062" s="7"/>
      <c r="Z8062" s="7"/>
    </row>
    <row r="8063" hidden="1">
      <c r="A8063" s="7"/>
      <c r="B8063" s="7"/>
      <c r="C8063" s="7"/>
      <c r="D8063" s="7"/>
      <c r="E8063" s="7"/>
      <c r="F8063" s="7"/>
      <c r="G8063" s="7"/>
      <c r="H8063" s="8"/>
      <c r="I8063" s="8"/>
      <c r="J8063" s="7"/>
      <c r="K8063" s="7"/>
      <c r="L8063" s="7"/>
      <c r="M8063" s="7"/>
      <c r="N8063" s="7"/>
      <c r="O8063" s="7"/>
      <c r="P8063" s="7"/>
      <c r="Q8063" s="7"/>
      <c r="R8063" s="7"/>
      <c r="S8063" s="7"/>
      <c r="T8063" s="7"/>
      <c r="U8063" s="7"/>
      <c r="V8063" s="7"/>
      <c r="W8063" s="7"/>
      <c r="X8063" s="7"/>
      <c r="Y8063" s="7"/>
      <c r="Z8063" s="7"/>
    </row>
    <row r="8064" hidden="1">
      <c r="A8064" s="7"/>
      <c r="B8064" s="7"/>
      <c r="C8064" s="7"/>
      <c r="D8064" s="7"/>
      <c r="E8064" s="7"/>
      <c r="F8064" s="7"/>
      <c r="G8064" s="7"/>
      <c r="H8064" s="8"/>
      <c r="I8064" s="8"/>
      <c r="J8064" s="7"/>
      <c r="K8064" s="7"/>
      <c r="L8064" s="7"/>
      <c r="M8064" s="7"/>
      <c r="N8064" s="7"/>
      <c r="O8064" s="7"/>
      <c r="P8064" s="7"/>
      <c r="Q8064" s="7"/>
      <c r="R8064" s="7"/>
      <c r="S8064" s="7"/>
      <c r="T8064" s="7"/>
      <c r="U8064" s="7"/>
      <c r="V8064" s="7"/>
      <c r="W8064" s="7"/>
      <c r="X8064" s="7"/>
      <c r="Y8064" s="7"/>
      <c r="Z8064" s="7"/>
    </row>
    <row r="8065" hidden="1">
      <c r="A8065" s="7"/>
      <c r="B8065" s="7"/>
      <c r="C8065" s="7"/>
      <c r="D8065" s="7"/>
      <c r="E8065" s="7"/>
      <c r="F8065" s="7"/>
      <c r="G8065" s="7"/>
      <c r="H8065" s="8"/>
      <c r="I8065" s="8"/>
      <c r="J8065" s="7"/>
      <c r="K8065" s="7"/>
      <c r="L8065" s="7"/>
      <c r="M8065" s="7"/>
      <c r="N8065" s="7"/>
      <c r="O8065" s="7"/>
      <c r="P8065" s="7"/>
      <c r="Q8065" s="7"/>
      <c r="R8065" s="7"/>
      <c r="S8065" s="7"/>
      <c r="T8065" s="7"/>
      <c r="U8065" s="7"/>
      <c r="V8065" s="7"/>
      <c r="W8065" s="7"/>
      <c r="X8065" s="7"/>
      <c r="Y8065" s="7"/>
      <c r="Z8065" s="7"/>
    </row>
    <row r="8066" hidden="1">
      <c r="A8066" s="7"/>
      <c r="B8066" s="7"/>
      <c r="C8066" s="7"/>
      <c r="D8066" s="7"/>
      <c r="E8066" s="7"/>
      <c r="F8066" s="7"/>
      <c r="G8066" s="7"/>
      <c r="H8066" s="8"/>
      <c r="I8066" s="8"/>
      <c r="J8066" s="7"/>
      <c r="K8066" s="7"/>
      <c r="L8066" s="7"/>
      <c r="M8066" s="7"/>
      <c r="N8066" s="7"/>
      <c r="O8066" s="7"/>
      <c r="P8066" s="7"/>
      <c r="Q8066" s="7"/>
      <c r="R8066" s="7"/>
      <c r="S8066" s="7"/>
      <c r="T8066" s="7"/>
      <c r="U8066" s="7"/>
      <c r="V8066" s="7"/>
      <c r="W8066" s="7"/>
      <c r="X8066" s="7"/>
      <c r="Y8066" s="7"/>
      <c r="Z8066" s="7"/>
    </row>
    <row r="8067" hidden="1">
      <c r="A8067" s="7"/>
      <c r="B8067" s="7"/>
      <c r="C8067" s="7"/>
      <c r="D8067" s="7"/>
      <c r="E8067" s="7"/>
      <c r="F8067" s="7"/>
      <c r="G8067" s="7"/>
      <c r="H8067" s="8"/>
      <c r="I8067" s="8"/>
      <c r="J8067" s="7"/>
      <c r="K8067" s="7"/>
      <c r="L8067" s="7"/>
      <c r="M8067" s="7"/>
      <c r="N8067" s="7"/>
      <c r="O8067" s="7"/>
      <c r="P8067" s="7"/>
      <c r="Q8067" s="7"/>
      <c r="R8067" s="7"/>
      <c r="S8067" s="7"/>
      <c r="T8067" s="7"/>
      <c r="U8067" s="7"/>
      <c r="V8067" s="7"/>
      <c r="W8067" s="7"/>
      <c r="X8067" s="7"/>
      <c r="Y8067" s="7"/>
      <c r="Z8067" s="7"/>
    </row>
    <row r="8068" hidden="1">
      <c r="A8068" s="7"/>
      <c r="B8068" s="7"/>
      <c r="C8068" s="7"/>
      <c r="D8068" s="7"/>
      <c r="E8068" s="7"/>
      <c r="F8068" s="7"/>
      <c r="G8068" s="7"/>
      <c r="H8068" s="8"/>
      <c r="I8068" s="8"/>
      <c r="J8068" s="7"/>
      <c r="K8068" s="7"/>
      <c r="L8068" s="7"/>
      <c r="M8068" s="7"/>
      <c r="N8068" s="7"/>
      <c r="O8068" s="7"/>
      <c r="P8068" s="7"/>
      <c r="Q8068" s="7"/>
      <c r="R8068" s="7"/>
      <c r="S8068" s="7"/>
      <c r="T8068" s="7"/>
      <c r="U8068" s="7"/>
      <c r="V8068" s="7"/>
      <c r="W8068" s="7"/>
      <c r="X8068" s="7"/>
      <c r="Y8068" s="7"/>
      <c r="Z8068" s="7"/>
    </row>
    <row r="8069" hidden="1">
      <c r="A8069" s="7"/>
      <c r="B8069" s="7"/>
      <c r="C8069" s="7"/>
      <c r="D8069" s="7"/>
      <c r="E8069" s="7"/>
      <c r="F8069" s="7"/>
      <c r="G8069" s="7"/>
      <c r="H8069" s="8"/>
      <c r="I8069" s="8"/>
      <c r="J8069" s="7"/>
      <c r="K8069" s="7"/>
      <c r="L8069" s="7"/>
      <c r="M8069" s="7"/>
      <c r="N8069" s="7"/>
      <c r="O8069" s="7"/>
      <c r="P8069" s="7"/>
      <c r="Q8069" s="7"/>
      <c r="R8069" s="7"/>
      <c r="S8069" s="7"/>
      <c r="T8069" s="7"/>
      <c r="U8069" s="7"/>
      <c r="V8069" s="7"/>
      <c r="W8069" s="7"/>
      <c r="X8069" s="7"/>
      <c r="Y8069" s="7"/>
      <c r="Z8069" s="7"/>
    </row>
    <row r="8070" hidden="1">
      <c r="A8070" s="7"/>
      <c r="B8070" s="7"/>
      <c r="C8070" s="7"/>
      <c r="D8070" s="7"/>
      <c r="E8070" s="7"/>
      <c r="F8070" s="7"/>
      <c r="G8070" s="7"/>
      <c r="H8070" s="8"/>
      <c r="I8070" s="8"/>
      <c r="J8070" s="7"/>
      <c r="K8070" s="7"/>
      <c r="L8070" s="7"/>
      <c r="M8070" s="7"/>
      <c r="N8070" s="7"/>
      <c r="O8070" s="7"/>
      <c r="P8070" s="7"/>
      <c r="Q8070" s="7"/>
      <c r="R8070" s="7"/>
      <c r="S8070" s="7"/>
      <c r="T8070" s="7"/>
      <c r="U8070" s="7"/>
      <c r="V8070" s="7"/>
      <c r="W8070" s="7"/>
      <c r="X8070" s="7"/>
      <c r="Y8070" s="7"/>
      <c r="Z8070" s="7"/>
    </row>
    <row r="8071" hidden="1">
      <c r="A8071" s="7"/>
      <c r="B8071" s="7"/>
      <c r="C8071" s="7"/>
      <c r="D8071" s="7"/>
      <c r="E8071" s="7"/>
      <c r="F8071" s="7"/>
      <c r="G8071" s="7"/>
      <c r="H8071" s="8"/>
      <c r="I8071" s="8"/>
      <c r="J8071" s="7"/>
      <c r="K8071" s="7"/>
      <c r="L8071" s="7"/>
      <c r="M8071" s="7"/>
      <c r="N8071" s="7"/>
      <c r="O8071" s="7"/>
      <c r="P8071" s="7"/>
      <c r="Q8071" s="7"/>
      <c r="R8071" s="7"/>
      <c r="S8071" s="7"/>
      <c r="T8071" s="7"/>
      <c r="U8071" s="7"/>
      <c r="V8071" s="7"/>
      <c r="W8071" s="7"/>
      <c r="X8071" s="7"/>
      <c r="Y8071" s="7"/>
      <c r="Z8071" s="7"/>
    </row>
    <row r="8072" hidden="1">
      <c r="A8072" s="7"/>
      <c r="B8072" s="7"/>
      <c r="C8072" s="7"/>
      <c r="D8072" s="7"/>
      <c r="E8072" s="7"/>
      <c r="F8072" s="7"/>
      <c r="G8072" s="7"/>
      <c r="H8072" s="8"/>
      <c r="I8072" s="8"/>
      <c r="J8072" s="7"/>
      <c r="K8072" s="7"/>
      <c r="L8072" s="7"/>
      <c r="M8072" s="7"/>
      <c r="N8072" s="7"/>
      <c r="O8072" s="7"/>
      <c r="P8072" s="7"/>
      <c r="Q8072" s="7"/>
      <c r="R8072" s="7"/>
      <c r="S8072" s="7"/>
      <c r="T8072" s="7"/>
      <c r="U8072" s="7"/>
      <c r="V8072" s="7"/>
      <c r="W8072" s="7"/>
      <c r="X8072" s="7"/>
      <c r="Y8072" s="7"/>
      <c r="Z8072" s="7"/>
    </row>
    <row r="8073" hidden="1">
      <c r="A8073" s="7"/>
      <c r="B8073" s="7"/>
      <c r="C8073" s="7"/>
      <c r="D8073" s="7"/>
      <c r="E8073" s="7"/>
      <c r="F8073" s="7"/>
      <c r="G8073" s="7"/>
      <c r="H8073" s="8"/>
      <c r="I8073" s="8"/>
      <c r="J8073" s="7"/>
      <c r="K8073" s="7"/>
      <c r="L8073" s="7"/>
      <c r="M8073" s="7"/>
      <c r="N8073" s="7"/>
      <c r="O8073" s="7"/>
      <c r="P8073" s="7"/>
      <c r="Q8073" s="7"/>
      <c r="R8073" s="7"/>
      <c r="S8073" s="7"/>
      <c r="T8073" s="7"/>
      <c r="U8073" s="7"/>
      <c r="V8073" s="7"/>
      <c r="W8073" s="7"/>
      <c r="X8073" s="7"/>
      <c r="Y8073" s="7"/>
      <c r="Z8073" s="7"/>
    </row>
    <row r="8074" hidden="1">
      <c r="A8074" s="7"/>
      <c r="B8074" s="7"/>
      <c r="C8074" s="7"/>
      <c r="D8074" s="7"/>
      <c r="E8074" s="7"/>
      <c r="F8074" s="7"/>
      <c r="G8074" s="7"/>
      <c r="H8074" s="8"/>
      <c r="I8074" s="8"/>
      <c r="J8074" s="7"/>
      <c r="K8074" s="7"/>
      <c r="L8074" s="7"/>
      <c r="M8074" s="7"/>
      <c r="N8074" s="7"/>
      <c r="O8074" s="7"/>
      <c r="P8074" s="7"/>
      <c r="Q8074" s="7"/>
      <c r="R8074" s="7"/>
      <c r="S8074" s="7"/>
      <c r="T8074" s="7"/>
      <c r="U8074" s="7"/>
      <c r="V8074" s="7"/>
      <c r="W8074" s="7"/>
      <c r="X8074" s="7"/>
      <c r="Y8074" s="7"/>
      <c r="Z8074" s="7"/>
    </row>
    <row r="8075" hidden="1">
      <c r="A8075" s="7"/>
      <c r="B8075" s="7"/>
      <c r="C8075" s="7"/>
      <c r="D8075" s="7"/>
      <c r="E8075" s="7"/>
      <c r="F8075" s="7"/>
      <c r="G8075" s="7"/>
      <c r="H8075" s="8"/>
      <c r="I8075" s="8"/>
      <c r="J8075" s="7"/>
      <c r="K8075" s="7"/>
      <c r="L8075" s="7"/>
      <c r="M8075" s="7"/>
      <c r="N8075" s="7"/>
      <c r="O8075" s="7"/>
      <c r="P8075" s="7"/>
      <c r="Q8075" s="7"/>
      <c r="R8075" s="7"/>
      <c r="S8075" s="7"/>
      <c r="T8075" s="7"/>
      <c r="U8075" s="7"/>
      <c r="V8075" s="7"/>
      <c r="W8075" s="7"/>
      <c r="X8075" s="7"/>
      <c r="Y8075" s="7"/>
      <c r="Z8075" s="7"/>
    </row>
    <row r="8076" hidden="1">
      <c r="A8076" s="7"/>
      <c r="B8076" s="7"/>
      <c r="C8076" s="7"/>
      <c r="D8076" s="7"/>
      <c r="E8076" s="7"/>
      <c r="F8076" s="7"/>
      <c r="G8076" s="7"/>
      <c r="H8076" s="8"/>
      <c r="I8076" s="8"/>
      <c r="J8076" s="7"/>
      <c r="K8076" s="7"/>
      <c r="L8076" s="7"/>
      <c r="M8076" s="7"/>
      <c r="N8076" s="7"/>
      <c r="O8076" s="7"/>
      <c r="P8076" s="7"/>
      <c r="Q8076" s="7"/>
      <c r="R8076" s="7"/>
      <c r="S8076" s="7"/>
      <c r="T8076" s="7"/>
      <c r="U8076" s="7"/>
      <c r="V8076" s="7"/>
      <c r="W8076" s="7"/>
      <c r="X8076" s="7"/>
      <c r="Y8076" s="7"/>
      <c r="Z8076" s="7"/>
    </row>
    <row r="8077" hidden="1">
      <c r="A8077" s="7"/>
      <c r="B8077" s="7"/>
      <c r="C8077" s="7"/>
      <c r="D8077" s="7"/>
      <c r="E8077" s="7"/>
      <c r="F8077" s="7"/>
      <c r="G8077" s="7"/>
      <c r="H8077" s="8"/>
      <c r="I8077" s="8"/>
      <c r="J8077" s="7"/>
      <c r="K8077" s="7"/>
      <c r="L8077" s="7"/>
      <c r="M8077" s="7"/>
      <c r="N8077" s="7"/>
      <c r="O8077" s="7"/>
      <c r="P8077" s="7"/>
      <c r="Q8077" s="7"/>
      <c r="R8077" s="7"/>
      <c r="S8077" s="7"/>
      <c r="T8077" s="7"/>
      <c r="U8077" s="7"/>
      <c r="V8077" s="7"/>
      <c r="W8077" s="7"/>
      <c r="X8077" s="7"/>
      <c r="Y8077" s="7"/>
      <c r="Z8077" s="7"/>
    </row>
    <row r="8078" hidden="1">
      <c r="A8078" s="7"/>
      <c r="B8078" s="7"/>
      <c r="C8078" s="7"/>
      <c r="D8078" s="7"/>
      <c r="E8078" s="7"/>
      <c r="F8078" s="7"/>
      <c r="G8078" s="7"/>
      <c r="H8078" s="8"/>
      <c r="I8078" s="8"/>
      <c r="J8078" s="7"/>
      <c r="K8078" s="7"/>
      <c r="L8078" s="7"/>
      <c r="M8078" s="7"/>
      <c r="N8078" s="7"/>
      <c r="O8078" s="7"/>
      <c r="P8078" s="7"/>
      <c r="Q8078" s="7"/>
      <c r="R8078" s="7"/>
      <c r="S8078" s="7"/>
      <c r="T8078" s="7"/>
      <c r="U8078" s="7"/>
      <c r="V8078" s="7"/>
      <c r="W8078" s="7"/>
      <c r="X8078" s="7"/>
      <c r="Y8078" s="7"/>
      <c r="Z8078" s="7"/>
    </row>
    <row r="8079" hidden="1">
      <c r="A8079" s="7"/>
      <c r="B8079" s="7"/>
      <c r="C8079" s="7"/>
      <c r="D8079" s="7"/>
      <c r="E8079" s="7"/>
      <c r="F8079" s="7"/>
      <c r="G8079" s="7"/>
      <c r="H8079" s="8"/>
      <c r="I8079" s="8"/>
      <c r="J8079" s="7"/>
      <c r="K8079" s="7"/>
      <c r="L8079" s="7"/>
      <c r="M8079" s="7"/>
      <c r="N8079" s="7"/>
      <c r="O8079" s="7"/>
      <c r="P8079" s="7"/>
      <c r="Q8079" s="7"/>
      <c r="R8079" s="7"/>
      <c r="S8079" s="7"/>
      <c r="T8079" s="7"/>
      <c r="U8079" s="7"/>
      <c r="V8079" s="7"/>
      <c r="W8079" s="7"/>
      <c r="X8079" s="7"/>
      <c r="Y8079" s="7"/>
      <c r="Z8079" s="7"/>
    </row>
    <row r="8080" hidden="1">
      <c r="A8080" s="7"/>
      <c r="B8080" s="7"/>
      <c r="C8080" s="7"/>
      <c r="D8080" s="7"/>
      <c r="E8080" s="7"/>
      <c r="F8080" s="7"/>
      <c r="G8080" s="7"/>
      <c r="H8080" s="8"/>
      <c r="I8080" s="8"/>
      <c r="J8080" s="7"/>
      <c r="K8080" s="7"/>
      <c r="L8080" s="7"/>
      <c r="M8080" s="7"/>
      <c r="N8080" s="7"/>
      <c r="O8080" s="7"/>
      <c r="P8080" s="7"/>
      <c r="Q8080" s="7"/>
      <c r="R8080" s="7"/>
      <c r="S8080" s="7"/>
      <c r="T8080" s="7"/>
      <c r="U8080" s="7"/>
      <c r="V8080" s="7"/>
      <c r="W8080" s="7"/>
      <c r="X8080" s="7"/>
      <c r="Y8080" s="7"/>
      <c r="Z8080" s="7"/>
    </row>
    <row r="8081" hidden="1">
      <c r="A8081" s="7"/>
      <c r="B8081" s="7"/>
      <c r="C8081" s="7"/>
      <c r="D8081" s="7"/>
      <c r="E8081" s="7"/>
      <c r="F8081" s="7"/>
      <c r="G8081" s="7"/>
      <c r="H8081" s="8"/>
      <c r="I8081" s="8"/>
      <c r="J8081" s="7"/>
      <c r="K8081" s="7"/>
      <c r="L8081" s="7"/>
      <c r="M8081" s="7"/>
      <c r="N8081" s="7"/>
      <c r="O8081" s="7"/>
      <c r="P8081" s="7"/>
      <c r="Q8081" s="7"/>
      <c r="R8081" s="7"/>
      <c r="S8081" s="7"/>
      <c r="T8081" s="7"/>
      <c r="U8081" s="7"/>
      <c r="V8081" s="7"/>
      <c r="W8081" s="7"/>
      <c r="X8081" s="7"/>
      <c r="Y8081" s="7"/>
      <c r="Z8081" s="7"/>
    </row>
    <row r="8082" hidden="1">
      <c r="A8082" s="7"/>
      <c r="B8082" s="7"/>
      <c r="C8082" s="7"/>
      <c r="D8082" s="7"/>
      <c r="E8082" s="7"/>
      <c r="F8082" s="7"/>
      <c r="G8082" s="7"/>
      <c r="H8082" s="8"/>
      <c r="I8082" s="8"/>
      <c r="J8082" s="7"/>
      <c r="K8082" s="7"/>
      <c r="L8082" s="7"/>
      <c r="M8082" s="7"/>
      <c r="N8082" s="7"/>
      <c r="O8082" s="7"/>
      <c r="P8082" s="7"/>
      <c r="Q8082" s="7"/>
      <c r="R8082" s="7"/>
      <c r="S8082" s="7"/>
      <c r="T8082" s="7"/>
      <c r="U8082" s="7"/>
      <c r="V8082" s="7"/>
      <c r="W8082" s="7"/>
      <c r="X8082" s="7"/>
      <c r="Y8082" s="7"/>
      <c r="Z8082" s="7"/>
    </row>
    <row r="8083" hidden="1">
      <c r="A8083" s="7"/>
      <c r="B8083" s="7"/>
      <c r="C8083" s="7"/>
      <c r="D8083" s="7"/>
      <c r="E8083" s="7"/>
      <c r="F8083" s="7"/>
      <c r="G8083" s="7"/>
      <c r="H8083" s="8"/>
      <c r="I8083" s="8"/>
      <c r="J8083" s="7"/>
      <c r="K8083" s="7"/>
      <c r="L8083" s="7"/>
      <c r="M8083" s="7"/>
      <c r="N8083" s="7"/>
      <c r="O8083" s="7"/>
      <c r="P8083" s="7"/>
      <c r="Q8083" s="7"/>
      <c r="R8083" s="7"/>
      <c r="S8083" s="7"/>
      <c r="T8083" s="7"/>
      <c r="U8083" s="7"/>
      <c r="V8083" s="7"/>
      <c r="W8083" s="7"/>
      <c r="X8083" s="7"/>
      <c r="Y8083" s="7"/>
      <c r="Z8083" s="7"/>
    </row>
    <row r="8084" hidden="1">
      <c r="A8084" s="7"/>
      <c r="B8084" s="7"/>
      <c r="C8084" s="7"/>
      <c r="D8084" s="7"/>
      <c r="E8084" s="7"/>
      <c r="F8084" s="7"/>
      <c r="G8084" s="7"/>
      <c r="H8084" s="8"/>
      <c r="I8084" s="8"/>
      <c r="J8084" s="7"/>
      <c r="K8084" s="7"/>
      <c r="L8084" s="7"/>
      <c r="M8084" s="7"/>
      <c r="N8084" s="7"/>
      <c r="O8084" s="7"/>
      <c r="P8084" s="7"/>
      <c r="Q8084" s="7"/>
      <c r="R8084" s="7"/>
      <c r="S8084" s="7"/>
      <c r="T8084" s="7"/>
      <c r="U8084" s="7"/>
      <c r="V8084" s="7"/>
      <c r="W8084" s="7"/>
      <c r="X8084" s="7"/>
      <c r="Y8084" s="7"/>
      <c r="Z8084" s="7"/>
    </row>
    <row r="8085" hidden="1">
      <c r="A8085" s="7"/>
      <c r="B8085" s="7"/>
      <c r="C8085" s="7"/>
      <c r="D8085" s="7"/>
      <c r="E8085" s="7"/>
      <c r="F8085" s="7"/>
      <c r="G8085" s="7"/>
      <c r="H8085" s="8"/>
      <c r="I8085" s="8"/>
      <c r="J8085" s="7"/>
      <c r="K8085" s="7"/>
      <c r="L8085" s="7"/>
      <c r="M8085" s="7"/>
      <c r="N8085" s="7"/>
      <c r="O8085" s="7"/>
      <c r="P8085" s="7"/>
      <c r="Q8085" s="7"/>
      <c r="R8085" s="7"/>
      <c r="S8085" s="7"/>
      <c r="T8085" s="7"/>
      <c r="U8085" s="7"/>
      <c r="V8085" s="7"/>
      <c r="W8085" s="7"/>
      <c r="X8085" s="7"/>
      <c r="Y8085" s="7"/>
      <c r="Z8085" s="7"/>
    </row>
    <row r="8086" hidden="1">
      <c r="A8086" s="7"/>
      <c r="B8086" s="7"/>
      <c r="C8086" s="7"/>
      <c r="D8086" s="7"/>
      <c r="E8086" s="7"/>
      <c r="F8086" s="7"/>
      <c r="G8086" s="7"/>
      <c r="H8086" s="8"/>
      <c r="I8086" s="8"/>
      <c r="J8086" s="7"/>
      <c r="K8086" s="7"/>
      <c r="L8086" s="7"/>
      <c r="M8086" s="7"/>
      <c r="N8086" s="7"/>
      <c r="O8086" s="7"/>
      <c r="P8086" s="7"/>
      <c r="Q8086" s="7"/>
      <c r="R8086" s="7"/>
      <c r="S8086" s="7"/>
      <c r="T8086" s="7"/>
      <c r="U8086" s="7"/>
      <c r="V8086" s="7"/>
      <c r="W8086" s="7"/>
      <c r="X8086" s="7"/>
      <c r="Y8086" s="7"/>
      <c r="Z8086" s="7"/>
    </row>
    <row r="8087" hidden="1">
      <c r="A8087" s="7"/>
      <c r="B8087" s="7"/>
      <c r="C8087" s="7"/>
      <c r="D8087" s="7"/>
      <c r="E8087" s="7"/>
      <c r="F8087" s="7"/>
      <c r="G8087" s="7"/>
      <c r="H8087" s="8"/>
      <c r="I8087" s="8"/>
      <c r="J8087" s="7"/>
      <c r="K8087" s="7"/>
      <c r="L8087" s="7"/>
      <c r="M8087" s="7"/>
      <c r="N8087" s="7"/>
      <c r="O8087" s="7"/>
      <c r="P8087" s="7"/>
      <c r="Q8087" s="7"/>
      <c r="R8087" s="7"/>
      <c r="S8087" s="7"/>
      <c r="T8087" s="7"/>
      <c r="U8087" s="7"/>
      <c r="V8087" s="7"/>
      <c r="W8087" s="7"/>
      <c r="X8087" s="7"/>
      <c r="Y8087" s="7"/>
      <c r="Z8087" s="7"/>
    </row>
    <row r="8088" hidden="1">
      <c r="A8088" s="7"/>
      <c r="B8088" s="7"/>
      <c r="C8088" s="7"/>
      <c r="D8088" s="7"/>
      <c r="E8088" s="7"/>
      <c r="F8088" s="7"/>
      <c r="G8088" s="7"/>
      <c r="H8088" s="8"/>
      <c r="I8088" s="8"/>
      <c r="J8088" s="7"/>
      <c r="K8088" s="7"/>
      <c r="L8088" s="7"/>
      <c r="M8088" s="7"/>
      <c r="N8088" s="7"/>
      <c r="O8088" s="7"/>
      <c r="P8088" s="7"/>
      <c r="Q8088" s="7"/>
      <c r="R8088" s="7"/>
      <c r="S8088" s="7"/>
      <c r="T8088" s="7"/>
      <c r="U8088" s="7"/>
      <c r="V8088" s="7"/>
      <c r="W8088" s="7"/>
      <c r="X8088" s="7"/>
      <c r="Y8088" s="7"/>
      <c r="Z8088" s="7"/>
    </row>
    <row r="8089" hidden="1">
      <c r="A8089" s="7"/>
      <c r="B8089" s="7"/>
      <c r="C8089" s="7"/>
      <c r="D8089" s="7"/>
      <c r="E8089" s="7"/>
      <c r="F8089" s="7"/>
      <c r="G8089" s="7"/>
      <c r="H8089" s="8"/>
      <c r="I8089" s="8"/>
      <c r="J8089" s="7"/>
      <c r="K8089" s="7"/>
      <c r="L8089" s="7"/>
      <c r="M8089" s="7"/>
      <c r="N8089" s="7"/>
      <c r="O8089" s="7"/>
      <c r="P8089" s="7"/>
      <c r="Q8089" s="7"/>
      <c r="R8089" s="7"/>
      <c r="S8089" s="7"/>
      <c r="T8089" s="7"/>
      <c r="U8089" s="7"/>
      <c r="V8089" s="7"/>
      <c r="W8089" s="7"/>
      <c r="X8089" s="7"/>
      <c r="Y8089" s="7"/>
      <c r="Z8089" s="7"/>
    </row>
    <row r="8090" hidden="1">
      <c r="A8090" s="7"/>
      <c r="B8090" s="7"/>
      <c r="C8090" s="7"/>
      <c r="D8090" s="7"/>
      <c r="E8090" s="7"/>
      <c r="F8090" s="7"/>
      <c r="G8090" s="7"/>
      <c r="H8090" s="8"/>
      <c r="I8090" s="8"/>
      <c r="J8090" s="7"/>
      <c r="K8090" s="7"/>
      <c r="L8090" s="7"/>
      <c r="M8090" s="7"/>
      <c r="N8090" s="7"/>
      <c r="O8090" s="7"/>
      <c r="P8090" s="7"/>
      <c r="Q8090" s="7"/>
      <c r="R8090" s="7"/>
      <c r="S8090" s="7"/>
      <c r="T8090" s="7"/>
      <c r="U8090" s="7"/>
      <c r="V8090" s="7"/>
      <c r="W8090" s="7"/>
      <c r="X8090" s="7"/>
      <c r="Y8090" s="7"/>
      <c r="Z8090" s="7"/>
    </row>
    <row r="8091" hidden="1">
      <c r="A8091" s="7"/>
      <c r="B8091" s="7"/>
      <c r="C8091" s="7"/>
      <c r="D8091" s="7"/>
      <c r="E8091" s="7"/>
      <c r="F8091" s="7"/>
      <c r="G8091" s="7"/>
      <c r="H8091" s="8"/>
      <c r="I8091" s="8"/>
      <c r="J8091" s="7"/>
      <c r="K8091" s="7"/>
      <c r="L8091" s="7"/>
      <c r="M8091" s="7"/>
      <c r="N8091" s="7"/>
      <c r="O8091" s="7"/>
      <c r="P8091" s="7"/>
      <c r="Q8091" s="7"/>
      <c r="R8091" s="7"/>
      <c r="S8091" s="7"/>
      <c r="T8091" s="7"/>
      <c r="U8091" s="7"/>
      <c r="V8091" s="7"/>
      <c r="W8091" s="7"/>
      <c r="X8091" s="7"/>
      <c r="Y8091" s="7"/>
      <c r="Z8091" s="7"/>
    </row>
    <row r="8092" hidden="1">
      <c r="A8092" s="7"/>
      <c r="B8092" s="7"/>
      <c r="C8092" s="7"/>
      <c r="D8092" s="7"/>
      <c r="E8092" s="7"/>
      <c r="F8092" s="7"/>
      <c r="G8092" s="7"/>
      <c r="H8092" s="8"/>
      <c r="I8092" s="8"/>
      <c r="J8092" s="7"/>
      <c r="K8092" s="7"/>
      <c r="L8092" s="7"/>
      <c r="M8092" s="7"/>
      <c r="N8092" s="7"/>
      <c r="O8092" s="7"/>
      <c r="P8092" s="7"/>
      <c r="Q8092" s="7"/>
      <c r="R8092" s="7"/>
      <c r="S8092" s="7"/>
      <c r="T8092" s="7"/>
      <c r="U8092" s="7"/>
      <c r="V8092" s="7"/>
      <c r="W8092" s="7"/>
      <c r="X8092" s="7"/>
      <c r="Y8092" s="7"/>
      <c r="Z8092" s="7"/>
    </row>
    <row r="8093" hidden="1">
      <c r="A8093" s="7"/>
      <c r="B8093" s="7"/>
      <c r="C8093" s="7"/>
      <c r="D8093" s="7"/>
      <c r="E8093" s="7"/>
      <c r="F8093" s="7"/>
      <c r="G8093" s="7"/>
      <c r="H8093" s="8"/>
      <c r="I8093" s="8"/>
      <c r="J8093" s="7"/>
      <c r="K8093" s="7"/>
      <c r="L8093" s="7"/>
      <c r="M8093" s="7"/>
      <c r="N8093" s="7"/>
      <c r="O8093" s="7"/>
      <c r="P8093" s="7"/>
      <c r="Q8093" s="7"/>
      <c r="R8093" s="7"/>
      <c r="S8093" s="7"/>
      <c r="T8093" s="7"/>
      <c r="U8093" s="7"/>
      <c r="V8093" s="7"/>
      <c r="W8093" s="7"/>
      <c r="X8093" s="7"/>
      <c r="Y8093" s="7"/>
      <c r="Z8093" s="7"/>
    </row>
    <row r="8094" hidden="1">
      <c r="A8094" s="7"/>
      <c r="B8094" s="7"/>
      <c r="C8094" s="7"/>
      <c r="D8094" s="7"/>
      <c r="E8094" s="7"/>
      <c r="F8094" s="7"/>
      <c r="G8094" s="7"/>
      <c r="H8094" s="8"/>
      <c r="I8094" s="8"/>
      <c r="J8094" s="7"/>
      <c r="K8094" s="7"/>
      <c r="L8094" s="7"/>
      <c r="M8094" s="7"/>
      <c r="N8094" s="7"/>
      <c r="O8094" s="7"/>
      <c r="P8094" s="7"/>
      <c r="Q8094" s="7"/>
      <c r="R8094" s="7"/>
      <c r="S8094" s="7"/>
      <c r="T8094" s="7"/>
      <c r="U8094" s="7"/>
      <c r="V8094" s="7"/>
      <c r="W8094" s="7"/>
      <c r="X8094" s="7"/>
      <c r="Y8094" s="7"/>
      <c r="Z8094" s="7"/>
    </row>
    <row r="8095" hidden="1">
      <c r="A8095" s="7"/>
      <c r="B8095" s="7"/>
      <c r="C8095" s="7"/>
      <c r="D8095" s="7"/>
      <c r="E8095" s="7"/>
      <c r="F8095" s="7"/>
      <c r="G8095" s="7"/>
      <c r="H8095" s="8"/>
      <c r="I8095" s="8"/>
      <c r="J8095" s="7"/>
      <c r="K8095" s="7"/>
      <c r="L8095" s="7"/>
      <c r="M8095" s="7"/>
      <c r="N8095" s="7"/>
      <c r="O8095" s="7"/>
      <c r="P8095" s="7"/>
      <c r="Q8095" s="7"/>
      <c r="R8095" s="7"/>
      <c r="S8095" s="7"/>
      <c r="T8095" s="7"/>
      <c r="U8095" s="7"/>
      <c r="V8095" s="7"/>
      <c r="W8095" s="7"/>
      <c r="X8095" s="7"/>
      <c r="Y8095" s="7"/>
      <c r="Z8095" s="7"/>
    </row>
    <row r="8096" hidden="1">
      <c r="A8096" s="7"/>
      <c r="B8096" s="7"/>
      <c r="C8096" s="7"/>
      <c r="D8096" s="7"/>
      <c r="E8096" s="7"/>
      <c r="F8096" s="7"/>
      <c r="G8096" s="7"/>
      <c r="H8096" s="8"/>
      <c r="I8096" s="8"/>
      <c r="J8096" s="7"/>
      <c r="K8096" s="7"/>
      <c r="L8096" s="7"/>
      <c r="M8096" s="7"/>
      <c r="N8096" s="7"/>
      <c r="O8096" s="7"/>
      <c r="P8096" s="7"/>
      <c r="Q8096" s="7"/>
      <c r="R8096" s="7"/>
      <c r="S8096" s="7"/>
      <c r="T8096" s="7"/>
      <c r="U8096" s="7"/>
      <c r="V8096" s="7"/>
      <c r="W8096" s="7"/>
      <c r="X8096" s="7"/>
      <c r="Y8096" s="7"/>
      <c r="Z8096" s="7"/>
    </row>
    <row r="8097" hidden="1">
      <c r="A8097" s="7"/>
      <c r="B8097" s="7"/>
      <c r="C8097" s="7"/>
      <c r="D8097" s="7"/>
      <c r="E8097" s="7"/>
      <c r="F8097" s="7"/>
      <c r="G8097" s="7"/>
      <c r="H8097" s="8"/>
      <c r="I8097" s="8"/>
      <c r="J8097" s="7"/>
      <c r="K8097" s="7"/>
      <c r="L8097" s="7"/>
      <c r="M8097" s="7"/>
      <c r="N8097" s="7"/>
      <c r="O8097" s="7"/>
      <c r="P8097" s="7"/>
      <c r="Q8097" s="7"/>
      <c r="R8097" s="7"/>
      <c r="S8097" s="7"/>
      <c r="T8097" s="7"/>
      <c r="U8097" s="7"/>
      <c r="V8097" s="7"/>
      <c r="W8097" s="7"/>
      <c r="X8097" s="7"/>
      <c r="Y8097" s="7"/>
      <c r="Z8097" s="7"/>
    </row>
    <row r="8098" hidden="1">
      <c r="A8098" s="7"/>
      <c r="B8098" s="7"/>
      <c r="C8098" s="7"/>
      <c r="D8098" s="7"/>
      <c r="E8098" s="7"/>
      <c r="F8098" s="7"/>
      <c r="G8098" s="7"/>
      <c r="H8098" s="8"/>
      <c r="I8098" s="8"/>
      <c r="J8098" s="7"/>
      <c r="K8098" s="7"/>
      <c r="L8098" s="7"/>
      <c r="M8098" s="7"/>
      <c r="N8098" s="7"/>
      <c r="O8098" s="7"/>
      <c r="P8098" s="7"/>
      <c r="Q8098" s="7"/>
      <c r="R8098" s="7"/>
      <c r="S8098" s="7"/>
      <c r="T8098" s="7"/>
      <c r="U8098" s="7"/>
      <c r="V8098" s="7"/>
      <c r="W8098" s="7"/>
      <c r="X8098" s="7"/>
      <c r="Y8098" s="7"/>
      <c r="Z8098" s="7"/>
    </row>
    <row r="8099" hidden="1">
      <c r="A8099" s="7"/>
      <c r="B8099" s="7"/>
      <c r="C8099" s="7"/>
      <c r="D8099" s="7"/>
      <c r="E8099" s="7"/>
      <c r="F8099" s="7"/>
      <c r="G8099" s="7"/>
      <c r="H8099" s="8"/>
      <c r="I8099" s="8"/>
      <c r="J8099" s="7"/>
      <c r="K8099" s="7"/>
      <c r="L8099" s="7"/>
      <c r="M8099" s="7"/>
      <c r="N8099" s="7"/>
      <c r="O8099" s="7"/>
      <c r="P8099" s="7"/>
      <c r="Q8099" s="7"/>
      <c r="R8099" s="7"/>
      <c r="S8099" s="7"/>
      <c r="T8099" s="7"/>
      <c r="U8099" s="7"/>
      <c r="V8099" s="7"/>
      <c r="W8099" s="7"/>
      <c r="X8099" s="7"/>
      <c r="Y8099" s="7"/>
      <c r="Z8099" s="7"/>
    </row>
    <row r="8100" hidden="1">
      <c r="A8100" s="7"/>
      <c r="B8100" s="7"/>
      <c r="C8100" s="7"/>
      <c r="D8100" s="7"/>
      <c r="E8100" s="7"/>
      <c r="F8100" s="7"/>
      <c r="G8100" s="7"/>
      <c r="H8100" s="8"/>
      <c r="I8100" s="8"/>
      <c r="J8100" s="7"/>
      <c r="K8100" s="7"/>
      <c r="L8100" s="7"/>
      <c r="M8100" s="7"/>
      <c r="N8100" s="7"/>
      <c r="O8100" s="7"/>
      <c r="P8100" s="7"/>
      <c r="Q8100" s="7"/>
      <c r="R8100" s="7"/>
      <c r="S8100" s="7"/>
      <c r="T8100" s="7"/>
      <c r="U8100" s="7"/>
      <c r="V8100" s="7"/>
      <c r="W8100" s="7"/>
      <c r="X8100" s="7"/>
      <c r="Y8100" s="7"/>
      <c r="Z8100" s="7"/>
    </row>
    <row r="8101" hidden="1">
      <c r="A8101" s="7"/>
      <c r="B8101" s="7"/>
      <c r="C8101" s="7"/>
      <c r="D8101" s="7"/>
      <c r="E8101" s="7"/>
      <c r="F8101" s="7"/>
      <c r="G8101" s="7"/>
      <c r="H8101" s="8"/>
      <c r="I8101" s="8"/>
      <c r="J8101" s="7"/>
      <c r="K8101" s="7"/>
      <c r="L8101" s="7"/>
      <c r="M8101" s="7"/>
      <c r="N8101" s="7"/>
      <c r="O8101" s="7"/>
      <c r="P8101" s="7"/>
      <c r="Q8101" s="7"/>
      <c r="R8101" s="7"/>
      <c r="S8101" s="7"/>
      <c r="T8101" s="7"/>
      <c r="U8101" s="7"/>
      <c r="V8101" s="7"/>
      <c r="W8101" s="7"/>
      <c r="X8101" s="7"/>
      <c r="Y8101" s="7"/>
      <c r="Z8101" s="7"/>
    </row>
    <row r="8102" hidden="1">
      <c r="A8102" s="7"/>
      <c r="B8102" s="7"/>
      <c r="C8102" s="7"/>
      <c r="D8102" s="7"/>
      <c r="E8102" s="7"/>
      <c r="F8102" s="7"/>
      <c r="G8102" s="7"/>
      <c r="H8102" s="8"/>
      <c r="I8102" s="8"/>
      <c r="J8102" s="7"/>
      <c r="K8102" s="7"/>
      <c r="L8102" s="7"/>
      <c r="M8102" s="7"/>
      <c r="N8102" s="7"/>
      <c r="O8102" s="7"/>
      <c r="P8102" s="7"/>
      <c r="Q8102" s="7"/>
      <c r="R8102" s="7"/>
      <c r="S8102" s="7"/>
      <c r="T8102" s="7"/>
      <c r="U8102" s="7"/>
      <c r="V8102" s="7"/>
      <c r="W8102" s="7"/>
      <c r="X8102" s="7"/>
      <c r="Y8102" s="7"/>
      <c r="Z8102" s="7"/>
    </row>
    <row r="8103" hidden="1">
      <c r="A8103" s="7"/>
      <c r="B8103" s="7"/>
      <c r="C8103" s="7"/>
      <c r="D8103" s="7"/>
      <c r="E8103" s="7"/>
      <c r="F8103" s="7"/>
      <c r="G8103" s="7"/>
      <c r="H8103" s="8"/>
      <c r="I8103" s="8"/>
      <c r="J8103" s="7"/>
      <c r="K8103" s="7"/>
      <c r="L8103" s="7"/>
      <c r="M8103" s="7"/>
      <c r="N8103" s="7"/>
      <c r="O8103" s="7"/>
      <c r="P8103" s="7"/>
      <c r="Q8103" s="7"/>
      <c r="R8103" s="7"/>
      <c r="S8103" s="7"/>
      <c r="T8103" s="7"/>
      <c r="U8103" s="7"/>
      <c r="V8103" s="7"/>
      <c r="W8103" s="7"/>
      <c r="X8103" s="7"/>
      <c r="Y8103" s="7"/>
      <c r="Z8103" s="7"/>
    </row>
    <row r="8104" hidden="1">
      <c r="A8104" s="7"/>
      <c r="B8104" s="7"/>
      <c r="C8104" s="7"/>
      <c r="D8104" s="7"/>
      <c r="E8104" s="7"/>
      <c r="F8104" s="7"/>
      <c r="G8104" s="7"/>
      <c r="H8104" s="8"/>
      <c r="I8104" s="8"/>
      <c r="J8104" s="7"/>
      <c r="K8104" s="7"/>
      <c r="L8104" s="7"/>
      <c r="M8104" s="7"/>
      <c r="N8104" s="7"/>
      <c r="O8104" s="7"/>
      <c r="P8104" s="7"/>
      <c r="Q8104" s="7"/>
      <c r="R8104" s="7"/>
      <c r="S8104" s="7"/>
      <c r="T8104" s="7"/>
      <c r="U8104" s="7"/>
      <c r="V8104" s="7"/>
      <c r="W8104" s="7"/>
      <c r="X8104" s="7"/>
      <c r="Y8104" s="7"/>
      <c r="Z8104" s="7"/>
    </row>
    <row r="8105" hidden="1">
      <c r="A8105" s="7"/>
      <c r="B8105" s="7"/>
      <c r="C8105" s="7"/>
      <c r="D8105" s="7"/>
      <c r="E8105" s="7"/>
      <c r="F8105" s="7"/>
      <c r="G8105" s="7"/>
      <c r="H8105" s="8"/>
      <c r="I8105" s="8"/>
      <c r="J8105" s="7"/>
      <c r="K8105" s="7"/>
      <c r="L8105" s="7"/>
      <c r="M8105" s="7"/>
      <c r="N8105" s="7"/>
      <c r="O8105" s="7"/>
      <c r="P8105" s="7"/>
      <c r="Q8105" s="7"/>
      <c r="R8105" s="7"/>
      <c r="S8105" s="7"/>
      <c r="T8105" s="7"/>
      <c r="U8105" s="7"/>
      <c r="V8105" s="7"/>
      <c r="W8105" s="7"/>
      <c r="X8105" s="7"/>
      <c r="Y8105" s="7"/>
      <c r="Z8105" s="7"/>
    </row>
    <row r="8106" hidden="1">
      <c r="A8106" s="7"/>
      <c r="B8106" s="7"/>
      <c r="C8106" s="7"/>
      <c r="D8106" s="7"/>
      <c r="E8106" s="7"/>
      <c r="F8106" s="7"/>
      <c r="G8106" s="7"/>
      <c r="H8106" s="8"/>
      <c r="I8106" s="8"/>
      <c r="J8106" s="7"/>
      <c r="K8106" s="7"/>
      <c r="L8106" s="7"/>
      <c r="M8106" s="7"/>
      <c r="N8106" s="7"/>
      <c r="O8106" s="7"/>
      <c r="P8106" s="7"/>
      <c r="Q8106" s="7"/>
      <c r="R8106" s="7"/>
      <c r="S8106" s="7"/>
      <c r="T8106" s="7"/>
      <c r="U8106" s="7"/>
      <c r="V8106" s="7"/>
      <c r="W8106" s="7"/>
      <c r="X8106" s="7"/>
      <c r="Y8106" s="7"/>
      <c r="Z8106" s="7"/>
    </row>
    <row r="8107" hidden="1">
      <c r="A8107" s="7"/>
      <c r="B8107" s="7"/>
      <c r="C8107" s="7"/>
      <c r="D8107" s="7"/>
      <c r="E8107" s="7"/>
      <c r="F8107" s="7"/>
      <c r="G8107" s="7"/>
      <c r="H8107" s="8"/>
      <c r="I8107" s="8"/>
      <c r="J8107" s="7"/>
      <c r="K8107" s="7"/>
      <c r="L8107" s="7"/>
      <c r="M8107" s="7"/>
      <c r="N8107" s="7"/>
      <c r="O8107" s="7"/>
      <c r="P8107" s="7"/>
      <c r="Q8107" s="7"/>
      <c r="R8107" s="7"/>
      <c r="S8107" s="7"/>
      <c r="T8107" s="7"/>
      <c r="U8107" s="7"/>
      <c r="V8107" s="7"/>
      <c r="W8107" s="7"/>
      <c r="X8107" s="7"/>
      <c r="Y8107" s="7"/>
      <c r="Z8107" s="7"/>
    </row>
    <row r="8108" hidden="1">
      <c r="A8108" s="7"/>
      <c r="B8108" s="7"/>
      <c r="C8108" s="7"/>
      <c r="D8108" s="7"/>
      <c r="E8108" s="7"/>
      <c r="F8108" s="7"/>
      <c r="G8108" s="7"/>
      <c r="H8108" s="8"/>
      <c r="I8108" s="8"/>
      <c r="J8108" s="7"/>
      <c r="K8108" s="7"/>
      <c r="L8108" s="7"/>
      <c r="M8108" s="7"/>
      <c r="N8108" s="7"/>
      <c r="O8108" s="7"/>
      <c r="P8108" s="7"/>
      <c r="Q8108" s="7"/>
      <c r="R8108" s="7"/>
      <c r="S8108" s="7"/>
      <c r="T8108" s="7"/>
      <c r="U8108" s="7"/>
      <c r="V8108" s="7"/>
      <c r="W8108" s="7"/>
      <c r="X8108" s="7"/>
      <c r="Y8108" s="7"/>
      <c r="Z8108" s="7"/>
    </row>
    <row r="8109" hidden="1">
      <c r="A8109" s="7"/>
      <c r="B8109" s="7"/>
      <c r="C8109" s="7"/>
      <c r="D8109" s="7"/>
      <c r="E8109" s="7"/>
      <c r="F8109" s="7"/>
      <c r="G8109" s="7"/>
      <c r="H8109" s="8"/>
      <c r="I8109" s="8"/>
      <c r="J8109" s="7"/>
      <c r="K8109" s="7"/>
      <c r="L8109" s="7"/>
      <c r="M8109" s="7"/>
      <c r="N8109" s="7"/>
      <c r="O8109" s="7"/>
      <c r="P8109" s="7"/>
      <c r="Q8109" s="7"/>
      <c r="R8109" s="7"/>
      <c r="S8109" s="7"/>
      <c r="T8109" s="7"/>
      <c r="U8109" s="7"/>
      <c r="V8109" s="7"/>
      <c r="W8109" s="7"/>
      <c r="X8109" s="7"/>
      <c r="Y8109" s="7"/>
      <c r="Z8109" s="7"/>
    </row>
    <row r="8110" hidden="1">
      <c r="A8110" s="7"/>
      <c r="B8110" s="7"/>
      <c r="C8110" s="7"/>
      <c r="D8110" s="7"/>
      <c r="E8110" s="7"/>
      <c r="F8110" s="7"/>
      <c r="G8110" s="7"/>
      <c r="H8110" s="8"/>
      <c r="I8110" s="8"/>
      <c r="J8110" s="7"/>
      <c r="K8110" s="7"/>
      <c r="L8110" s="7"/>
      <c r="M8110" s="7"/>
      <c r="N8110" s="7"/>
      <c r="O8110" s="7"/>
      <c r="P8110" s="7"/>
      <c r="Q8110" s="7"/>
      <c r="R8110" s="7"/>
      <c r="S8110" s="7"/>
      <c r="T8110" s="7"/>
      <c r="U8110" s="7"/>
      <c r="V8110" s="7"/>
      <c r="W8110" s="7"/>
      <c r="X8110" s="7"/>
      <c r="Y8110" s="7"/>
      <c r="Z8110" s="7"/>
    </row>
    <row r="8111" hidden="1">
      <c r="A8111" s="7"/>
      <c r="B8111" s="7"/>
      <c r="C8111" s="7"/>
      <c r="D8111" s="7"/>
      <c r="E8111" s="7"/>
      <c r="F8111" s="7"/>
      <c r="G8111" s="7"/>
      <c r="H8111" s="8"/>
      <c r="I8111" s="8"/>
      <c r="J8111" s="7"/>
      <c r="K8111" s="7"/>
      <c r="L8111" s="7"/>
      <c r="M8111" s="7"/>
      <c r="N8111" s="7"/>
      <c r="O8111" s="7"/>
      <c r="P8111" s="7"/>
      <c r="Q8111" s="7"/>
      <c r="R8111" s="7"/>
      <c r="S8111" s="7"/>
      <c r="T8111" s="7"/>
      <c r="U8111" s="7"/>
      <c r="V8111" s="7"/>
      <c r="W8111" s="7"/>
      <c r="X8111" s="7"/>
      <c r="Y8111" s="7"/>
      <c r="Z8111" s="7"/>
    </row>
    <row r="8112" hidden="1">
      <c r="A8112" s="7"/>
      <c r="B8112" s="7"/>
      <c r="C8112" s="7"/>
      <c r="D8112" s="7"/>
      <c r="E8112" s="7"/>
      <c r="F8112" s="7"/>
      <c r="G8112" s="7"/>
      <c r="H8112" s="8"/>
      <c r="I8112" s="8"/>
      <c r="J8112" s="7"/>
      <c r="K8112" s="7"/>
      <c r="L8112" s="7"/>
      <c r="M8112" s="7"/>
      <c r="N8112" s="7"/>
      <c r="O8112" s="7"/>
      <c r="P8112" s="7"/>
      <c r="Q8112" s="7"/>
      <c r="R8112" s="7"/>
      <c r="S8112" s="7"/>
      <c r="T8112" s="7"/>
      <c r="U8112" s="7"/>
      <c r="V8112" s="7"/>
      <c r="W8112" s="7"/>
      <c r="X8112" s="7"/>
      <c r="Y8112" s="7"/>
      <c r="Z8112" s="7"/>
    </row>
    <row r="8113" hidden="1">
      <c r="A8113" s="7"/>
      <c r="B8113" s="7"/>
      <c r="C8113" s="7"/>
      <c r="D8113" s="7"/>
      <c r="E8113" s="7"/>
      <c r="F8113" s="7"/>
      <c r="G8113" s="7"/>
      <c r="H8113" s="8"/>
      <c r="I8113" s="8"/>
      <c r="J8113" s="7"/>
      <c r="K8113" s="7"/>
      <c r="L8113" s="7"/>
      <c r="M8113" s="7"/>
      <c r="N8113" s="7"/>
      <c r="O8113" s="7"/>
      <c r="P8113" s="7"/>
      <c r="Q8113" s="7"/>
      <c r="R8113" s="7"/>
      <c r="S8113" s="7"/>
      <c r="T8113" s="7"/>
      <c r="U8113" s="7"/>
      <c r="V8113" s="7"/>
      <c r="W8113" s="7"/>
      <c r="X8113" s="7"/>
      <c r="Y8113" s="7"/>
      <c r="Z8113" s="7"/>
    </row>
    <row r="8114" hidden="1">
      <c r="A8114" s="7"/>
      <c r="B8114" s="7"/>
      <c r="C8114" s="7"/>
      <c r="D8114" s="7"/>
      <c r="E8114" s="7"/>
      <c r="F8114" s="7"/>
      <c r="G8114" s="7"/>
      <c r="H8114" s="8"/>
      <c r="I8114" s="8"/>
      <c r="J8114" s="7"/>
      <c r="K8114" s="7"/>
      <c r="L8114" s="7"/>
      <c r="M8114" s="7"/>
      <c r="N8114" s="7"/>
      <c r="O8114" s="7"/>
      <c r="P8114" s="7"/>
      <c r="Q8114" s="7"/>
      <c r="R8114" s="7"/>
      <c r="S8114" s="7"/>
      <c r="T8114" s="7"/>
      <c r="U8114" s="7"/>
      <c r="V8114" s="7"/>
      <c r="W8114" s="7"/>
      <c r="X8114" s="7"/>
      <c r="Y8114" s="7"/>
      <c r="Z8114" s="7"/>
    </row>
    <row r="8115" hidden="1">
      <c r="A8115" s="7"/>
      <c r="B8115" s="7"/>
      <c r="C8115" s="7"/>
      <c r="D8115" s="7"/>
      <c r="E8115" s="7"/>
      <c r="F8115" s="7"/>
      <c r="G8115" s="7"/>
      <c r="H8115" s="8"/>
      <c r="I8115" s="8"/>
      <c r="J8115" s="7"/>
      <c r="K8115" s="7"/>
      <c r="L8115" s="7"/>
      <c r="M8115" s="7"/>
      <c r="N8115" s="7"/>
      <c r="O8115" s="7"/>
      <c r="P8115" s="7"/>
      <c r="Q8115" s="7"/>
      <c r="R8115" s="7"/>
      <c r="S8115" s="7"/>
      <c r="T8115" s="7"/>
      <c r="U8115" s="7"/>
      <c r="V8115" s="7"/>
      <c r="W8115" s="7"/>
      <c r="X8115" s="7"/>
      <c r="Y8115" s="7"/>
      <c r="Z8115" s="7"/>
    </row>
    <row r="8116" hidden="1">
      <c r="A8116" s="7"/>
      <c r="B8116" s="7"/>
      <c r="C8116" s="7"/>
      <c r="D8116" s="7"/>
      <c r="E8116" s="7"/>
      <c r="F8116" s="7"/>
      <c r="G8116" s="7"/>
      <c r="H8116" s="8"/>
      <c r="I8116" s="8"/>
      <c r="J8116" s="7"/>
      <c r="K8116" s="7"/>
      <c r="L8116" s="7"/>
      <c r="M8116" s="7"/>
      <c r="N8116" s="7"/>
      <c r="O8116" s="7"/>
      <c r="P8116" s="7"/>
      <c r="Q8116" s="7"/>
      <c r="R8116" s="7"/>
      <c r="S8116" s="7"/>
      <c r="T8116" s="7"/>
      <c r="U8116" s="7"/>
      <c r="V8116" s="7"/>
      <c r="W8116" s="7"/>
      <c r="X8116" s="7"/>
      <c r="Y8116" s="7"/>
      <c r="Z8116" s="7"/>
    </row>
    <row r="8117" hidden="1">
      <c r="A8117" s="7"/>
      <c r="B8117" s="7"/>
      <c r="C8117" s="7"/>
      <c r="D8117" s="7"/>
      <c r="E8117" s="7"/>
      <c r="F8117" s="7"/>
      <c r="G8117" s="7"/>
      <c r="H8117" s="8"/>
      <c r="I8117" s="8"/>
      <c r="J8117" s="7"/>
      <c r="K8117" s="7"/>
      <c r="L8117" s="7"/>
      <c r="M8117" s="7"/>
      <c r="N8117" s="7"/>
      <c r="O8117" s="7"/>
      <c r="P8117" s="7"/>
      <c r="Q8117" s="7"/>
      <c r="R8117" s="7"/>
      <c r="S8117" s="7"/>
      <c r="T8117" s="7"/>
      <c r="U8117" s="7"/>
      <c r="V8117" s="7"/>
      <c r="W8117" s="7"/>
      <c r="X8117" s="7"/>
      <c r="Y8117" s="7"/>
      <c r="Z8117" s="7"/>
    </row>
    <row r="8118" hidden="1">
      <c r="A8118" s="7"/>
      <c r="B8118" s="7"/>
      <c r="C8118" s="7"/>
      <c r="D8118" s="7"/>
      <c r="E8118" s="7"/>
      <c r="F8118" s="7"/>
      <c r="G8118" s="7"/>
      <c r="H8118" s="8"/>
      <c r="I8118" s="8"/>
      <c r="J8118" s="7"/>
      <c r="K8118" s="7"/>
      <c r="L8118" s="7"/>
      <c r="M8118" s="7"/>
      <c r="N8118" s="7"/>
      <c r="O8118" s="7"/>
      <c r="P8118" s="7"/>
      <c r="Q8118" s="7"/>
      <c r="R8118" s="7"/>
      <c r="S8118" s="7"/>
      <c r="T8118" s="7"/>
      <c r="U8118" s="7"/>
      <c r="V8118" s="7"/>
      <c r="W8118" s="7"/>
      <c r="X8118" s="7"/>
      <c r="Y8118" s="7"/>
      <c r="Z8118" s="7"/>
    </row>
    <row r="8119" hidden="1">
      <c r="A8119" s="7"/>
      <c r="B8119" s="7"/>
      <c r="C8119" s="7"/>
      <c r="D8119" s="7"/>
      <c r="E8119" s="7"/>
      <c r="F8119" s="7"/>
      <c r="G8119" s="7"/>
      <c r="H8119" s="8"/>
      <c r="I8119" s="8"/>
      <c r="J8119" s="7"/>
      <c r="K8119" s="7"/>
      <c r="L8119" s="7"/>
      <c r="M8119" s="7"/>
      <c r="N8119" s="7"/>
      <c r="O8119" s="7"/>
      <c r="P8119" s="7"/>
      <c r="Q8119" s="7"/>
      <c r="R8119" s="7"/>
      <c r="S8119" s="7"/>
      <c r="T8119" s="7"/>
      <c r="U8119" s="7"/>
      <c r="V8119" s="7"/>
      <c r="W8119" s="7"/>
      <c r="X8119" s="7"/>
      <c r="Y8119" s="7"/>
      <c r="Z8119" s="7"/>
    </row>
    <row r="8120" hidden="1">
      <c r="A8120" s="7"/>
      <c r="B8120" s="7"/>
      <c r="C8120" s="7"/>
      <c r="D8120" s="7"/>
      <c r="E8120" s="7"/>
      <c r="F8120" s="7"/>
      <c r="G8120" s="7"/>
      <c r="H8120" s="8"/>
      <c r="I8120" s="8"/>
      <c r="J8120" s="7"/>
      <c r="K8120" s="7"/>
      <c r="L8120" s="7"/>
      <c r="M8120" s="7"/>
      <c r="N8120" s="7"/>
      <c r="O8120" s="7"/>
      <c r="P8120" s="7"/>
      <c r="Q8120" s="7"/>
      <c r="R8120" s="7"/>
      <c r="S8120" s="7"/>
      <c r="T8120" s="7"/>
      <c r="U8120" s="7"/>
      <c r="V8120" s="7"/>
      <c r="W8120" s="7"/>
      <c r="X8120" s="7"/>
      <c r="Y8120" s="7"/>
      <c r="Z8120" s="7"/>
    </row>
    <row r="8121" hidden="1">
      <c r="A8121" s="7"/>
      <c r="B8121" s="7"/>
      <c r="C8121" s="7"/>
      <c r="D8121" s="7"/>
      <c r="E8121" s="7"/>
      <c r="F8121" s="7"/>
      <c r="G8121" s="7"/>
      <c r="H8121" s="8"/>
      <c r="I8121" s="8"/>
      <c r="J8121" s="7"/>
      <c r="K8121" s="7"/>
      <c r="L8121" s="7"/>
      <c r="M8121" s="7"/>
      <c r="N8121" s="7"/>
      <c r="O8121" s="7"/>
      <c r="P8121" s="7"/>
      <c r="Q8121" s="7"/>
      <c r="R8121" s="7"/>
      <c r="S8121" s="7"/>
      <c r="T8121" s="7"/>
      <c r="U8121" s="7"/>
      <c r="V8121" s="7"/>
      <c r="W8121" s="7"/>
      <c r="X8121" s="7"/>
      <c r="Y8121" s="7"/>
      <c r="Z8121" s="7"/>
    </row>
    <row r="8122" hidden="1">
      <c r="A8122" s="7"/>
      <c r="B8122" s="7"/>
      <c r="C8122" s="7"/>
      <c r="D8122" s="7"/>
      <c r="E8122" s="7"/>
      <c r="F8122" s="7"/>
      <c r="G8122" s="7"/>
      <c r="H8122" s="8"/>
      <c r="I8122" s="8"/>
      <c r="J8122" s="7"/>
      <c r="K8122" s="7"/>
      <c r="L8122" s="7"/>
      <c r="M8122" s="7"/>
      <c r="N8122" s="7"/>
      <c r="O8122" s="7"/>
      <c r="P8122" s="7"/>
      <c r="Q8122" s="7"/>
      <c r="R8122" s="7"/>
      <c r="S8122" s="7"/>
      <c r="T8122" s="7"/>
      <c r="U8122" s="7"/>
      <c r="V8122" s="7"/>
      <c r="W8122" s="7"/>
      <c r="X8122" s="7"/>
      <c r="Y8122" s="7"/>
      <c r="Z8122" s="7"/>
    </row>
    <row r="8123" hidden="1">
      <c r="A8123" s="7"/>
      <c r="B8123" s="7"/>
      <c r="C8123" s="7"/>
      <c r="D8123" s="7"/>
      <c r="E8123" s="7"/>
      <c r="F8123" s="7"/>
      <c r="G8123" s="7"/>
      <c r="H8123" s="8"/>
      <c r="I8123" s="8"/>
      <c r="J8123" s="7"/>
      <c r="K8123" s="7"/>
      <c r="L8123" s="7"/>
      <c r="M8123" s="7"/>
      <c r="N8123" s="7"/>
      <c r="O8123" s="7"/>
      <c r="P8123" s="7"/>
      <c r="Q8123" s="7"/>
      <c r="R8123" s="7"/>
      <c r="S8123" s="7"/>
      <c r="T8123" s="7"/>
      <c r="U8123" s="7"/>
      <c r="V8123" s="7"/>
      <c r="W8123" s="7"/>
      <c r="X8123" s="7"/>
      <c r="Y8123" s="7"/>
      <c r="Z8123" s="7"/>
    </row>
    <row r="8124" hidden="1">
      <c r="A8124" s="7"/>
      <c r="B8124" s="7"/>
      <c r="C8124" s="7"/>
      <c r="D8124" s="7"/>
      <c r="E8124" s="7"/>
      <c r="F8124" s="7"/>
      <c r="G8124" s="7"/>
      <c r="H8124" s="8"/>
      <c r="I8124" s="8"/>
      <c r="J8124" s="7"/>
      <c r="K8124" s="7"/>
      <c r="L8124" s="7"/>
      <c r="M8124" s="7"/>
      <c r="N8124" s="7"/>
      <c r="O8124" s="7"/>
      <c r="P8124" s="7"/>
      <c r="Q8124" s="7"/>
      <c r="R8124" s="7"/>
      <c r="S8124" s="7"/>
      <c r="T8124" s="7"/>
      <c r="U8124" s="7"/>
      <c r="V8124" s="7"/>
      <c r="W8124" s="7"/>
      <c r="X8124" s="7"/>
      <c r="Y8124" s="7"/>
      <c r="Z8124" s="7"/>
    </row>
    <row r="8125" hidden="1">
      <c r="A8125" s="7"/>
      <c r="B8125" s="7"/>
      <c r="C8125" s="7"/>
      <c r="D8125" s="7"/>
      <c r="E8125" s="7"/>
      <c r="F8125" s="7"/>
      <c r="G8125" s="7"/>
      <c r="H8125" s="8"/>
      <c r="I8125" s="8"/>
      <c r="J8125" s="7"/>
      <c r="K8125" s="7"/>
      <c r="L8125" s="7"/>
      <c r="M8125" s="7"/>
      <c r="N8125" s="7"/>
      <c r="O8125" s="7"/>
      <c r="P8125" s="7"/>
      <c r="Q8125" s="7"/>
      <c r="R8125" s="7"/>
      <c r="S8125" s="7"/>
      <c r="T8125" s="7"/>
      <c r="U8125" s="7"/>
      <c r="V8125" s="7"/>
      <c r="W8125" s="7"/>
      <c r="X8125" s="7"/>
      <c r="Y8125" s="7"/>
      <c r="Z8125" s="7"/>
    </row>
    <row r="8126" hidden="1">
      <c r="A8126" s="7"/>
      <c r="B8126" s="7"/>
      <c r="C8126" s="7"/>
      <c r="D8126" s="7"/>
      <c r="E8126" s="7"/>
      <c r="F8126" s="7"/>
      <c r="G8126" s="7"/>
      <c r="H8126" s="8"/>
      <c r="I8126" s="8"/>
      <c r="J8126" s="7"/>
      <c r="K8126" s="7"/>
      <c r="L8126" s="7"/>
      <c r="M8126" s="7"/>
      <c r="N8126" s="7"/>
      <c r="O8126" s="7"/>
      <c r="P8126" s="7"/>
      <c r="Q8126" s="7"/>
      <c r="R8126" s="7"/>
      <c r="S8126" s="7"/>
      <c r="T8126" s="7"/>
      <c r="U8126" s="7"/>
      <c r="V8126" s="7"/>
      <c r="W8126" s="7"/>
      <c r="X8126" s="7"/>
      <c r="Y8126" s="7"/>
      <c r="Z8126" s="7"/>
    </row>
    <row r="8127" hidden="1">
      <c r="A8127" s="7"/>
      <c r="B8127" s="7"/>
      <c r="C8127" s="7"/>
      <c r="D8127" s="7"/>
      <c r="E8127" s="7"/>
      <c r="F8127" s="7"/>
      <c r="G8127" s="7"/>
      <c r="H8127" s="8"/>
      <c r="I8127" s="8"/>
      <c r="J8127" s="7"/>
      <c r="K8127" s="7"/>
      <c r="L8127" s="7"/>
      <c r="M8127" s="7"/>
      <c r="N8127" s="7"/>
      <c r="O8127" s="7"/>
      <c r="P8127" s="7"/>
      <c r="Q8127" s="7"/>
      <c r="R8127" s="7"/>
      <c r="S8127" s="7"/>
      <c r="T8127" s="7"/>
      <c r="U8127" s="7"/>
      <c r="V8127" s="7"/>
      <c r="W8127" s="7"/>
      <c r="X8127" s="7"/>
      <c r="Y8127" s="7"/>
      <c r="Z8127" s="7"/>
    </row>
    <row r="8128" hidden="1">
      <c r="A8128" s="7"/>
      <c r="B8128" s="7"/>
      <c r="C8128" s="7"/>
      <c r="D8128" s="7"/>
      <c r="E8128" s="7"/>
      <c r="F8128" s="7"/>
      <c r="G8128" s="7"/>
      <c r="H8128" s="8"/>
      <c r="I8128" s="8"/>
      <c r="J8128" s="7"/>
      <c r="K8128" s="7"/>
      <c r="L8128" s="7"/>
      <c r="M8128" s="7"/>
      <c r="N8128" s="7"/>
      <c r="O8128" s="7"/>
      <c r="P8128" s="7"/>
      <c r="Q8128" s="7"/>
      <c r="R8128" s="7"/>
      <c r="S8128" s="7"/>
      <c r="T8128" s="7"/>
      <c r="U8128" s="7"/>
      <c r="V8128" s="7"/>
      <c r="W8128" s="7"/>
      <c r="X8128" s="7"/>
      <c r="Y8128" s="7"/>
      <c r="Z8128" s="7"/>
    </row>
    <row r="8129" hidden="1">
      <c r="A8129" s="7"/>
      <c r="B8129" s="7"/>
      <c r="C8129" s="7"/>
      <c r="D8129" s="7"/>
      <c r="E8129" s="7"/>
      <c r="F8129" s="7"/>
      <c r="G8129" s="7"/>
      <c r="H8129" s="8"/>
      <c r="I8129" s="8"/>
      <c r="J8129" s="7"/>
      <c r="K8129" s="7"/>
      <c r="L8129" s="7"/>
      <c r="M8129" s="7"/>
      <c r="N8129" s="7"/>
      <c r="O8129" s="7"/>
      <c r="P8129" s="7"/>
      <c r="Q8129" s="7"/>
      <c r="R8129" s="7"/>
      <c r="S8129" s="7"/>
      <c r="T8129" s="7"/>
      <c r="U8129" s="7"/>
      <c r="V8129" s="7"/>
      <c r="W8129" s="7"/>
      <c r="X8129" s="7"/>
      <c r="Y8129" s="7"/>
      <c r="Z8129" s="7"/>
    </row>
    <row r="8130" hidden="1">
      <c r="A8130" s="7"/>
      <c r="B8130" s="7"/>
      <c r="C8130" s="7"/>
      <c r="D8130" s="7"/>
      <c r="E8130" s="7"/>
      <c r="F8130" s="7"/>
      <c r="G8130" s="7"/>
      <c r="H8130" s="8"/>
      <c r="I8130" s="8"/>
      <c r="J8130" s="7"/>
      <c r="K8130" s="7"/>
      <c r="L8130" s="7"/>
      <c r="M8130" s="7"/>
      <c r="N8130" s="7"/>
      <c r="O8130" s="7"/>
      <c r="P8130" s="7"/>
      <c r="Q8130" s="7"/>
      <c r="R8130" s="7"/>
      <c r="S8130" s="7"/>
      <c r="T8130" s="7"/>
      <c r="U8130" s="7"/>
      <c r="V8130" s="7"/>
      <c r="W8130" s="7"/>
      <c r="X8130" s="7"/>
      <c r="Y8130" s="7"/>
      <c r="Z8130" s="7"/>
    </row>
    <row r="8131" hidden="1">
      <c r="A8131" s="7"/>
      <c r="B8131" s="7"/>
      <c r="C8131" s="7"/>
      <c r="D8131" s="7"/>
      <c r="E8131" s="7"/>
      <c r="F8131" s="7"/>
      <c r="G8131" s="7"/>
      <c r="H8131" s="8"/>
      <c r="I8131" s="8"/>
      <c r="J8131" s="7"/>
      <c r="K8131" s="7"/>
      <c r="L8131" s="7"/>
      <c r="M8131" s="7"/>
      <c r="N8131" s="7"/>
      <c r="O8131" s="7"/>
      <c r="P8131" s="7"/>
      <c r="Q8131" s="7"/>
      <c r="R8131" s="7"/>
      <c r="S8131" s="7"/>
      <c r="T8131" s="7"/>
      <c r="U8131" s="7"/>
      <c r="V8131" s="7"/>
      <c r="W8131" s="7"/>
      <c r="X8131" s="7"/>
      <c r="Y8131" s="7"/>
      <c r="Z8131" s="7"/>
    </row>
    <row r="8132" hidden="1">
      <c r="A8132" s="7"/>
      <c r="B8132" s="7"/>
      <c r="C8132" s="7"/>
      <c r="D8132" s="7"/>
      <c r="E8132" s="7"/>
      <c r="F8132" s="7"/>
      <c r="G8132" s="7"/>
      <c r="H8132" s="8"/>
      <c r="I8132" s="8"/>
      <c r="J8132" s="7"/>
      <c r="K8132" s="7"/>
      <c r="L8132" s="7"/>
      <c r="M8132" s="7"/>
      <c r="N8132" s="7"/>
      <c r="O8132" s="7"/>
      <c r="P8132" s="7"/>
      <c r="Q8132" s="7"/>
      <c r="R8132" s="7"/>
      <c r="S8132" s="7"/>
      <c r="T8132" s="7"/>
      <c r="U8132" s="7"/>
      <c r="V8132" s="7"/>
      <c r="W8132" s="7"/>
      <c r="X8132" s="7"/>
      <c r="Y8132" s="7"/>
      <c r="Z8132" s="7"/>
    </row>
    <row r="8133" hidden="1">
      <c r="A8133" s="7"/>
      <c r="B8133" s="7"/>
      <c r="C8133" s="7"/>
      <c r="D8133" s="7"/>
      <c r="E8133" s="7"/>
      <c r="F8133" s="7"/>
      <c r="G8133" s="7"/>
      <c r="H8133" s="8"/>
      <c r="I8133" s="8"/>
      <c r="J8133" s="7"/>
      <c r="K8133" s="7"/>
      <c r="L8133" s="7"/>
      <c r="M8133" s="7"/>
      <c r="N8133" s="7"/>
      <c r="O8133" s="7"/>
      <c r="P8133" s="7"/>
      <c r="Q8133" s="7"/>
      <c r="R8133" s="7"/>
      <c r="S8133" s="7"/>
      <c r="T8133" s="7"/>
      <c r="U8133" s="7"/>
      <c r="V8133" s="7"/>
      <c r="W8133" s="7"/>
      <c r="X8133" s="7"/>
      <c r="Y8133" s="7"/>
      <c r="Z8133" s="7"/>
    </row>
    <row r="8134" hidden="1">
      <c r="A8134" s="7"/>
      <c r="B8134" s="7"/>
      <c r="C8134" s="7"/>
      <c r="D8134" s="7"/>
      <c r="E8134" s="7"/>
      <c r="F8134" s="7"/>
      <c r="G8134" s="7"/>
      <c r="H8134" s="8"/>
      <c r="I8134" s="8"/>
      <c r="J8134" s="7"/>
      <c r="K8134" s="7"/>
      <c r="L8134" s="7"/>
      <c r="M8134" s="7"/>
      <c r="N8134" s="7"/>
      <c r="O8134" s="7"/>
      <c r="P8134" s="7"/>
      <c r="Q8134" s="7"/>
      <c r="R8134" s="7"/>
      <c r="S8134" s="7"/>
      <c r="T8134" s="7"/>
      <c r="U8134" s="7"/>
      <c r="V8134" s="7"/>
      <c r="W8134" s="7"/>
      <c r="X8134" s="7"/>
      <c r="Y8134" s="7"/>
      <c r="Z8134" s="7"/>
    </row>
    <row r="8135" hidden="1">
      <c r="A8135" s="7"/>
      <c r="B8135" s="7"/>
      <c r="C8135" s="7"/>
      <c r="D8135" s="7"/>
      <c r="E8135" s="7"/>
      <c r="F8135" s="7"/>
      <c r="G8135" s="7"/>
      <c r="H8135" s="8"/>
      <c r="I8135" s="8"/>
      <c r="J8135" s="7"/>
      <c r="K8135" s="7"/>
      <c r="L8135" s="7"/>
      <c r="M8135" s="7"/>
      <c r="N8135" s="7"/>
      <c r="O8135" s="7"/>
      <c r="P8135" s="7"/>
      <c r="Q8135" s="7"/>
      <c r="R8135" s="7"/>
      <c r="S8135" s="7"/>
      <c r="T8135" s="7"/>
      <c r="U8135" s="7"/>
      <c r="V8135" s="7"/>
      <c r="W8135" s="7"/>
      <c r="X8135" s="7"/>
      <c r="Y8135" s="7"/>
      <c r="Z8135" s="7"/>
    </row>
    <row r="8136" hidden="1">
      <c r="A8136" s="7"/>
      <c r="B8136" s="7"/>
      <c r="C8136" s="7"/>
      <c r="D8136" s="7"/>
      <c r="E8136" s="7"/>
      <c r="F8136" s="7"/>
      <c r="G8136" s="7"/>
      <c r="H8136" s="8"/>
      <c r="I8136" s="8"/>
      <c r="J8136" s="7"/>
      <c r="K8136" s="7"/>
      <c r="L8136" s="7"/>
      <c r="M8136" s="7"/>
      <c r="N8136" s="7"/>
      <c r="O8136" s="7"/>
      <c r="P8136" s="7"/>
      <c r="Q8136" s="7"/>
      <c r="R8136" s="7"/>
      <c r="S8136" s="7"/>
      <c r="T8136" s="7"/>
      <c r="U8136" s="7"/>
      <c r="V8136" s="7"/>
      <c r="W8136" s="7"/>
      <c r="X8136" s="7"/>
      <c r="Y8136" s="7"/>
      <c r="Z8136" s="7"/>
    </row>
    <row r="8137" hidden="1">
      <c r="A8137" s="7"/>
      <c r="B8137" s="7"/>
      <c r="C8137" s="7"/>
      <c r="D8137" s="7"/>
      <c r="E8137" s="7"/>
      <c r="F8137" s="7"/>
      <c r="G8137" s="7"/>
      <c r="H8137" s="8"/>
      <c r="I8137" s="8"/>
      <c r="J8137" s="7"/>
      <c r="K8137" s="7"/>
      <c r="L8137" s="7"/>
      <c r="M8137" s="7"/>
      <c r="N8137" s="7"/>
      <c r="O8137" s="7"/>
      <c r="P8137" s="7"/>
      <c r="Q8137" s="7"/>
      <c r="R8137" s="7"/>
      <c r="S8137" s="7"/>
      <c r="T8137" s="7"/>
      <c r="U8137" s="7"/>
      <c r="V8137" s="7"/>
      <c r="W8137" s="7"/>
      <c r="X8137" s="7"/>
      <c r="Y8137" s="7"/>
      <c r="Z8137" s="7"/>
    </row>
    <row r="8138" hidden="1">
      <c r="A8138" s="7"/>
      <c r="B8138" s="7"/>
      <c r="C8138" s="7"/>
      <c r="D8138" s="7"/>
      <c r="E8138" s="7"/>
      <c r="F8138" s="7"/>
      <c r="G8138" s="7"/>
      <c r="H8138" s="8"/>
      <c r="I8138" s="8"/>
      <c r="J8138" s="7"/>
      <c r="K8138" s="7"/>
      <c r="L8138" s="7"/>
      <c r="M8138" s="7"/>
      <c r="N8138" s="7"/>
      <c r="O8138" s="7"/>
      <c r="P8138" s="7"/>
      <c r="Q8138" s="7"/>
      <c r="R8138" s="7"/>
      <c r="S8138" s="7"/>
      <c r="T8138" s="7"/>
      <c r="U8138" s="7"/>
      <c r="V8138" s="7"/>
      <c r="W8138" s="7"/>
      <c r="X8138" s="7"/>
      <c r="Y8138" s="7"/>
      <c r="Z8138" s="7"/>
    </row>
    <row r="8139" hidden="1">
      <c r="A8139" s="7"/>
      <c r="B8139" s="7"/>
      <c r="C8139" s="7"/>
      <c r="D8139" s="7"/>
      <c r="E8139" s="7"/>
      <c r="F8139" s="7"/>
      <c r="G8139" s="7"/>
      <c r="H8139" s="8"/>
      <c r="I8139" s="8"/>
      <c r="J8139" s="7"/>
      <c r="K8139" s="7"/>
      <c r="L8139" s="7"/>
      <c r="M8139" s="7"/>
      <c r="N8139" s="7"/>
      <c r="O8139" s="7"/>
      <c r="P8139" s="7"/>
      <c r="Q8139" s="7"/>
      <c r="R8139" s="7"/>
      <c r="S8139" s="7"/>
      <c r="T8139" s="7"/>
      <c r="U8139" s="7"/>
      <c r="V8139" s="7"/>
      <c r="W8139" s="7"/>
      <c r="X8139" s="7"/>
      <c r="Y8139" s="7"/>
      <c r="Z8139" s="7"/>
    </row>
    <row r="8140" hidden="1">
      <c r="A8140" s="7"/>
      <c r="B8140" s="7"/>
      <c r="C8140" s="7"/>
      <c r="D8140" s="7"/>
      <c r="E8140" s="7"/>
      <c r="F8140" s="7"/>
      <c r="G8140" s="7"/>
      <c r="H8140" s="8"/>
      <c r="I8140" s="8"/>
      <c r="J8140" s="7"/>
      <c r="K8140" s="7"/>
      <c r="L8140" s="7"/>
      <c r="M8140" s="7"/>
      <c r="N8140" s="7"/>
      <c r="O8140" s="7"/>
      <c r="P8140" s="7"/>
      <c r="Q8140" s="7"/>
      <c r="R8140" s="7"/>
      <c r="S8140" s="7"/>
      <c r="T8140" s="7"/>
      <c r="U8140" s="7"/>
      <c r="V8140" s="7"/>
      <c r="W8140" s="7"/>
      <c r="X8140" s="7"/>
      <c r="Y8140" s="7"/>
      <c r="Z8140" s="7"/>
    </row>
    <row r="8141" hidden="1">
      <c r="A8141" s="7"/>
      <c r="B8141" s="7"/>
      <c r="C8141" s="7"/>
      <c r="D8141" s="7"/>
      <c r="E8141" s="7"/>
      <c r="F8141" s="7"/>
      <c r="G8141" s="7"/>
      <c r="H8141" s="8"/>
      <c r="I8141" s="8"/>
      <c r="J8141" s="7"/>
      <c r="K8141" s="7"/>
      <c r="L8141" s="7"/>
      <c r="M8141" s="7"/>
      <c r="N8141" s="7"/>
      <c r="O8141" s="7"/>
      <c r="P8141" s="7"/>
      <c r="Q8141" s="7"/>
      <c r="R8141" s="7"/>
      <c r="S8141" s="7"/>
      <c r="T8141" s="7"/>
      <c r="U8141" s="7"/>
      <c r="V8141" s="7"/>
      <c r="W8141" s="7"/>
      <c r="X8141" s="7"/>
      <c r="Y8141" s="7"/>
      <c r="Z8141" s="7"/>
    </row>
    <row r="8142" hidden="1">
      <c r="A8142" s="7"/>
      <c r="B8142" s="7"/>
      <c r="C8142" s="7"/>
      <c r="D8142" s="7"/>
      <c r="E8142" s="7"/>
      <c r="F8142" s="7"/>
      <c r="G8142" s="7"/>
      <c r="H8142" s="8"/>
      <c r="I8142" s="8"/>
      <c r="J8142" s="7"/>
      <c r="K8142" s="7"/>
      <c r="L8142" s="7"/>
      <c r="M8142" s="7"/>
      <c r="N8142" s="7"/>
      <c r="O8142" s="7"/>
      <c r="P8142" s="7"/>
      <c r="Q8142" s="7"/>
      <c r="R8142" s="7"/>
      <c r="S8142" s="7"/>
      <c r="T8142" s="7"/>
      <c r="U8142" s="7"/>
      <c r="V8142" s="7"/>
      <c r="W8142" s="7"/>
      <c r="X8142" s="7"/>
      <c r="Y8142" s="7"/>
      <c r="Z8142" s="7"/>
    </row>
    <row r="8143" hidden="1">
      <c r="A8143" s="7"/>
      <c r="B8143" s="7"/>
      <c r="C8143" s="7"/>
      <c r="D8143" s="7"/>
      <c r="E8143" s="7"/>
      <c r="F8143" s="7"/>
      <c r="G8143" s="7"/>
      <c r="H8143" s="8"/>
      <c r="I8143" s="8"/>
      <c r="J8143" s="7"/>
      <c r="K8143" s="7"/>
      <c r="L8143" s="7"/>
      <c r="M8143" s="7"/>
      <c r="N8143" s="7"/>
      <c r="O8143" s="7"/>
      <c r="P8143" s="7"/>
      <c r="Q8143" s="7"/>
      <c r="R8143" s="7"/>
      <c r="S8143" s="7"/>
      <c r="T8143" s="7"/>
      <c r="U8143" s="7"/>
      <c r="V8143" s="7"/>
      <c r="W8143" s="7"/>
      <c r="X8143" s="7"/>
      <c r="Y8143" s="7"/>
      <c r="Z8143" s="7"/>
    </row>
    <row r="8144" hidden="1">
      <c r="A8144" s="7"/>
      <c r="B8144" s="7"/>
      <c r="C8144" s="7"/>
      <c r="D8144" s="7"/>
      <c r="E8144" s="7"/>
      <c r="F8144" s="7"/>
      <c r="G8144" s="7"/>
      <c r="H8144" s="8"/>
      <c r="I8144" s="8"/>
      <c r="J8144" s="7"/>
      <c r="K8144" s="7"/>
      <c r="L8144" s="7"/>
      <c r="M8144" s="7"/>
      <c r="N8144" s="7"/>
      <c r="O8144" s="7"/>
      <c r="P8144" s="7"/>
      <c r="Q8144" s="7"/>
      <c r="R8144" s="7"/>
      <c r="S8144" s="7"/>
      <c r="T8144" s="7"/>
      <c r="U8144" s="7"/>
      <c r="V8144" s="7"/>
      <c r="W8144" s="7"/>
      <c r="X8144" s="7"/>
      <c r="Y8144" s="7"/>
      <c r="Z8144" s="7"/>
    </row>
    <row r="8145" hidden="1">
      <c r="A8145" s="7"/>
      <c r="B8145" s="7"/>
      <c r="C8145" s="7"/>
      <c r="D8145" s="7"/>
      <c r="E8145" s="7"/>
      <c r="F8145" s="7"/>
      <c r="G8145" s="7"/>
      <c r="H8145" s="8"/>
      <c r="I8145" s="8"/>
      <c r="J8145" s="7"/>
      <c r="K8145" s="7"/>
      <c r="L8145" s="7"/>
      <c r="M8145" s="7"/>
      <c r="N8145" s="7"/>
      <c r="O8145" s="7"/>
      <c r="P8145" s="7"/>
      <c r="Q8145" s="7"/>
      <c r="R8145" s="7"/>
      <c r="S8145" s="7"/>
      <c r="T8145" s="7"/>
      <c r="U8145" s="7"/>
      <c r="V8145" s="7"/>
      <c r="W8145" s="7"/>
      <c r="X8145" s="7"/>
      <c r="Y8145" s="7"/>
      <c r="Z8145" s="7"/>
    </row>
    <row r="8146" hidden="1">
      <c r="A8146" s="7"/>
      <c r="B8146" s="7"/>
      <c r="C8146" s="7"/>
      <c r="D8146" s="7"/>
      <c r="E8146" s="7"/>
      <c r="F8146" s="7"/>
      <c r="G8146" s="7"/>
      <c r="H8146" s="8"/>
      <c r="I8146" s="8"/>
      <c r="J8146" s="7"/>
      <c r="K8146" s="7"/>
      <c r="L8146" s="7"/>
      <c r="M8146" s="7"/>
      <c r="N8146" s="7"/>
      <c r="O8146" s="7"/>
      <c r="P8146" s="7"/>
      <c r="Q8146" s="7"/>
      <c r="R8146" s="7"/>
      <c r="S8146" s="7"/>
      <c r="T8146" s="7"/>
      <c r="U8146" s="7"/>
      <c r="V8146" s="7"/>
      <c r="W8146" s="7"/>
      <c r="X8146" s="7"/>
      <c r="Y8146" s="7"/>
      <c r="Z8146" s="7"/>
    </row>
    <row r="8147" hidden="1">
      <c r="A8147" s="7"/>
      <c r="B8147" s="7"/>
      <c r="C8147" s="7"/>
      <c r="D8147" s="7"/>
      <c r="E8147" s="7"/>
      <c r="F8147" s="7"/>
      <c r="G8147" s="7"/>
      <c r="H8147" s="8"/>
      <c r="I8147" s="8"/>
      <c r="J8147" s="7"/>
      <c r="K8147" s="7"/>
      <c r="L8147" s="7"/>
      <c r="M8147" s="7"/>
      <c r="N8147" s="7"/>
      <c r="O8147" s="7"/>
      <c r="P8147" s="7"/>
      <c r="Q8147" s="7"/>
      <c r="R8147" s="7"/>
      <c r="S8147" s="7"/>
      <c r="T8147" s="7"/>
      <c r="U8147" s="7"/>
      <c r="V8147" s="7"/>
      <c r="W8147" s="7"/>
      <c r="X8147" s="7"/>
      <c r="Y8147" s="7"/>
      <c r="Z8147" s="7"/>
    </row>
    <row r="8148" hidden="1">
      <c r="A8148" s="7"/>
      <c r="B8148" s="7"/>
      <c r="C8148" s="7"/>
      <c r="D8148" s="7"/>
      <c r="E8148" s="7"/>
      <c r="F8148" s="7"/>
      <c r="G8148" s="7"/>
      <c r="H8148" s="8"/>
      <c r="I8148" s="8"/>
      <c r="J8148" s="7"/>
      <c r="K8148" s="7"/>
      <c r="L8148" s="7"/>
      <c r="M8148" s="7"/>
      <c r="N8148" s="7"/>
      <c r="O8148" s="7"/>
      <c r="P8148" s="7"/>
      <c r="Q8148" s="7"/>
      <c r="R8148" s="7"/>
      <c r="S8148" s="7"/>
      <c r="T8148" s="7"/>
      <c r="U8148" s="7"/>
      <c r="V8148" s="7"/>
      <c r="W8148" s="7"/>
      <c r="X8148" s="7"/>
      <c r="Y8148" s="7"/>
      <c r="Z8148" s="7"/>
    </row>
    <row r="8149" hidden="1">
      <c r="A8149" s="7"/>
      <c r="B8149" s="7"/>
      <c r="C8149" s="7"/>
      <c r="D8149" s="7"/>
      <c r="E8149" s="7"/>
      <c r="F8149" s="7"/>
      <c r="G8149" s="7"/>
      <c r="H8149" s="8"/>
      <c r="I8149" s="8"/>
      <c r="J8149" s="7"/>
      <c r="K8149" s="7"/>
      <c r="L8149" s="7"/>
      <c r="M8149" s="7"/>
      <c r="N8149" s="7"/>
      <c r="O8149" s="7"/>
      <c r="P8149" s="7"/>
      <c r="Q8149" s="7"/>
      <c r="R8149" s="7"/>
      <c r="S8149" s="7"/>
      <c r="T8149" s="7"/>
      <c r="U8149" s="7"/>
      <c r="V8149" s="7"/>
      <c r="W8149" s="7"/>
      <c r="X8149" s="7"/>
      <c r="Y8149" s="7"/>
      <c r="Z8149" s="7"/>
    </row>
    <row r="8150" hidden="1">
      <c r="A8150" s="7"/>
      <c r="B8150" s="7"/>
      <c r="C8150" s="7"/>
      <c r="D8150" s="7"/>
      <c r="E8150" s="7"/>
      <c r="F8150" s="7"/>
      <c r="G8150" s="7"/>
      <c r="H8150" s="8"/>
      <c r="I8150" s="8"/>
      <c r="J8150" s="7"/>
      <c r="K8150" s="7"/>
      <c r="L8150" s="7"/>
      <c r="M8150" s="7"/>
      <c r="N8150" s="7"/>
      <c r="O8150" s="7"/>
      <c r="P8150" s="7"/>
      <c r="Q8150" s="7"/>
      <c r="R8150" s="7"/>
      <c r="S8150" s="7"/>
      <c r="T8150" s="7"/>
      <c r="U8150" s="7"/>
      <c r="V8150" s="7"/>
      <c r="W8150" s="7"/>
      <c r="X8150" s="7"/>
      <c r="Y8150" s="7"/>
      <c r="Z8150" s="7"/>
    </row>
    <row r="8151" hidden="1">
      <c r="A8151" s="7"/>
      <c r="B8151" s="7"/>
      <c r="C8151" s="7"/>
      <c r="D8151" s="7"/>
      <c r="E8151" s="7"/>
      <c r="F8151" s="7"/>
      <c r="G8151" s="7"/>
      <c r="H8151" s="8"/>
      <c r="I8151" s="8"/>
      <c r="J8151" s="7"/>
      <c r="K8151" s="7"/>
      <c r="L8151" s="7"/>
      <c r="M8151" s="7"/>
      <c r="N8151" s="7"/>
      <c r="O8151" s="7"/>
      <c r="P8151" s="7"/>
      <c r="Q8151" s="7"/>
      <c r="R8151" s="7"/>
      <c r="S8151" s="7"/>
      <c r="T8151" s="7"/>
      <c r="U8151" s="7"/>
      <c r="V8151" s="7"/>
      <c r="W8151" s="7"/>
      <c r="X8151" s="7"/>
      <c r="Y8151" s="7"/>
      <c r="Z8151" s="7"/>
    </row>
    <row r="8152" hidden="1">
      <c r="A8152" s="7"/>
      <c r="B8152" s="7"/>
      <c r="C8152" s="7"/>
      <c r="D8152" s="7"/>
      <c r="E8152" s="7"/>
      <c r="F8152" s="7"/>
      <c r="G8152" s="7"/>
      <c r="H8152" s="8"/>
      <c r="I8152" s="8"/>
      <c r="J8152" s="7"/>
      <c r="K8152" s="7"/>
      <c r="L8152" s="7"/>
      <c r="M8152" s="7"/>
      <c r="N8152" s="7"/>
      <c r="O8152" s="7"/>
      <c r="P8152" s="7"/>
      <c r="Q8152" s="7"/>
      <c r="R8152" s="7"/>
      <c r="S8152" s="7"/>
      <c r="T8152" s="7"/>
      <c r="U8152" s="7"/>
      <c r="V8152" s="7"/>
      <c r="W8152" s="7"/>
      <c r="X8152" s="7"/>
      <c r="Y8152" s="7"/>
      <c r="Z8152" s="7"/>
    </row>
    <row r="8153" hidden="1">
      <c r="A8153" s="7"/>
      <c r="B8153" s="7"/>
      <c r="C8153" s="7"/>
      <c r="D8153" s="7"/>
      <c r="E8153" s="7"/>
      <c r="F8153" s="7"/>
      <c r="G8153" s="7"/>
      <c r="H8153" s="8"/>
      <c r="I8153" s="8"/>
      <c r="J8153" s="7"/>
      <c r="K8153" s="7"/>
      <c r="L8153" s="7"/>
      <c r="M8153" s="7"/>
      <c r="N8153" s="7"/>
      <c r="O8153" s="7"/>
      <c r="P8153" s="7"/>
      <c r="Q8153" s="7"/>
      <c r="R8153" s="7"/>
      <c r="S8153" s="7"/>
      <c r="T8153" s="7"/>
      <c r="U8153" s="7"/>
      <c r="V8153" s="7"/>
      <c r="W8153" s="7"/>
      <c r="X8153" s="7"/>
      <c r="Y8153" s="7"/>
      <c r="Z8153" s="7"/>
    </row>
    <row r="8154" hidden="1">
      <c r="A8154" s="7"/>
      <c r="B8154" s="7"/>
      <c r="C8154" s="7"/>
      <c r="D8154" s="7"/>
      <c r="E8154" s="7"/>
      <c r="F8154" s="7"/>
      <c r="G8154" s="7"/>
      <c r="H8154" s="8"/>
      <c r="I8154" s="8"/>
      <c r="J8154" s="7"/>
      <c r="K8154" s="7"/>
      <c r="L8154" s="7"/>
      <c r="M8154" s="7"/>
      <c r="N8154" s="7"/>
      <c r="O8154" s="7"/>
      <c r="P8154" s="7"/>
      <c r="Q8154" s="7"/>
      <c r="R8154" s="7"/>
      <c r="S8154" s="7"/>
      <c r="T8154" s="7"/>
      <c r="U8154" s="7"/>
      <c r="V8154" s="7"/>
      <c r="W8154" s="7"/>
      <c r="X8154" s="7"/>
      <c r="Y8154" s="7"/>
      <c r="Z8154" s="7"/>
    </row>
    <row r="8155" hidden="1">
      <c r="A8155" s="7"/>
      <c r="B8155" s="7"/>
      <c r="C8155" s="7"/>
      <c r="D8155" s="7"/>
      <c r="E8155" s="7"/>
      <c r="F8155" s="7"/>
      <c r="G8155" s="7"/>
      <c r="H8155" s="8"/>
      <c r="I8155" s="8"/>
      <c r="J8155" s="7"/>
      <c r="K8155" s="7"/>
      <c r="L8155" s="7"/>
      <c r="M8155" s="7"/>
      <c r="N8155" s="7"/>
      <c r="O8155" s="7"/>
      <c r="P8155" s="7"/>
      <c r="Q8155" s="7"/>
      <c r="R8155" s="7"/>
      <c r="S8155" s="7"/>
      <c r="T8155" s="7"/>
      <c r="U8155" s="7"/>
      <c r="V8155" s="7"/>
      <c r="W8155" s="7"/>
      <c r="X8155" s="7"/>
      <c r="Y8155" s="7"/>
      <c r="Z8155" s="7"/>
    </row>
    <row r="8156" hidden="1">
      <c r="A8156" s="7"/>
      <c r="B8156" s="7"/>
      <c r="C8156" s="7"/>
      <c r="D8156" s="7"/>
      <c r="E8156" s="7"/>
      <c r="F8156" s="7"/>
      <c r="G8156" s="7"/>
      <c r="H8156" s="8"/>
      <c r="I8156" s="8"/>
      <c r="J8156" s="7"/>
      <c r="K8156" s="7"/>
      <c r="L8156" s="7"/>
      <c r="M8156" s="7"/>
      <c r="N8156" s="7"/>
      <c r="O8156" s="7"/>
      <c r="P8156" s="7"/>
      <c r="Q8156" s="7"/>
      <c r="R8156" s="7"/>
      <c r="S8156" s="7"/>
      <c r="T8156" s="7"/>
      <c r="U8156" s="7"/>
      <c r="V8156" s="7"/>
      <c r="W8156" s="7"/>
      <c r="X8156" s="7"/>
      <c r="Y8156" s="7"/>
      <c r="Z8156" s="7"/>
    </row>
    <row r="8157" hidden="1">
      <c r="A8157" s="7"/>
      <c r="B8157" s="7"/>
      <c r="C8157" s="7"/>
      <c r="D8157" s="7"/>
      <c r="E8157" s="7"/>
      <c r="F8157" s="7"/>
      <c r="G8157" s="7"/>
      <c r="H8157" s="8"/>
      <c r="I8157" s="8"/>
      <c r="J8157" s="7"/>
      <c r="K8157" s="7"/>
      <c r="L8157" s="7"/>
      <c r="M8157" s="7"/>
      <c r="N8157" s="7"/>
      <c r="O8157" s="7"/>
      <c r="P8157" s="7"/>
      <c r="Q8157" s="7"/>
      <c r="R8157" s="7"/>
      <c r="S8157" s="7"/>
      <c r="T8157" s="7"/>
      <c r="U8157" s="7"/>
      <c r="V8157" s="7"/>
      <c r="W8157" s="7"/>
      <c r="X8157" s="7"/>
      <c r="Y8157" s="7"/>
      <c r="Z8157" s="7"/>
    </row>
    <row r="8158" hidden="1">
      <c r="A8158" s="7"/>
      <c r="B8158" s="7"/>
      <c r="C8158" s="7"/>
      <c r="D8158" s="7"/>
      <c r="E8158" s="7"/>
      <c r="F8158" s="7"/>
      <c r="G8158" s="7"/>
      <c r="H8158" s="8"/>
      <c r="I8158" s="8"/>
      <c r="J8158" s="7"/>
      <c r="K8158" s="7"/>
      <c r="L8158" s="7"/>
      <c r="M8158" s="7"/>
      <c r="N8158" s="7"/>
      <c r="O8158" s="7"/>
      <c r="P8158" s="7"/>
      <c r="Q8158" s="7"/>
      <c r="R8158" s="7"/>
      <c r="S8158" s="7"/>
      <c r="T8158" s="7"/>
      <c r="U8158" s="7"/>
      <c r="V8158" s="7"/>
      <c r="W8158" s="7"/>
      <c r="X8158" s="7"/>
      <c r="Y8158" s="7"/>
      <c r="Z8158" s="7"/>
    </row>
    <row r="8159" hidden="1">
      <c r="A8159" s="7"/>
      <c r="B8159" s="7"/>
      <c r="C8159" s="7"/>
      <c r="D8159" s="7"/>
      <c r="E8159" s="7"/>
      <c r="F8159" s="7"/>
      <c r="G8159" s="7"/>
      <c r="H8159" s="8"/>
      <c r="I8159" s="8"/>
      <c r="J8159" s="7"/>
      <c r="K8159" s="7"/>
      <c r="L8159" s="7"/>
      <c r="M8159" s="7"/>
      <c r="N8159" s="7"/>
      <c r="O8159" s="7"/>
      <c r="P8159" s="7"/>
      <c r="Q8159" s="7"/>
      <c r="R8159" s="7"/>
      <c r="S8159" s="7"/>
      <c r="T8159" s="7"/>
      <c r="U8159" s="7"/>
      <c r="V8159" s="7"/>
      <c r="W8159" s="7"/>
      <c r="X8159" s="7"/>
      <c r="Y8159" s="7"/>
      <c r="Z8159" s="7"/>
    </row>
    <row r="8160" hidden="1">
      <c r="A8160" s="7"/>
      <c r="B8160" s="7"/>
      <c r="C8160" s="7"/>
      <c r="D8160" s="7"/>
      <c r="E8160" s="7"/>
      <c r="F8160" s="7"/>
      <c r="G8160" s="7"/>
      <c r="H8160" s="8"/>
      <c r="I8160" s="8"/>
      <c r="J8160" s="7"/>
      <c r="K8160" s="7"/>
      <c r="L8160" s="7"/>
      <c r="M8160" s="7"/>
      <c r="N8160" s="7"/>
      <c r="O8160" s="7"/>
      <c r="P8160" s="7"/>
      <c r="Q8160" s="7"/>
      <c r="R8160" s="7"/>
      <c r="S8160" s="7"/>
      <c r="T8160" s="7"/>
      <c r="U8160" s="7"/>
      <c r="V8160" s="7"/>
      <c r="W8160" s="7"/>
      <c r="X8160" s="7"/>
      <c r="Y8160" s="7"/>
      <c r="Z8160" s="7"/>
    </row>
    <row r="8161" hidden="1">
      <c r="A8161" s="7"/>
      <c r="B8161" s="7"/>
      <c r="C8161" s="7"/>
      <c r="D8161" s="7"/>
      <c r="E8161" s="7"/>
      <c r="F8161" s="7"/>
      <c r="G8161" s="7"/>
      <c r="H8161" s="8"/>
      <c r="I8161" s="8"/>
      <c r="J8161" s="7"/>
      <c r="K8161" s="7"/>
      <c r="L8161" s="7"/>
      <c r="M8161" s="7"/>
      <c r="N8161" s="7"/>
      <c r="O8161" s="7"/>
      <c r="P8161" s="7"/>
      <c r="Q8161" s="7"/>
      <c r="R8161" s="7"/>
      <c r="S8161" s="7"/>
      <c r="T8161" s="7"/>
      <c r="U8161" s="7"/>
      <c r="V8161" s="7"/>
      <c r="W8161" s="7"/>
      <c r="X8161" s="7"/>
      <c r="Y8161" s="7"/>
      <c r="Z8161" s="7"/>
    </row>
    <row r="8162" hidden="1">
      <c r="A8162" s="7"/>
      <c r="B8162" s="7"/>
      <c r="C8162" s="7"/>
      <c r="D8162" s="7"/>
      <c r="E8162" s="7"/>
      <c r="F8162" s="7"/>
      <c r="G8162" s="7"/>
      <c r="H8162" s="8"/>
      <c r="I8162" s="8"/>
      <c r="J8162" s="7"/>
      <c r="K8162" s="7"/>
      <c r="L8162" s="7"/>
      <c r="M8162" s="7"/>
      <c r="N8162" s="7"/>
      <c r="O8162" s="7"/>
      <c r="P8162" s="7"/>
      <c r="Q8162" s="7"/>
      <c r="R8162" s="7"/>
      <c r="S8162" s="7"/>
      <c r="T8162" s="7"/>
      <c r="U8162" s="7"/>
      <c r="V8162" s="7"/>
      <c r="W8162" s="7"/>
      <c r="X8162" s="7"/>
      <c r="Y8162" s="7"/>
      <c r="Z8162" s="7"/>
    </row>
    <row r="8163" hidden="1">
      <c r="A8163" s="7"/>
      <c r="B8163" s="7"/>
      <c r="C8163" s="7"/>
      <c r="D8163" s="7"/>
      <c r="E8163" s="7"/>
      <c r="F8163" s="7"/>
      <c r="G8163" s="7"/>
      <c r="H8163" s="8"/>
      <c r="I8163" s="8"/>
      <c r="J8163" s="7"/>
      <c r="K8163" s="7"/>
      <c r="L8163" s="7"/>
      <c r="M8163" s="7"/>
      <c r="N8163" s="7"/>
      <c r="O8163" s="7"/>
      <c r="P8163" s="7"/>
      <c r="Q8163" s="7"/>
      <c r="R8163" s="7"/>
      <c r="S8163" s="7"/>
      <c r="T8163" s="7"/>
      <c r="U8163" s="7"/>
      <c r="V8163" s="7"/>
      <c r="W8163" s="7"/>
      <c r="X8163" s="7"/>
      <c r="Y8163" s="7"/>
      <c r="Z8163" s="7"/>
    </row>
    <row r="8164" hidden="1">
      <c r="A8164" s="7"/>
      <c r="B8164" s="7"/>
      <c r="C8164" s="7"/>
      <c r="D8164" s="7"/>
      <c r="E8164" s="7"/>
      <c r="F8164" s="7"/>
      <c r="G8164" s="7"/>
      <c r="H8164" s="8"/>
      <c r="I8164" s="8"/>
      <c r="J8164" s="7"/>
      <c r="K8164" s="7"/>
      <c r="L8164" s="7"/>
      <c r="M8164" s="7"/>
      <c r="N8164" s="7"/>
      <c r="O8164" s="7"/>
      <c r="P8164" s="7"/>
      <c r="Q8164" s="7"/>
      <c r="R8164" s="7"/>
      <c r="S8164" s="7"/>
      <c r="T8164" s="7"/>
      <c r="U8164" s="7"/>
      <c r="V8164" s="7"/>
      <c r="W8164" s="7"/>
      <c r="X8164" s="7"/>
      <c r="Y8164" s="7"/>
      <c r="Z8164" s="7"/>
    </row>
    <row r="8165" hidden="1">
      <c r="A8165" s="7"/>
      <c r="B8165" s="7"/>
      <c r="C8165" s="7"/>
      <c r="D8165" s="7"/>
      <c r="E8165" s="7"/>
      <c r="F8165" s="7"/>
      <c r="G8165" s="7"/>
      <c r="H8165" s="8"/>
      <c r="I8165" s="8"/>
      <c r="J8165" s="7"/>
      <c r="K8165" s="7"/>
      <c r="L8165" s="7"/>
      <c r="M8165" s="7"/>
      <c r="N8165" s="7"/>
      <c r="O8165" s="7"/>
      <c r="P8165" s="7"/>
      <c r="Q8165" s="7"/>
      <c r="R8165" s="7"/>
      <c r="S8165" s="7"/>
      <c r="T8165" s="7"/>
      <c r="U8165" s="7"/>
      <c r="V8165" s="7"/>
      <c r="W8165" s="7"/>
      <c r="X8165" s="7"/>
      <c r="Y8165" s="7"/>
      <c r="Z8165" s="7"/>
    </row>
    <row r="8166" hidden="1">
      <c r="A8166" s="7"/>
      <c r="B8166" s="7"/>
      <c r="C8166" s="7"/>
      <c r="D8166" s="7"/>
      <c r="E8166" s="7"/>
      <c r="F8166" s="7"/>
      <c r="G8166" s="7"/>
      <c r="H8166" s="8"/>
      <c r="I8166" s="8"/>
      <c r="J8166" s="7"/>
      <c r="K8166" s="7"/>
      <c r="L8166" s="7"/>
      <c r="M8166" s="7"/>
      <c r="N8166" s="7"/>
      <c r="O8166" s="7"/>
      <c r="P8166" s="7"/>
      <c r="Q8166" s="7"/>
      <c r="R8166" s="7"/>
      <c r="S8166" s="7"/>
      <c r="T8166" s="7"/>
      <c r="U8166" s="7"/>
      <c r="V8166" s="7"/>
      <c r="W8166" s="7"/>
      <c r="X8166" s="7"/>
      <c r="Y8166" s="7"/>
      <c r="Z8166" s="7"/>
    </row>
    <row r="8167" hidden="1">
      <c r="A8167" s="7"/>
      <c r="B8167" s="7"/>
      <c r="C8167" s="7"/>
      <c r="D8167" s="7"/>
      <c r="E8167" s="7"/>
      <c r="F8167" s="7"/>
      <c r="G8167" s="7"/>
      <c r="H8167" s="8"/>
      <c r="I8167" s="8"/>
      <c r="J8167" s="7"/>
      <c r="K8167" s="7"/>
      <c r="L8167" s="7"/>
      <c r="M8167" s="7"/>
      <c r="N8167" s="7"/>
      <c r="O8167" s="7"/>
      <c r="P8167" s="7"/>
      <c r="Q8167" s="7"/>
      <c r="R8167" s="7"/>
      <c r="S8167" s="7"/>
      <c r="T8167" s="7"/>
      <c r="U8167" s="7"/>
      <c r="V8167" s="7"/>
      <c r="W8167" s="7"/>
      <c r="X8167" s="7"/>
      <c r="Y8167" s="7"/>
      <c r="Z8167" s="7"/>
    </row>
    <row r="8168" hidden="1">
      <c r="A8168" s="7"/>
      <c r="B8168" s="7"/>
      <c r="C8168" s="7"/>
      <c r="D8168" s="7"/>
      <c r="E8168" s="7"/>
      <c r="F8168" s="7"/>
      <c r="G8168" s="7"/>
      <c r="H8168" s="8"/>
      <c r="I8168" s="8"/>
      <c r="J8168" s="7"/>
      <c r="K8168" s="7"/>
      <c r="L8168" s="7"/>
      <c r="M8168" s="7"/>
      <c r="N8168" s="7"/>
      <c r="O8168" s="7"/>
      <c r="P8168" s="7"/>
      <c r="Q8168" s="7"/>
      <c r="R8168" s="7"/>
      <c r="S8168" s="7"/>
      <c r="T8168" s="7"/>
      <c r="U8168" s="7"/>
      <c r="V8168" s="7"/>
      <c r="W8168" s="7"/>
      <c r="X8168" s="7"/>
      <c r="Y8168" s="7"/>
      <c r="Z8168" s="7"/>
    </row>
    <row r="8169" hidden="1">
      <c r="A8169" s="7"/>
      <c r="B8169" s="7"/>
      <c r="C8169" s="7"/>
      <c r="D8169" s="7"/>
      <c r="E8169" s="7"/>
      <c r="F8169" s="7"/>
      <c r="G8169" s="7"/>
      <c r="H8169" s="8"/>
      <c r="I8169" s="8"/>
      <c r="J8169" s="7"/>
      <c r="K8169" s="7"/>
      <c r="L8169" s="7"/>
      <c r="M8169" s="7"/>
      <c r="N8169" s="7"/>
      <c r="O8169" s="7"/>
      <c r="P8169" s="7"/>
      <c r="Q8169" s="7"/>
      <c r="R8169" s="7"/>
      <c r="S8169" s="7"/>
      <c r="T8169" s="7"/>
      <c r="U8169" s="7"/>
      <c r="V8169" s="7"/>
      <c r="W8169" s="7"/>
      <c r="X8169" s="7"/>
      <c r="Y8169" s="7"/>
      <c r="Z8169" s="7"/>
    </row>
    <row r="8170" hidden="1">
      <c r="A8170" s="7"/>
      <c r="B8170" s="7"/>
      <c r="C8170" s="7"/>
      <c r="D8170" s="7"/>
      <c r="E8170" s="7"/>
      <c r="F8170" s="7"/>
      <c r="G8170" s="7"/>
      <c r="H8170" s="8"/>
      <c r="I8170" s="8"/>
      <c r="J8170" s="7"/>
      <c r="K8170" s="7"/>
      <c r="L8170" s="7"/>
      <c r="M8170" s="7"/>
      <c r="N8170" s="7"/>
      <c r="O8170" s="7"/>
      <c r="P8170" s="7"/>
      <c r="Q8170" s="7"/>
      <c r="R8170" s="7"/>
      <c r="S8170" s="7"/>
      <c r="T8170" s="7"/>
      <c r="U8170" s="7"/>
      <c r="V8170" s="7"/>
      <c r="W8170" s="7"/>
      <c r="X8170" s="7"/>
      <c r="Y8170" s="7"/>
      <c r="Z8170" s="7"/>
    </row>
    <row r="8171" hidden="1">
      <c r="A8171" s="7"/>
      <c r="B8171" s="7"/>
      <c r="C8171" s="7"/>
      <c r="D8171" s="7"/>
      <c r="E8171" s="7"/>
      <c r="F8171" s="7"/>
      <c r="G8171" s="7"/>
      <c r="H8171" s="8"/>
      <c r="I8171" s="8"/>
      <c r="J8171" s="7"/>
      <c r="K8171" s="7"/>
      <c r="L8171" s="7"/>
      <c r="M8171" s="7"/>
      <c r="N8171" s="7"/>
      <c r="O8171" s="7"/>
      <c r="P8171" s="7"/>
      <c r="Q8171" s="7"/>
      <c r="R8171" s="7"/>
      <c r="S8171" s="7"/>
      <c r="T8171" s="7"/>
      <c r="U8171" s="7"/>
      <c r="V8171" s="7"/>
      <c r="W8171" s="7"/>
      <c r="X8171" s="7"/>
      <c r="Y8171" s="7"/>
      <c r="Z8171" s="7"/>
    </row>
    <row r="8172" hidden="1">
      <c r="A8172" s="7"/>
      <c r="B8172" s="7"/>
      <c r="C8172" s="7"/>
      <c r="D8172" s="7"/>
      <c r="E8172" s="7"/>
      <c r="F8172" s="7"/>
      <c r="G8172" s="7"/>
      <c r="H8172" s="8"/>
      <c r="I8172" s="8"/>
      <c r="J8172" s="7"/>
      <c r="K8172" s="7"/>
      <c r="L8172" s="7"/>
      <c r="M8172" s="7"/>
      <c r="N8172" s="7"/>
      <c r="O8172" s="7"/>
      <c r="P8172" s="7"/>
      <c r="Q8172" s="7"/>
      <c r="R8172" s="7"/>
      <c r="S8172" s="7"/>
      <c r="T8172" s="7"/>
      <c r="U8172" s="7"/>
      <c r="V8172" s="7"/>
      <c r="W8172" s="7"/>
      <c r="X8172" s="7"/>
      <c r="Y8172" s="7"/>
      <c r="Z8172" s="7"/>
    </row>
    <row r="8173" hidden="1">
      <c r="A8173" s="7"/>
      <c r="B8173" s="7"/>
      <c r="C8173" s="7"/>
      <c r="D8173" s="7"/>
      <c r="E8173" s="7"/>
      <c r="F8173" s="7"/>
      <c r="G8173" s="7"/>
      <c r="H8173" s="8"/>
      <c r="I8173" s="8"/>
      <c r="J8173" s="7"/>
      <c r="K8173" s="7"/>
      <c r="L8173" s="7"/>
      <c r="M8173" s="7"/>
      <c r="N8173" s="7"/>
      <c r="O8173" s="7"/>
      <c r="P8173" s="7"/>
      <c r="Q8173" s="7"/>
      <c r="R8173" s="7"/>
      <c r="S8173" s="7"/>
      <c r="T8173" s="7"/>
      <c r="U8173" s="7"/>
      <c r="V8173" s="7"/>
      <c r="W8173" s="7"/>
      <c r="X8173" s="7"/>
      <c r="Y8173" s="7"/>
      <c r="Z8173" s="7"/>
    </row>
    <row r="8174" hidden="1">
      <c r="A8174" s="7"/>
      <c r="B8174" s="7"/>
      <c r="C8174" s="7"/>
      <c r="D8174" s="7"/>
      <c r="E8174" s="7"/>
      <c r="F8174" s="7"/>
      <c r="G8174" s="7"/>
      <c r="H8174" s="8"/>
      <c r="I8174" s="8"/>
      <c r="J8174" s="7"/>
      <c r="K8174" s="7"/>
      <c r="L8174" s="7"/>
      <c r="M8174" s="7"/>
      <c r="N8174" s="7"/>
      <c r="O8174" s="7"/>
      <c r="P8174" s="7"/>
      <c r="Q8174" s="7"/>
      <c r="R8174" s="7"/>
      <c r="S8174" s="7"/>
      <c r="T8174" s="7"/>
      <c r="U8174" s="7"/>
      <c r="V8174" s="7"/>
      <c r="W8174" s="7"/>
      <c r="X8174" s="7"/>
      <c r="Y8174" s="7"/>
      <c r="Z8174" s="7"/>
    </row>
    <row r="8175" hidden="1">
      <c r="A8175" s="7"/>
      <c r="B8175" s="7"/>
      <c r="C8175" s="7"/>
      <c r="D8175" s="7"/>
      <c r="E8175" s="7"/>
      <c r="F8175" s="7"/>
      <c r="G8175" s="7"/>
      <c r="H8175" s="8"/>
      <c r="I8175" s="8"/>
      <c r="J8175" s="7"/>
      <c r="K8175" s="7"/>
      <c r="L8175" s="7"/>
      <c r="M8175" s="7"/>
      <c r="N8175" s="7"/>
      <c r="O8175" s="7"/>
      <c r="P8175" s="7"/>
      <c r="Q8175" s="7"/>
      <c r="R8175" s="7"/>
      <c r="S8175" s="7"/>
      <c r="T8175" s="7"/>
      <c r="U8175" s="7"/>
      <c r="V8175" s="7"/>
      <c r="W8175" s="7"/>
      <c r="X8175" s="7"/>
      <c r="Y8175" s="7"/>
      <c r="Z8175" s="7"/>
    </row>
    <row r="8176" hidden="1">
      <c r="A8176" s="7"/>
      <c r="B8176" s="7"/>
      <c r="C8176" s="7"/>
      <c r="D8176" s="7"/>
      <c r="E8176" s="7"/>
      <c r="F8176" s="7"/>
      <c r="G8176" s="7"/>
      <c r="H8176" s="8"/>
      <c r="I8176" s="8"/>
      <c r="J8176" s="7"/>
      <c r="K8176" s="7"/>
      <c r="L8176" s="7"/>
      <c r="M8176" s="7"/>
      <c r="N8176" s="7"/>
      <c r="O8176" s="7"/>
      <c r="P8176" s="7"/>
      <c r="Q8176" s="7"/>
      <c r="R8176" s="7"/>
      <c r="S8176" s="7"/>
      <c r="T8176" s="7"/>
      <c r="U8176" s="7"/>
      <c r="V8176" s="7"/>
      <c r="W8176" s="7"/>
      <c r="X8176" s="7"/>
      <c r="Y8176" s="7"/>
      <c r="Z8176" s="7"/>
    </row>
    <row r="8177" hidden="1">
      <c r="A8177" s="7"/>
      <c r="B8177" s="7"/>
      <c r="C8177" s="7"/>
      <c r="D8177" s="7"/>
      <c r="E8177" s="7"/>
      <c r="F8177" s="7"/>
      <c r="G8177" s="7"/>
      <c r="H8177" s="8"/>
      <c r="I8177" s="8"/>
      <c r="J8177" s="7"/>
      <c r="K8177" s="7"/>
      <c r="L8177" s="7"/>
      <c r="M8177" s="7"/>
      <c r="N8177" s="7"/>
      <c r="O8177" s="7"/>
      <c r="P8177" s="7"/>
      <c r="Q8177" s="7"/>
      <c r="R8177" s="7"/>
      <c r="S8177" s="7"/>
      <c r="T8177" s="7"/>
      <c r="U8177" s="7"/>
      <c r="V8177" s="7"/>
      <c r="W8177" s="7"/>
      <c r="X8177" s="7"/>
      <c r="Y8177" s="7"/>
      <c r="Z8177" s="7"/>
    </row>
    <row r="8178" hidden="1">
      <c r="A8178" s="7"/>
      <c r="B8178" s="7"/>
      <c r="C8178" s="7"/>
      <c r="D8178" s="7"/>
      <c r="E8178" s="7"/>
      <c r="F8178" s="7"/>
      <c r="G8178" s="7"/>
      <c r="H8178" s="8"/>
      <c r="I8178" s="8"/>
      <c r="J8178" s="7"/>
      <c r="K8178" s="7"/>
      <c r="L8178" s="7"/>
      <c r="M8178" s="7"/>
      <c r="N8178" s="7"/>
      <c r="O8178" s="7"/>
      <c r="P8178" s="7"/>
      <c r="Q8178" s="7"/>
      <c r="R8178" s="7"/>
      <c r="S8178" s="7"/>
      <c r="T8178" s="7"/>
      <c r="U8178" s="7"/>
      <c r="V8178" s="7"/>
      <c r="W8178" s="7"/>
      <c r="X8178" s="7"/>
      <c r="Y8178" s="7"/>
      <c r="Z8178" s="7"/>
    </row>
    <row r="8179" hidden="1">
      <c r="A8179" s="7"/>
      <c r="B8179" s="7"/>
      <c r="C8179" s="7"/>
      <c r="D8179" s="7"/>
      <c r="E8179" s="7"/>
      <c r="F8179" s="7"/>
      <c r="G8179" s="7"/>
      <c r="H8179" s="8"/>
      <c r="I8179" s="8"/>
      <c r="J8179" s="7"/>
      <c r="K8179" s="7"/>
      <c r="L8179" s="7"/>
      <c r="M8179" s="7"/>
      <c r="N8179" s="7"/>
      <c r="O8179" s="7"/>
      <c r="P8179" s="7"/>
      <c r="Q8179" s="7"/>
      <c r="R8179" s="7"/>
      <c r="S8179" s="7"/>
      <c r="T8179" s="7"/>
      <c r="U8179" s="7"/>
      <c r="V8179" s="7"/>
      <c r="W8179" s="7"/>
      <c r="X8179" s="7"/>
      <c r="Y8179" s="7"/>
      <c r="Z8179" s="7"/>
    </row>
    <row r="8180" hidden="1">
      <c r="A8180" s="7"/>
      <c r="B8180" s="7"/>
      <c r="C8180" s="7"/>
      <c r="D8180" s="7"/>
      <c r="E8180" s="7"/>
      <c r="F8180" s="7"/>
      <c r="G8180" s="7"/>
      <c r="H8180" s="8"/>
      <c r="I8180" s="8"/>
      <c r="J8180" s="7"/>
      <c r="K8180" s="7"/>
      <c r="L8180" s="7"/>
      <c r="M8180" s="7"/>
      <c r="N8180" s="7"/>
      <c r="O8180" s="7"/>
      <c r="P8180" s="7"/>
      <c r="Q8180" s="7"/>
      <c r="R8180" s="7"/>
      <c r="S8180" s="7"/>
      <c r="T8180" s="7"/>
      <c r="U8180" s="7"/>
      <c r="V8180" s="7"/>
      <c r="W8180" s="7"/>
      <c r="X8180" s="7"/>
      <c r="Y8180" s="7"/>
      <c r="Z8180" s="7"/>
    </row>
    <row r="8181" hidden="1">
      <c r="A8181" s="7"/>
      <c r="B8181" s="7"/>
      <c r="C8181" s="7"/>
      <c r="D8181" s="7"/>
      <c r="E8181" s="7"/>
      <c r="F8181" s="7"/>
      <c r="G8181" s="7"/>
      <c r="H8181" s="8"/>
      <c r="I8181" s="8"/>
      <c r="J8181" s="7"/>
      <c r="K8181" s="7"/>
      <c r="L8181" s="7"/>
      <c r="M8181" s="7"/>
      <c r="N8181" s="7"/>
      <c r="O8181" s="7"/>
      <c r="P8181" s="7"/>
      <c r="Q8181" s="7"/>
      <c r="R8181" s="7"/>
      <c r="S8181" s="7"/>
      <c r="T8181" s="7"/>
      <c r="U8181" s="7"/>
      <c r="V8181" s="7"/>
      <c r="W8181" s="7"/>
      <c r="X8181" s="7"/>
      <c r="Y8181" s="7"/>
      <c r="Z8181" s="7"/>
    </row>
    <row r="8182" hidden="1">
      <c r="A8182" s="7"/>
      <c r="B8182" s="7"/>
      <c r="C8182" s="7"/>
      <c r="D8182" s="7"/>
      <c r="E8182" s="7"/>
      <c r="F8182" s="7"/>
      <c r="G8182" s="7"/>
      <c r="H8182" s="8"/>
      <c r="I8182" s="8"/>
      <c r="J8182" s="7"/>
      <c r="K8182" s="7"/>
      <c r="L8182" s="7"/>
      <c r="M8182" s="7"/>
      <c r="N8182" s="7"/>
      <c r="O8182" s="7"/>
      <c r="P8182" s="7"/>
      <c r="Q8182" s="7"/>
      <c r="R8182" s="7"/>
      <c r="S8182" s="7"/>
      <c r="T8182" s="7"/>
      <c r="U8182" s="7"/>
      <c r="V8182" s="7"/>
      <c r="W8182" s="7"/>
      <c r="X8182" s="7"/>
      <c r="Y8182" s="7"/>
      <c r="Z8182" s="7"/>
    </row>
    <row r="8183" hidden="1">
      <c r="A8183" s="7"/>
      <c r="B8183" s="7"/>
      <c r="C8183" s="7"/>
      <c r="D8183" s="7"/>
      <c r="E8183" s="7"/>
      <c r="F8183" s="7"/>
      <c r="G8183" s="7"/>
      <c r="H8183" s="8"/>
      <c r="I8183" s="8"/>
      <c r="J8183" s="7"/>
      <c r="K8183" s="7"/>
      <c r="L8183" s="7"/>
      <c r="M8183" s="7"/>
      <c r="N8183" s="7"/>
      <c r="O8183" s="7"/>
      <c r="P8183" s="7"/>
      <c r="Q8183" s="7"/>
      <c r="R8183" s="7"/>
      <c r="S8183" s="7"/>
      <c r="T8183" s="7"/>
      <c r="U8183" s="7"/>
      <c r="V8183" s="7"/>
      <c r="W8183" s="7"/>
      <c r="X8183" s="7"/>
      <c r="Y8183" s="7"/>
      <c r="Z8183" s="7"/>
    </row>
    <row r="8184" hidden="1">
      <c r="A8184" s="7"/>
      <c r="B8184" s="7"/>
      <c r="C8184" s="7"/>
      <c r="D8184" s="7"/>
      <c r="E8184" s="7"/>
      <c r="F8184" s="7"/>
      <c r="G8184" s="7"/>
      <c r="H8184" s="8"/>
      <c r="I8184" s="8"/>
      <c r="J8184" s="7"/>
      <c r="K8184" s="7"/>
      <c r="L8184" s="7"/>
      <c r="M8184" s="7"/>
      <c r="N8184" s="7"/>
      <c r="O8184" s="7"/>
      <c r="P8184" s="7"/>
      <c r="Q8184" s="7"/>
      <c r="R8184" s="7"/>
      <c r="S8184" s="7"/>
      <c r="T8184" s="7"/>
      <c r="U8184" s="7"/>
      <c r="V8184" s="7"/>
      <c r="W8184" s="7"/>
      <c r="X8184" s="7"/>
      <c r="Y8184" s="7"/>
      <c r="Z8184" s="7"/>
    </row>
    <row r="8185" hidden="1">
      <c r="A8185" s="7"/>
      <c r="B8185" s="7"/>
      <c r="C8185" s="7"/>
      <c r="D8185" s="7"/>
      <c r="E8185" s="7"/>
      <c r="F8185" s="7"/>
      <c r="G8185" s="7"/>
      <c r="H8185" s="8"/>
      <c r="I8185" s="8"/>
      <c r="J8185" s="7"/>
      <c r="K8185" s="7"/>
      <c r="L8185" s="7"/>
      <c r="M8185" s="7"/>
      <c r="N8185" s="7"/>
      <c r="O8185" s="7"/>
      <c r="P8185" s="7"/>
      <c r="Q8185" s="7"/>
      <c r="R8185" s="7"/>
      <c r="S8185" s="7"/>
      <c r="T8185" s="7"/>
      <c r="U8185" s="7"/>
      <c r="V8185" s="7"/>
      <c r="W8185" s="7"/>
      <c r="X8185" s="7"/>
      <c r="Y8185" s="7"/>
      <c r="Z8185" s="7"/>
    </row>
    <row r="8186" hidden="1">
      <c r="A8186" s="7"/>
      <c r="B8186" s="7"/>
      <c r="C8186" s="7"/>
      <c r="D8186" s="7"/>
      <c r="E8186" s="7"/>
      <c r="F8186" s="7"/>
      <c r="G8186" s="7"/>
      <c r="H8186" s="8"/>
      <c r="I8186" s="8"/>
      <c r="J8186" s="7"/>
      <c r="K8186" s="7"/>
      <c r="L8186" s="7"/>
      <c r="M8186" s="7"/>
      <c r="N8186" s="7"/>
      <c r="O8186" s="7"/>
      <c r="P8186" s="7"/>
      <c r="Q8186" s="7"/>
      <c r="R8186" s="7"/>
      <c r="S8186" s="7"/>
      <c r="T8186" s="7"/>
      <c r="U8186" s="7"/>
      <c r="V8186" s="7"/>
      <c r="W8186" s="7"/>
      <c r="X8186" s="7"/>
      <c r="Y8186" s="7"/>
      <c r="Z8186" s="7"/>
    </row>
    <row r="8187" hidden="1">
      <c r="A8187" s="7"/>
      <c r="B8187" s="7"/>
      <c r="C8187" s="7"/>
      <c r="D8187" s="7"/>
      <c r="E8187" s="7"/>
      <c r="F8187" s="7"/>
      <c r="G8187" s="7"/>
      <c r="H8187" s="8"/>
      <c r="I8187" s="8"/>
      <c r="J8187" s="7"/>
      <c r="K8187" s="7"/>
      <c r="L8187" s="7"/>
      <c r="M8187" s="7"/>
      <c r="N8187" s="7"/>
      <c r="O8187" s="7"/>
      <c r="P8187" s="7"/>
      <c r="Q8187" s="7"/>
      <c r="R8187" s="7"/>
      <c r="S8187" s="7"/>
      <c r="T8187" s="7"/>
      <c r="U8187" s="7"/>
      <c r="V8187" s="7"/>
      <c r="W8187" s="7"/>
      <c r="X8187" s="7"/>
      <c r="Y8187" s="7"/>
      <c r="Z8187" s="7"/>
    </row>
    <row r="8188" hidden="1">
      <c r="A8188" s="7"/>
      <c r="B8188" s="7"/>
      <c r="C8188" s="7"/>
      <c r="D8188" s="7"/>
      <c r="E8188" s="7"/>
      <c r="F8188" s="7"/>
      <c r="G8188" s="7"/>
      <c r="H8188" s="8"/>
      <c r="I8188" s="8"/>
      <c r="J8188" s="7"/>
      <c r="K8188" s="7"/>
      <c r="L8188" s="7"/>
      <c r="M8188" s="7"/>
      <c r="N8188" s="7"/>
      <c r="O8188" s="7"/>
      <c r="P8188" s="7"/>
      <c r="Q8188" s="7"/>
      <c r="R8188" s="7"/>
      <c r="S8188" s="7"/>
      <c r="T8188" s="7"/>
      <c r="U8188" s="7"/>
      <c r="V8188" s="7"/>
      <c r="W8188" s="7"/>
      <c r="X8188" s="7"/>
      <c r="Y8188" s="7"/>
      <c r="Z8188" s="7"/>
    </row>
    <row r="8189" hidden="1">
      <c r="A8189" s="7"/>
      <c r="B8189" s="7"/>
      <c r="C8189" s="7"/>
      <c r="D8189" s="7"/>
      <c r="E8189" s="7"/>
      <c r="F8189" s="7"/>
      <c r="G8189" s="7"/>
      <c r="H8189" s="8"/>
      <c r="I8189" s="8"/>
      <c r="J8189" s="7"/>
      <c r="K8189" s="7"/>
      <c r="L8189" s="7"/>
      <c r="M8189" s="7"/>
      <c r="N8189" s="7"/>
      <c r="O8189" s="7"/>
      <c r="P8189" s="7"/>
      <c r="Q8189" s="7"/>
      <c r="R8189" s="7"/>
      <c r="S8189" s="7"/>
      <c r="T8189" s="7"/>
      <c r="U8189" s="7"/>
      <c r="V8189" s="7"/>
      <c r="W8189" s="7"/>
      <c r="X8189" s="7"/>
      <c r="Y8189" s="7"/>
      <c r="Z8189" s="7"/>
    </row>
    <row r="8190" hidden="1">
      <c r="A8190" s="7"/>
      <c r="B8190" s="7"/>
      <c r="C8190" s="7"/>
      <c r="D8190" s="7"/>
      <c r="E8190" s="7"/>
      <c r="F8190" s="7"/>
      <c r="G8190" s="7"/>
      <c r="H8190" s="8"/>
      <c r="I8190" s="8"/>
      <c r="J8190" s="7"/>
      <c r="K8190" s="7"/>
      <c r="L8190" s="7"/>
      <c r="M8190" s="7"/>
      <c r="N8190" s="7"/>
      <c r="O8190" s="7"/>
      <c r="P8190" s="7"/>
      <c r="Q8190" s="7"/>
      <c r="R8190" s="7"/>
      <c r="S8190" s="7"/>
      <c r="T8190" s="7"/>
      <c r="U8190" s="7"/>
      <c r="V8190" s="7"/>
      <c r="W8190" s="7"/>
      <c r="X8190" s="7"/>
      <c r="Y8190" s="7"/>
      <c r="Z8190" s="7"/>
    </row>
    <row r="8191" hidden="1">
      <c r="A8191" s="7"/>
      <c r="B8191" s="7"/>
      <c r="C8191" s="7"/>
      <c r="D8191" s="7"/>
      <c r="E8191" s="7"/>
      <c r="F8191" s="7"/>
      <c r="G8191" s="7"/>
      <c r="H8191" s="8"/>
      <c r="I8191" s="8"/>
      <c r="J8191" s="7"/>
      <c r="K8191" s="7"/>
      <c r="L8191" s="7"/>
      <c r="M8191" s="7"/>
      <c r="N8191" s="7"/>
      <c r="O8191" s="7"/>
      <c r="P8191" s="7"/>
      <c r="Q8191" s="7"/>
      <c r="R8191" s="7"/>
      <c r="S8191" s="7"/>
      <c r="T8191" s="7"/>
      <c r="U8191" s="7"/>
      <c r="V8191" s="7"/>
      <c r="W8191" s="7"/>
      <c r="X8191" s="7"/>
      <c r="Y8191" s="7"/>
      <c r="Z8191" s="7"/>
    </row>
    <row r="8192" hidden="1">
      <c r="A8192" s="7"/>
      <c r="B8192" s="7"/>
      <c r="C8192" s="7"/>
      <c r="D8192" s="7"/>
      <c r="E8192" s="7"/>
      <c r="F8192" s="7"/>
      <c r="G8192" s="7"/>
      <c r="H8192" s="8"/>
      <c r="I8192" s="8"/>
      <c r="J8192" s="7"/>
      <c r="K8192" s="7"/>
      <c r="L8192" s="7"/>
      <c r="M8192" s="7"/>
      <c r="N8192" s="7"/>
      <c r="O8192" s="7"/>
      <c r="P8192" s="7"/>
      <c r="Q8192" s="7"/>
      <c r="R8192" s="7"/>
      <c r="S8192" s="7"/>
      <c r="T8192" s="7"/>
      <c r="U8192" s="7"/>
      <c r="V8192" s="7"/>
      <c r="W8192" s="7"/>
      <c r="X8192" s="7"/>
      <c r="Y8192" s="7"/>
      <c r="Z8192" s="7"/>
    </row>
    <row r="8193" hidden="1">
      <c r="A8193" s="7"/>
      <c r="B8193" s="7"/>
      <c r="C8193" s="7"/>
      <c r="D8193" s="7"/>
      <c r="E8193" s="7"/>
      <c r="F8193" s="7"/>
      <c r="G8193" s="7"/>
      <c r="H8193" s="8"/>
      <c r="I8193" s="8"/>
      <c r="J8193" s="7"/>
      <c r="K8193" s="7"/>
      <c r="L8193" s="7"/>
      <c r="M8193" s="7"/>
      <c r="N8193" s="7"/>
      <c r="O8193" s="7"/>
      <c r="P8193" s="7"/>
      <c r="Q8193" s="7"/>
      <c r="R8193" s="7"/>
      <c r="S8193" s="7"/>
      <c r="T8193" s="7"/>
      <c r="U8193" s="7"/>
      <c r="V8193" s="7"/>
      <c r="W8193" s="7"/>
      <c r="X8193" s="7"/>
      <c r="Y8193" s="7"/>
      <c r="Z8193" s="7"/>
    </row>
    <row r="8194" hidden="1">
      <c r="A8194" s="7"/>
      <c r="B8194" s="7"/>
      <c r="C8194" s="7"/>
      <c r="D8194" s="7"/>
      <c r="E8194" s="7"/>
      <c r="F8194" s="7"/>
      <c r="G8194" s="7"/>
      <c r="H8194" s="8"/>
      <c r="I8194" s="8"/>
      <c r="J8194" s="7"/>
      <c r="K8194" s="7"/>
      <c r="L8194" s="7"/>
      <c r="M8194" s="7"/>
      <c r="N8194" s="7"/>
      <c r="O8194" s="7"/>
      <c r="P8194" s="7"/>
      <c r="Q8194" s="7"/>
      <c r="R8194" s="7"/>
      <c r="S8194" s="7"/>
      <c r="T8194" s="7"/>
      <c r="U8194" s="7"/>
      <c r="V8194" s="7"/>
      <c r="W8194" s="7"/>
      <c r="X8194" s="7"/>
      <c r="Y8194" s="7"/>
      <c r="Z8194" s="7"/>
    </row>
    <row r="8195" hidden="1">
      <c r="A8195" s="7"/>
      <c r="B8195" s="7"/>
      <c r="C8195" s="7"/>
      <c r="D8195" s="7"/>
      <c r="E8195" s="7"/>
      <c r="F8195" s="7"/>
      <c r="G8195" s="7"/>
      <c r="H8195" s="8"/>
      <c r="I8195" s="8"/>
      <c r="J8195" s="7"/>
      <c r="K8195" s="7"/>
      <c r="L8195" s="7"/>
      <c r="M8195" s="7"/>
      <c r="N8195" s="7"/>
      <c r="O8195" s="7"/>
      <c r="P8195" s="7"/>
      <c r="Q8195" s="7"/>
      <c r="R8195" s="7"/>
      <c r="S8195" s="7"/>
      <c r="T8195" s="7"/>
      <c r="U8195" s="7"/>
      <c r="V8195" s="7"/>
      <c r="W8195" s="7"/>
      <c r="X8195" s="7"/>
      <c r="Y8195" s="7"/>
      <c r="Z8195" s="7"/>
    </row>
    <row r="8196" hidden="1">
      <c r="A8196" s="7"/>
      <c r="B8196" s="7"/>
      <c r="C8196" s="7"/>
      <c r="D8196" s="7"/>
      <c r="E8196" s="7"/>
      <c r="F8196" s="7"/>
      <c r="G8196" s="7"/>
      <c r="H8196" s="8"/>
      <c r="I8196" s="8"/>
      <c r="J8196" s="7"/>
      <c r="K8196" s="7"/>
      <c r="L8196" s="7"/>
      <c r="M8196" s="7"/>
      <c r="N8196" s="7"/>
      <c r="O8196" s="7"/>
      <c r="P8196" s="7"/>
      <c r="Q8196" s="7"/>
      <c r="R8196" s="7"/>
      <c r="S8196" s="7"/>
      <c r="T8196" s="7"/>
      <c r="U8196" s="7"/>
      <c r="V8196" s="7"/>
      <c r="W8196" s="7"/>
      <c r="X8196" s="7"/>
      <c r="Y8196" s="7"/>
      <c r="Z8196" s="7"/>
    </row>
    <row r="8197" hidden="1">
      <c r="A8197" s="7"/>
      <c r="B8197" s="7"/>
      <c r="C8197" s="7"/>
      <c r="D8197" s="7"/>
      <c r="E8197" s="7"/>
      <c r="F8197" s="7"/>
      <c r="G8197" s="7"/>
      <c r="H8197" s="8"/>
      <c r="I8197" s="8"/>
      <c r="J8197" s="7"/>
      <c r="K8197" s="7"/>
      <c r="L8197" s="7"/>
      <c r="M8197" s="7"/>
      <c r="N8197" s="7"/>
      <c r="O8197" s="7"/>
      <c r="P8197" s="7"/>
      <c r="Q8197" s="7"/>
      <c r="R8197" s="7"/>
      <c r="S8197" s="7"/>
      <c r="T8197" s="7"/>
      <c r="U8197" s="7"/>
      <c r="V8197" s="7"/>
      <c r="W8197" s="7"/>
      <c r="X8197" s="7"/>
      <c r="Y8197" s="7"/>
      <c r="Z8197" s="7"/>
    </row>
    <row r="8198" hidden="1">
      <c r="A8198" s="7"/>
      <c r="B8198" s="7"/>
      <c r="C8198" s="7"/>
      <c r="D8198" s="7"/>
      <c r="E8198" s="7"/>
      <c r="F8198" s="7"/>
      <c r="G8198" s="7"/>
      <c r="H8198" s="8"/>
      <c r="I8198" s="8"/>
      <c r="J8198" s="7"/>
      <c r="K8198" s="7"/>
      <c r="L8198" s="7"/>
      <c r="M8198" s="7"/>
      <c r="N8198" s="7"/>
      <c r="O8198" s="7"/>
      <c r="P8198" s="7"/>
      <c r="Q8198" s="7"/>
      <c r="R8198" s="7"/>
      <c r="S8198" s="7"/>
      <c r="T8198" s="7"/>
      <c r="U8198" s="7"/>
      <c r="V8198" s="7"/>
      <c r="W8198" s="7"/>
      <c r="X8198" s="7"/>
      <c r="Y8198" s="7"/>
      <c r="Z8198" s="7"/>
    </row>
    <row r="8199" hidden="1">
      <c r="A8199" s="7"/>
      <c r="B8199" s="7"/>
      <c r="C8199" s="7"/>
      <c r="D8199" s="7"/>
      <c r="E8199" s="7"/>
      <c r="F8199" s="7"/>
      <c r="G8199" s="7"/>
      <c r="H8199" s="8"/>
      <c r="I8199" s="8"/>
      <c r="J8199" s="7"/>
      <c r="K8199" s="7"/>
      <c r="L8199" s="7"/>
      <c r="M8199" s="7"/>
      <c r="N8199" s="7"/>
      <c r="O8199" s="7"/>
      <c r="P8199" s="7"/>
      <c r="Q8199" s="7"/>
      <c r="R8199" s="7"/>
      <c r="S8199" s="7"/>
      <c r="T8199" s="7"/>
      <c r="U8199" s="7"/>
      <c r="V8199" s="7"/>
      <c r="W8199" s="7"/>
      <c r="X8199" s="7"/>
      <c r="Y8199" s="7"/>
      <c r="Z8199" s="7"/>
    </row>
    <row r="8200" hidden="1">
      <c r="A8200" s="7"/>
      <c r="B8200" s="7"/>
      <c r="C8200" s="7"/>
      <c r="D8200" s="7"/>
      <c r="E8200" s="7"/>
      <c r="F8200" s="7"/>
      <c r="G8200" s="7"/>
      <c r="H8200" s="8"/>
      <c r="I8200" s="8"/>
      <c r="J8200" s="7"/>
      <c r="K8200" s="7"/>
      <c r="L8200" s="7"/>
      <c r="M8200" s="7"/>
      <c r="N8200" s="7"/>
      <c r="O8200" s="7"/>
      <c r="P8200" s="7"/>
      <c r="Q8200" s="7"/>
      <c r="R8200" s="7"/>
      <c r="S8200" s="7"/>
      <c r="T8200" s="7"/>
      <c r="U8200" s="7"/>
      <c r="V8200" s="7"/>
      <c r="W8200" s="7"/>
      <c r="X8200" s="7"/>
      <c r="Y8200" s="7"/>
      <c r="Z8200" s="7"/>
    </row>
    <row r="8201" hidden="1">
      <c r="A8201" s="7"/>
      <c r="B8201" s="7"/>
      <c r="C8201" s="7"/>
      <c r="D8201" s="7"/>
      <c r="E8201" s="7"/>
      <c r="F8201" s="7"/>
      <c r="G8201" s="7"/>
      <c r="H8201" s="8"/>
      <c r="I8201" s="8"/>
      <c r="J8201" s="7"/>
      <c r="K8201" s="7"/>
      <c r="L8201" s="7"/>
      <c r="M8201" s="7"/>
      <c r="N8201" s="7"/>
      <c r="O8201" s="7"/>
      <c r="P8201" s="7"/>
      <c r="Q8201" s="7"/>
      <c r="R8201" s="7"/>
      <c r="S8201" s="7"/>
      <c r="T8201" s="7"/>
      <c r="U8201" s="7"/>
      <c r="V8201" s="7"/>
      <c r="W8201" s="7"/>
      <c r="X8201" s="7"/>
      <c r="Y8201" s="7"/>
      <c r="Z8201" s="7"/>
    </row>
    <row r="8202" hidden="1">
      <c r="A8202" s="7"/>
      <c r="B8202" s="7"/>
      <c r="C8202" s="7"/>
      <c r="D8202" s="7"/>
      <c r="E8202" s="7"/>
      <c r="F8202" s="7"/>
      <c r="G8202" s="7"/>
      <c r="H8202" s="8"/>
      <c r="I8202" s="8"/>
      <c r="J8202" s="7"/>
      <c r="K8202" s="7"/>
      <c r="L8202" s="7"/>
      <c r="M8202" s="7"/>
      <c r="N8202" s="7"/>
      <c r="O8202" s="7"/>
      <c r="P8202" s="7"/>
      <c r="Q8202" s="7"/>
      <c r="R8202" s="7"/>
      <c r="S8202" s="7"/>
      <c r="T8202" s="7"/>
      <c r="U8202" s="7"/>
      <c r="V8202" s="7"/>
      <c r="W8202" s="7"/>
      <c r="X8202" s="7"/>
      <c r="Y8202" s="7"/>
      <c r="Z8202" s="7"/>
    </row>
    <row r="8203" hidden="1">
      <c r="A8203" s="7"/>
      <c r="B8203" s="7"/>
      <c r="C8203" s="7"/>
      <c r="D8203" s="7"/>
      <c r="E8203" s="7"/>
      <c r="F8203" s="7"/>
      <c r="G8203" s="7"/>
      <c r="H8203" s="8"/>
      <c r="I8203" s="8"/>
      <c r="J8203" s="7"/>
      <c r="K8203" s="7"/>
      <c r="L8203" s="7"/>
      <c r="M8203" s="7"/>
      <c r="N8203" s="7"/>
      <c r="O8203" s="7"/>
      <c r="P8203" s="7"/>
      <c r="Q8203" s="7"/>
      <c r="R8203" s="7"/>
      <c r="S8203" s="7"/>
      <c r="T8203" s="7"/>
      <c r="U8203" s="7"/>
      <c r="V8203" s="7"/>
      <c r="W8203" s="7"/>
      <c r="X8203" s="7"/>
      <c r="Y8203" s="7"/>
      <c r="Z8203" s="7"/>
    </row>
    <row r="8204" hidden="1">
      <c r="A8204" s="7"/>
      <c r="B8204" s="7"/>
      <c r="C8204" s="7"/>
      <c r="D8204" s="7"/>
      <c r="E8204" s="7"/>
      <c r="F8204" s="7"/>
      <c r="G8204" s="7"/>
      <c r="H8204" s="8"/>
      <c r="I8204" s="8"/>
      <c r="J8204" s="7"/>
      <c r="K8204" s="7"/>
      <c r="L8204" s="7"/>
      <c r="M8204" s="7"/>
      <c r="N8204" s="7"/>
      <c r="O8204" s="7"/>
      <c r="P8204" s="7"/>
      <c r="Q8204" s="7"/>
      <c r="R8204" s="7"/>
      <c r="S8204" s="7"/>
      <c r="T8204" s="7"/>
      <c r="U8204" s="7"/>
      <c r="V8204" s="7"/>
      <c r="W8204" s="7"/>
      <c r="X8204" s="7"/>
      <c r="Y8204" s="7"/>
      <c r="Z8204" s="7"/>
    </row>
    <row r="8205" hidden="1">
      <c r="A8205" s="7"/>
      <c r="B8205" s="7"/>
      <c r="C8205" s="7"/>
      <c r="D8205" s="7"/>
      <c r="E8205" s="7"/>
      <c r="F8205" s="7"/>
      <c r="G8205" s="7"/>
      <c r="H8205" s="8"/>
      <c r="I8205" s="8"/>
      <c r="J8205" s="7"/>
      <c r="K8205" s="7"/>
      <c r="L8205" s="7"/>
      <c r="M8205" s="7"/>
      <c r="N8205" s="7"/>
      <c r="O8205" s="7"/>
      <c r="P8205" s="7"/>
      <c r="Q8205" s="7"/>
      <c r="R8205" s="7"/>
      <c r="S8205" s="7"/>
      <c r="T8205" s="7"/>
      <c r="U8205" s="7"/>
      <c r="V8205" s="7"/>
      <c r="W8205" s="7"/>
      <c r="X8205" s="7"/>
      <c r="Y8205" s="7"/>
      <c r="Z8205" s="7"/>
    </row>
    <row r="8206" hidden="1">
      <c r="A8206" s="7"/>
      <c r="B8206" s="7"/>
      <c r="C8206" s="7"/>
      <c r="D8206" s="7"/>
      <c r="E8206" s="7"/>
      <c r="F8206" s="7"/>
      <c r="G8206" s="7"/>
      <c r="H8206" s="8"/>
      <c r="I8206" s="8"/>
      <c r="J8206" s="7"/>
      <c r="K8206" s="7"/>
      <c r="L8206" s="7"/>
      <c r="M8206" s="7"/>
      <c r="N8206" s="7"/>
      <c r="O8206" s="7"/>
      <c r="P8206" s="7"/>
      <c r="Q8206" s="7"/>
      <c r="R8206" s="7"/>
      <c r="S8206" s="7"/>
      <c r="T8206" s="7"/>
      <c r="U8206" s="7"/>
      <c r="V8206" s="7"/>
      <c r="W8206" s="7"/>
      <c r="X8206" s="7"/>
      <c r="Y8206" s="7"/>
      <c r="Z8206" s="7"/>
    </row>
    <row r="8207" hidden="1">
      <c r="A8207" s="7"/>
      <c r="B8207" s="7"/>
      <c r="C8207" s="7"/>
      <c r="D8207" s="7"/>
      <c r="E8207" s="7"/>
      <c r="F8207" s="7"/>
      <c r="G8207" s="7"/>
      <c r="H8207" s="8"/>
      <c r="I8207" s="8"/>
      <c r="J8207" s="7"/>
      <c r="K8207" s="7"/>
      <c r="L8207" s="7"/>
      <c r="M8207" s="7"/>
      <c r="N8207" s="7"/>
      <c r="O8207" s="7"/>
      <c r="P8207" s="7"/>
      <c r="Q8207" s="7"/>
      <c r="R8207" s="7"/>
      <c r="S8207" s="7"/>
      <c r="T8207" s="7"/>
      <c r="U8207" s="7"/>
      <c r="V8207" s="7"/>
      <c r="W8207" s="7"/>
      <c r="X8207" s="7"/>
      <c r="Y8207" s="7"/>
      <c r="Z8207" s="7"/>
    </row>
    <row r="8208" hidden="1">
      <c r="A8208" s="7"/>
      <c r="B8208" s="7"/>
      <c r="C8208" s="7"/>
      <c r="D8208" s="7"/>
      <c r="E8208" s="7"/>
      <c r="F8208" s="7"/>
      <c r="G8208" s="7"/>
      <c r="H8208" s="8"/>
      <c r="I8208" s="8"/>
      <c r="J8208" s="7"/>
      <c r="K8208" s="7"/>
      <c r="L8208" s="7"/>
      <c r="M8208" s="7"/>
      <c r="N8208" s="7"/>
      <c r="O8208" s="7"/>
      <c r="P8208" s="7"/>
      <c r="Q8208" s="7"/>
      <c r="R8208" s="7"/>
      <c r="S8208" s="7"/>
      <c r="T8208" s="7"/>
      <c r="U8208" s="7"/>
      <c r="V8208" s="7"/>
      <c r="W8208" s="7"/>
      <c r="X8208" s="7"/>
      <c r="Y8208" s="7"/>
      <c r="Z8208" s="7"/>
    </row>
    <row r="8209" hidden="1">
      <c r="A8209" s="7"/>
      <c r="B8209" s="7"/>
      <c r="C8209" s="7"/>
      <c r="D8209" s="7"/>
      <c r="E8209" s="7"/>
      <c r="F8209" s="7"/>
      <c r="G8209" s="7"/>
      <c r="H8209" s="8"/>
      <c r="I8209" s="8"/>
      <c r="J8209" s="7"/>
      <c r="K8209" s="7"/>
      <c r="L8209" s="7"/>
      <c r="M8209" s="7"/>
      <c r="N8209" s="7"/>
      <c r="O8209" s="7"/>
      <c r="P8209" s="7"/>
      <c r="Q8209" s="7"/>
      <c r="R8209" s="7"/>
      <c r="S8209" s="7"/>
      <c r="T8209" s="7"/>
      <c r="U8209" s="7"/>
      <c r="V8209" s="7"/>
      <c r="W8209" s="7"/>
      <c r="X8209" s="7"/>
      <c r="Y8209" s="7"/>
      <c r="Z8209" s="7"/>
    </row>
    <row r="8210" hidden="1">
      <c r="A8210" s="7"/>
      <c r="B8210" s="7"/>
      <c r="C8210" s="7"/>
      <c r="D8210" s="7"/>
      <c r="E8210" s="7"/>
      <c r="F8210" s="7"/>
      <c r="G8210" s="7"/>
      <c r="H8210" s="8"/>
      <c r="I8210" s="8"/>
      <c r="J8210" s="7"/>
      <c r="K8210" s="7"/>
      <c r="L8210" s="7"/>
      <c r="M8210" s="7"/>
      <c r="N8210" s="7"/>
      <c r="O8210" s="7"/>
      <c r="P8210" s="7"/>
      <c r="Q8210" s="7"/>
      <c r="R8210" s="7"/>
      <c r="S8210" s="7"/>
      <c r="T8210" s="7"/>
      <c r="U8210" s="7"/>
      <c r="V8210" s="7"/>
      <c r="W8210" s="7"/>
      <c r="X8210" s="7"/>
      <c r="Y8210" s="7"/>
      <c r="Z8210" s="7"/>
    </row>
    <row r="8211" hidden="1">
      <c r="A8211" s="7"/>
      <c r="B8211" s="7"/>
      <c r="C8211" s="7"/>
      <c r="D8211" s="7"/>
      <c r="E8211" s="7"/>
      <c r="F8211" s="7"/>
      <c r="G8211" s="7"/>
      <c r="H8211" s="8"/>
      <c r="I8211" s="8"/>
      <c r="J8211" s="7"/>
      <c r="K8211" s="7"/>
      <c r="L8211" s="7"/>
      <c r="M8211" s="7"/>
      <c r="N8211" s="7"/>
      <c r="O8211" s="7"/>
      <c r="P8211" s="7"/>
      <c r="Q8211" s="7"/>
      <c r="R8211" s="7"/>
      <c r="S8211" s="7"/>
      <c r="T8211" s="7"/>
      <c r="U8211" s="7"/>
      <c r="V8211" s="7"/>
      <c r="W8211" s="7"/>
      <c r="X8211" s="7"/>
      <c r="Y8211" s="7"/>
      <c r="Z8211" s="7"/>
    </row>
    <row r="8212" hidden="1">
      <c r="A8212" s="7"/>
      <c r="B8212" s="7"/>
      <c r="C8212" s="7"/>
      <c r="D8212" s="7"/>
      <c r="E8212" s="7"/>
      <c r="F8212" s="7"/>
      <c r="G8212" s="7"/>
      <c r="H8212" s="8"/>
      <c r="I8212" s="8"/>
      <c r="J8212" s="7"/>
      <c r="K8212" s="7"/>
      <c r="L8212" s="7"/>
      <c r="M8212" s="7"/>
      <c r="N8212" s="7"/>
      <c r="O8212" s="7"/>
      <c r="P8212" s="7"/>
      <c r="Q8212" s="7"/>
      <c r="R8212" s="7"/>
      <c r="S8212" s="7"/>
      <c r="T8212" s="7"/>
      <c r="U8212" s="7"/>
      <c r="V8212" s="7"/>
      <c r="W8212" s="7"/>
      <c r="X8212" s="7"/>
      <c r="Y8212" s="7"/>
      <c r="Z8212" s="7"/>
    </row>
    <row r="8213" hidden="1">
      <c r="A8213" s="7"/>
      <c r="B8213" s="7"/>
      <c r="C8213" s="7"/>
      <c r="D8213" s="7"/>
      <c r="E8213" s="7"/>
      <c r="F8213" s="7"/>
      <c r="G8213" s="7"/>
      <c r="H8213" s="8"/>
      <c r="I8213" s="8"/>
      <c r="J8213" s="7"/>
      <c r="K8213" s="7"/>
      <c r="L8213" s="7"/>
      <c r="M8213" s="7"/>
      <c r="N8213" s="7"/>
      <c r="O8213" s="7"/>
      <c r="P8213" s="7"/>
      <c r="Q8213" s="7"/>
      <c r="R8213" s="7"/>
      <c r="S8213" s="7"/>
      <c r="T8213" s="7"/>
      <c r="U8213" s="7"/>
      <c r="V8213" s="7"/>
      <c r="W8213" s="7"/>
      <c r="X8213" s="7"/>
      <c r="Y8213" s="7"/>
      <c r="Z8213" s="7"/>
    </row>
    <row r="8214" hidden="1">
      <c r="A8214" s="7"/>
      <c r="B8214" s="7"/>
      <c r="C8214" s="7"/>
      <c r="D8214" s="7"/>
      <c r="E8214" s="7"/>
      <c r="F8214" s="7"/>
      <c r="G8214" s="7"/>
      <c r="H8214" s="8"/>
      <c r="I8214" s="8"/>
      <c r="J8214" s="7"/>
      <c r="K8214" s="7"/>
      <c r="L8214" s="7"/>
      <c r="M8214" s="7"/>
      <c r="N8214" s="7"/>
      <c r="O8214" s="7"/>
      <c r="P8214" s="7"/>
      <c r="Q8214" s="7"/>
      <c r="R8214" s="7"/>
      <c r="S8214" s="7"/>
      <c r="T8214" s="7"/>
      <c r="U8214" s="7"/>
      <c r="V8214" s="7"/>
      <c r="W8214" s="7"/>
      <c r="X8214" s="7"/>
      <c r="Y8214" s="7"/>
      <c r="Z8214" s="7"/>
    </row>
    <row r="8215" hidden="1">
      <c r="A8215" s="7"/>
      <c r="B8215" s="7"/>
      <c r="C8215" s="7"/>
      <c r="D8215" s="7"/>
      <c r="E8215" s="7"/>
      <c r="F8215" s="7"/>
      <c r="G8215" s="7"/>
      <c r="H8215" s="8"/>
      <c r="I8215" s="8"/>
      <c r="J8215" s="7"/>
      <c r="K8215" s="7"/>
      <c r="L8215" s="7"/>
      <c r="M8215" s="7"/>
      <c r="N8215" s="7"/>
      <c r="O8215" s="7"/>
      <c r="P8215" s="7"/>
      <c r="Q8215" s="7"/>
      <c r="R8215" s="7"/>
      <c r="S8215" s="7"/>
      <c r="T8215" s="7"/>
      <c r="U8215" s="7"/>
      <c r="V8215" s="7"/>
      <c r="W8215" s="7"/>
      <c r="X8215" s="7"/>
      <c r="Y8215" s="7"/>
      <c r="Z8215" s="7"/>
    </row>
    <row r="8216" hidden="1">
      <c r="A8216" s="7"/>
      <c r="B8216" s="7"/>
      <c r="C8216" s="7"/>
      <c r="D8216" s="7"/>
      <c r="E8216" s="7"/>
      <c r="F8216" s="7"/>
      <c r="G8216" s="7"/>
      <c r="H8216" s="8"/>
      <c r="I8216" s="8"/>
      <c r="J8216" s="7"/>
      <c r="K8216" s="7"/>
      <c r="L8216" s="7"/>
      <c r="M8216" s="7"/>
      <c r="N8216" s="7"/>
      <c r="O8216" s="7"/>
      <c r="P8216" s="7"/>
      <c r="Q8216" s="7"/>
      <c r="R8216" s="7"/>
      <c r="S8216" s="7"/>
      <c r="T8216" s="7"/>
      <c r="U8216" s="7"/>
      <c r="V8216" s="7"/>
      <c r="W8216" s="7"/>
      <c r="X8216" s="7"/>
      <c r="Y8216" s="7"/>
      <c r="Z8216" s="7"/>
    </row>
    <row r="8217" hidden="1">
      <c r="A8217" s="7"/>
      <c r="B8217" s="7"/>
      <c r="C8217" s="7"/>
      <c r="D8217" s="7"/>
      <c r="E8217" s="7"/>
      <c r="F8217" s="7"/>
      <c r="G8217" s="7"/>
      <c r="H8217" s="8"/>
      <c r="I8217" s="8"/>
      <c r="J8217" s="7"/>
      <c r="K8217" s="7"/>
      <c r="L8217" s="7"/>
      <c r="M8217" s="7"/>
      <c r="N8217" s="7"/>
      <c r="O8217" s="7"/>
      <c r="P8217" s="7"/>
      <c r="Q8217" s="7"/>
      <c r="R8217" s="7"/>
      <c r="S8217" s="7"/>
      <c r="T8217" s="7"/>
      <c r="U8217" s="7"/>
      <c r="V8217" s="7"/>
      <c r="W8217" s="7"/>
      <c r="X8217" s="7"/>
      <c r="Y8217" s="7"/>
      <c r="Z8217" s="7"/>
    </row>
    <row r="8218" hidden="1">
      <c r="A8218" s="7"/>
      <c r="B8218" s="7"/>
      <c r="C8218" s="7"/>
      <c r="D8218" s="7"/>
      <c r="E8218" s="7"/>
      <c r="F8218" s="7"/>
      <c r="G8218" s="7"/>
      <c r="H8218" s="8"/>
      <c r="I8218" s="8"/>
      <c r="J8218" s="7"/>
      <c r="K8218" s="7"/>
      <c r="L8218" s="7"/>
      <c r="M8218" s="7"/>
      <c r="N8218" s="7"/>
      <c r="O8218" s="7"/>
      <c r="P8218" s="7"/>
      <c r="Q8218" s="7"/>
      <c r="R8218" s="7"/>
      <c r="S8218" s="7"/>
      <c r="T8218" s="7"/>
      <c r="U8218" s="7"/>
      <c r="V8218" s="7"/>
      <c r="W8218" s="7"/>
      <c r="X8218" s="7"/>
      <c r="Y8218" s="7"/>
      <c r="Z8218" s="7"/>
    </row>
    <row r="8219" hidden="1">
      <c r="A8219" s="7"/>
      <c r="B8219" s="7"/>
      <c r="C8219" s="7"/>
      <c r="D8219" s="7"/>
      <c r="E8219" s="7"/>
      <c r="F8219" s="7"/>
      <c r="G8219" s="7"/>
      <c r="H8219" s="8"/>
      <c r="I8219" s="8"/>
      <c r="J8219" s="7"/>
      <c r="K8219" s="7"/>
      <c r="L8219" s="7"/>
      <c r="M8219" s="7"/>
      <c r="N8219" s="7"/>
      <c r="O8219" s="7"/>
      <c r="P8219" s="7"/>
      <c r="Q8219" s="7"/>
      <c r="R8219" s="7"/>
      <c r="S8219" s="7"/>
      <c r="T8219" s="7"/>
      <c r="U8219" s="7"/>
      <c r="V8219" s="7"/>
      <c r="W8219" s="7"/>
      <c r="X8219" s="7"/>
      <c r="Y8219" s="7"/>
      <c r="Z8219" s="7"/>
    </row>
    <row r="8220" hidden="1">
      <c r="A8220" s="7"/>
      <c r="B8220" s="7"/>
      <c r="C8220" s="7"/>
      <c r="D8220" s="7"/>
      <c r="E8220" s="7"/>
      <c r="F8220" s="7"/>
      <c r="G8220" s="7"/>
      <c r="H8220" s="8"/>
      <c r="I8220" s="8"/>
      <c r="J8220" s="7"/>
      <c r="K8220" s="7"/>
      <c r="L8220" s="7"/>
      <c r="M8220" s="7"/>
      <c r="N8220" s="7"/>
      <c r="O8220" s="7"/>
      <c r="P8220" s="7"/>
      <c r="Q8220" s="7"/>
      <c r="R8220" s="7"/>
      <c r="S8220" s="7"/>
      <c r="T8220" s="7"/>
      <c r="U8220" s="7"/>
      <c r="V8220" s="7"/>
      <c r="W8220" s="7"/>
      <c r="X8220" s="7"/>
      <c r="Y8220" s="7"/>
      <c r="Z8220" s="7"/>
    </row>
    <row r="8221" hidden="1">
      <c r="A8221" s="7"/>
      <c r="B8221" s="7"/>
      <c r="C8221" s="7"/>
      <c r="D8221" s="7"/>
      <c r="E8221" s="7"/>
      <c r="F8221" s="7"/>
      <c r="G8221" s="7"/>
      <c r="H8221" s="8"/>
      <c r="I8221" s="8"/>
      <c r="J8221" s="7"/>
      <c r="K8221" s="7"/>
      <c r="L8221" s="7"/>
      <c r="M8221" s="7"/>
      <c r="N8221" s="7"/>
      <c r="O8221" s="7"/>
      <c r="P8221" s="7"/>
      <c r="Q8221" s="7"/>
      <c r="R8221" s="7"/>
      <c r="S8221" s="7"/>
      <c r="T8221" s="7"/>
      <c r="U8221" s="7"/>
      <c r="V8221" s="7"/>
      <c r="W8221" s="7"/>
      <c r="X8221" s="7"/>
      <c r="Y8221" s="7"/>
      <c r="Z8221" s="7"/>
    </row>
    <row r="8222" hidden="1">
      <c r="A8222" s="7"/>
      <c r="B8222" s="7"/>
      <c r="C8222" s="7"/>
      <c r="D8222" s="7"/>
      <c r="E8222" s="7"/>
      <c r="F8222" s="7"/>
      <c r="G8222" s="7"/>
      <c r="H8222" s="8"/>
      <c r="I8222" s="8"/>
      <c r="J8222" s="7"/>
      <c r="K8222" s="7"/>
      <c r="L8222" s="7"/>
      <c r="M8222" s="7"/>
      <c r="N8222" s="7"/>
      <c r="O8222" s="7"/>
      <c r="P8222" s="7"/>
      <c r="Q8222" s="7"/>
      <c r="R8222" s="7"/>
      <c r="S8222" s="7"/>
      <c r="T8222" s="7"/>
      <c r="U8222" s="7"/>
      <c r="V8222" s="7"/>
      <c r="W8222" s="7"/>
      <c r="X8222" s="7"/>
      <c r="Y8222" s="7"/>
      <c r="Z8222" s="7"/>
    </row>
    <row r="8223" hidden="1">
      <c r="A8223" s="7"/>
      <c r="B8223" s="7"/>
      <c r="C8223" s="7"/>
      <c r="D8223" s="7"/>
      <c r="E8223" s="7"/>
      <c r="F8223" s="7"/>
      <c r="G8223" s="7"/>
      <c r="H8223" s="8"/>
      <c r="I8223" s="8"/>
      <c r="J8223" s="7"/>
      <c r="K8223" s="7"/>
      <c r="L8223" s="7"/>
      <c r="M8223" s="7"/>
      <c r="N8223" s="7"/>
      <c r="O8223" s="7"/>
      <c r="P8223" s="7"/>
      <c r="Q8223" s="7"/>
      <c r="R8223" s="7"/>
      <c r="S8223" s="7"/>
      <c r="T8223" s="7"/>
      <c r="U8223" s="7"/>
      <c r="V8223" s="7"/>
      <c r="W8223" s="7"/>
      <c r="X8223" s="7"/>
      <c r="Y8223" s="7"/>
      <c r="Z8223" s="7"/>
    </row>
    <row r="8224" hidden="1">
      <c r="A8224" s="7"/>
      <c r="B8224" s="7"/>
      <c r="C8224" s="7"/>
      <c r="D8224" s="7"/>
      <c r="E8224" s="7"/>
      <c r="F8224" s="7"/>
      <c r="G8224" s="7"/>
      <c r="H8224" s="8"/>
      <c r="I8224" s="8"/>
      <c r="J8224" s="7"/>
      <c r="K8224" s="7"/>
      <c r="L8224" s="7"/>
      <c r="M8224" s="7"/>
      <c r="N8224" s="7"/>
      <c r="O8224" s="7"/>
      <c r="P8224" s="7"/>
      <c r="Q8224" s="7"/>
      <c r="R8224" s="7"/>
      <c r="S8224" s="7"/>
      <c r="T8224" s="7"/>
      <c r="U8224" s="7"/>
      <c r="V8224" s="7"/>
      <c r="W8224" s="7"/>
      <c r="X8224" s="7"/>
      <c r="Y8224" s="7"/>
      <c r="Z8224" s="7"/>
    </row>
    <row r="8225" hidden="1">
      <c r="A8225" s="7"/>
      <c r="B8225" s="7"/>
      <c r="C8225" s="7"/>
      <c r="D8225" s="7"/>
      <c r="E8225" s="7"/>
      <c r="F8225" s="7"/>
      <c r="G8225" s="7"/>
      <c r="H8225" s="8"/>
      <c r="I8225" s="8"/>
      <c r="J8225" s="7"/>
      <c r="K8225" s="7"/>
      <c r="L8225" s="7"/>
      <c r="M8225" s="7"/>
      <c r="N8225" s="7"/>
      <c r="O8225" s="7"/>
      <c r="P8225" s="7"/>
      <c r="Q8225" s="7"/>
      <c r="R8225" s="7"/>
      <c r="S8225" s="7"/>
      <c r="T8225" s="7"/>
      <c r="U8225" s="7"/>
      <c r="V8225" s="7"/>
      <c r="W8225" s="7"/>
      <c r="X8225" s="7"/>
      <c r="Y8225" s="7"/>
      <c r="Z8225" s="7"/>
    </row>
    <row r="8226" hidden="1">
      <c r="A8226" s="7"/>
      <c r="B8226" s="7"/>
      <c r="C8226" s="7"/>
      <c r="D8226" s="7"/>
      <c r="E8226" s="7"/>
      <c r="F8226" s="7"/>
      <c r="G8226" s="7"/>
      <c r="H8226" s="8"/>
      <c r="I8226" s="8"/>
      <c r="J8226" s="7"/>
      <c r="K8226" s="7"/>
      <c r="L8226" s="7"/>
      <c r="M8226" s="7"/>
      <c r="N8226" s="7"/>
      <c r="O8226" s="7"/>
      <c r="P8226" s="7"/>
      <c r="Q8226" s="7"/>
      <c r="R8226" s="7"/>
      <c r="S8226" s="7"/>
      <c r="T8226" s="7"/>
      <c r="U8226" s="7"/>
      <c r="V8226" s="7"/>
      <c r="W8226" s="7"/>
      <c r="X8226" s="7"/>
      <c r="Y8226" s="7"/>
      <c r="Z8226" s="7"/>
    </row>
    <row r="8227" hidden="1">
      <c r="A8227" s="7"/>
      <c r="B8227" s="7"/>
      <c r="C8227" s="7"/>
      <c r="D8227" s="7"/>
      <c r="E8227" s="7"/>
      <c r="F8227" s="7"/>
      <c r="G8227" s="7"/>
      <c r="H8227" s="8"/>
      <c r="I8227" s="8"/>
      <c r="J8227" s="7"/>
      <c r="K8227" s="7"/>
      <c r="L8227" s="7"/>
      <c r="M8227" s="7"/>
      <c r="N8227" s="7"/>
      <c r="O8227" s="7"/>
      <c r="P8227" s="7"/>
      <c r="Q8227" s="7"/>
      <c r="R8227" s="7"/>
      <c r="S8227" s="7"/>
      <c r="T8227" s="7"/>
      <c r="U8227" s="7"/>
      <c r="V8227" s="7"/>
      <c r="W8227" s="7"/>
      <c r="X8227" s="7"/>
      <c r="Y8227" s="7"/>
      <c r="Z8227" s="7"/>
    </row>
    <row r="8228" hidden="1">
      <c r="A8228" s="7"/>
      <c r="B8228" s="7"/>
      <c r="C8228" s="7"/>
      <c r="D8228" s="7"/>
      <c r="E8228" s="7"/>
      <c r="F8228" s="7"/>
      <c r="G8228" s="7"/>
      <c r="H8228" s="8"/>
      <c r="I8228" s="8"/>
      <c r="J8228" s="7"/>
      <c r="K8228" s="7"/>
      <c r="L8228" s="7"/>
      <c r="M8228" s="7"/>
      <c r="N8228" s="7"/>
      <c r="O8228" s="7"/>
      <c r="P8228" s="7"/>
      <c r="Q8228" s="7"/>
      <c r="R8228" s="7"/>
      <c r="S8228" s="7"/>
      <c r="T8228" s="7"/>
      <c r="U8228" s="7"/>
      <c r="V8228" s="7"/>
      <c r="W8228" s="7"/>
      <c r="X8228" s="7"/>
      <c r="Y8228" s="7"/>
      <c r="Z8228" s="7"/>
    </row>
    <row r="8229" hidden="1">
      <c r="A8229" s="7"/>
      <c r="B8229" s="7"/>
      <c r="C8229" s="7"/>
      <c r="D8229" s="7"/>
      <c r="E8229" s="7"/>
      <c r="F8229" s="7"/>
      <c r="G8229" s="7"/>
      <c r="H8229" s="8"/>
      <c r="I8229" s="8"/>
      <c r="J8229" s="7"/>
      <c r="K8229" s="7"/>
      <c r="L8229" s="7"/>
      <c r="M8229" s="7"/>
      <c r="N8229" s="7"/>
      <c r="O8229" s="7"/>
      <c r="P8229" s="7"/>
      <c r="Q8229" s="7"/>
      <c r="R8229" s="7"/>
      <c r="S8229" s="7"/>
      <c r="T8229" s="7"/>
      <c r="U8229" s="7"/>
      <c r="V8229" s="7"/>
      <c r="W8229" s="7"/>
      <c r="X8229" s="7"/>
      <c r="Y8229" s="7"/>
      <c r="Z8229" s="7"/>
    </row>
    <row r="8230" hidden="1">
      <c r="A8230" s="7"/>
      <c r="B8230" s="7"/>
      <c r="C8230" s="7"/>
      <c r="D8230" s="7"/>
      <c r="E8230" s="7"/>
      <c r="F8230" s="7"/>
      <c r="G8230" s="7"/>
      <c r="H8230" s="8"/>
      <c r="I8230" s="8"/>
      <c r="J8230" s="7"/>
      <c r="K8230" s="7"/>
      <c r="L8230" s="7"/>
      <c r="M8230" s="7"/>
      <c r="N8230" s="7"/>
      <c r="O8230" s="7"/>
      <c r="P8230" s="7"/>
      <c r="Q8230" s="7"/>
      <c r="R8230" s="7"/>
      <c r="S8230" s="7"/>
      <c r="T8230" s="7"/>
      <c r="U8230" s="7"/>
      <c r="V8230" s="7"/>
      <c r="W8230" s="7"/>
      <c r="X8230" s="7"/>
      <c r="Y8230" s="7"/>
      <c r="Z8230" s="7"/>
    </row>
    <row r="8231" hidden="1">
      <c r="A8231" s="7"/>
      <c r="B8231" s="7"/>
      <c r="C8231" s="7"/>
      <c r="D8231" s="7"/>
      <c r="E8231" s="7"/>
      <c r="F8231" s="7"/>
      <c r="G8231" s="7"/>
      <c r="H8231" s="8"/>
      <c r="I8231" s="8"/>
      <c r="J8231" s="7"/>
      <c r="K8231" s="7"/>
      <c r="L8231" s="7"/>
      <c r="M8231" s="7"/>
      <c r="N8231" s="7"/>
      <c r="O8231" s="7"/>
      <c r="P8231" s="7"/>
      <c r="Q8231" s="7"/>
      <c r="R8231" s="7"/>
      <c r="S8231" s="7"/>
      <c r="T8231" s="7"/>
      <c r="U8231" s="7"/>
      <c r="V8231" s="7"/>
      <c r="W8231" s="7"/>
      <c r="X8231" s="7"/>
      <c r="Y8231" s="7"/>
      <c r="Z8231" s="7"/>
    </row>
    <row r="8232" hidden="1">
      <c r="A8232" s="7"/>
      <c r="B8232" s="7"/>
      <c r="C8232" s="7"/>
      <c r="D8232" s="7"/>
      <c r="E8232" s="7"/>
      <c r="F8232" s="7"/>
      <c r="G8232" s="7"/>
      <c r="H8232" s="8"/>
      <c r="I8232" s="8"/>
      <c r="J8232" s="7"/>
      <c r="K8232" s="7"/>
      <c r="L8232" s="7"/>
      <c r="M8232" s="7"/>
      <c r="N8232" s="7"/>
      <c r="O8232" s="7"/>
      <c r="P8232" s="7"/>
      <c r="Q8232" s="7"/>
      <c r="R8232" s="7"/>
      <c r="S8232" s="7"/>
      <c r="T8232" s="7"/>
      <c r="U8232" s="7"/>
      <c r="V8232" s="7"/>
      <c r="W8232" s="7"/>
      <c r="X8232" s="7"/>
      <c r="Y8232" s="7"/>
      <c r="Z8232" s="7"/>
    </row>
    <row r="8233" hidden="1">
      <c r="A8233" s="7"/>
      <c r="B8233" s="7"/>
      <c r="C8233" s="7"/>
      <c r="D8233" s="7"/>
      <c r="E8233" s="7"/>
      <c r="F8233" s="7"/>
      <c r="G8233" s="7"/>
      <c r="H8233" s="8"/>
      <c r="I8233" s="8"/>
      <c r="J8233" s="7"/>
      <c r="K8233" s="7"/>
      <c r="L8233" s="7"/>
      <c r="M8233" s="7"/>
      <c r="N8233" s="7"/>
      <c r="O8233" s="7"/>
      <c r="P8233" s="7"/>
      <c r="Q8233" s="7"/>
      <c r="R8233" s="7"/>
      <c r="S8233" s="7"/>
      <c r="T8233" s="7"/>
      <c r="U8233" s="7"/>
      <c r="V8233" s="7"/>
      <c r="W8233" s="7"/>
      <c r="X8233" s="7"/>
      <c r="Y8233" s="7"/>
      <c r="Z8233" s="7"/>
    </row>
    <row r="8234" hidden="1">
      <c r="A8234" s="7"/>
      <c r="B8234" s="7"/>
      <c r="C8234" s="7"/>
      <c r="D8234" s="7"/>
      <c r="E8234" s="7"/>
      <c r="F8234" s="7"/>
      <c r="G8234" s="7"/>
      <c r="H8234" s="8"/>
      <c r="I8234" s="8"/>
      <c r="J8234" s="7"/>
      <c r="K8234" s="7"/>
      <c r="L8234" s="7"/>
      <c r="M8234" s="7"/>
      <c r="N8234" s="7"/>
      <c r="O8234" s="7"/>
      <c r="P8234" s="7"/>
      <c r="Q8234" s="7"/>
      <c r="R8234" s="7"/>
      <c r="S8234" s="7"/>
      <c r="T8234" s="7"/>
      <c r="U8234" s="7"/>
      <c r="V8234" s="7"/>
      <c r="W8234" s="7"/>
      <c r="X8234" s="7"/>
      <c r="Y8234" s="7"/>
      <c r="Z8234" s="7"/>
    </row>
    <row r="8235" hidden="1">
      <c r="A8235" s="7"/>
      <c r="B8235" s="7"/>
      <c r="C8235" s="7"/>
      <c r="D8235" s="7"/>
      <c r="E8235" s="7"/>
      <c r="F8235" s="7"/>
      <c r="G8235" s="7"/>
      <c r="H8235" s="8"/>
      <c r="I8235" s="8"/>
      <c r="J8235" s="7"/>
      <c r="K8235" s="7"/>
      <c r="L8235" s="7"/>
      <c r="M8235" s="7"/>
      <c r="N8235" s="7"/>
      <c r="O8235" s="7"/>
      <c r="P8235" s="7"/>
      <c r="Q8235" s="7"/>
      <c r="R8235" s="7"/>
      <c r="S8235" s="7"/>
      <c r="T8235" s="7"/>
      <c r="U8235" s="7"/>
      <c r="V8235" s="7"/>
      <c r="W8235" s="7"/>
      <c r="X8235" s="7"/>
      <c r="Y8235" s="7"/>
      <c r="Z8235" s="7"/>
    </row>
    <row r="8236" hidden="1">
      <c r="A8236" s="7"/>
      <c r="B8236" s="7"/>
      <c r="C8236" s="7"/>
      <c r="D8236" s="7"/>
      <c r="E8236" s="7"/>
      <c r="F8236" s="7"/>
      <c r="G8236" s="7"/>
      <c r="H8236" s="8"/>
      <c r="I8236" s="8"/>
      <c r="J8236" s="7"/>
      <c r="K8236" s="7"/>
      <c r="L8236" s="7"/>
      <c r="M8236" s="7"/>
      <c r="N8236" s="7"/>
      <c r="O8236" s="7"/>
      <c r="P8236" s="7"/>
      <c r="Q8236" s="7"/>
      <c r="R8236" s="7"/>
      <c r="S8236" s="7"/>
      <c r="T8236" s="7"/>
      <c r="U8236" s="7"/>
      <c r="V8236" s="7"/>
      <c r="W8236" s="7"/>
      <c r="X8236" s="7"/>
      <c r="Y8236" s="7"/>
      <c r="Z8236" s="7"/>
    </row>
    <row r="8237" hidden="1">
      <c r="A8237" s="7"/>
      <c r="B8237" s="7"/>
      <c r="C8237" s="7"/>
      <c r="D8237" s="7"/>
      <c r="E8237" s="7"/>
      <c r="F8237" s="7"/>
      <c r="G8237" s="7"/>
      <c r="H8237" s="8"/>
      <c r="I8237" s="8"/>
      <c r="J8237" s="7"/>
      <c r="K8237" s="7"/>
      <c r="L8237" s="7"/>
      <c r="M8237" s="7"/>
      <c r="N8237" s="7"/>
      <c r="O8237" s="7"/>
      <c r="P8237" s="7"/>
      <c r="Q8237" s="7"/>
      <c r="R8237" s="7"/>
      <c r="S8237" s="7"/>
      <c r="T8237" s="7"/>
      <c r="U8237" s="7"/>
      <c r="V8237" s="7"/>
      <c r="W8237" s="7"/>
      <c r="X8237" s="7"/>
      <c r="Y8237" s="7"/>
      <c r="Z8237" s="7"/>
    </row>
    <row r="8238" hidden="1">
      <c r="A8238" s="7"/>
      <c r="B8238" s="7"/>
      <c r="C8238" s="7"/>
      <c r="D8238" s="7"/>
      <c r="E8238" s="7"/>
      <c r="F8238" s="7"/>
      <c r="G8238" s="7"/>
      <c r="H8238" s="8"/>
      <c r="I8238" s="8"/>
      <c r="J8238" s="7"/>
      <c r="K8238" s="7"/>
      <c r="L8238" s="7"/>
      <c r="M8238" s="7"/>
      <c r="N8238" s="7"/>
      <c r="O8238" s="7"/>
      <c r="P8238" s="7"/>
      <c r="Q8238" s="7"/>
      <c r="R8238" s="7"/>
      <c r="S8238" s="7"/>
      <c r="T8238" s="7"/>
      <c r="U8238" s="7"/>
      <c r="V8238" s="7"/>
      <c r="W8238" s="7"/>
      <c r="X8238" s="7"/>
      <c r="Y8238" s="7"/>
      <c r="Z8238" s="7"/>
    </row>
    <row r="8239" hidden="1">
      <c r="A8239" s="7"/>
      <c r="B8239" s="7"/>
      <c r="C8239" s="7"/>
      <c r="D8239" s="7"/>
      <c r="E8239" s="7"/>
      <c r="F8239" s="7"/>
      <c r="G8239" s="7"/>
      <c r="H8239" s="8"/>
      <c r="I8239" s="8"/>
      <c r="J8239" s="7"/>
      <c r="K8239" s="7"/>
      <c r="L8239" s="7"/>
      <c r="M8239" s="7"/>
      <c r="N8239" s="7"/>
      <c r="O8239" s="7"/>
      <c r="P8239" s="7"/>
      <c r="Q8239" s="7"/>
      <c r="R8239" s="7"/>
      <c r="S8239" s="7"/>
      <c r="T8239" s="7"/>
      <c r="U8239" s="7"/>
      <c r="V8239" s="7"/>
      <c r="W8239" s="7"/>
      <c r="X8239" s="7"/>
      <c r="Y8239" s="7"/>
      <c r="Z8239" s="7"/>
    </row>
    <row r="8240" hidden="1">
      <c r="A8240" s="7"/>
      <c r="B8240" s="7"/>
      <c r="C8240" s="7"/>
      <c r="D8240" s="7"/>
      <c r="E8240" s="7"/>
      <c r="F8240" s="7"/>
      <c r="G8240" s="7"/>
      <c r="H8240" s="8"/>
      <c r="I8240" s="8"/>
      <c r="J8240" s="7"/>
      <c r="K8240" s="7"/>
      <c r="L8240" s="7"/>
      <c r="M8240" s="7"/>
      <c r="N8240" s="7"/>
      <c r="O8240" s="7"/>
      <c r="P8240" s="7"/>
      <c r="Q8240" s="7"/>
      <c r="R8240" s="7"/>
      <c r="S8240" s="7"/>
      <c r="T8240" s="7"/>
      <c r="U8240" s="7"/>
      <c r="V8240" s="7"/>
      <c r="W8240" s="7"/>
      <c r="X8240" s="7"/>
      <c r="Y8240" s="7"/>
      <c r="Z8240" s="7"/>
    </row>
    <row r="8241" hidden="1">
      <c r="A8241" s="7"/>
      <c r="B8241" s="7"/>
      <c r="C8241" s="7"/>
      <c r="D8241" s="7"/>
      <c r="E8241" s="7"/>
      <c r="F8241" s="7"/>
      <c r="G8241" s="7"/>
      <c r="H8241" s="8"/>
      <c r="I8241" s="8"/>
      <c r="J8241" s="7"/>
      <c r="K8241" s="7"/>
      <c r="L8241" s="7"/>
      <c r="M8241" s="7"/>
      <c r="N8241" s="7"/>
      <c r="O8241" s="7"/>
      <c r="P8241" s="7"/>
      <c r="Q8241" s="7"/>
      <c r="R8241" s="7"/>
      <c r="S8241" s="7"/>
      <c r="T8241" s="7"/>
      <c r="U8241" s="7"/>
      <c r="V8241" s="7"/>
      <c r="W8241" s="7"/>
      <c r="X8241" s="7"/>
      <c r="Y8241" s="7"/>
      <c r="Z8241" s="7"/>
    </row>
    <row r="8242" hidden="1">
      <c r="A8242" s="7"/>
      <c r="B8242" s="7"/>
      <c r="C8242" s="7"/>
      <c r="D8242" s="7"/>
      <c r="E8242" s="7"/>
      <c r="F8242" s="7"/>
      <c r="G8242" s="7"/>
      <c r="H8242" s="8"/>
      <c r="I8242" s="8"/>
      <c r="J8242" s="7"/>
      <c r="K8242" s="7"/>
      <c r="L8242" s="7"/>
      <c r="M8242" s="7"/>
      <c r="N8242" s="7"/>
      <c r="O8242" s="7"/>
      <c r="P8242" s="7"/>
      <c r="Q8242" s="7"/>
      <c r="R8242" s="7"/>
      <c r="S8242" s="7"/>
      <c r="T8242" s="7"/>
      <c r="U8242" s="7"/>
      <c r="V8242" s="7"/>
      <c r="W8242" s="7"/>
      <c r="X8242" s="7"/>
      <c r="Y8242" s="7"/>
      <c r="Z8242" s="7"/>
    </row>
    <row r="8243" hidden="1">
      <c r="A8243" s="7"/>
      <c r="B8243" s="7"/>
      <c r="C8243" s="7"/>
      <c r="D8243" s="7"/>
      <c r="E8243" s="7"/>
      <c r="F8243" s="7"/>
      <c r="G8243" s="7"/>
      <c r="H8243" s="8"/>
      <c r="I8243" s="8"/>
      <c r="J8243" s="7"/>
      <c r="K8243" s="7"/>
      <c r="L8243" s="7"/>
      <c r="M8243" s="7"/>
      <c r="N8243" s="7"/>
      <c r="O8243" s="7"/>
      <c r="P8243" s="7"/>
      <c r="Q8243" s="7"/>
      <c r="R8243" s="7"/>
      <c r="S8243" s="7"/>
      <c r="T8243" s="7"/>
      <c r="U8243" s="7"/>
      <c r="V8243" s="7"/>
      <c r="W8243" s="7"/>
      <c r="X8243" s="7"/>
      <c r="Y8243" s="7"/>
      <c r="Z8243" s="7"/>
    </row>
    <row r="8244" hidden="1">
      <c r="A8244" s="7"/>
      <c r="B8244" s="7"/>
      <c r="C8244" s="7"/>
      <c r="D8244" s="7"/>
      <c r="E8244" s="7"/>
      <c r="F8244" s="7"/>
      <c r="G8244" s="7"/>
      <c r="H8244" s="8"/>
      <c r="I8244" s="8"/>
      <c r="J8244" s="7"/>
      <c r="K8244" s="7"/>
      <c r="L8244" s="7"/>
      <c r="M8244" s="7"/>
      <c r="N8244" s="7"/>
      <c r="O8244" s="7"/>
      <c r="P8244" s="7"/>
      <c r="Q8244" s="7"/>
      <c r="R8244" s="7"/>
      <c r="S8244" s="7"/>
      <c r="T8244" s="7"/>
      <c r="U8244" s="7"/>
      <c r="V8244" s="7"/>
      <c r="W8244" s="7"/>
      <c r="X8244" s="7"/>
      <c r="Y8244" s="7"/>
      <c r="Z8244" s="7"/>
    </row>
    <row r="8245" hidden="1">
      <c r="A8245" s="7"/>
      <c r="B8245" s="7"/>
      <c r="C8245" s="7"/>
      <c r="D8245" s="7"/>
      <c r="E8245" s="7"/>
      <c r="F8245" s="7"/>
      <c r="G8245" s="7"/>
      <c r="H8245" s="8"/>
      <c r="I8245" s="8"/>
      <c r="J8245" s="7"/>
      <c r="K8245" s="7"/>
      <c r="L8245" s="7"/>
      <c r="M8245" s="7"/>
      <c r="N8245" s="7"/>
      <c r="O8245" s="7"/>
      <c r="P8245" s="7"/>
      <c r="Q8245" s="7"/>
      <c r="R8245" s="7"/>
      <c r="S8245" s="7"/>
      <c r="T8245" s="7"/>
      <c r="U8245" s="7"/>
      <c r="V8245" s="7"/>
      <c r="W8245" s="7"/>
      <c r="X8245" s="7"/>
      <c r="Y8245" s="7"/>
      <c r="Z8245" s="7"/>
    </row>
    <row r="8246" hidden="1">
      <c r="A8246" s="7"/>
      <c r="B8246" s="7"/>
      <c r="C8246" s="7"/>
      <c r="D8246" s="7"/>
      <c r="E8246" s="7"/>
      <c r="F8246" s="7"/>
      <c r="G8246" s="7"/>
      <c r="H8246" s="8"/>
      <c r="I8246" s="8"/>
      <c r="J8246" s="7"/>
      <c r="K8246" s="7"/>
      <c r="L8246" s="7"/>
      <c r="M8246" s="7"/>
      <c r="N8246" s="7"/>
      <c r="O8246" s="7"/>
      <c r="P8246" s="7"/>
      <c r="Q8246" s="7"/>
      <c r="R8246" s="7"/>
      <c r="S8246" s="7"/>
      <c r="T8246" s="7"/>
      <c r="U8246" s="7"/>
      <c r="V8246" s="7"/>
      <c r="W8246" s="7"/>
      <c r="X8246" s="7"/>
      <c r="Y8246" s="7"/>
      <c r="Z8246" s="7"/>
    </row>
    <row r="8247" hidden="1">
      <c r="A8247" s="7"/>
      <c r="B8247" s="7"/>
      <c r="C8247" s="7"/>
      <c r="D8247" s="7"/>
      <c r="E8247" s="7"/>
      <c r="F8247" s="7"/>
      <c r="G8247" s="7"/>
      <c r="H8247" s="8"/>
      <c r="I8247" s="8"/>
      <c r="J8247" s="7"/>
      <c r="K8247" s="7"/>
      <c r="L8247" s="7"/>
      <c r="M8247" s="7"/>
      <c r="N8247" s="7"/>
      <c r="O8247" s="7"/>
      <c r="P8247" s="7"/>
      <c r="Q8247" s="7"/>
      <c r="R8247" s="7"/>
      <c r="S8247" s="7"/>
      <c r="T8247" s="7"/>
      <c r="U8247" s="7"/>
      <c r="V8247" s="7"/>
      <c r="W8247" s="7"/>
      <c r="X8247" s="7"/>
      <c r="Y8247" s="7"/>
      <c r="Z8247" s="7"/>
    </row>
    <row r="8248" hidden="1">
      <c r="A8248" s="7"/>
      <c r="B8248" s="7"/>
      <c r="C8248" s="7"/>
      <c r="D8248" s="7"/>
      <c r="E8248" s="7"/>
      <c r="F8248" s="7"/>
      <c r="G8248" s="7"/>
      <c r="H8248" s="8"/>
      <c r="I8248" s="8"/>
      <c r="J8248" s="7"/>
      <c r="K8248" s="7"/>
      <c r="L8248" s="7"/>
      <c r="M8248" s="7"/>
      <c r="N8248" s="7"/>
      <c r="O8248" s="7"/>
      <c r="P8248" s="7"/>
      <c r="Q8248" s="7"/>
      <c r="R8248" s="7"/>
      <c r="S8248" s="7"/>
      <c r="T8248" s="7"/>
      <c r="U8248" s="7"/>
      <c r="V8248" s="7"/>
      <c r="W8248" s="7"/>
      <c r="X8248" s="7"/>
      <c r="Y8248" s="7"/>
      <c r="Z8248" s="7"/>
    </row>
    <row r="8249" hidden="1">
      <c r="A8249" s="7"/>
      <c r="B8249" s="7"/>
      <c r="C8249" s="7"/>
      <c r="D8249" s="7"/>
      <c r="E8249" s="7"/>
      <c r="F8249" s="7"/>
      <c r="G8249" s="7"/>
      <c r="H8249" s="8"/>
      <c r="I8249" s="8"/>
      <c r="J8249" s="7"/>
      <c r="K8249" s="7"/>
      <c r="L8249" s="7"/>
      <c r="M8249" s="7"/>
      <c r="N8249" s="7"/>
      <c r="O8249" s="7"/>
      <c r="P8249" s="7"/>
      <c r="Q8249" s="7"/>
      <c r="R8249" s="7"/>
      <c r="S8249" s="7"/>
      <c r="T8249" s="7"/>
      <c r="U8249" s="7"/>
      <c r="V8249" s="7"/>
      <c r="W8249" s="7"/>
      <c r="X8249" s="7"/>
      <c r="Y8249" s="7"/>
      <c r="Z8249" s="7"/>
    </row>
    <row r="8250" hidden="1">
      <c r="A8250" s="7"/>
      <c r="B8250" s="7"/>
      <c r="C8250" s="7"/>
      <c r="D8250" s="7"/>
      <c r="E8250" s="7"/>
      <c r="F8250" s="7"/>
      <c r="G8250" s="7"/>
      <c r="H8250" s="8"/>
      <c r="I8250" s="8"/>
      <c r="J8250" s="7"/>
      <c r="K8250" s="7"/>
      <c r="L8250" s="7"/>
      <c r="M8250" s="7"/>
      <c r="N8250" s="7"/>
      <c r="O8250" s="7"/>
      <c r="P8250" s="7"/>
      <c r="Q8250" s="7"/>
      <c r="R8250" s="7"/>
      <c r="S8250" s="7"/>
      <c r="T8250" s="7"/>
      <c r="U8250" s="7"/>
      <c r="V8250" s="7"/>
      <c r="W8250" s="7"/>
      <c r="X8250" s="7"/>
      <c r="Y8250" s="7"/>
      <c r="Z8250" s="7"/>
    </row>
    <row r="8251" hidden="1">
      <c r="A8251" s="7"/>
      <c r="B8251" s="7"/>
      <c r="C8251" s="7"/>
      <c r="D8251" s="7"/>
      <c r="E8251" s="7"/>
      <c r="F8251" s="7"/>
      <c r="G8251" s="7"/>
      <c r="H8251" s="8"/>
      <c r="I8251" s="8"/>
      <c r="J8251" s="7"/>
      <c r="K8251" s="7"/>
      <c r="L8251" s="7"/>
      <c r="M8251" s="7"/>
      <c r="N8251" s="7"/>
      <c r="O8251" s="7"/>
      <c r="P8251" s="7"/>
      <c r="Q8251" s="7"/>
      <c r="R8251" s="7"/>
      <c r="S8251" s="7"/>
      <c r="T8251" s="7"/>
      <c r="U8251" s="7"/>
      <c r="V8251" s="7"/>
      <c r="W8251" s="7"/>
      <c r="X8251" s="7"/>
      <c r="Y8251" s="7"/>
      <c r="Z8251" s="7"/>
    </row>
    <row r="8252" hidden="1">
      <c r="A8252" s="7"/>
      <c r="B8252" s="7"/>
      <c r="C8252" s="7"/>
      <c r="D8252" s="7"/>
      <c r="E8252" s="7"/>
      <c r="F8252" s="7"/>
      <c r="G8252" s="7"/>
      <c r="H8252" s="8"/>
      <c r="I8252" s="8"/>
      <c r="J8252" s="7"/>
      <c r="K8252" s="7"/>
      <c r="L8252" s="7"/>
      <c r="M8252" s="7"/>
      <c r="N8252" s="7"/>
      <c r="O8252" s="7"/>
      <c r="P8252" s="7"/>
      <c r="Q8252" s="7"/>
      <c r="R8252" s="7"/>
      <c r="S8252" s="7"/>
      <c r="T8252" s="7"/>
      <c r="U8252" s="7"/>
      <c r="V8252" s="7"/>
      <c r="W8252" s="7"/>
      <c r="X8252" s="7"/>
      <c r="Y8252" s="7"/>
      <c r="Z8252" s="7"/>
    </row>
    <row r="8253" hidden="1">
      <c r="A8253" s="7"/>
      <c r="B8253" s="7"/>
      <c r="C8253" s="7"/>
      <c r="D8253" s="7"/>
      <c r="E8253" s="7"/>
      <c r="F8253" s="7"/>
      <c r="G8253" s="7"/>
      <c r="H8253" s="8"/>
      <c r="I8253" s="8"/>
      <c r="J8253" s="7"/>
      <c r="K8253" s="7"/>
      <c r="L8253" s="7"/>
      <c r="M8253" s="7"/>
      <c r="N8253" s="7"/>
      <c r="O8253" s="7"/>
      <c r="P8253" s="7"/>
      <c r="Q8253" s="7"/>
      <c r="R8253" s="7"/>
      <c r="S8253" s="7"/>
      <c r="T8253" s="7"/>
      <c r="U8253" s="7"/>
      <c r="V8253" s="7"/>
      <c r="W8253" s="7"/>
      <c r="X8253" s="7"/>
      <c r="Y8253" s="7"/>
      <c r="Z8253" s="7"/>
    </row>
    <row r="8254" hidden="1">
      <c r="A8254" s="7"/>
      <c r="B8254" s="7"/>
      <c r="C8254" s="7"/>
      <c r="D8254" s="7"/>
      <c r="E8254" s="7"/>
      <c r="F8254" s="7"/>
      <c r="G8254" s="7"/>
      <c r="H8254" s="8"/>
      <c r="I8254" s="8"/>
      <c r="J8254" s="7"/>
      <c r="K8254" s="7"/>
      <c r="L8254" s="7"/>
      <c r="M8254" s="7"/>
      <c r="N8254" s="7"/>
      <c r="O8254" s="7"/>
      <c r="P8254" s="7"/>
      <c r="Q8254" s="7"/>
      <c r="R8254" s="7"/>
      <c r="S8254" s="7"/>
      <c r="T8254" s="7"/>
      <c r="U8254" s="7"/>
      <c r="V8254" s="7"/>
      <c r="W8254" s="7"/>
      <c r="X8254" s="7"/>
      <c r="Y8254" s="7"/>
      <c r="Z8254" s="7"/>
    </row>
    <row r="8255" hidden="1">
      <c r="A8255" s="7"/>
      <c r="B8255" s="7"/>
      <c r="C8255" s="7"/>
      <c r="D8255" s="7"/>
      <c r="E8255" s="7"/>
      <c r="F8255" s="7"/>
      <c r="G8255" s="7"/>
      <c r="H8255" s="8"/>
      <c r="I8255" s="8"/>
      <c r="J8255" s="7"/>
      <c r="K8255" s="7"/>
      <c r="L8255" s="7"/>
      <c r="M8255" s="7"/>
      <c r="N8255" s="7"/>
      <c r="O8255" s="7"/>
      <c r="P8255" s="7"/>
      <c r="Q8255" s="7"/>
      <c r="R8255" s="7"/>
      <c r="S8255" s="7"/>
      <c r="T8255" s="7"/>
      <c r="U8255" s="7"/>
      <c r="V8255" s="7"/>
      <c r="W8255" s="7"/>
      <c r="X8255" s="7"/>
      <c r="Y8255" s="7"/>
      <c r="Z8255" s="7"/>
    </row>
    <row r="8256" hidden="1">
      <c r="A8256" s="7"/>
      <c r="B8256" s="7"/>
      <c r="C8256" s="7"/>
      <c r="D8256" s="7"/>
      <c r="E8256" s="7"/>
      <c r="F8256" s="7"/>
      <c r="G8256" s="7"/>
      <c r="H8256" s="8"/>
      <c r="I8256" s="8"/>
      <c r="J8256" s="7"/>
      <c r="K8256" s="7"/>
      <c r="L8256" s="7"/>
      <c r="M8256" s="7"/>
      <c r="N8256" s="7"/>
      <c r="O8256" s="7"/>
      <c r="P8256" s="7"/>
      <c r="Q8256" s="7"/>
      <c r="R8256" s="7"/>
      <c r="S8256" s="7"/>
      <c r="T8256" s="7"/>
      <c r="U8256" s="7"/>
      <c r="V8256" s="7"/>
      <c r="W8256" s="7"/>
      <c r="X8256" s="7"/>
      <c r="Y8256" s="7"/>
      <c r="Z8256" s="7"/>
    </row>
    <row r="8257" hidden="1">
      <c r="A8257" s="7"/>
      <c r="B8257" s="7"/>
      <c r="C8257" s="7"/>
      <c r="D8257" s="7"/>
      <c r="E8257" s="7"/>
      <c r="F8257" s="7"/>
      <c r="G8257" s="7"/>
      <c r="H8257" s="8"/>
      <c r="I8257" s="8"/>
      <c r="J8257" s="7"/>
      <c r="K8257" s="7"/>
      <c r="L8257" s="7"/>
      <c r="M8257" s="7"/>
      <c r="N8257" s="7"/>
      <c r="O8257" s="7"/>
      <c r="P8257" s="7"/>
      <c r="Q8257" s="7"/>
      <c r="R8257" s="7"/>
      <c r="S8257" s="7"/>
      <c r="T8257" s="7"/>
      <c r="U8257" s="7"/>
      <c r="V8257" s="7"/>
      <c r="W8257" s="7"/>
      <c r="X8257" s="7"/>
      <c r="Y8257" s="7"/>
      <c r="Z8257" s="7"/>
    </row>
    <row r="8258" hidden="1">
      <c r="A8258" s="7"/>
      <c r="B8258" s="7"/>
      <c r="C8258" s="7"/>
      <c r="D8258" s="7"/>
      <c r="E8258" s="7"/>
      <c r="F8258" s="7"/>
      <c r="G8258" s="7"/>
      <c r="H8258" s="8"/>
      <c r="I8258" s="8"/>
      <c r="J8258" s="7"/>
      <c r="K8258" s="7"/>
      <c r="L8258" s="7"/>
      <c r="M8258" s="7"/>
      <c r="N8258" s="7"/>
      <c r="O8258" s="7"/>
      <c r="P8258" s="7"/>
      <c r="Q8258" s="7"/>
      <c r="R8258" s="7"/>
      <c r="S8258" s="7"/>
      <c r="T8258" s="7"/>
      <c r="U8258" s="7"/>
      <c r="V8258" s="7"/>
      <c r="W8258" s="7"/>
      <c r="X8258" s="7"/>
      <c r="Y8258" s="7"/>
      <c r="Z8258" s="7"/>
    </row>
    <row r="8259" hidden="1">
      <c r="A8259" s="7"/>
      <c r="B8259" s="7"/>
      <c r="C8259" s="7"/>
      <c r="D8259" s="7"/>
      <c r="E8259" s="7"/>
      <c r="F8259" s="7"/>
      <c r="G8259" s="7"/>
      <c r="H8259" s="8"/>
      <c r="I8259" s="8"/>
      <c r="J8259" s="7"/>
      <c r="K8259" s="7"/>
      <c r="L8259" s="7"/>
      <c r="M8259" s="7"/>
      <c r="N8259" s="7"/>
      <c r="O8259" s="7"/>
      <c r="P8259" s="7"/>
      <c r="Q8259" s="7"/>
      <c r="R8259" s="7"/>
      <c r="S8259" s="7"/>
      <c r="T8259" s="7"/>
      <c r="U8259" s="7"/>
      <c r="V8259" s="7"/>
      <c r="W8259" s="7"/>
      <c r="X8259" s="7"/>
      <c r="Y8259" s="7"/>
      <c r="Z8259" s="7"/>
    </row>
    <row r="8260" hidden="1">
      <c r="A8260" s="7"/>
      <c r="B8260" s="7"/>
      <c r="C8260" s="7"/>
      <c r="D8260" s="7"/>
      <c r="E8260" s="7"/>
      <c r="F8260" s="7"/>
      <c r="G8260" s="7"/>
      <c r="H8260" s="8"/>
      <c r="I8260" s="8"/>
      <c r="J8260" s="7"/>
      <c r="K8260" s="7"/>
      <c r="L8260" s="7"/>
      <c r="M8260" s="7"/>
      <c r="N8260" s="7"/>
      <c r="O8260" s="7"/>
      <c r="P8260" s="7"/>
      <c r="Q8260" s="7"/>
      <c r="R8260" s="7"/>
      <c r="S8260" s="7"/>
      <c r="T8260" s="7"/>
      <c r="U8260" s="7"/>
      <c r="V8260" s="7"/>
      <c r="W8260" s="7"/>
      <c r="X8260" s="7"/>
      <c r="Y8260" s="7"/>
      <c r="Z8260" s="7"/>
    </row>
    <row r="8261" hidden="1">
      <c r="A8261" s="7"/>
      <c r="B8261" s="7"/>
      <c r="C8261" s="7"/>
      <c r="D8261" s="7"/>
      <c r="E8261" s="7"/>
      <c r="F8261" s="7"/>
      <c r="G8261" s="7"/>
      <c r="H8261" s="8"/>
      <c r="I8261" s="8"/>
      <c r="J8261" s="7"/>
      <c r="K8261" s="7"/>
      <c r="L8261" s="7"/>
      <c r="M8261" s="7"/>
      <c r="N8261" s="7"/>
      <c r="O8261" s="7"/>
      <c r="P8261" s="7"/>
      <c r="Q8261" s="7"/>
      <c r="R8261" s="7"/>
      <c r="S8261" s="7"/>
      <c r="T8261" s="7"/>
      <c r="U8261" s="7"/>
      <c r="V8261" s="7"/>
      <c r="W8261" s="7"/>
      <c r="X8261" s="7"/>
      <c r="Y8261" s="7"/>
      <c r="Z8261" s="7"/>
    </row>
    <row r="8262" hidden="1">
      <c r="A8262" s="7"/>
      <c r="B8262" s="7"/>
      <c r="C8262" s="7"/>
      <c r="D8262" s="7"/>
      <c r="E8262" s="7"/>
      <c r="F8262" s="7"/>
      <c r="G8262" s="7"/>
      <c r="H8262" s="8"/>
      <c r="I8262" s="8"/>
      <c r="J8262" s="7"/>
      <c r="K8262" s="7"/>
      <c r="L8262" s="7"/>
      <c r="M8262" s="7"/>
      <c r="N8262" s="7"/>
      <c r="O8262" s="7"/>
      <c r="P8262" s="7"/>
      <c r="Q8262" s="7"/>
      <c r="R8262" s="7"/>
      <c r="S8262" s="7"/>
      <c r="T8262" s="7"/>
      <c r="U8262" s="7"/>
      <c r="V8262" s="7"/>
      <c r="W8262" s="7"/>
      <c r="X8262" s="7"/>
      <c r="Y8262" s="7"/>
      <c r="Z8262" s="7"/>
    </row>
    <row r="8263" hidden="1">
      <c r="A8263" s="7"/>
      <c r="B8263" s="7"/>
      <c r="C8263" s="7"/>
      <c r="D8263" s="7"/>
      <c r="E8263" s="7"/>
      <c r="F8263" s="7"/>
      <c r="G8263" s="7"/>
      <c r="H8263" s="8"/>
      <c r="I8263" s="8"/>
      <c r="J8263" s="7"/>
      <c r="K8263" s="7"/>
      <c r="L8263" s="7"/>
      <c r="M8263" s="7"/>
      <c r="N8263" s="7"/>
      <c r="O8263" s="7"/>
      <c r="P8263" s="7"/>
      <c r="Q8263" s="7"/>
      <c r="R8263" s="7"/>
      <c r="S8263" s="7"/>
      <c r="T8263" s="7"/>
      <c r="U8263" s="7"/>
      <c r="V8263" s="7"/>
      <c r="W8263" s="7"/>
      <c r="X8263" s="7"/>
      <c r="Y8263" s="7"/>
      <c r="Z8263" s="7"/>
    </row>
    <row r="8264" hidden="1">
      <c r="A8264" s="7"/>
      <c r="B8264" s="7"/>
      <c r="C8264" s="7"/>
      <c r="D8264" s="7"/>
      <c r="E8264" s="7"/>
      <c r="F8264" s="7"/>
      <c r="G8264" s="7"/>
      <c r="H8264" s="8"/>
      <c r="I8264" s="8"/>
      <c r="J8264" s="7"/>
      <c r="K8264" s="7"/>
      <c r="L8264" s="7"/>
      <c r="M8264" s="7"/>
      <c r="N8264" s="7"/>
      <c r="O8264" s="7"/>
      <c r="P8264" s="7"/>
      <c r="Q8264" s="7"/>
      <c r="R8264" s="7"/>
      <c r="S8264" s="7"/>
      <c r="T8264" s="7"/>
      <c r="U8264" s="7"/>
      <c r="V8264" s="7"/>
      <c r="W8264" s="7"/>
      <c r="X8264" s="7"/>
      <c r="Y8264" s="7"/>
      <c r="Z8264" s="7"/>
    </row>
    <row r="8265" hidden="1">
      <c r="A8265" s="7"/>
      <c r="B8265" s="7"/>
      <c r="C8265" s="7"/>
      <c r="D8265" s="7"/>
      <c r="E8265" s="7"/>
      <c r="F8265" s="7"/>
      <c r="G8265" s="7"/>
      <c r="H8265" s="8"/>
      <c r="I8265" s="8"/>
      <c r="J8265" s="7"/>
      <c r="K8265" s="7"/>
      <c r="L8265" s="7"/>
      <c r="M8265" s="7"/>
      <c r="N8265" s="7"/>
      <c r="O8265" s="7"/>
      <c r="P8265" s="7"/>
      <c r="Q8265" s="7"/>
      <c r="R8265" s="7"/>
      <c r="S8265" s="7"/>
      <c r="T8265" s="7"/>
      <c r="U8265" s="7"/>
      <c r="V8265" s="7"/>
      <c r="W8265" s="7"/>
      <c r="X8265" s="7"/>
      <c r="Y8265" s="7"/>
      <c r="Z8265" s="7"/>
    </row>
    <row r="8266" hidden="1">
      <c r="A8266" s="7"/>
      <c r="B8266" s="7"/>
      <c r="C8266" s="7"/>
      <c r="D8266" s="7"/>
      <c r="E8266" s="7"/>
      <c r="F8266" s="7"/>
      <c r="G8266" s="7"/>
      <c r="H8266" s="8"/>
      <c r="I8266" s="8"/>
      <c r="J8266" s="7"/>
      <c r="K8266" s="7"/>
      <c r="L8266" s="7"/>
      <c r="M8266" s="7"/>
      <c r="N8266" s="7"/>
      <c r="O8266" s="7"/>
      <c r="P8266" s="7"/>
      <c r="Q8266" s="7"/>
      <c r="R8266" s="7"/>
      <c r="S8266" s="7"/>
      <c r="T8266" s="7"/>
      <c r="U8266" s="7"/>
      <c r="V8266" s="7"/>
      <c r="W8266" s="7"/>
      <c r="X8266" s="7"/>
      <c r="Y8266" s="7"/>
      <c r="Z8266" s="7"/>
    </row>
    <row r="8267" hidden="1">
      <c r="A8267" s="7"/>
      <c r="B8267" s="7"/>
      <c r="C8267" s="7"/>
      <c r="D8267" s="7"/>
      <c r="E8267" s="7"/>
      <c r="F8267" s="7"/>
      <c r="G8267" s="7"/>
      <c r="H8267" s="8"/>
      <c r="I8267" s="8"/>
      <c r="J8267" s="7"/>
      <c r="K8267" s="7"/>
      <c r="L8267" s="7"/>
      <c r="M8267" s="7"/>
      <c r="N8267" s="7"/>
      <c r="O8267" s="7"/>
      <c r="P8267" s="7"/>
      <c r="Q8267" s="7"/>
      <c r="R8267" s="7"/>
      <c r="S8267" s="7"/>
      <c r="T8267" s="7"/>
      <c r="U8267" s="7"/>
      <c r="V8267" s="7"/>
      <c r="W8267" s="7"/>
      <c r="X8267" s="7"/>
      <c r="Y8267" s="7"/>
      <c r="Z8267" s="7"/>
    </row>
    <row r="8268" hidden="1">
      <c r="A8268" s="7"/>
      <c r="B8268" s="7"/>
      <c r="C8268" s="7"/>
      <c r="D8268" s="7"/>
      <c r="E8268" s="7"/>
      <c r="F8268" s="7"/>
      <c r="G8268" s="7"/>
      <c r="H8268" s="8"/>
      <c r="I8268" s="8"/>
      <c r="J8268" s="7"/>
      <c r="K8268" s="7"/>
      <c r="L8268" s="7"/>
      <c r="M8268" s="7"/>
      <c r="N8268" s="7"/>
      <c r="O8268" s="7"/>
      <c r="P8268" s="7"/>
      <c r="Q8268" s="7"/>
      <c r="R8268" s="7"/>
      <c r="S8268" s="7"/>
      <c r="T8268" s="7"/>
      <c r="U8268" s="7"/>
      <c r="V8268" s="7"/>
      <c r="W8268" s="7"/>
      <c r="X8268" s="7"/>
      <c r="Y8268" s="7"/>
      <c r="Z8268" s="7"/>
    </row>
    <row r="8269" hidden="1">
      <c r="A8269" s="7"/>
      <c r="B8269" s="7"/>
      <c r="C8269" s="7"/>
      <c r="D8269" s="7"/>
      <c r="E8269" s="7"/>
      <c r="F8269" s="7"/>
      <c r="G8269" s="7"/>
      <c r="H8269" s="8"/>
      <c r="I8269" s="8"/>
      <c r="J8269" s="7"/>
      <c r="K8269" s="7"/>
      <c r="L8269" s="7"/>
      <c r="M8269" s="7"/>
      <c r="N8269" s="7"/>
      <c r="O8269" s="7"/>
      <c r="P8269" s="7"/>
      <c r="Q8269" s="7"/>
      <c r="R8269" s="7"/>
      <c r="S8269" s="7"/>
      <c r="T8269" s="7"/>
      <c r="U8269" s="7"/>
      <c r="V8269" s="7"/>
      <c r="W8269" s="7"/>
      <c r="X8269" s="7"/>
      <c r="Y8269" s="7"/>
      <c r="Z8269" s="7"/>
    </row>
    <row r="8270" hidden="1">
      <c r="A8270" s="7"/>
      <c r="B8270" s="7"/>
      <c r="C8270" s="7"/>
      <c r="D8270" s="7"/>
      <c r="E8270" s="7"/>
      <c r="F8270" s="7"/>
      <c r="G8270" s="7"/>
      <c r="H8270" s="8"/>
      <c r="I8270" s="8"/>
      <c r="J8270" s="7"/>
      <c r="K8270" s="7"/>
      <c r="L8270" s="7"/>
      <c r="M8270" s="7"/>
      <c r="N8270" s="7"/>
      <c r="O8270" s="7"/>
      <c r="P8270" s="7"/>
      <c r="Q8270" s="7"/>
      <c r="R8270" s="7"/>
      <c r="S8270" s="7"/>
      <c r="T8270" s="7"/>
      <c r="U8270" s="7"/>
      <c r="V8270" s="7"/>
      <c r="W8270" s="7"/>
      <c r="X8270" s="7"/>
      <c r="Y8270" s="7"/>
      <c r="Z8270" s="7"/>
    </row>
    <row r="8271" hidden="1">
      <c r="A8271" s="7"/>
      <c r="B8271" s="7"/>
      <c r="C8271" s="7"/>
      <c r="D8271" s="7"/>
      <c r="E8271" s="7"/>
      <c r="F8271" s="7"/>
      <c r="G8271" s="7"/>
      <c r="H8271" s="8"/>
      <c r="I8271" s="8"/>
      <c r="J8271" s="7"/>
      <c r="K8271" s="7"/>
      <c r="L8271" s="7"/>
      <c r="M8271" s="7"/>
      <c r="N8271" s="7"/>
      <c r="O8271" s="7"/>
      <c r="P8271" s="7"/>
      <c r="Q8271" s="7"/>
      <c r="R8271" s="7"/>
      <c r="S8271" s="7"/>
      <c r="T8271" s="7"/>
      <c r="U8271" s="7"/>
      <c r="V8271" s="7"/>
      <c r="W8271" s="7"/>
      <c r="X8271" s="7"/>
      <c r="Y8271" s="7"/>
      <c r="Z8271" s="7"/>
    </row>
    <row r="8272" hidden="1">
      <c r="A8272" s="7"/>
      <c r="B8272" s="7"/>
      <c r="C8272" s="7"/>
      <c r="D8272" s="7"/>
      <c r="E8272" s="7"/>
      <c r="F8272" s="7"/>
      <c r="G8272" s="7"/>
      <c r="H8272" s="8"/>
      <c r="I8272" s="8"/>
      <c r="J8272" s="7"/>
      <c r="K8272" s="7"/>
      <c r="L8272" s="7"/>
      <c r="M8272" s="7"/>
      <c r="N8272" s="7"/>
      <c r="O8272" s="7"/>
      <c r="P8272" s="7"/>
      <c r="Q8272" s="7"/>
      <c r="R8272" s="7"/>
      <c r="S8272" s="7"/>
      <c r="T8272" s="7"/>
      <c r="U8272" s="7"/>
      <c r="V8272" s="7"/>
      <c r="W8272" s="7"/>
      <c r="X8272" s="7"/>
      <c r="Y8272" s="7"/>
      <c r="Z8272" s="7"/>
    </row>
    <row r="8273" hidden="1">
      <c r="A8273" s="7"/>
      <c r="B8273" s="7"/>
      <c r="C8273" s="7"/>
      <c r="D8273" s="7"/>
      <c r="E8273" s="7"/>
      <c r="F8273" s="7"/>
      <c r="G8273" s="7"/>
      <c r="H8273" s="8"/>
      <c r="I8273" s="8"/>
      <c r="J8273" s="7"/>
      <c r="K8273" s="7"/>
      <c r="L8273" s="7"/>
      <c r="M8273" s="7"/>
      <c r="N8273" s="7"/>
      <c r="O8273" s="7"/>
      <c r="P8273" s="7"/>
      <c r="Q8273" s="7"/>
      <c r="R8273" s="7"/>
      <c r="S8273" s="7"/>
      <c r="T8273" s="7"/>
      <c r="U8273" s="7"/>
      <c r="V8273" s="7"/>
      <c r="W8273" s="7"/>
      <c r="X8273" s="7"/>
      <c r="Y8273" s="7"/>
      <c r="Z8273" s="7"/>
    </row>
    <row r="8274" hidden="1">
      <c r="A8274" s="7"/>
      <c r="B8274" s="7"/>
      <c r="C8274" s="7"/>
      <c r="D8274" s="7"/>
      <c r="E8274" s="7"/>
      <c r="F8274" s="7"/>
      <c r="G8274" s="7"/>
      <c r="H8274" s="8"/>
      <c r="I8274" s="8"/>
      <c r="J8274" s="7"/>
      <c r="K8274" s="7"/>
      <c r="L8274" s="7"/>
      <c r="M8274" s="7"/>
      <c r="N8274" s="7"/>
      <c r="O8274" s="7"/>
      <c r="P8274" s="7"/>
      <c r="Q8274" s="7"/>
      <c r="R8274" s="7"/>
      <c r="S8274" s="7"/>
      <c r="T8274" s="7"/>
      <c r="U8274" s="7"/>
      <c r="V8274" s="7"/>
      <c r="W8274" s="7"/>
      <c r="X8274" s="7"/>
      <c r="Y8274" s="7"/>
      <c r="Z8274" s="7"/>
    </row>
    <row r="8275" hidden="1">
      <c r="A8275" s="7"/>
      <c r="B8275" s="7"/>
      <c r="C8275" s="7"/>
      <c r="D8275" s="7"/>
      <c r="E8275" s="7"/>
      <c r="F8275" s="7"/>
      <c r="G8275" s="7"/>
      <c r="H8275" s="8"/>
      <c r="I8275" s="8"/>
      <c r="J8275" s="7"/>
      <c r="K8275" s="7"/>
      <c r="L8275" s="7"/>
      <c r="M8275" s="7"/>
      <c r="N8275" s="7"/>
      <c r="O8275" s="7"/>
      <c r="P8275" s="7"/>
      <c r="Q8275" s="7"/>
      <c r="R8275" s="7"/>
      <c r="S8275" s="7"/>
      <c r="T8275" s="7"/>
      <c r="U8275" s="7"/>
      <c r="V8275" s="7"/>
      <c r="W8275" s="7"/>
      <c r="X8275" s="7"/>
      <c r="Y8275" s="7"/>
      <c r="Z8275" s="7"/>
    </row>
    <row r="8276" hidden="1">
      <c r="A8276" s="7"/>
      <c r="B8276" s="7"/>
      <c r="C8276" s="7"/>
      <c r="D8276" s="7"/>
      <c r="E8276" s="7"/>
      <c r="F8276" s="7"/>
      <c r="G8276" s="7"/>
      <c r="H8276" s="8"/>
      <c r="I8276" s="8"/>
      <c r="J8276" s="7"/>
      <c r="K8276" s="7"/>
      <c r="L8276" s="7"/>
      <c r="M8276" s="7"/>
      <c r="N8276" s="7"/>
      <c r="O8276" s="7"/>
      <c r="P8276" s="7"/>
      <c r="Q8276" s="7"/>
      <c r="R8276" s="7"/>
      <c r="S8276" s="7"/>
      <c r="T8276" s="7"/>
      <c r="U8276" s="7"/>
      <c r="V8276" s="7"/>
      <c r="W8276" s="7"/>
      <c r="X8276" s="7"/>
      <c r="Y8276" s="7"/>
      <c r="Z8276" s="7"/>
    </row>
    <row r="8277" hidden="1">
      <c r="A8277" s="7"/>
      <c r="B8277" s="7"/>
      <c r="C8277" s="7"/>
      <c r="D8277" s="7"/>
      <c r="E8277" s="7"/>
      <c r="F8277" s="7"/>
      <c r="G8277" s="7"/>
      <c r="H8277" s="8"/>
      <c r="I8277" s="8"/>
      <c r="J8277" s="7"/>
      <c r="K8277" s="7"/>
      <c r="L8277" s="7"/>
      <c r="M8277" s="7"/>
      <c r="N8277" s="7"/>
      <c r="O8277" s="7"/>
      <c r="P8277" s="7"/>
      <c r="Q8277" s="7"/>
      <c r="R8277" s="7"/>
      <c r="S8277" s="7"/>
      <c r="T8277" s="7"/>
      <c r="U8277" s="7"/>
      <c r="V8277" s="7"/>
      <c r="W8277" s="7"/>
      <c r="X8277" s="7"/>
      <c r="Y8277" s="7"/>
      <c r="Z8277" s="7"/>
    </row>
    <row r="8278" hidden="1">
      <c r="A8278" s="7"/>
      <c r="B8278" s="7"/>
      <c r="C8278" s="7"/>
      <c r="D8278" s="7"/>
      <c r="E8278" s="7"/>
      <c r="F8278" s="7"/>
      <c r="G8278" s="7"/>
      <c r="H8278" s="8"/>
      <c r="I8278" s="8"/>
      <c r="J8278" s="7"/>
      <c r="K8278" s="7"/>
      <c r="L8278" s="7"/>
      <c r="M8278" s="7"/>
      <c r="N8278" s="7"/>
      <c r="O8278" s="7"/>
      <c r="P8278" s="7"/>
      <c r="Q8278" s="7"/>
      <c r="R8278" s="7"/>
      <c r="S8278" s="7"/>
      <c r="T8278" s="7"/>
      <c r="U8278" s="7"/>
      <c r="V8278" s="7"/>
      <c r="W8278" s="7"/>
      <c r="X8278" s="7"/>
      <c r="Y8278" s="7"/>
      <c r="Z8278" s="7"/>
    </row>
    <row r="8279" hidden="1">
      <c r="A8279" s="7"/>
      <c r="B8279" s="7"/>
      <c r="C8279" s="7"/>
      <c r="D8279" s="7"/>
      <c r="E8279" s="7"/>
      <c r="F8279" s="7"/>
      <c r="G8279" s="7"/>
      <c r="H8279" s="8"/>
      <c r="I8279" s="8"/>
      <c r="J8279" s="7"/>
      <c r="K8279" s="7"/>
      <c r="L8279" s="7"/>
      <c r="M8279" s="7"/>
      <c r="N8279" s="7"/>
      <c r="O8279" s="7"/>
      <c r="P8279" s="7"/>
      <c r="Q8279" s="7"/>
      <c r="R8279" s="7"/>
      <c r="S8279" s="7"/>
      <c r="T8279" s="7"/>
      <c r="U8279" s="7"/>
      <c r="V8279" s="7"/>
      <c r="W8279" s="7"/>
      <c r="X8279" s="7"/>
      <c r="Y8279" s="7"/>
      <c r="Z8279" s="7"/>
    </row>
    <row r="8280" hidden="1">
      <c r="A8280" s="7"/>
      <c r="B8280" s="7"/>
      <c r="C8280" s="7"/>
      <c r="D8280" s="7"/>
      <c r="E8280" s="7"/>
      <c r="F8280" s="7"/>
      <c r="G8280" s="7"/>
      <c r="H8280" s="8"/>
      <c r="I8280" s="8"/>
      <c r="J8280" s="7"/>
      <c r="K8280" s="7"/>
      <c r="L8280" s="7"/>
      <c r="M8280" s="7"/>
      <c r="N8280" s="7"/>
      <c r="O8280" s="7"/>
      <c r="P8280" s="7"/>
      <c r="Q8280" s="7"/>
      <c r="R8280" s="7"/>
      <c r="S8280" s="7"/>
      <c r="T8280" s="7"/>
      <c r="U8280" s="7"/>
      <c r="V8280" s="7"/>
      <c r="W8280" s="7"/>
      <c r="X8280" s="7"/>
      <c r="Y8280" s="7"/>
      <c r="Z8280" s="7"/>
    </row>
    <row r="8281" hidden="1">
      <c r="A8281" s="7"/>
      <c r="B8281" s="7"/>
      <c r="C8281" s="7"/>
      <c r="D8281" s="7"/>
      <c r="E8281" s="7"/>
      <c r="F8281" s="7"/>
      <c r="G8281" s="7"/>
      <c r="H8281" s="8"/>
      <c r="I8281" s="8"/>
      <c r="J8281" s="7"/>
      <c r="K8281" s="7"/>
      <c r="L8281" s="7"/>
      <c r="M8281" s="7"/>
      <c r="N8281" s="7"/>
      <c r="O8281" s="7"/>
      <c r="P8281" s="7"/>
      <c r="Q8281" s="7"/>
      <c r="R8281" s="7"/>
      <c r="S8281" s="7"/>
      <c r="T8281" s="7"/>
      <c r="U8281" s="7"/>
      <c r="V8281" s="7"/>
      <c r="W8281" s="7"/>
      <c r="X8281" s="7"/>
      <c r="Y8281" s="7"/>
      <c r="Z8281" s="7"/>
    </row>
    <row r="8282" hidden="1">
      <c r="A8282" s="7"/>
      <c r="B8282" s="7"/>
      <c r="C8282" s="7"/>
      <c r="D8282" s="7"/>
      <c r="E8282" s="7"/>
      <c r="F8282" s="7"/>
      <c r="G8282" s="7"/>
      <c r="H8282" s="8"/>
      <c r="I8282" s="8"/>
      <c r="J8282" s="7"/>
      <c r="K8282" s="7"/>
      <c r="L8282" s="7"/>
      <c r="M8282" s="7"/>
      <c r="N8282" s="7"/>
      <c r="O8282" s="7"/>
      <c r="P8282" s="7"/>
      <c r="Q8282" s="7"/>
      <c r="R8282" s="7"/>
      <c r="S8282" s="7"/>
      <c r="T8282" s="7"/>
      <c r="U8282" s="7"/>
      <c r="V8282" s="7"/>
      <c r="W8282" s="7"/>
      <c r="X8282" s="7"/>
      <c r="Y8282" s="7"/>
      <c r="Z8282" s="7"/>
    </row>
    <row r="8283" hidden="1">
      <c r="A8283" s="7"/>
      <c r="B8283" s="7"/>
      <c r="C8283" s="7"/>
      <c r="D8283" s="7"/>
      <c r="E8283" s="7"/>
      <c r="F8283" s="7"/>
      <c r="G8283" s="7"/>
      <c r="H8283" s="8"/>
      <c r="I8283" s="8"/>
      <c r="J8283" s="7"/>
      <c r="K8283" s="7"/>
      <c r="L8283" s="7"/>
      <c r="M8283" s="7"/>
      <c r="N8283" s="7"/>
      <c r="O8283" s="7"/>
      <c r="P8283" s="7"/>
      <c r="Q8283" s="7"/>
      <c r="R8283" s="7"/>
      <c r="S8283" s="7"/>
      <c r="T8283" s="7"/>
      <c r="U8283" s="7"/>
      <c r="V8283" s="7"/>
      <c r="W8283" s="7"/>
      <c r="X8283" s="7"/>
      <c r="Y8283" s="7"/>
      <c r="Z8283" s="7"/>
    </row>
    <row r="8284" hidden="1">
      <c r="A8284" s="7"/>
      <c r="B8284" s="7"/>
      <c r="C8284" s="7"/>
      <c r="D8284" s="7"/>
      <c r="E8284" s="7"/>
      <c r="F8284" s="7"/>
      <c r="G8284" s="7"/>
      <c r="H8284" s="8"/>
      <c r="I8284" s="8"/>
      <c r="J8284" s="7"/>
      <c r="K8284" s="7"/>
      <c r="L8284" s="7"/>
      <c r="M8284" s="7"/>
      <c r="N8284" s="7"/>
      <c r="O8284" s="7"/>
      <c r="P8284" s="7"/>
      <c r="Q8284" s="7"/>
      <c r="R8284" s="7"/>
      <c r="S8284" s="7"/>
      <c r="T8284" s="7"/>
      <c r="U8284" s="7"/>
      <c r="V8284" s="7"/>
      <c r="W8284" s="7"/>
      <c r="X8284" s="7"/>
      <c r="Y8284" s="7"/>
      <c r="Z8284" s="7"/>
    </row>
    <row r="8285" hidden="1">
      <c r="A8285" s="7"/>
      <c r="B8285" s="7"/>
      <c r="C8285" s="7"/>
      <c r="D8285" s="7"/>
      <c r="E8285" s="7"/>
      <c r="F8285" s="7"/>
      <c r="G8285" s="7"/>
      <c r="H8285" s="8"/>
      <c r="I8285" s="8"/>
      <c r="J8285" s="7"/>
      <c r="K8285" s="7"/>
      <c r="L8285" s="7"/>
      <c r="M8285" s="7"/>
      <c r="N8285" s="7"/>
      <c r="O8285" s="7"/>
      <c r="P8285" s="7"/>
      <c r="Q8285" s="7"/>
      <c r="R8285" s="7"/>
      <c r="S8285" s="7"/>
      <c r="T8285" s="7"/>
      <c r="U8285" s="7"/>
      <c r="V8285" s="7"/>
      <c r="W8285" s="7"/>
      <c r="X8285" s="7"/>
      <c r="Y8285" s="7"/>
      <c r="Z8285" s="7"/>
    </row>
    <row r="8286" hidden="1">
      <c r="A8286" s="7"/>
      <c r="B8286" s="7"/>
      <c r="C8286" s="7"/>
      <c r="D8286" s="7"/>
      <c r="E8286" s="7"/>
      <c r="F8286" s="7"/>
      <c r="G8286" s="7"/>
      <c r="H8286" s="8"/>
      <c r="I8286" s="8"/>
      <c r="J8286" s="7"/>
      <c r="K8286" s="7"/>
      <c r="L8286" s="7"/>
      <c r="M8286" s="7"/>
      <c r="N8286" s="7"/>
      <c r="O8286" s="7"/>
      <c r="P8286" s="7"/>
      <c r="Q8286" s="7"/>
      <c r="R8286" s="7"/>
      <c r="S8286" s="7"/>
      <c r="T8286" s="7"/>
      <c r="U8286" s="7"/>
      <c r="V8286" s="7"/>
      <c r="W8286" s="7"/>
      <c r="X8286" s="7"/>
      <c r="Y8286" s="7"/>
      <c r="Z8286" s="7"/>
    </row>
    <row r="8287" hidden="1">
      <c r="A8287" s="7"/>
      <c r="B8287" s="7"/>
      <c r="C8287" s="7"/>
      <c r="D8287" s="7"/>
      <c r="E8287" s="7"/>
      <c r="F8287" s="7"/>
      <c r="G8287" s="7"/>
      <c r="H8287" s="8"/>
      <c r="I8287" s="8"/>
      <c r="J8287" s="7"/>
      <c r="K8287" s="7"/>
      <c r="L8287" s="7"/>
      <c r="M8287" s="7"/>
      <c r="N8287" s="7"/>
      <c r="O8287" s="7"/>
      <c r="P8287" s="7"/>
      <c r="Q8287" s="7"/>
      <c r="R8287" s="7"/>
      <c r="S8287" s="7"/>
      <c r="T8287" s="7"/>
      <c r="U8287" s="7"/>
      <c r="V8287" s="7"/>
      <c r="W8287" s="7"/>
      <c r="X8287" s="7"/>
      <c r="Y8287" s="7"/>
      <c r="Z8287" s="7"/>
    </row>
    <row r="8288" hidden="1">
      <c r="A8288" s="7"/>
      <c r="B8288" s="7"/>
      <c r="C8288" s="7"/>
      <c r="D8288" s="7"/>
      <c r="E8288" s="7"/>
      <c r="F8288" s="7"/>
      <c r="G8288" s="7"/>
      <c r="H8288" s="8"/>
      <c r="I8288" s="8"/>
      <c r="J8288" s="7"/>
      <c r="K8288" s="7"/>
      <c r="L8288" s="7"/>
      <c r="M8288" s="7"/>
      <c r="N8288" s="7"/>
      <c r="O8288" s="7"/>
      <c r="P8288" s="7"/>
      <c r="Q8288" s="7"/>
      <c r="R8288" s="7"/>
      <c r="S8288" s="7"/>
      <c r="T8288" s="7"/>
      <c r="U8288" s="7"/>
      <c r="V8288" s="7"/>
      <c r="W8288" s="7"/>
      <c r="X8288" s="7"/>
      <c r="Y8288" s="7"/>
      <c r="Z8288" s="7"/>
    </row>
    <row r="8289" hidden="1">
      <c r="A8289" s="7"/>
      <c r="B8289" s="7"/>
      <c r="C8289" s="7"/>
      <c r="D8289" s="7"/>
      <c r="E8289" s="7"/>
      <c r="F8289" s="7"/>
      <c r="G8289" s="7"/>
      <c r="H8289" s="8"/>
      <c r="I8289" s="8"/>
      <c r="J8289" s="7"/>
      <c r="K8289" s="7"/>
      <c r="L8289" s="7"/>
      <c r="M8289" s="7"/>
      <c r="N8289" s="7"/>
      <c r="O8289" s="7"/>
      <c r="P8289" s="7"/>
      <c r="Q8289" s="7"/>
      <c r="R8289" s="7"/>
      <c r="S8289" s="7"/>
      <c r="T8289" s="7"/>
      <c r="U8289" s="7"/>
      <c r="V8289" s="7"/>
      <c r="W8289" s="7"/>
      <c r="X8289" s="7"/>
      <c r="Y8289" s="7"/>
      <c r="Z8289" s="7"/>
    </row>
    <row r="8290" hidden="1">
      <c r="A8290" s="7"/>
      <c r="B8290" s="7"/>
      <c r="C8290" s="7"/>
      <c r="D8290" s="7"/>
      <c r="E8290" s="7"/>
      <c r="F8290" s="7"/>
      <c r="G8290" s="7"/>
      <c r="H8290" s="8"/>
      <c r="I8290" s="8"/>
      <c r="J8290" s="7"/>
      <c r="K8290" s="7"/>
      <c r="L8290" s="7"/>
      <c r="M8290" s="7"/>
      <c r="N8290" s="7"/>
      <c r="O8290" s="7"/>
      <c r="P8290" s="7"/>
      <c r="Q8290" s="7"/>
      <c r="R8290" s="7"/>
      <c r="S8290" s="7"/>
      <c r="T8290" s="7"/>
      <c r="U8290" s="7"/>
      <c r="V8290" s="7"/>
      <c r="W8290" s="7"/>
      <c r="X8290" s="7"/>
      <c r="Y8290" s="7"/>
      <c r="Z8290" s="7"/>
    </row>
    <row r="8291" hidden="1">
      <c r="A8291" s="7"/>
      <c r="B8291" s="7"/>
      <c r="C8291" s="7"/>
      <c r="D8291" s="7"/>
      <c r="E8291" s="7"/>
      <c r="F8291" s="7"/>
      <c r="G8291" s="7"/>
      <c r="H8291" s="8"/>
      <c r="I8291" s="8"/>
      <c r="J8291" s="7"/>
      <c r="K8291" s="7"/>
      <c r="L8291" s="7"/>
      <c r="M8291" s="7"/>
      <c r="N8291" s="7"/>
      <c r="O8291" s="7"/>
      <c r="P8291" s="7"/>
      <c r="Q8291" s="7"/>
      <c r="R8291" s="7"/>
      <c r="S8291" s="7"/>
      <c r="T8291" s="7"/>
      <c r="U8291" s="7"/>
      <c r="V8291" s="7"/>
      <c r="W8291" s="7"/>
      <c r="X8291" s="7"/>
      <c r="Y8291" s="7"/>
      <c r="Z8291" s="7"/>
    </row>
    <row r="8292" hidden="1">
      <c r="A8292" s="7"/>
      <c r="B8292" s="7"/>
      <c r="C8292" s="7"/>
      <c r="D8292" s="7"/>
      <c r="E8292" s="7"/>
      <c r="F8292" s="7"/>
      <c r="G8292" s="7"/>
      <c r="H8292" s="8"/>
      <c r="I8292" s="8"/>
      <c r="J8292" s="7"/>
      <c r="K8292" s="7"/>
      <c r="L8292" s="7"/>
      <c r="M8292" s="7"/>
      <c r="N8292" s="7"/>
      <c r="O8292" s="7"/>
      <c r="P8292" s="7"/>
      <c r="Q8292" s="7"/>
      <c r="R8292" s="7"/>
      <c r="S8292" s="7"/>
      <c r="T8292" s="7"/>
      <c r="U8292" s="7"/>
      <c r="V8292" s="7"/>
      <c r="W8292" s="7"/>
      <c r="X8292" s="7"/>
      <c r="Y8292" s="7"/>
      <c r="Z8292" s="7"/>
    </row>
    <row r="8293" hidden="1">
      <c r="A8293" s="7"/>
      <c r="B8293" s="7"/>
      <c r="C8293" s="7"/>
      <c r="D8293" s="7"/>
      <c r="E8293" s="7"/>
      <c r="F8293" s="7"/>
      <c r="G8293" s="7"/>
      <c r="H8293" s="8"/>
      <c r="I8293" s="8"/>
      <c r="J8293" s="7"/>
      <c r="K8293" s="7"/>
      <c r="L8293" s="7"/>
      <c r="M8293" s="7"/>
      <c r="N8293" s="7"/>
      <c r="O8293" s="7"/>
      <c r="P8293" s="7"/>
      <c r="Q8293" s="7"/>
      <c r="R8293" s="7"/>
      <c r="S8293" s="7"/>
      <c r="T8293" s="7"/>
      <c r="U8293" s="7"/>
      <c r="V8293" s="7"/>
      <c r="W8293" s="7"/>
      <c r="X8293" s="7"/>
      <c r="Y8293" s="7"/>
      <c r="Z8293" s="7"/>
    </row>
    <row r="8294" hidden="1">
      <c r="A8294" s="7"/>
      <c r="B8294" s="7"/>
      <c r="C8294" s="7"/>
      <c r="D8294" s="7"/>
      <c r="E8294" s="7"/>
      <c r="F8294" s="7"/>
      <c r="G8294" s="7"/>
      <c r="H8294" s="8"/>
      <c r="I8294" s="8"/>
      <c r="J8294" s="7"/>
      <c r="K8294" s="7"/>
      <c r="L8294" s="7"/>
      <c r="M8294" s="7"/>
      <c r="N8294" s="7"/>
      <c r="O8294" s="7"/>
      <c r="P8294" s="7"/>
      <c r="Q8294" s="7"/>
      <c r="R8294" s="7"/>
      <c r="S8294" s="7"/>
      <c r="T8294" s="7"/>
      <c r="U8294" s="7"/>
      <c r="V8294" s="7"/>
      <c r="W8294" s="7"/>
      <c r="X8294" s="7"/>
      <c r="Y8294" s="7"/>
      <c r="Z8294" s="7"/>
    </row>
    <row r="8295" hidden="1">
      <c r="A8295" s="7"/>
      <c r="B8295" s="7"/>
      <c r="C8295" s="7"/>
      <c r="D8295" s="7"/>
      <c r="E8295" s="7"/>
      <c r="F8295" s="7"/>
      <c r="G8295" s="7"/>
      <c r="H8295" s="8"/>
      <c r="I8295" s="8"/>
      <c r="J8295" s="7"/>
      <c r="K8295" s="7"/>
      <c r="L8295" s="7"/>
      <c r="M8295" s="7"/>
      <c r="N8295" s="7"/>
      <c r="O8295" s="7"/>
      <c r="P8295" s="7"/>
      <c r="Q8295" s="7"/>
      <c r="R8295" s="7"/>
      <c r="S8295" s="7"/>
      <c r="T8295" s="7"/>
      <c r="U8295" s="7"/>
      <c r="V8295" s="7"/>
      <c r="W8295" s="7"/>
      <c r="X8295" s="7"/>
      <c r="Y8295" s="7"/>
      <c r="Z8295" s="7"/>
    </row>
    <row r="8296" hidden="1">
      <c r="A8296" s="7"/>
      <c r="B8296" s="7"/>
      <c r="C8296" s="7"/>
      <c r="D8296" s="7"/>
      <c r="E8296" s="7"/>
      <c r="F8296" s="7"/>
      <c r="G8296" s="7"/>
      <c r="H8296" s="8"/>
      <c r="I8296" s="8"/>
      <c r="J8296" s="7"/>
      <c r="K8296" s="7"/>
      <c r="L8296" s="7"/>
      <c r="M8296" s="7"/>
      <c r="N8296" s="7"/>
      <c r="O8296" s="7"/>
      <c r="P8296" s="7"/>
      <c r="Q8296" s="7"/>
      <c r="R8296" s="7"/>
      <c r="S8296" s="7"/>
      <c r="T8296" s="7"/>
      <c r="U8296" s="7"/>
      <c r="V8296" s="7"/>
      <c r="W8296" s="7"/>
      <c r="X8296" s="7"/>
      <c r="Y8296" s="7"/>
      <c r="Z8296" s="7"/>
    </row>
    <row r="8297" hidden="1">
      <c r="A8297" s="7"/>
      <c r="B8297" s="7"/>
      <c r="C8297" s="7"/>
      <c r="D8297" s="7"/>
      <c r="E8297" s="7"/>
      <c r="F8297" s="7"/>
      <c r="G8297" s="7"/>
      <c r="H8297" s="8"/>
      <c r="I8297" s="8"/>
      <c r="J8297" s="7"/>
      <c r="K8297" s="7"/>
      <c r="L8297" s="7"/>
      <c r="M8297" s="7"/>
      <c r="N8297" s="7"/>
      <c r="O8297" s="7"/>
      <c r="P8297" s="7"/>
      <c r="Q8297" s="7"/>
      <c r="R8297" s="7"/>
      <c r="S8297" s="7"/>
      <c r="T8297" s="7"/>
      <c r="U8297" s="7"/>
      <c r="V8297" s="7"/>
      <c r="W8297" s="7"/>
      <c r="X8297" s="7"/>
      <c r="Y8297" s="7"/>
      <c r="Z8297" s="7"/>
    </row>
    <row r="8298" hidden="1">
      <c r="A8298" s="7"/>
      <c r="B8298" s="7"/>
      <c r="C8298" s="7"/>
      <c r="D8298" s="7"/>
      <c r="E8298" s="7"/>
      <c r="F8298" s="7"/>
      <c r="G8298" s="7"/>
      <c r="H8298" s="8"/>
      <c r="I8298" s="8"/>
      <c r="J8298" s="7"/>
      <c r="K8298" s="7"/>
      <c r="L8298" s="7"/>
      <c r="M8298" s="7"/>
      <c r="N8298" s="7"/>
      <c r="O8298" s="7"/>
      <c r="P8298" s="7"/>
      <c r="Q8298" s="7"/>
      <c r="R8298" s="7"/>
      <c r="S8298" s="7"/>
      <c r="T8298" s="7"/>
      <c r="U8298" s="7"/>
      <c r="V8298" s="7"/>
      <c r="W8298" s="7"/>
      <c r="X8298" s="7"/>
      <c r="Y8298" s="7"/>
      <c r="Z8298" s="7"/>
    </row>
    <row r="8299" hidden="1">
      <c r="A8299" s="7"/>
      <c r="B8299" s="7"/>
      <c r="C8299" s="7"/>
      <c r="D8299" s="7"/>
      <c r="E8299" s="7"/>
      <c r="F8299" s="7"/>
      <c r="G8299" s="7"/>
      <c r="H8299" s="8"/>
      <c r="I8299" s="8"/>
      <c r="J8299" s="7"/>
      <c r="K8299" s="7"/>
      <c r="L8299" s="7"/>
      <c r="M8299" s="7"/>
      <c r="N8299" s="7"/>
      <c r="O8299" s="7"/>
      <c r="P8299" s="7"/>
      <c r="Q8299" s="7"/>
      <c r="R8299" s="7"/>
      <c r="S8299" s="7"/>
      <c r="T8299" s="7"/>
      <c r="U8299" s="7"/>
      <c r="V8299" s="7"/>
      <c r="W8299" s="7"/>
      <c r="X8299" s="7"/>
      <c r="Y8299" s="7"/>
      <c r="Z8299" s="7"/>
    </row>
    <row r="8300" hidden="1">
      <c r="A8300" s="7"/>
      <c r="B8300" s="7"/>
      <c r="C8300" s="7"/>
      <c r="D8300" s="7"/>
      <c r="E8300" s="7"/>
      <c r="F8300" s="7"/>
      <c r="G8300" s="7"/>
      <c r="H8300" s="8"/>
      <c r="I8300" s="8"/>
      <c r="J8300" s="7"/>
      <c r="K8300" s="7"/>
      <c r="L8300" s="7"/>
      <c r="M8300" s="7"/>
      <c r="N8300" s="7"/>
      <c r="O8300" s="7"/>
      <c r="P8300" s="7"/>
      <c r="Q8300" s="7"/>
      <c r="R8300" s="7"/>
      <c r="S8300" s="7"/>
      <c r="T8300" s="7"/>
      <c r="U8300" s="7"/>
      <c r="V8300" s="7"/>
      <c r="W8300" s="7"/>
      <c r="X8300" s="7"/>
      <c r="Y8300" s="7"/>
      <c r="Z8300" s="7"/>
    </row>
    <row r="8301" hidden="1">
      <c r="A8301" s="7"/>
      <c r="B8301" s="7"/>
      <c r="C8301" s="7"/>
      <c r="D8301" s="7"/>
      <c r="E8301" s="7"/>
      <c r="F8301" s="7"/>
      <c r="G8301" s="7"/>
      <c r="H8301" s="8"/>
      <c r="I8301" s="8"/>
      <c r="J8301" s="7"/>
      <c r="K8301" s="7"/>
      <c r="L8301" s="7"/>
      <c r="M8301" s="7"/>
      <c r="N8301" s="7"/>
      <c r="O8301" s="7"/>
      <c r="P8301" s="7"/>
      <c r="Q8301" s="7"/>
      <c r="R8301" s="7"/>
      <c r="S8301" s="7"/>
      <c r="T8301" s="7"/>
      <c r="U8301" s="7"/>
      <c r="V8301" s="7"/>
      <c r="W8301" s="7"/>
      <c r="X8301" s="7"/>
      <c r="Y8301" s="7"/>
      <c r="Z8301" s="7"/>
    </row>
    <row r="8302" hidden="1">
      <c r="A8302" s="7"/>
      <c r="B8302" s="7"/>
      <c r="C8302" s="7"/>
      <c r="D8302" s="7"/>
      <c r="E8302" s="7"/>
      <c r="F8302" s="7"/>
      <c r="G8302" s="7"/>
      <c r="H8302" s="8"/>
      <c r="I8302" s="8"/>
      <c r="J8302" s="7"/>
      <c r="K8302" s="7"/>
      <c r="L8302" s="7"/>
      <c r="M8302" s="7"/>
      <c r="N8302" s="7"/>
      <c r="O8302" s="7"/>
      <c r="P8302" s="7"/>
      <c r="Q8302" s="7"/>
      <c r="R8302" s="7"/>
      <c r="S8302" s="7"/>
      <c r="T8302" s="7"/>
      <c r="U8302" s="7"/>
      <c r="V8302" s="7"/>
      <c r="W8302" s="7"/>
      <c r="X8302" s="7"/>
      <c r="Y8302" s="7"/>
      <c r="Z8302" s="7"/>
    </row>
    <row r="8303" hidden="1">
      <c r="A8303" s="7"/>
      <c r="B8303" s="7"/>
      <c r="C8303" s="7"/>
      <c r="D8303" s="7"/>
      <c r="E8303" s="7"/>
      <c r="F8303" s="7"/>
      <c r="G8303" s="7"/>
      <c r="H8303" s="8"/>
      <c r="I8303" s="8"/>
      <c r="J8303" s="7"/>
      <c r="K8303" s="7"/>
      <c r="L8303" s="7"/>
      <c r="M8303" s="7"/>
      <c r="N8303" s="7"/>
      <c r="O8303" s="7"/>
      <c r="P8303" s="7"/>
      <c r="Q8303" s="7"/>
      <c r="R8303" s="7"/>
      <c r="S8303" s="7"/>
      <c r="T8303" s="7"/>
      <c r="U8303" s="7"/>
      <c r="V8303" s="7"/>
      <c r="W8303" s="7"/>
      <c r="X8303" s="7"/>
      <c r="Y8303" s="7"/>
      <c r="Z8303" s="7"/>
    </row>
    <row r="8304" hidden="1">
      <c r="A8304" s="7"/>
      <c r="B8304" s="7"/>
      <c r="C8304" s="7"/>
      <c r="D8304" s="7"/>
      <c r="E8304" s="7"/>
      <c r="F8304" s="7"/>
      <c r="G8304" s="7"/>
      <c r="H8304" s="8"/>
      <c r="I8304" s="8"/>
      <c r="J8304" s="7"/>
      <c r="K8304" s="7"/>
      <c r="L8304" s="7"/>
      <c r="M8304" s="7"/>
      <c r="N8304" s="7"/>
      <c r="O8304" s="7"/>
      <c r="P8304" s="7"/>
      <c r="Q8304" s="7"/>
      <c r="R8304" s="7"/>
      <c r="S8304" s="7"/>
      <c r="T8304" s="7"/>
      <c r="U8304" s="7"/>
      <c r="V8304" s="7"/>
      <c r="W8304" s="7"/>
      <c r="X8304" s="7"/>
      <c r="Y8304" s="7"/>
      <c r="Z8304" s="7"/>
    </row>
    <row r="8305" hidden="1">
      <c r="A8305" s="7"/>
      <c r="B8305" s="7"/>
      <c r="C8305" s="7"/>
      <c r="D8305" s="7"/>
      <c r="E8305" s="7"/>
      <c r="F8305" s="7"/>
      <c r="G8305" s="7"/>
      <c r="H8305" s="8"/>
      <c r="I8305" s="8"/>
      <c r="J8305" s="7"/>
      <c r="K8305" s="7"/>
      <c r="L8305" s="7"/>
      <c r="M8305" s="7"/>
      <c r="N8305" s="7"/>
      <c r="O8305" s="7"/>
      <c r="P8305" s="7"/>
      <c r="Q8305" s="7"/>
      <c r="R8305" s="7"/>
      <c r="S8305" s="7"/>
      <c r="T8305" s="7"/>
      <c r="U8305" s="7"/>
      <c r="V8305" s="7"/>
      <c r="W8305" s="7"/>
      <c r="X8305" s="7"/>
      <c r="Y8305" s="7"/>
      <c r="Z8305" s="7"/>
    </row>
    <row r="8306" hidden="1">
      <c r="A8306" s="7"/>
      <c r="B8306" s="7"/>
      <c r="C8306" s="7"/>
      <c r="D8306" s="7"/>
      <c r="E8306" s="7"/>
      <c r="F8306" s="7"/>
      <c r="G8306" s="7"/>
      <c r="H8306" s="8"/>
      <c r="I8306" s="8"/>
      <c r="J8306" s="7"/>
      <c r="K8306" s="7"/>
      <c r="L8306" s="7"/>
      <c r="M8306" s="7"/>
      <c r="N8306" s="7"/>
      <c r="O8306" s="7"/>
      <c r="P8306" s="7"/>
      <c r="Q8306" s="7"/>
      <c r="R8306" s="7"/>
      <c r="S8306" s="7"/>
      <c r="T8306" s="7"/>
      <c r="U8306" s="7"/>
      <c r="V8306" s="7"/>
      <c r="W8306" s="7"/>
      <c r="X8306" s="7"/>
      <c r="Y8306" s="7"/>
      <c r="Z8306" s="7"/>
    </row>
    <row r="8307" hidden="1">
      <c r="A8307" s="7"/>
      <c r="B8307" s="7"/>
      <c r="C8307" s="7"/>
      <c r="D8307" s="7"/>
      <c r="E8307" s="7"/>
      <c r="F8307" s="7"/>
      <c r="G8307" s="7"/>
      <c r="H8307" s="8"/>
      <c r="I8307" s="8"/>
      <c r="J8307" s="7"/>
      <c r="K8307" s="7"/>
      <c r="L8307" s="7"/>
      <c r="M8307" s="7"/>
      <c r="N8307" s="7"/>
      <c r="O8307" s="7"/>
      <c r="P8307" s="7"/>
      <c r="Q8307" s="7"/>
      <c r="R8307" s="7"/>
      <c r="S8307" s="7"/>
      <c r="T8307" s="7"/>
      <c r="U8307" s="7"/>
      <c r="V8307" s="7"/>
      <c r="W8307" s="7"/>
      <c r="X8307" s="7"/>
      <c r="Y8307" s="7"/>
      <c r="Z8307" s="7"/>
    </row>
    <row r="8308" hidden="1">
      <c r="A8308" s="7"/>
      <c r="B8308" s="7"/>
      <c r="C8308" s="7"/>
      <c r="D8308" s="7"/>
      <c r="E8308" s="7"/>
      <c r="F8308" s="7"/>
      <c r="G8308" s="7"/>
      <c r="H8308" s="8"/>
      <c r="I8308" s="8"/>
      <c r="J8308" s="7"/>
      <c r="K8308" s="7"/>
      <c r="L8308" s="7"/>
      <c r="M8308" s="7"/>
      <c r="N8308" s="7"/>
      <c r="O8308" s="7"/>
      <c r="P8308" s="7"/>
      <c r="Q8308" s="7"/>
      <c r="R8308" s="7"/>
      <c r="S8308" s="7"/>
      <c r="T8308" s="7"/>
      <c r="U8308" s="7"/>
      <c r="V8308" s="7"/>
      <c r="W8308" s="7"/>
      <c r="X8308" s="7"/>
      <c r="Y8308" s="7"/>
      <c r="Z8308" s="7"/>
    </row>
    <row r="8309" hidden="1">
      <c r="A8309" s="7"/>
      <c r="B8309" s="7"/>
      <c r="C8309" s="7"/>
      <c r="D8309" s="7"/>
      <c r="E8309" s="7"/>
      <c r="F8309" s="7"/>
      <c r="G8309" s="7"/>
      <c r="H8309" s="8"/>
      <c r="I8309" s="8"/>
      <c r="J8309" s="7"/>
      <c r="K8309" s="7"/>
      <c r="L8309" s="7"/>
      <c r="M8309" s="7"/>
      <c r="N8309" s="7"/>
      <c r="O8309" s="7"/>
      <c r="P8309" s="7"/>
      <c r="Q8309" s="7"/>
      <c r="R8309" s="7"/>
      <c r="S8309" s="7"/>
      <c r="T8309" s="7"/>
      <c r="U8309" s="7"/>
      <c r="V8309" s="7"/>
      <c r="W8309" s="7"/>
      <c r="X8309" s="7"/>
      <c r="Y8309" s="7"/>
      <c r="Z8309" s="7"/>
    </row>
    <row r="8310" hidden="1">
      <c r="A8310" s="7"/>
      <c r="B8310" s="7"/>
      <c r="C8310" s="7"/>
      <c r="D8310" s="7"/>
      <c r="E8310" s="7"/>
      <c r="F8310" s="7"/>
      <c r="G8310" s="7"/>
      <c r="H8310" s="8"/>
      <c r="I8310" s="8"/>
      <c r="J8310" s="7"/>
      <c r="K8310" s="7"/>
      <c r="L8310" s="7"/>
      <c r="M8310" s="7"/>
      <c r="N8310" s="7"/>
      <c r="O8310" s="7"/>
      <c r="P8310" s="7"/>
      <c r="Q8310" s="7"/>
      <c r="R8310" s="7"/>
      <c r="S8310" s="7"/>
      <c r="T8310" s="7"/>
      <c r="U8310" s="7"/>
      <c r="V8310" s="7"/>
      <c r="W8310" s="7"/>
      <c r="X8310" s="7"/>
      <c r="Y8310" s="7"/>
      <c r="Z8310" s="7"/>
    </row>
    <row r="8311" hidden="1">
      <c r="A8311" s="7"/>
      <c r="B8311" s="7"/>
      <c r="C8311" s="7"/>
      <c r="D8311" s="7"/>
      <c r="E8311" s="7"/>
      <c r="F8311" s="7"/>
      <c r="G8311" s="7"/>
      <c r="H8311" s="8"/>
      <c r="I8311" s="8"/>
      <c r="J8311" s="7"/>
      <c r="K8311" s="7"/>
      <c r="L8311" s="7"/>
      <c r="M8311" s="7"/>
      <c r="N8311" s="7"/>
      <c r="O8311" s="7"/>
      <c r="P8311" s="7"/>
      <c r="Q8311" s="7"/>
      <c r="R8311" s="7"/>
      <c r="S8311" s="7"/>
      <c r="T8311" s="7"/>
      <c r="U8311" s="7"/>
      <c r="V8311" s="7"/>
      <c r="W8311" s="7"/>
      <c r="X8311" s="7"/>
      <c r="Y8311" s="7"/>
      <c r="Z8311" s="7"/>
    </row>
    <row r="8312" hidden="1">
      <c r="A8312" s="7"/>
      <c r="B8312" s="7"/>
      <c r="C8312" s="7"/>
      <c r="D8312" s="7"/>
      <c r="E8312" s="7"/>
      <c r="F8312" s="7"/>
      <c r="G8312" s="7"/>
      <c r="H8312" s="8"/>
      <c r="I8312" s="8"/>
      <c r="J8312" s="7"/>
      <c r="K8312" s="7"/>
      <c r="L8312" s="7"/>
      <c r="M8312" s="7"/>
      <c r="N8312" s="7"/>
      <c r="O8312" s="7"/>
      <c r="P8312" s="7"/>
      <c r="Q8312" s="7"/>
      <c r="R8312" s="7"/>
      <c r="S8312" s="7"/>
      <c r="T8312" s="7"/>
      <c r="U8312" s="7"/>
      <c r="V8312" s="7"/>
      <c r="W8312" s="7"/>
      <c r="X8312" s="7"/>
      <c r="Y8312" s="7"/>
      <c r="Z8312" s="7"/>
    </row>
    <row r="8313" hidden="1">
      <c r="A8313" s="7"/>
      <c r="B8313" s="7"/>
      <c r="C8313" s="7"/>
      <c r="D8313" s="7"/>
      <c r="E8313" s="7"/>
      <c r="F8313" s="7"/>
      <c r="G8313" s="7"/>
      <c r="H8313" s="8"/>
      <c r="I8313" s="8"/>
      <c r="J8313" s="7"/>
      <c r="K8313" s="7"/>
      <c r="L8313" s="7"/>
      <c r="M8313" s="7"/>
      <c r="N8313" s="7"/>
      <c r="O8313" s="7"/>
      <c r="P8313" s="7"/>
      <c r="Q8313" s="7"/>
      <c r="R8313" s="7"/>
      <c r="S8313" s="7"/>
      <c r="T8313" s="7"/>
      <c r="U8313" s="7"/>
      <c r="V8313" s="7"/>
      <c r="W8313" s="7"/>
      <c r="X8313" s="7"/>
      <c r="Y8313" s="7"/>
      <c r="Z8313" s="7"/>
    </row>
    <row r="8314" hidden="1">
      <c r="A8314" s="7"/>
      <c r="B8314" s="7"/>
      <c r="C8314" s="7"/>
      <c r="D8314" s="7"/>
      <c r="E8314" s="7"/>
      <c r="F8314" s="7"/>
      <c r="G8314" s="7"/>
      <c r="H8314" s="8"/>
      <c r="I8314" s="8"/>
      <c r="J8314" s="7"/>
      <c r="K8314" s="7"/>
      <c r="L8314" s="7"/>
      <c r="M8314" s="7"/>
      <c r="N8314" s="7"/>
      <c r="O8314" s="7"/>
      <c r="P8314" s="7"/>
      <c r="Q8314" s="7"/>
      <c r="R8314" s="7"/>
      <c r="S8314" s="7"/>
      <c r="T8314" s="7"/>
      <c r="U8314" s="7"/>
      <c r="V8314" s="7"/>
      <c r="W8314" s="7"/>
      <c r="X8314" s="7"/>
      <c r="Y8314" s="7"/>
      <c r="Z8314" s="7"/>
    </row>
    <row r="8315" hidden="1">
      <c r="A8315" s="7"/>
      <c r="B8315" s="7"/>
      <c r="C8315" s="7"/>
      <c r="D8315" s="7"/>
      <c r="E8315" s="7"/>
      <c r="F8315" s="7"/>
      <c r="G8315" s="7"/>
      <c r="H8315" s="8"/>
      <c r="I8315" s="8"/>
      <c r="J8315" s="7"/>
      <c r="K8315" s="7"/>
      <c r="L8315" s="7"/>
      <c r="M8315" s="7"/>
      <c r="N8315" s="7"/>
      <c r="O8315" s="7"/>
      <c r="P8315" s="7"/>
      <c r="Q8315" s="7"/>
      <c r="R8315" s="7"/>
      <c r="S8315" s="7"/>
      <c r="T8315" s="7"/>
      <c r="U8315" s="7"/>
      <c r="V8315" s="7"/>
      <c r="W8315" s="7"/>
      <c r="X8315" s="7"/>
      <c r="Y8315" s="7"/>
      <c r="Z8315" s="7"/>
    </row>
    <row r="8316" hidden="1">
      <c r="A8316" s="7"/>
      <c r="B8316" s="7"/>
      <c r="C8316" s="7"/>
      <c r="D8316" s="7"/>
      <c r="E8316" s="7"/>
      <c r="F8316" s="7"/>
      <c r="G8316" s="7"/>
      <c r="H8316" s="8"/>
      <c r="I8316" s="8"/>
      <c r="J8316" s="7"/>
      <c r="K8316" s="7"/>
      <c r="L8316" s="7"/>
      <c r="M8316" s="7"/>
      <c r="N8316" s="7"/>
      <c r="O8316" s="7"/>
      <c r="P8316" s="7"/>
      <c r="Q8316" s="7"/>
      <c r="R8316" s="7"/>
      <c r="S8316" s="7"/>
      <c r="T8316" s="7"/>
      <c r="U8316" s="7"/>
      <c r="V8316" s="7"/>
      <c r="W8316" s="7"/>
      <c r="X8316" s="7"/>
      <c r="Y8316" s="7"/>
      <c r="Z8316" s="7"/>
    </row>
    <row r="8317" hidden="1">
      <c r="A8317" s="7"/>
      <c r="B8317" s="7"/>
      <c r="C8317" s="7"/>
      <c r="D8317" s="7"/>
      <c r="E8317" s="7"/>
      <c r="F8317" s="7"/>
      <c r="G8317" s="7"/>
      <c r="H8317" s="8"/>
      <c r="I8317" s="8"/>
      <c r="J8317" s="7"/>
      <c r="K8317" s="7"/>
      <c r="L8317" s="7"/>
      <c r="M8317" s="7"/>
      <c r="N8317" s="7"/>
      <c r="O8317" s="7"/>
      <c r="P8317" s="7"/>
      <c r="Q8317" s="7"/>
      <c r="R8317" s="7"/>
      <c r="S8317" s="7"/>
      <c r="T8317" s="7"/>
      <c r="U8317" s="7"/>
      <c r="V8317" s="7"/>
      <c r="W8317" s="7"/>
      <c r="X8317" s="7"/>
      <c r="Y8317" s="7"/>
      <c r="Z8317" s="7"/>
    </row>
    <row r="8318" hidden="1">
      <c r="A8318" s="7"/>
      <c r="B8318" s="7"/>
      <c r="C8318" s="7"/>
      <c r="D8318" s="7"/>
      <c r="E8318" s="7"/>
      <c r="F8318" s="7"/>
      <c r="G8318" s="7"/>
      <c r="H8318" s="8"/>
      <c r="I8318" s="8"/>
      <c r="J8318" s="7"/>
      <c r="K8318" s="7"/>
      <c r="L8318" s="7"/>
      <c r="M8318" s="7"/>
      <c r="N8318" s="7"/>
      <c r="O8318" s="7"/>
      <c r="P8318" s="7"/>
      <c r="Q8318" s="7"/>
      <c r="R8318" s="7"/>
      <c r="S8318" s="7"/>
      <c r="T8318" s="7"/>
      <c r="U8318" s="7"/>
      <c r="V8318" s="7"/>
      <c r="W8318" s="7"/>
      <c r="X8318" s="7"/>
      <c r="Y8318" s="7"/>
      <c r="Z8318" s="7"/>
    </row>
    <row r="8319" hidden="1">
      <c r="A8319" s="7"/>
      <c r="B8319" s="7"/>
      <c r="C8319" s="7"/>
      <c r="D8319" s="7"/>
      <c r="E8319" s="7"/>
      <c r="F8319" s="7"/>
      <c r="G8319" s="7"/>
      <c r="H8319" s="8"/>
      <c r="I8319" s="8"/>
      <c r="J8319" s="7"/>
      <c r="K8319" s="7"/>
      <c r="L8319" s="7"/>
      <c r="M8319" s="7"/>
      <c r="N8319" s="7"/>
      <c r="O8319" s="7"/>
      <c r="P8319" s="7"/>
      <c r="Q8319" s="7"/>
      <c r="R8319" s="7"/>
      <c r="S8319" s="7"/>
      <c r="T8319" s="7"/>
      <c r="U8319" s="7"/>
      <c r="V8319" s="7"/>
      <c r="W8319" s="7"/>
      <c r="X8319" s="7"/>
      <c r="Y8319" s="7"/>
      <c r="Z8319" s="7"/>
    </row>
    <row r="8320" hidden="1">
      <c r="A8320" s="7"/>
      <c r="B8320" s="7"/>
      <c r="C8320" s="7"/>
      <c r="D8320" s="7"/>
      <c r="E8320" s="7"/>
      <c r="F8320" s="7"/>
      <c r="G8320" s="7"/>
      <c r="H8320" s="8"/>
      <c r="I8320" s="8"/>
      <c r="J8320" s="7"/>
      <c r="K8320" s="7"/>
      <c r="L8320" s="7"/>
      <c r="M8320" s="7"/>
      <c r="N8320" s="7"/>
      <c r="O8320" s="7"/>
      <c r="P8320" s="7"/>
      <c r="Q8320" s="7"/>
      <c r="R8320" s="7"/>
      <c r="S8320" s="7"/>
      <c r="T8320" s="7"/>
      <c r="U8320" s="7"/>
      <c r="V8320" s="7"/>
      <c r="W8320" s="7"/>
      <c r="X8320" s="7"/>
      <c r="Y8320" s="7"/>
      <c r="Z8320" s="7"/>
    </row>
    <row r="8321" hidden="1">
      <c r="A8321" s="7"/>
      <c r="B8321" s="7"/>
      <c r="C8321" s="7"/>
      <c r="D8321" s="7"/>
      <c r="E8321" s="7"/>
      <c r="F8321" s="7"/>
      <c r="G8321" s="7"/>
      <c r="H8321" s="8"/>
      <c r="I8321" s="8"/>
      <c r="J8321" s="7"/>
      <c r="K8321" s="7"/>
      <c r="L8321" s="7"/>
      <c r="M8321" s="7"/>
      <c r="N8321" s="7"/>
      <c r="O8321" s="7"/>
      <c r="P8321" s="7"/>
      <c r="Q8321" s="7"/>
      <c r="R8321" s="7"/>
      <c r="S8321" s="7"/>
      <c r="T8321" s="7"/>
      <c r="U8321" s="7"/>
      <c r="V8321" s="7"/>
      <c r="W8321" s="7"/>
      <c r="X8321" s="7"/>
      <c r="Y8321" s="7"/>
      <c r="Z8321" s="7"/>
    </row>
    <row r="8322" hidden="1">
      <c r="A8322" s="7"/>
      <c r="B8322" s="7"/>
      <c r="C8322" s="7"/>
      <c r="D8322" s="7"/>
      <c r="E8322" s="7"/>
      <c r="F8322" s="7"/>
      <c r="G8322" s="7"/>
      <c r="H8322" s="8"/>
      <c r="I8322" s="8"/>
      <c r="J8322" s="7"/>
      <c r="K8322" s="7"/>
      <c r="L8322" s="7"/>
      <c r="M8322" s="7"/>
      <c r="N8322" s="7"/>
      <c r="O8322" s="7"/>
      <c r="P8322" s="7"/>
      <c r="Q8322" s="7"/>
      <c r="R8322" s="7"/>
      <c r="S8322" s="7"/>
      <c r="T8322" s="7"/>
      <c r="U8322" s="7"/>
      <c r="V8322" s="7"/>
      <c r="W8322" s="7"/>
      <c r="X8322" s="7"/>
      <c r="Y8322" s="7"/>
      <c r="Z8322" s="7"/>
    </row>
    <row r="8323" hidden="1">
      <c r="A8323" s="7"/>
      <c r="B8323" s="7"/>
      <c r="C8323" s="7"/>
      <c r="D8323" s="7"/>
      <c r="E8323" s="7"/>
      <c r="F8323" s="7"/>
      <c r="G8323" s="7"/>
      <c r="H8323" s="8"/>
      <c r="I8323" s="8"/>
      <c r="J8323" s="7"/>
      <c r="K8323" s="7"/>
      <c r="L8323" s="7"/>
      <c r="M8323" s="7"/>
      <c r="N8323" s="7"/>
      <c r="O8323" s="7"/>
      <c r="P8323" s="7"/>
      <c r="Q8323" s="7"/>
      <c r="R8323" s="7"/>
      <c r="S8323" s="7"/>
      <c r="T8323" s="7"/>
      <c r="U8323" s="7"/>
      <c r="V8323" s="7"/>
      <c r="W8323" s="7"/>
      <c r="X8323" s="7"/>
      <c r="Y8323" s="7"/>
      <c r="Z8323" s="7"/>
    </row>
    <row r="8324" hidden="1">
      <c r="A8324" s="7"/>
      <c r="B8324" s="7"/>
      <c r="C8324" s="7"/>
      <c r="D8324" s="7"/>
      <c r="E8324" s="7"/>
      <c r="F8324" s="7"/>
      <c r="G8324" s="7"/>
      <c r="H8324" s="8"/>
      <c r="I8324" s="8"/>
      <c r="J8324" s="7"/>
      <c r="K8324" s="7"/>
      <c r="L8324" s="7"/>
      <c r="M8324" s="7"/>
      <c r="N8324" s="7"/>
      <c r="O8324" s="7"/>
      <c r="P8324" s="7"/>
      <c r="Q8324" s="7"/>
      <c r="R8324" s="7"/>
      <c r="S8324" s="7"/>
      <c r="T8324" s="7"/>
      <c r="U8324" s="7"/>
      <c r="V8324" s="7"/>
      <c r="W8324" s="7"/>
      <c r="X8324" s="7"/>
      <c r="Y8324" s="7"/>
      <c r="Z8324" s="7"/>
    </row>
    <row r="8325" hidden="1">
      <c r="A8325" s="7"/>
      <c r="B8325" s="7"/>
      <c r="C8325" s="7"/>
      <c r="D8325" s="7"/>
      <c r="E8325" s="7"/>
      <c r="F8325" s="7"/>
      <c r="G8325" s="7"/>
      <c r="H8325" s="8"/>
      <c r="I8325" s="8"/>
      <c r="J8325" s="7"/>
      <c r="K8325" s="7"/>
      <c r="L8325" s="7"/>
      <c r="M8325" s="7"/>
      <c r="N8325" s="7"/>
      <c r="O8325" s="7"/>
      <c r="P8325" s="7"/>
      <c r="Q8325" s="7"/>
      <c r="R8325" s="7"/>
      <c r="S8325" s="7"/>
      <c r="T8325" s="7"/>
      <c r="U8325" s="7"/>
      <c r="V8325" s="7"/>
      <c r="W8325" s="7"/>
      <c r="X8325" s="7"/>
      <c r="Y8325" s="7"/>
      <c r="Z8325" s="7"/>
    </row>
    <row r="8326" hidden="1">
      <c r="A8326" s="7"/>
      <c r="B8326" s="7"/>
      <c r="C8326" s="7"/>
      <c r="D8326" s="7"/>
      <c r="E8326" s="7"/>
      <c r="F8326" s="7"/>
      <c r="G8326" s="7"/>
      <c r="H8326" s="8"/>
      <c r="I8326" s="8"/>
      <c r="J8326" s="7"/>
      <c r="K8326" s="7"/>
      <c r="L8326" s="7"/>
      <c r="M8326" s="7"/>
      <c r="N8326" s="7"/>
      <c r="O8326" s="7"/>
      <c r="P8326" s="7"/>
      <c r="Q8326" s="7"/>
      <c r="R8326" s="7"/>
      <c r="S8326" s="7"/>
      <c r="T8326" s="7"/>
      <c r="U8326" s="7"/>
      <c r="V8326" s="7"/>
      <c r="W8326" s="7"/>
      <c r="X8326" s="7"/>
      <c r="Y8326" s="7"/>
      <c r="Z8326" s="7"/>
    </row>
    <row r="8327" hidden="1">
      <c r="A8327" s="7"/>
      <c r="B8327" s="7"/>
      <c r="C8327" s="7"/>
      <c r="D8327" s="7"/>
      <c r="E8327" s="7"/>
      <c r="F8327" s="7"/>
      <c r="G8327" s="7"/>
      <c r="H8327" s="8"/>
      <c r="I8327" s="8"/>
      <c r="J8327" s="7"/>
      <c r="K8327" s="7"/>
      <c r="L8327" s="7"/>
      <c r="M8327" s="7"/>
      <c r="N8327" s="7"/>
      <c r="O8327" s="7"/>
      <c r="P8327" s="7"/>
      <c r="Q8327" s="7"/>
      <c r="R8327" s="7"/>
      <c r="S8327" s="7"/>
      <c r="T8327" s="7"/>
      <c r="U8327" s="7"/>
      <c r="V8327" s="7"/>
      <c r="W8327" s="7"/>
      <c r="X8327" s="7"/>
      <c r="Y8327" s="7"/>
      <c r="Z8327" s="7"/>
    </row>
    <row r="8328" hidden="1">
      <c r="A8328" s="7"/>
      <c r="B8328" s="7"/>
      <c r="C8328" s="7"/>
      <c r="D8328" s="7"/>
      <c r="E8328" s="7"/>
      <c r="F8328" s="7"/>
      <c r="G8328" s="7"/>
      <c r="H8328" s="8"/>
      <c r="I8328" s="8"/>
      <c r="J8328" s="7"/>
      <c r="K8328" s="7"/>
      <c r="L8328" s="7"/>
      <c r="M8328" s="7"/>
      <c r="N8328" s="7"/>
      <c r="O8328" s="7"/>
      <c r="P8328" s="7"/>
      <c r="Q8328" s="7"/>
      <c r="R8328" s="7"/>
      <c r="S8328" s="7"/>
      <c r="T8328" s="7"/>
      <c r="U8328" s="7"/>
      <c r="V8328" s="7"/>
      <c r="W8328" s="7"/>
      <c r="X8328" s="7"/>
      <c r="Y8328" s="7"/>
      <c r="Z8328" s="7"/>
    </row>
    <row r="8329" hidden="1">
      <c r="A8329" s="7"/>
      <c r="B8329" s="7"/>
      <c r="C8329" s="7"/>
      <c r="D8329" s="7"/>
      <c r="E8329" s="7"/>
      <c r="F8329" s="7"/>
      <c r="G8329" s="7"/>
      <c r="H8329" s="8"/>
      <c r="I8329" s="8"/>
      <c r="J8329" s="7"/>
      <c r="K8329" s="7"/>
      <c r="L8329" s="7"/>
      <c r="M8329" s="7"/>
      <c r="N8329" s="7"/>
      <c r="O8329" s="7"/>
      <c r="P8329" s="7"/>
      <c r="Q8329" s="7"/>
      <c r="R8329" s="7"/>
      <c r="S8329" s="7"/>
      <c r="T8329" s="7"/>
      <c r="U8329" s="7"/>
      <c r="V8329" s="7"/>
      <c r="W8329" s="7"/>
      <c r="X8329" s="7"/>
      <c r="Y8329" s="7"/>
      <c r="Z8329" s="7"/>
    </row>
    <row r="8330" hidden="1">
      <c r="A8330" s="7"/>
      <c r="B8330" s="7"/>
      <c r="C8330" s="7"/>
      <c r="D8330" s="7"/>
      <c r="E8330" s="7"/>
      <c r="F8330" s="7"/>
      <c r="G8330" s="7"/>
      <c r="H8330" s="8"/>
      <c r="I8330" s="8"/>
      <c r="J8330" s="7"/>
      <c r="K8330" s="7"/>
      <c r="L8330" s="7"/>
      <c r="M8330" s="7"/>
      <c r="N8330" s="7"/>
      <c r="O8330" s="7"/>
      <c r="P8330" s="7"/>
      <c r="Q8330" s="7"/>
      <c r="R8330" s="7"/>
      <c r="S8330" s="7"/>
      <c r="T8330" s="7"/>
      <c r="U8330" s="7"/>
      <c r="V8330" s="7"/>
      <c r="W8330" s="7"/>
      <c r="X8330" s="7"/>
      <c r="Y8330" s="7"/>
      <c r="Z8330" s="7"/>
    </row>
    <row r="8331" hidden="1">
      <c r="A8331" s="7"/>
      <c r="B8331" s="7"/>
      <c r="C8331" s="7"/>
      <c r="D8331" s="7"/>
      <c r="E8331" s="7"/>
      <c r="F8331" s="7"/>
      <c r="G8331" s="7"/>
      <c r="H8331" s="8"/>
      <c r="I8331" s="8"/>
      <c r="J8331" s="7"/>
      <c r="K8331" s="7"/>
      <c r="L8331" s="7"/>
      <c r="M8331" s="7"/>
      <c r="N8331" s="7"/>
      <c r="O8331" s="7"/>
      <c r="P8331" s="7"/>
      <c r="Q8331" s="7"/>
      <c r="R8331" s="7"/>
      <c r="S8331" s="7"/>
      <c r="T8331" s="7"/>
      <c r="U8331" s="7"/>
      <c r="V8331" s="7"/>
      <c r="W8331" s="7"/>
      <c r="X8331" s="7"/>
      <c r="Y8331" s="7"/>
      <c r="Z8331" s="7"/>
    </row>
    <row r="8332" hidden="1">
      <c r="A8332" s="7"/>
      <c r="B8332" s="7"/>
      <c r="C8332" s="7"/>
      <c r="D8332" s="7"/>
      <c r="E8332" s="7"/>
      <c r="F8332" s="7"/>
      <c r="G8332" s="7"/>
      <c r="H8332" s="8"/>
      <c r="I8332" s="8"/>
      <c r="J8332" s="7"/>
      <c r="K8332" s="7"/>
      <c r="L8332" s="7"/>
      <c r="M8332" s="7"/>
      <c r="N8332" s="7"/>
      <c r="O8332" s="7"/>
      <c r="P8332" s="7"/>
      <c r="Q8332" s="7"/>
      <c r="R8332" s="7"/>
      <c r="S8332" s="7"/>
      <c r="T8332" s="7"/>
      <c r="U8332" s="7"/>
      <c r="V8332" s="7"/>
      <c r="W8332" s="7"/>
      <c r="X8332" s="7"/>
      <c r="Y8332" s="7"/>
      <c r="Z8332" s="7"/>
    </row>
    <row r="8333" hidden="1">
      <c r="A8333" s="7"/>
      <c r="B8333" s="7"/>
      <c r="C8333" s="7"/>
      <c r="D8333" s="7"/>
      <c r="E8333" s="7"/>
      <c r="F8333" s="7"/>
      <c r="G8333" s="7"/>
      <c r="H8333" s="8"/>
      <c r="I8333" s="8"/>
      <c r="J8333" s="7"/>
      <c r="K8333" s="7"/>
      <c r="L8333" s="7"/>
      <c r="M8333" s="7"/>
      <c r="N8333" s="7"/>
      <c r="O8333" s="7"/>
      <c r="P8333" s="7"/>
      <c r="Q8333" s="7"/>
      <c r="R8333" s="7"/>
      <c r="S8333" s="7"/>
      <c r="T8333" s="7"/>
      <c r="U8333" s="7"/>
      <c r="V8333" s="7"/>
      <c r="W8333" s="7"/>
      <c r="X8333" s="7"/>
      <c r="Y8333" s="7"/>
      <c r="Z8333" s="7"/>
    </row>
    <row r="8334" hidden="1">
      <c r="A8334" s="7"/>
      <c r="B8334" s="7"/>
      <c r="C8334" s="7"/>
      <c r="D8334" s="7"/>
      <c r="E8334" s="7"/>
      <c r="F8334" s="7"/>
      <c r="G8334" s="7"/>
      <c r="H8334" s="8"/>
      <c r="I8334" s="8"/>
      <c r="J8334" s="7"/>
      <c r="K8334" s="7"/>
      <c r="L8334" s="7"/>
      <c r="M8334" s="7"/>
      <c r="N8334" s="7"/>
      <c r="O8334" s="7"/>
      <c r="P8334" s="7"/>
      <c r="Q8334" s="7"/>
      <c r="R8334" s="7"/>
      <c r="S8334" s="7"/>
      <c r="T8334" s="7"/>
      <c r="U8334" s="7"/>
      <c r="V8334" s="7"/>
      <c r="W8334" s="7"/>
      <c r="X8334" s="7"/>
      <c r="Y8334" s="7"/>
      <c r="Z8334" s="7"/>
    </row>
    <row r="8335" hidden="1">
      <c r="A8335" s="7"/>
      <c r="B8335" s="7"/>
      <c r="C8335" s="7"/>
      <c r="D8335" s="7"/>
      <c r="E8335" s="7"/>
      <c r="F8335" s="7"/>
      <c r="G8335" s="7"/>
      <c r="H8335" s="8"/>
      <c r="I8335" s="8"/>
      <c r="J8335" s="7"/>
      <c r="K8335" s="7"/>
      <c r="L8335" s="7"/>
      <c r="M8335" s="7"/>
      <c r="N8335" s="7"/>
      <c r="O8335" s="7"/>
      <c r="P8335" s="7"/>
      <c r="Q8335" s="7"/>
      <c r="R8335" s="7"/>
      <c r="S8335" s="7"/>
      <c r="T8335" s="7"/>
      <c r="U8335" s="7"/>
      <c r="V8335" s="7"/>
      <c r="W8335" s="7"/>
      <c r="X8335" s="7"/>
      <c r="Y8335" s="7"/>
      <c r="Z8335" s="7"/>
    </row>
    <row r="8336" hidden="1">
      <c r="A8336" s="7"/>
      <c r="B8336" s="7"/>
      <c r="C8336" s="7"/>
      <c r="D8336" s="7"/>
      <c r="E8336" s="7"/>
      <c r="F8336" s="7"/>
      <c r="G8336" s="7"/>
      <c r="H8336" s="8"/>
      <c r="I8336" s="8"/>
      <c r="J8336" s="7"/>
      <c r="K8336" s="7"/>
      <c r="L8336" s="7"/>
      <c r="M8336" s="7"/>
      <c r="N8336" s="7"/>
      <c r="O8336" s="7"/>
      <c r="P8336" s="7"/>
      <c r="Q8336" s="7"/>
      <c r="R8336" s="7"/>
      <c r="S8336" s="7"/>
      <c r="T8336" s="7"/>
      <c r="U8336" s="7"/>
      <c r="V8336" s="7"/>
      <c r="W8336" s="7"/>
      <c r="X8336" s="7"/>
      <c r="Y8336" s="7"/>
      <c r="Z8336" s="7"/>
    </row>
    <row r="8337" hidden="1">
      <c r="A8337" s="7"/>
      <c r="B8337" s="7"/>
      <c r="C8337" s="7"/>
      <c r="D8337" s="7"/>
      <c r="E8337" s="7"/>
      <c r="F8337" s="7"/>
      <c r="G8337" s="7"/>
      <c r="H8337" s="8"/>
      <c r="I8337" s="8"/>
      <c r="J8337" s="7"/>
      <c r="K8337" s="7"/>
      <c r="L8337" s="7"/>
      <c r="M8337" s="7"/>
      <c r="N8337" s="7"/>
      <c r="O8337" s="7"/>
      <c r="P8337" s="7"/>
      <c r="Q8337" s="7"/>
      <c r="R8337" s="7"/>
      <c r="S8337" s="7"/>
      <c r="T8337" s="7"/>
      <c r="U8337" s="7"/>
      <c r="V8337" s="7"/>
      <c r="W8337" s="7"/>
      <c r="X8337" s="7"/>
      <c r="Y8337" s="7"/>
      <c r="Z8337" s="7"/>
    </row>
    <row r="8338" hidden="1">
      <c r="A8338" s="7"/>
      <c r="B8338" s="7"/>
      <c r="C8338" s="7"/>
      <c r="D8338" s="7"/>
      <c r="E8338" s="7"/>
      <c r="F8338" s="7"/>
      <c r="G8338" s="7"/>
      <c r="H8338" s="8"/>
      <c r="I8338" s="8"/>
      <c r="J8338" s="7"/>
      <c r="K8338" s="7"/>
      <c r="L8338" s="7"/>
      <c r="M8338" s="7"/>
      <c r="N8338" s="7"/>
      <c r="O8338" s="7"/>
      <c r="P8338" s="7"/>
      <c r="Q8338" s="7"/>
      <c r="R8338" s="7"/>
      <c r="S8338" s="7"/>
      <c r="T8338" s="7"/>
      <c r="U8338" s="7"/>
      <c r="V8338" s="7"/>
      <c r="W8338" s="7"/>
      <c r="X8338" s="7"/>
      <c r="Y8338" s="7"/>
      <c r="Z8338" s="7"/>
    </row>
    <row r="8339" hidden="1">
      <c r="A8339" s="7"/>
      <c r="B8339" s="7"/>
      <c r="C8339" s="7"/>
      <c r="D8339" s="7"/>
      <c r="E8339" s="7"/>
      <c r="F8339" s="7"/>
      <c r="G8339" s="7"/>
      <c r="H8339" s="8"/>
      <c r="I8339" s="8"/>
      <c r="J8339" s="7"/>
      <c r="K8339" s="7"/>
      <c r="L8339" s="7"/>
      <c r="M8339" s="7"/>
      <c r="N8339" s="7"/>
      <c r="O8339" s="7"/>
      <c r="P8339" s="7"/>
      <c r="Q8339" s="7"/>
      <c r="R8339" s="7"/>
      <c r="S8339" s="7"/>
      <c r="T8339" s="7"/>
      <c r="U8339" s="7"/>
      <c r="V8339" s="7"/>
      <c r="W8339" s="7"/>
      <c r="X8339" s="7"/>
      <c r="Y8339" s="7"/>
      <c r="Z8339" s="7"/>
    </row>
    <row r="8340" hidden="1">
      <c r="A8340" s="7"/>
      <c r="B8340" s="7"/>
      <c r="C8340" s="7"/>
      <c r="D8340" s="7"/>
      <c r="E8340" s="7"/>
      <c r="F8340" s="7"/>
      <c r="G8340" s="7"/>
      <c r="H8340" s="8"/>
      <c r="I8340" s="8"/>
      <c r="J8340" s="7"/>
      <c r="K8340" s="7"/>
      <c r="L8340" s="7"/>
      <c r="M8340" s="7"/>
      <c r="N8340" s="7"/>
      <c r="O8340" s="7"/>
      <c r="P8340" s="7"/>
      <c r="Q8340" s="7"/>
      <c r="R8340" s="7"/>
      <c r="S8340" s="7"/>
      <c r="T8340" s="7"/>
      <c r="U8340" s="7"/>
      <c r="V8340" s="7"/>
      <c r="W8340" s="7"/>
      <c r="X8340" s="7"/>
      <c r="Y8340" s="7"/>
      <c r="Z8340" s="7"/>
    </row>
    <row r="8341" hidden="1">
      <c r="A8341" s="7"/>
      <c r="B8341" s="7"/>
      <c r="C8341" s="7"/>
      <c r="D8341" s="7"/>
      <c r="E8341" s="7"/>
      <c r="F8341" s="7"/>
      <c r="G8341" s="7"/>
      <c r="H8341" s="8"/>
      <c r="I8341" s="8"/>
      <c r="J8341" s="7"/>
      <c r="K8341" s="7"/>
      <c r="L8341" s="7"/>
      <c r="M8341" s="7"/>
      <c r="N8341" s="7"/>
      <c r="O8341" s="7"/>
      <c r="P8341" s="7"/>
      <c r="Q8341" s="7"/>
      <c r="R8341" s="7"/>
      <c r="S8341" s="7"/>
      <c r="T8341" s="7"/>
      <c r="U8341" s="7"/>
      <c r="V8341" s="7"/>
      <c r="W8341" s="7"/>
      <c r="X8341" s="7"/>
      <c r="Y8341" s="7"/>
      <c r="Z8341" s="7"/>
    </row>
    <row r="8342" hidden="1">
      <c r="A8342" s="7"/>
      <c r="B8342" s="7"/>
      <c r="C8342" s="7"/>
      <c r="D8342" s="7"/>
      <c r="E8342" s="7"/>
      <c r="F8342" s="7"/>
      <c r="G8342" s="7"/>
      <c r="H8342" s="8"/>
      <c r="I8342" s="8"/>
      <c r="J8342" s="7"/>
      <c r="K8342" s="7"/>
      <c r="L8342" s="7"/>
      <c r="M8342" s="7"/>
      <c r="N8342" s="7"/>
      <c r="O8342" s="7"/>
      <c r="P8342" s="7"/>
      <c r="Q8342" s="7"/>
      <c r="R8342" s="7"/>
      <c r="S8342" s="7"/>
      <c r="T8342" s="7"/>
      <c r="U8342" s="7"/>
      <c r="V8342" s="7"/>
      <c r="W8342" s="7"/>
      <c r="X8342" s="7"/>
      <c r="Y8342" s="7"/>
      <c r="Z8342" s="7"/>
    </row>
    <row r="8343" hidden="1">
      <c r="A8343" s="7"/>
      <c r="B8343" s="7"/>
      <c r="C8343" s="7"/>
      <c r="D8343" s="7"/>
      <c r="E8343" s="7"/>
      <c r="F8343" s="7"/>
      <c r="G8343" s="7"/>
      <c r="H8343" s="8"/>
      <c r="I8343" s="8"/>
      <c r="J8343" s="7"/>
      <c r="K8343" s="7"/>
      <c r="L8343" s="7"/>
      <c r="M8343" s="7"/>
      <c r="N8343" s="7"/>
      <c r="O8343" s="7"/>
      <c r="P8343" s="7"/>
      <c r="Q8343" s="7"/>
      <c r="R8343" s="7"/>
      <c r="S8343" s="7"/>
      <c r="T8343" s="7"/>
      <c r="U8343" s="7"/>
      <c r="V8343" s="7"/>
      <c r="W8343" s="7"/>
      <c r="X8343" s="7"/>
      <c r="Y8343" s="7"/>
      <c r="Z8343" s="7"/>
    </row>
    <row r="8344" hidden="1">
      <c r="A8344" s="7"/>
      <c r="B8344" s="7"/>
      <c r="C8344" s="7"/>
      <c r="D8344" s="7"/>
      <c r="E8344" s="7"/>
      <c r="F8344" s="7"/>
      <c r="G8344" s="7"/>
      <c r="H8344" s="8"/>
      <c r="I8344" s="8"/>
      <c r="J8344" s="7"/>
      <c r="K8344" s="7"/>
      <c r="L8344" s="7"/>
      <c r="M8344" s="7"/>
      <c r="N8344" s="7"/>
      <c r="O8344" s="7"/>
      <c r="P8344" s="7"/>
      <c r="Q8344" s="7"/>
      <c r="R8344" s="7"/>
      <c r="S8344" s="7"/>
      <c r="T8344" s="7"/>
      <c r="U8344" s="7"/>
      <c r="V8344" s="7"/>
      <c r="W8344" s="7"/>
      <c r="X8344" s="7"/>
      <c r="Y8344" s="7"/>
      <c r="Z8344" s="7"/>
    </row>
    <row r="8345" hidden="1">
      <c r="A8345" s="7"/>
      <c r="B8345" s="7"/>
      <c r="C8345" s="7"/>
      <c r="D8345" s="7"/>
      <c r="E8345" s="7"/>
      <c r="F8345" s="7"/>
      <c r="G8345" s="7"/>
      <c r="H8345" s="8"/>
      <c r="I8345" s="8"/>
      <c r="J8345" s="7"/>
      <c r="K8345" s="7"/>
      <c r="L8345" s="7"/>
      <c r="M8345" s="7"/>
      <c r="N8345" s="7"/>
      <c r="O8345" s="7"/>
      <c r="P8345" s="7"/>
      <c r="Q8345" s="7"/>
      <c r="R8345" s="7"/>
      <c r="S8345" s="7"/>
      <c r="T8345" s="7"/>
      <c r="U8345" s="7"/>
      <c r="V8345" s="7"/>
      <c r="W8345" s="7"/>
      <c r="X8345" s="7"/>
      <c r="Y8345" s="7"/>
      <c r="Z8345" s="7"/>
    </row>
    <row r="8346" hidden="1">
      <c r="A8346" s="7"/>
      <c r="B8346" s="7"/>
      <c r="C8346" s="7"/>
      <c r="D8346" s="7"/>
      <c r="E8346" s="7"/>
      <c r="F8346" s="7"/>
      <c r="G8346" s="7"/>
      <c r="H8346" s="8"/>
      <c r="I8346" s="8"/>
      <c r="J8346" s="7"/>
      <c r="K8346" s="7"/>
      <c r="L8346" s="7"/>
      <c r="M8346" s="7"/>
      <c r="N8346" s="7"/>
      <c r="O8346" s="7"/>
      <c r="P8346" s="7"/>
      <c r="Q8346" s="7"/>
      <c r="R8346" s="7"/>
      <c r="S8346" s="7"/>
      <c r="T8346" s="7"/>
      <c r="U8346" s="7"/>
      <c r="V8346" s="7"/>
      <c r="W8346" s="7"/>
      <c r="X8346" s="7"/>
      <c r="Y8346" s="7"/>
      <c r="Z8346" s="7"/>
    </row>
    <row r="8347" hidden="1">
      <c r="A8347" s="7"/>
      <c r="B8347" s="7"/>
      <c r="C8347" s="7"/>
      <c r="D8347" s="7"/>
      <c r="E8347" s="7"/>
      <c r="F8347" s="7"/>
      <c r="G8347" s="7"/>
      <c r="H8347" s="8"/>
      <c r="I8347" s="8"/>
      <c r="J8347" s="7"/>
      <c r="K8347" s="7"/>
      <c r="L8347" s="7"/>
      <c r="M8347" s="7"/>
      <c r="N8347" s="7"/>
      <c r="O8347" s="7"/>
      <c r="P8347" s="7"/>
      <c r="Q8347" s="7"/>
      <c r="R8347" s="7"/>
      <c r="S8347" s="7"/>
      <c r="T8347" s="7"/>
      <c r="U8347" s="7"/>
      <c r="V8347" s="7"/>
      <c r="W8347" s="7"/>
      <c r="X8347" s="7"/>
      <c r="Y8347" s="7"/>
      <c r="Z8347" s="7"/>
    </row>
    <row r="8348" hidden="1">
      <c r="A8348" s="7"/>
      <c r="B8348" s="7"/>
      <c r="C8348" s="7"/>
      <c r="D8348" s="7"/>
      <c r="E8348" s="7"/>
      <c r="F8348" s="7"/>
      <c r="G8348" s="7"/>
      <c r="H8348" s="8"/>
      <c r="I8348" s="8"/>
      <c r="J8348" s="7"/>
      <c r="K8348" s="7"/>
      <c r="L8348" s="7"/>
      <c r="M8348" s="7"/>
      <c r="N8348" s="7"/>
      <c r="O8348" s="7"/>
      <c r="P8348" s="7"/>
      <c r="Q8348" s="7"/>
      <c r="R8348" s="7"/>
      <c r="S8348" s="7"/>
      <c r="T8348" s="7"/>
      <c r="U8348" s="7"/>
      <c r="V8348" s="7"/>
      <c r="W8348" s="7"/>
      <c r="X8348" s="7"/>
      <c r="Y8348" s="7"/>
      <c r="Z8348" s="7"/>
    </row>
    <row r="8349" hidden="1">
      <c r="A8349" s="7"/>
      <c r="B8349" s="7"/>
      <c r="C8349" s="7"/>
      <c r="D8349" s="7"/>
      <c r="E8349" s="7"/>
      <c r="F8349" s="7"/>
      <c r="G8349" s="7"/>
      <c r="H8349" s="8"/>
      <c r="I8349" s="8"/>
      <c r="J8349" s="7"/>
      <c r="K8349" s="7"/>
      <c r="L8349" s="7"/>
      <c r="M8349" s="7"/>
      <c r="N8349" s="7"/>
      <c r="O8349" s="7"/>
      <c r="P8349" s="7"/>
      <c r="Q8349" s="7"/>
      <c r="R8349" s="7"/>
      <c r="S8349" s="7"/>
      <c r="T8349" s="7"/>
      <c r="U8349" s="7"/>
      <c r="V8349" s="7"/>
      <c r="W8349" s="7"/>
      <c r="X8349" s="7"/>
      <c r="Y8349" s="7"/>
      <c r="Z8349" s="7"/>
    </row>
    <row r="8350" hidden="1">
      <c r="A8350" s="7"/>
      <c r="B8350" s="7"/>
      <c r="C8350" s="7"/>
      <c r="D8350" s="7"/>
      <c r="E8350" s="7"/>
      <c r="F8350" s="7"/>
      <c r="G8350" s="7"/>
      <c r="H8350" s="8"/>
      <c r="I8350" s="8"/>
      <c r="J8350" s="7"/>
      <c r="K8350" s="7"/>
      <c r="L8350" s="7"/>
      <c r="M8350" s="7"/>
      <c r="N8350" s="7"/>
      <c r="O8350" s="7"/>
      <c r="P8350" s="7"/>
      <c r="Q8350" s="7"/>
      <c r="R8350" s="7"/>
      <c r="S8350" s="7"/>
      <c r="T8350" s="7"/>
      <c r="U8350" s="7"/>
      <c r="V8350" s="7"/>
      <c r="W8350" s="7"/>
      <c r="X8350" s="7"/>
      <c r="Y8350" s="7"/>
      <c r="Z8350" s="7"/>
    </row>
    <row r="8351" hidden="1">
      <c r="A8351" s="7"/>
      <c r="B8351" s="7"/>
      <c r="C8351" s="7"/>
      <c r="D8351" s="7"/>
      <c r="E8351" s="7"/>
      <c r="F8351" s="7"/>
      <c r="G8351" s="7"/>
      <c r="H8351" s="8"/>
      <c r="I8351" s="8"/>
      <c r="J8351" s="7"/>
      <c r="K8351" s="7"/>
      <c r="L8351" s="7"/>
      <c r="M8351" s="7"/>
      <c r="N8351" s="7"/>
      <c r="O8351" s="7"/>
      <c r="P8351" s="7"/>
      <c r="Q8351" s="7"/>
      <c r="R8351" s="7"/>
      <c r="S8351" s="7"/>
      <c r="T8351" s="7"/>
      <c r="U8351" s="7"/>
      <c r="V8351" s="7"/>
      <c r="W8351" s="7"/>
      <c r="X8351" s="7"/>
      <c r="Y8351" s="7"/>
      <c r="Z8351" s="7"/>
    </row>
    <row r="8352" hidden="1">
      <c r="A8352" s="7"/>
      <c r="B8352" s="7"/>
      <c r="C8352" s="7"/>
      <c r="D8352" s="7"/>
      <c r="E8352" s="7"/>
      <c r="F8352" s="7"/>
      <c r="G8352" s="7"/>
      <c r="H8352" s="8"/>
      <c r="I8352" s="8"/>
      <c r="J8352" s="7"/>
      <c r="K8352" s="7"/>
      <c r="L8352" s="7"/>
      <c r="M8352" s="7"/>
      <c r="N8352" s="7"/>
      <c r="O8352" s="7"/>
      <c r="P8352" s="7"/>
      <c r="Q8352" s="7"/>
      <c r="R8352" s="7"/>
      <c r="S8352" s="7"/>
      <c r="T8352" s="7"/>
      <c r="U8352" s="7"/>
      <c r="V8352" s="7"/>
      <c r="W8352" s="7"/>
      <c r="X8352" s="7"/>
      <c r="Y8352" s="7"/>
      <c r="Z8352" s="7"/>
    </row>
    <row r="8353" hidden="1">
      <c r="A8353" s="7"/>
      <c r="B8353" s="7"/>
      <c r="C8353" s="7"/>
      <c r="D8353" s="7"/>
      <c r="E8353" s="7"/>
      <c r="F8353" s="7"/>
      <c r="G8353" s="7"/>
      <c r="H8353" s="8"/>
      <c r="I8353" s="8"/>
      <c r="J8353" s="7"/>
      <c r="K8353" s="7"/>
      <c r="L8353" s="7"/>
      <c r="M8353" s="7"/>
      <c r="N8353" s="7"/>
      <c r="O8353" s="7"/>
      <c r="P8353" s="7"/>
      <c r="Q8353" s="7"/>
      <c r="R8353" s="7"/>
      <c r="S8353" s="7"/>
      <c r="T8353" s="7"/>
      <c r="U8353" s="7"/>
      <c r="V8353" s="7"/>
      <c r="W8353" s="7"/>
      <c r="X8353" s="7"/>
      <c r="Y8353" s="7"/>
      <c r="Z8353" s="7"/>
    </row>
    <row r="8354" hidden="1">
      <c r="A8354" s="7"/>
      <c r="B8354" s="7"/>
      <c r="C8354" s="7"/>
      <c r="D8354" s="7"/>
      <c r="E8354" s="7"/>
      <c r="F8354" s="7"/>
      <c r="G8354" s="7"/>
      <c r="H8354" s="8"/>
      <c r="I8354" s="8"/>
      <c r="J8354" s="7"/>
      <c r="K8354" s="7"/>
      <c r="L8354" s="7"/>
      <c r="M8354" s="7"/>
      <c r="N8354" s="7"/>
      <c r="O8354" s="7"/>
      <c r="P8354" s="7"/>
      <c r="Q8354" s="7"/>
      <c r="R8354" s="7"/>
      <c r="S8354" s="7"/>
      <c r="T8354" s="7"/>
      <c r="U8354" s="7"/>
      <c r="V8354" s="7"/>
      <c r="W8354" s="7"/>
      <c r="X8354" s="7"/>
      <c r="Y8354" s="7"/>
      <c r="Z8354" s="7"/>
    </row>
    <row r="8355" hidden="1">
      <c r="A8355" s="7"/>
      <c r="B8355" s="7"/>
      <c r="C8355" s="7"/>
      <c r="D8355" s="7"/>
      <c r="E8355" s="7"/>
      <c r="F8355" s="7"/>
      <c r="G8355" s="7"/>
      <c r="H8355" s="8"/>
      <c r="I8355" s="8"/>
      <c r="J8355" s="7"/>
      <c r="K8355" s="7"/>
      <c r="L8355" s="7"/>
      <c r="M8355" s="7"/>
      <c r="N8355" s="7"/>
      <c r="O8355" s="7"/>
      <c r="P8355" s="7"/>
      <c r="Q8355" s="7"/>
      <c r="R8355" s="7"/>
      <c r="S8355" s="7"/>
      <c r="T8355" s="7"/>
      <c r="U8355" s="7"/>
      <c r="V8355" s="7"/>
      <c r="W8355" s="7"/>
      <c r="X8355" s="7"/>
      <c r="Y8355" s="7"/>
      <c r="Z8355" s="7"/>
    </row>
    <row r="8356" hidden="1">
      <c r="A8356" s="7"/>
      <c r="B8356" s="7"/>
      <c r="C8356" s="7"/>
      <c r="D8356" s="7"/>
      <c r="E8356" s="7"/>
      <c r="F8356" s="7"/>
      <c r="G8356" s="7"/>
      <c r="H8356" s="8"/>
      <c r="I8356" s="8"/>
      <c r="J8356" s="7"/>
      <c r="K8356" s="7"/>
      <c r="L8356" s="7"/>
      <c r="M8356" s="7"/>
      <c r="N8356" s="7"/>
      <c r="O8356" s="7"/>
      <c r="P8356" s="7"/>
      <c r="Q8356" s="7"/>
      <c r="R8356" s="7"/>
      <c r="S8356" s="7"/>
      <c r="T8356" s="7"/>
      <c r="U8356" s="7"/>
      <c r="V8356" s="7"/>
      <c r="W8356" s="7"/>
      <c r="X8356" s="7"/>
      <c r="Y8356" s="7"/>
      <c r="Z8356" s="7"/>
    </row>
    <row r="8357" hidden="1">
      <c r="A8357" s="7"/>
      <c r="B8357" s="7"/>
      <c r="C8357" s="7"/>
      <c r="D8357" s="7"/>
      <c r="E8357" s="7"/>
      <c r="F8357" s="7"/>
      <c r="G8357" s="7"/>
      <c r="H8357" s="8"/>
      <c r="I8357" s="8"/>
      <c r="J8357" s="7"/>
      <c r="K8357" s="7"/>
      <c r="L8357" s="7"/>
      <c r="M8357" s="7"/>
      <c r="N8357" s="7"/>
      <c r="O8357" s="7"/>
      <c r="P8357" s="7"/>
      <c r="Q8357" s="7"/>
      <c r="R8357" s="7"/>
      <c r="S8357" s="7"/>
      <c r="T8357" s="7"/>
      <c r="U8357" s="7"/>
      <c r="V8357" s="7"/>
      <c r="W8357" s="7"/>
      <c r="X8357" s="7"/>
      <c r="Y8357" s="7"/>
      <c r="Z8357" s="7"/>
    </row>
    <row r="8358" hidden="1">
      <c r="A8358" s="7"/>
      <c r="B8358" s="7"/>
      <c r="C8358" s="7"/>
      <c r="D8358" s="7"/>
      <c r="E8358" s="7"/>
      <c r="F8358" s="7"/>
      <c r="G8358" s="7"/>
      <c r="H8358" s="8"/>
      <c r="I8358" s="8"/>
      <c r="J8358" s="7"/>
      <c r="K8358" s="7"/>
      <c r="L8358" s="7"/>
      <c r="M8358" s="7"/>
      <c r="N8358" s="7"/>
      <c r="O8358" s="7"/>
      <c r="P8358" s="7"/>
      <c r="Q8358" s="7"/>
      <c r="R8358" s="7"/>
      <c r="S8358" s="7"/>
      <c r="T8358" s="7"/>
      <c r="U8358" s="7"/>
      <c r="V8358" s="7"/>
      <c r="W8358" s="7"/>
      <c r="X8358" s="7"/>
      <c r="Y8358" s="7"/>
      <c r="Z8358" s="7"/>
    </row>
    <row r="8359" hidden="1">
      <c r="A8359" s="7"/>
      <c r="B8359" s="7"/>
      <c r="C8359" s="7"/>
      <c r="D8359" s="7"/>
      <c r="E8359" s="7"/>
      <c r="F8359" s="7"/>
      <c r="G8359" s="7"/>
      <c r="H8359" s="8"/>
      <c r="I8359" s="8"/>
      <c r="J8359" s="7"/>
      <c r="K8359" s="7"/>
      <c r="L8359" s="7"/>
      <c r="M8359" s="7"/>
      <c r="N8359" s="7"/>
      <c r="O8359" s="7"/>
      <c r="P8359" s="7"/>
      <c r="Q8359" s="7"/>
      <c r="R8359" s="7"/>
      <c r="S8359" s="7"/>
      <c r="T8359" s="7"/>
      <c r="U8359" s="7"/>
      <c r="V8359" s="7"/>
      <c r="W8359" s="7"/>
      <c r="X8359" s="7"/>
      <c r="Y8359" s="7"/>
      <c r="Z8359" s="7"/>
    </row>
    <row r="8360" hidden="1">
      <c r="A8360" s="7"/>
      <c r="B8360" s="7"/>
      <c r="C8360" s="7"/>
      <c r="D8360" s="7"/>
      <c r="E8360" s="7"/>
      <c r="F8360" s="7"/>
      <c r="G8360" s="7"/>
      <c r="H8360" s="8"/>
      <c r="I8360" s="8"/>
      <c r="J8360" s="7"/>
      <c r="K8360" s="7"/>
      <c r="L8360" s="7"/>
      <c r="M8360" s="7"/>
      <c r="N8360" s="7"/>
      <c r="O8360" s="7"/>
      <c r="P8360" s="7"/>
      <c r="Q8360" s="7"/>
      <c r="R8360" s="7"/>
      <c r="S8360" s="7"/>
      <c r="T8360" s="7"/>
      <c r="U8360" s="7"/>
      <c r="V8360" s="7"/>
      <c r="W8360" s="7"/>
      <c r="X8360" s="7"/>
      <c r="Y8360" s="7"/>
      <c r="Z8360" s="7"/>
    </row>
    <row r="8361" hidden="1">
      <c r="A8361" s="7"/>
      <c r="B8361" s="7"/>
      <c r="C8361" s="7"/>
      <c r="D8361" s="7"/>
      <c r="E8361" s="7"/>
      <c r="F8361" s="7"/>
      <c r="G8361" s="7"/>
      <c r="H8361" s="8"/>
      <c r="I8361" s="8"/>
      <c r="J8361" s="7"/>
      <c r="K8361" s="7"/>
      <c r="L8361" s="7"/>
      <c r="M8361" s="7"/>
      <c r="N8361" s="7"/>
      <c r="O8361" s="7"/>
      <c r="P8361" s="7"/>
      <c r="Q8361" s="7"/>
      <c r="R8361" s="7"/>
      <c r="S8361" s="7"/>
      <c r="T8361" s="7"/>
      <c r="U8361" s="7"/>
      <c r="V8361" s="7"/>
      <c r="W8361" s="7"/>
      <c r="X8361" s="7"/>
      <c r="Y8361" s="7"/>
      <c r="Z8361" s="7"/>
    </row>
    <row r="8362" hidden="1">
      <c r="A8362" s="7"/>
      <c r="B8362" s="7"/>
      <c r="C8362" s="7"/>
      <c r="D8362" s="7"/>
      <c r="E8362" s="7"/>
      <c r="F8362" s="7"/>
      <c r="G8362" s="7"/>
      <c r="H8362" s="8"/>
      <c r="I8362" s="8"/>
      <c r="J8362" s="7"/>
      <c r="K8362" s="7"/>
      <c r="L8362" s="7"/>
      <c r="M8362" s="7"/>
      <c r="N8362" s="7"/>
      <c r="O8362" s="7"/>
      <c r="P8362" s="7"/>
      <c r="Q8362" s="7"/>
      <c r="R8362" s="7"/>
      <c r="S8362" s="7"/>
      <c r="T8362" s="7"/>
      <c r="U8362" s="7"/>
      <c r="V8362" s="7"/>
      <c r="W8362" s="7"/>
      <c r="X8362" s="7"/>
      <c r="Y8362" s="7"/>
      <c r="Z8362" s="7"/>
    </row>
    <row r="8363" hidden="1">
      <c r="A8363" s="7"/>
      <c r="B8363" s="7"/>
      <c r="C8363" s="7"/>
      <c r="D8363" s="7"/>
      <c r="E8363" s="7"/>
      <c r="F8363" s="7"/>
      <c r="G8363" s="7"/>
      <c r="H8363" s="8"/>
      <c r="I8363" s="8"/>
      <c r="J8363" s="7"/>
      <c r="K8363" s="7"/>
      <c r="L8363" s="7"/>
      <c r="M8363" s="7"/>
      <c r="N8363" s="7"/>
      <c r="O8363" s="7"/>
      <c r="P8363" s="7"/>
      <c r="Q8363" s="7"/>
      <c r="R8363" s="7"/>
      <c r="S8363" s="7"/>
      <c r="T8363" s="7"/>
      <c r="U8363" s="7"/>
      <c r="V8363" s="7"/>
      <c r="W8363" s="7"/>
      <c r="X8363" s="7"/>
      <c r="Y8363" s="7"/>
      <c r="Z8363" s="7"/>
    </row>
    <row r="8364" hidden="1">
      <c r="A8364" s="7"/>
      <c r="B8364" s="7"/>
      <c r="C8364" s="7"/>
      <c r="D8364" s="7"/>
      <c r="E8364" s="7"/>
      <c r="F8364" s="7"/>
      <c r="G8364" s="7"/>
      <c r="H8364" s="8"/>
      <c r="I8364" s="8"/>
      <c r="J8364" s="7"/>
      <c r="K8364" s="7"/>
      <c r="L8364" s="7"/>
      <c r="M8364" s="7"/>
      <c r="N8364" s="7"/>
      <c r="O8364" s="7"/>
      <c r="P8364" s="7"/>
      <c r="Q8364" s="7"/>
      <c r="R8364" s="7"/>
      <c r="S8364" s="7"/>
      <c r="T8364" s="7"/>
      <c r="U8364" s="7"/>
      <c r="V8364" s="7"/>
      <c r="W8364" s="7"/>
      <c r="X8364" s="7"/>
      <c r="Y8364" s="7"/>
      <c r="Z8364" s="7"/>
    </row>
    <row r="8365" hidden="1">
      <c r="A8365" s="7"/>
      <c r="B8365" s="7"/>
      <c r="C8365" s="7"/>
      <c r="D8365" s="7"/>
      <c r="E8365" s="7"/>
      <c r="F8365" s="7"/>
      <c r="G8365" s="7"/>
      <c r="H8365" s="8"/>
      <c r="I8365" s="8"/>
      <c r="J8365" s="7"/>
      <c r="K8365" s="7"/>
      <c r="L8365" s="7"/>
      <c r="M8365" s="7"/>
      <c r="N8365" s="7"/>
      <c r="O8365" s="7"/>
      <c r="P8365" s="7"/>
      <c r="Q8365" s="7"/>
      <c r="R8365" s="7"/>
      <c r="S8365" s="7"/>
      <c r="T8365" s="7"/>
      <c r="U8365" s="7"/>
      <c r="V8365" s="7"/>
      <c r="W8365" s="7"/>
      <c r="X8365" s="7"/>
      <c r="Y8365" s="7"/>
      <c r="Z8365" s="7"/>
    </row>
    <row r="8366" hidden="1">
      <c r="A8366" s="7"/>
      <c r="B8366" s="7"/>
      <c r="C8366" s="7"/>
      <c r="D8366" s="7"/>
      <c r="E8366" s="7"/>
      <c r="F8366" s="7"/>
      <c r="G8366" s="7"/>
      <c r="H8366" s="8"/>
      <c r="I8366" s="8"/>
      <c r="J8366" s="7"/>
      <c r="K8366" s="7"/>
      <c r="L8366" s="7"/>
      <c r="M8366" s="7"/>
      <c r="N8366" s="7"/>
      <c r="O8366" s="7"/>
      <c r="P8366" s="7"/>
      <c r="Q8366" s="7"/>
      <c r="R8366" s="7"/>
      <c r="S8366" s="7"/>
      <c r="T8366" s="7"/>
      <c r="U8366" s="7"/>
      <c r="V8366" s="7"/>
      <c r="W8366" s="7"/>
      <c r="X8366" s="7"/>
      <c r="Y8366" s="7"/>
      <c r="Z8366" s="7"/>
    </row>
    <row r="8367" hidden="1">
      <c r="A8367" s="7"/>
      <c r="B8367" s="7"/>
      <c r="C8367" s="7"/>
      <c r="D8367" s="7"/>
      <c r="E8367" s="7"/>
      <c r="F8367" s="7"/>
      <c r="G8367" s="7"/>
      <c r="H8367" s="8"/>
      <c r="I8367" s="8"/>
      <c r="J8367" s="7"/>
      <c r="K8367" s="7"/>
      <c r="L8367" s="7"/>
      <c r="M8367" s="7"/>
      <c r="N8367" s="7"/>
      <c r="O8367" s="7"/>
      <c r="P8367" s="7"/>
      <c r="Q8367" s="7"/>
      <c r="R8367" s="7"/>
      <c r="S8367" s="7"/>
      <c r="T8367" s="7"/>
      <c r="U8367" s="7"/>
      <c r="V8367" s="7"/>
      <c r="W8367" s="7"/>
      <c r="X8367" s="7"/>
      <c r="Y8367" s="7"/>
      <c r="Z8367" s="7"/>
    </row>
    <row r="8368" hidden="1">
      <c r="A8368" s="7"/>
      <c r="B8368" s="7"/>
      <c r="C8368" s="7"/>
      <c r="D8368" s="7"/>
      <c r="E8368" s="7"/>
      <c r="F8368" s="7"/>
      <c r="G8368" s="7"/>
      <c r="H8368" s="8"/>
      <c r="I8368" s="8"/>
      <c r="J8368" s="7"/>
      <c r="K8368" s="7"/>
      <c r="L8368" s="7"/>
      <c r="M8368" s="7"/>
      <c r="N8368" s="7"/>
      <c r="O8368" s="7"/>
      <c r="P8368" s="7"/>
      <c r="Q8368" s="7"/>
      <c r="R8368" s="7"/>
      <c r="S8368" s="7"/>
      <c r="T8368" s="7"/>
      <c r="U8368" s="7"/>
      <c r="V8368" s="7"/>
      <c r="W8368" s="7"/>
      <c r="X8368" s="7"/>
      <c r="Y8368" s="7"/>
      <c r="Z8368" s="7"/>
    </row>
    <row r="8369" hidden="1">
      <c r="A8369" s="7"/>
      <c r="B8369" s="7"/>
      <c r="C8369" s="7"/>
      <c r="D8369" s="7"/>
      <c r="E8369" s="7"/>
      <c r="F8369" s="7"/>
      <c r="G8369" s="7"/>
      <c r="H8369" s="8"/>
      <c r="I8369" s="8"/>
      <c r="J8369" s="7"/>
      <c r="K8369" s="7"/>
      <c r="L8369" s="7"/>
      <c r="M8369" s="7"/>
      <c r="N8369" s="7"/>
      <c r="O8369" s="7"/>
      <c r="P8369" s="7"/>
      <c r="Q8369" s="7"/>
      <c r="R8369" s="7"/>
      <c r="S8369" s="7"/>
      <c r="T8369" s="7"/>
      <c r="U8369" s="7"/>
      <c r="V8369" s="7"/>
      <c r="W8369" s="7"/>
      <c r="X8369" s="7"/>
      <c r="Y8369" s="7"/>
      <c r="Z8369" s="7"/>
    </row>
    <row r="8370" hidden="1">
      <c r="A8370" s="7"/>
      <c r="B8370" s="7"/>
      <c r="C8370" s="7"/>
      <c r="D8370" s="7"/>
      <c r="E8370" s="7"/>
      <c r="F8370" s="7"/>
      <c r="G8370" s="7"/>
      <c r="H8370" s="8"/>
      <c r="I8370" s="8"/>
      <c r="J8370" s="7"/>
      <c r="K8370" s="7"/>
      <c r="L8370" s="7"/>
      <c r="M8370" s="7"/>
      <c r="N8370" s="7"/>
      <c r="O8370" s="7"/>
      <c r="P8370" s="7"/>
      <c r="Q8370" s="7"/>
      <c r="R8370" s="7"/>
      <c r="S8370" s="7"/>
      <c r="T8370" s="7"/>
      <c r="U8370" s="7"/>
      <c r="V8370" s="7"/>
      <c r="W8370" s="7"/>
      <c r="X8370" s="7"/>
      <c r="Y8370" s="7"/>
      <c r="Z8370" s="7"/>
    </row>
    <row r="8371" hidden="1">
      <c r="A8371" s="7"/>
      <c r="B8371" s="7"/>
      <c r="C8371" s="7"/>
      <c r="D8371" s="7"/>
      <c r="E8371" s="7"/>
      <c r="F8371" s="7"/>
      <c r="G8371" s="7"/>
      <c r="H8371" s="8"/>
      <c r="I8371" s="8"/>
      <c r="J8371" s="7"/>
      <c r="K8371" s="7"/>
      <c r="L8371" s="7"/>
      <c r="M8371" s="7"/>
      <c r="N8371" s="7"/>
      <c r="O8371" s="7"/>
      <c r="P8371" s="7"/>
      <c r="Q8371" s="7"/>
      <c r="R8371" s="7"/>
      <c r="S8371" s="7"/>
      <c r="T8371" s="7"/>
      <c r="U8371" s="7"/>
      <c r="V8371" s="7"/>
      <c r="W8371" s="7"/>
      <c r="X8371" s="7"/>
      <c r="Y8371" s="7"/>
      <c r="Z8371" s="7"/>
    </row>
    <row r="8372" hidden="1">
      <c r="A8372" s="7"/>
      <c r="B8372" s="7"/>
      <c r="C8372" s="7"/>
      <c r="D8372" s="7"/>
      <c r="E8372" s="7"/>
      <c r="F8372" s="7"/>
      <c r="G8372" s="7"/>
      <c r="H8372" s="8"/>
      <c r="I8372" s="8"/>
      <c r="J8372" s="7"/>
      <c r="K8372" s="7"/>
      <c r="L8372" s="7"/>
      <c r="M8372" s="7"/>
      <c r="N8372" s="7"/>
      <c r="O8372" s="7"/>
      <c r="P8372" s="7"/>
      <c r="Q8372" s="7"/>
      <c r="R8372" s="7"/>
      <c r="S8372" s="7"/>
      <c r="T8372" s="7"/>
      <c r="U8372" s="7"/>
      <c r="V8372" s="7"/>
      <c r="W8372" s="7"/>
      <c r="X8372" s="7"/>
      <c r="Y8372" s="7"/>
      <c r="Z8372" s="7"/>
    </row>
    <row r="8373" hidden="1">
      <c r="A8373" s="7"/>
      <c r="B8373" s="7"/>
      <c r="C8373" s="7"/>
      <c r="D8373" s="7"/>
      <c r="E8373" s="7"/>
      <c r="F8373" s="7"/>
      <c r="G8373" s="7"/>
      <c r="H8373" s="8"/>
      <c r="I8373" s="8"/>
      <c r="J8373" s="7"/>
      <c r="K8373" s="7"/>
      <c r="L8373" s="7"/>
      <c r="M8373" s="7"/>
      <c r="N8373" s="7"/>
      <c r="O8373" s="7"/>
      <c r="P8373" s="7"/>
      <c r="Q8373" s="7"/>
      <c r="R8373" s="7"/>
      <c r="S8373" s="7"/>
      <c r="T8373" s="7"/>
      <c r="U8373" s="7"/>
      <c r="V8373" s="7"/>
      <c r="W8373" s="7"/>
      <c r="X8373" s="7"/>
      <c r="Y8373" s="7"/>
      <c r="Z8373" s="7"/>
    </row>
    <row r="8374" hidden="1">
      <c r="A8374" s="7"/>
      <c r="B8374" s="7"/>
      <c r="C8374" s="7"/>
      <c r="D8374" s="7"/>
      <c r="E8374" s="7"/>
      <c r="F8374" s="7"/>
      <c r="G8374" s="7"/>
      <c r="H8374" s="8"/>
      <c r="I8374" s="8"/>
      <c r="J8374" s="7"/>
      <c r="K8374" s="7"/>
      <c r="L8374" s="7"/>
      <c r="M8374" s="7"/>
      <c r="N8374" s="7"/>
      <c r="O8374" s="7"/>
      <c r="P8374" s="7"/>
      <c r="Q8374" s="7"/>
      <c r="R8374" s="7"/>
      <c r="S8374" s="7"/>
      <c r="T8374" s="7"/>
      <c r="U8374" s="7"/>
      <c r="V8374" s="7"/>
      <c r="W8374" s="7"/>
      <c r="X8374" s="7"/>
      <c r="Y8374" s="7"/>
      <c r="Z8374" s="7"/>
    </row>
    <row r="8375" hidden="1">
      <c r="A8375" s="7"/>
      <c r="B8375" s="7"/>
      <c r="C8375" s="7"/>
      <c r="D8375" s="7"/>
      <c r="E8375" s="7"/>
      <c r="F8375" s="7"/>
      <c r="G8375" s="7"/>
      <c r="H8375" s="8"/>
      <c r="I8375" s="8"/>
      <c r="J8375" s="7"/>
      <c r="K8375" s="7"/>
      <c r="L8375" s="7"/>
      <c r="M8375" s="7"/>
      <c r="N8375" s="7"/>
      <c r="O8375" s="7"/>
      <c r="P8375" s="7"/>
      <c r="Q8375" s="7"/>
      <c r="R8375" s="7"/>
      <c r="S8375" s="7"/>
      <c r="T8375" s="7"/>
      <c r="U8375" s="7"/>
      <c r="V8375" s="7"/>
      <c r="W8375" s="7"/>
      <c r="X8375" s="7"/>
      <c r="Y8375" s="7"/>
      <c r="Z8375" s="7"/>
    </row>
    <row r="8376" hidden="1">
      <c r="A8376" s="7"/>
      <c r="B8376" s="7"/>
      <c r="C8376" s="7"/>
      <c r="D8376" s="7"/>
      <c r="E8376" s="7"/>
      <c r="F8376" s="7"/>
      <c r="G8376" s="7"/>
      <c r="H8376" s="8"/>
      <c r="I8376" s="8"/>
      <c r="J8376" s="7"/>
      <c r="K8376" s="7"/>
      <c r="L8376" s="7"/>
      <c r="M8376" s="7"/>
      <c r="N8376" s="7"/>
      <c r="O8376" s="7"/>
      <c r="P8376" s="7"/>
      <c r="Q8376" s="7"/>
      <c r="R8376" s="7"/>
      <c r="S8376" s="7"/>
      <c r="T8376" s="7"/>
      <c r="U8376" s="7"/>
      <c r="V8376" s="7"/>
      <c r="W8376" s="7"/>
      <c r="X8376" s="7"/>
      <c r="Y8376" s="7"/>
      <c r="Z8376" s="7"/>
    </row>
    <row r="8377" hidden="1">
      <c r="A8377" s="7"/>
      <c r="B8377" s="7"/>
      <c r="C8377" s="7"/>
      <c r="D8377" s="7"/>
      <c r="E8377" s="7"/>
      <c r="F8377" s="7"/>
      <c r="G8377" s="7"/>
      <c r="H8377" s="8"/>
      <c r="I8377" s="8"/>
      <c r="J8377" s="7"/>
      <c r="K8377" s="7"/>
      <c r="L8377" s="7"/>
      <c r="M8377" s="7"/>
      <c r="N8377" s="7"/>
      <c r="O8377" s="7"/>
      <c r="P8377" s="7"/>
      <c r="Q8377" s="7"/>
      <c r="R8377" s="7"/>
      <c r="S8377" s="7"/>
      <c r="T8377" s="7"/>
      <c r="U8377" s="7"/>
      <c r="V8377" s="7"/>
      <c r="W8377" s="7"/>
      <c r="X8377" s="7"/>
      <c r="Y8377" s="7"/>
      <c r="Z8377" s="7"/>
    </row>
    <row r="8378" hidden="1">
      <c r="A8378" s="7"/>
      <c r="B8378" s="7"/>
      <c r="C8378" s="7"/>
      <c r="D8378" s="7"/>
      <c r="E8378" s="7"/>
      <c r="F8378" s="7"/>
      <c r="G8378" s="7"/>
      <c r="H8378" s="8"/>
      <c r="I8378" s="8"/>
      <c r="J8378" s="7"/>
      <c r="K8378" s="7"/>
      <c r="L8378" s="7"/>
      <c r="M8378" s="7"/>
      <c r="N8378" s="7"/>
      <c r="O8378" s="7"/>
      <c r="P8378" s="7"/>
      <c r="Q8378" s="7"/>
      <c r="R8378" s="7"/>
      <c r="S8378" s="7"/>
      <c r="T8378" s="7"/>
      <c r="U8378" s="7"/>
      <c r="V8378" s="7"/>
      <c r="W8378" s="7"/>
      <c r="X8378" s="7"/>
      <c r="Y8378" s="7"/>
      <c r="Z8378" s="7"/>
    </row>
    <row r="8379" hidden="1">
      <c r="A8379" s="7"/>
      <c r="B8379" s="7"/>
      <c r="C8379" s="7"/>
      <c r="D8379" s="7"/>
      <c r="E8379" s="7"/>
      <c r="F8379" s="7"/>
      <c r="G8379" s="7"/>
      <c r="H8379" s="8"/>
      <c r="I8379" s="8"/>
      <c r="J8379" s="7"/>
      <c r="K8379" s="7"/>
      <c r="L8379" s="7"/>
      <c r="M8379" s="7"/>
      <c r="N8379" s="7"/>
      <c r="O8379" s="7"/>
      <c r="P8379" s="7"/>
      <c r="Q8379" s="7"/>
      <c r="R8379" s="7"/>
      <c r="S8379" s="7"/>
      <c r="T8379" s="7"/>
      <c r="U8379" s="7"/>
      <c r="V8379" s="7"/>
      <c r="W8379" s="7"/>
      <c r="X8379" s="7"/>
      <c r="Y8379" s="7"/>
      <c r="Z8379" s="7"/>
    </row>
    <row r="8380" hidden="1">
      <c r="A8380" s="7"/>
      <c r="B8380" s="7"/>
      <c r="C8380" s="7"/>
      <c r="D8380" s="7"/>
      <c r="E8380" s="7"/>
      <c r="F8380" s="7"/>
      <c r="G8380" s="7"/>
      <c r="H8380" s="8"/>
      <c r="I8380" s="8"/>
      <c r="J8380" s="7"/>
      <c r="K8380" s="7"/>
      <c r="L8380" s="7"/>
      <c r="M8380" s="7"/>
      <c r="N8380" s="7"/>
      <c r="O8380" s="7"/>
      <c r="P8380" s="7"/>
      <c r="Q8380" s="7"/>
      <c r="R8380" s="7"/>
      <c r="S8380" s="7"/>
      <c r="T8380" s="7"/>
      <c r="U8380" s="7"/>
      <c r="V8380" s="7"/>
      <c r="W8380" s="7"/>
      <c r="X8380" s="7"/>
      <c r="Y8380" s="7"/>
      <c r="Z8380" s="7"/>
    </row>
    <row r="8381" hidden="1">
      <c r="A8381" s="7"/>
      <c r="B8381" s="7"/>
      <c r="C8381" s="7"/>
      <c r="D8381" s="7"/>
      <c r="E8381" s="7"/>
      <c r="F8381" s="7"/>
      <c r="G8381" s="7"/>
      <c r="H8381" s="8"/>
      <c r="I8381" s="8"/>
      <c r="J8381" s="7"/>
      <c r="K8381" s="7"/>
      <c r="L8381" s="7"/>
      <c r="M8381" s="7"/>
      <c r="N8381" s="7"/>
      <c r="O8381" s="7"/>
      <c r="P8381" s="7"/>
      <c r="Q8381" s="7"/>
      <c r="R8381" s="7"/>
      <c r="S8381" s="7"/>
      <c r="T8381" s="7"/>
      <c r="U8381" s="7"/>
      <c r="V8381" s="7"/>
      <c r="W8381" s="7"/>
      <c r="X8381" s="7"/>
      <c r="Y8381" s="7"/>
      <c r="Z8381" s="7"/>
    </row>
    <row r="8382" hidden="1">
      <c r="A8382" s="7"/>
      <c r="B8382" s="7"/>
      <c r="C8382" s="7"/>
      <c r="D8382" s="7"/>
      <c r="E8382" s="7"/>
      <c r="F8382" s="7"/>
      <c r="G8382" s="7"/>
      <c r="H8382" s="8"/>
      <c r="I8382" s="8"/>
      <c r="J8382" s="7"/>
      <c r="K8382" s="7"/>
      <c r="L8382" s="7"/>
      <c r="M8382" s="7"/>
      <c r="N8382" s="7"/>
      <c r="O8382" s="7"/>
      <c r="P8382" s="7"/>
      <c r="Q8382" s="7"/>
      <c r="R8382" s="7"/>
      <c r="S8382" s="7"/>
      <c r="T8382" s="7"/>
      <c r="U8382" s="7"/>
      <c r="V8382" s="7"/>
      <c r="W8382" s="7"/>
      <c r="X8382" s="7"/>
      <c r="Y8382" s="7"/>
      <c r="Z8382" s="7"/>
    </row>
    <row r="8383" hidden="1">
      <c r="A8383" s="7"/>
      <c r="B8383" s="7"/>
      <c r="C8383" s="7"/>
      <c r="D8383" s="7"/>
      <c r="E8383" s="7"/>
      <c r="F8383" s="7"/>
      <c r="G8383" s="7"/>
      <c r="H8383" s="8"/>
      <c r="I8383" s="8"/>
      <c r="J8383" s="7"/>
      <c r="K8383" s="7"/>
      <c r="L8383" s="7"/>
      <c r="M8383" s="7"/>
      <c r="N8383" s="7"/>
      <c r="O8383" s="7"/>
      <c r="P8383" s="7"/>
      <c r="Q8383" s="7"/>
      <c r="R8383" s="7"/>
      <c r="S8383" s="7"/>
      <c r="T8383" s="7"/>
      <c r="U8383" s="7"/>
      <c r="V8383" s="7"/>
      <c r="W8383" s="7"/>
      <c r="X8383" s="7"/>
      <c r="Y8383" s="7"/>
      <c r="Z8383" s="7"/>
    </row>
    <row r="8384" hidden="1">
      <c r="A8384" s="7"/>
      <c r="B8384" s="7"/>
      <c r="C8384" s="7"/>
      <c r="D8384" s="7"/>
      <c r="E8384" s="7"/>
      <c r="F8384" s="7"/>
      <c r="G8384" s="7"/>
      <c r="H8384" s="8"/>
      <c r="I8384" s="8"/>
      <c r="J8384" s="7"/>
      <c r="K8384" s="7"/>
      <c r="L8384" s="7"/>
      <c r="M8384" s="7"/>
      <c r="N8384" s="7"/>
      <c r="O8384" s="7"/>
      <c r="P8384" s="7"/>
      <c r="Q8384" s="7"/>
      <c r="R8384" s="7"/>
      <c r="S8384" s="7"/>
      <c r="T8384" s="7"/>
      <c r="U8384" s="7"/>
      <c r="V8384" s="7"/>
      <c r="W8384" s="7"/>
      <c r="X8384" s="7"/>
      <c r="Y8384" s="7"/>
      <c r="Z8384" s="7"/>
    </row>
    <row r="8385" hidden="1">
      <c r="A8385" s="7"/>
      <c r="B8385" s="7"/>
      <c r="C8385" s="7"/>
      <c r="D8385" s="7"/>
      <c r="E8385" s="7"/>
      <c r="F8385" s="7"/>
      <c r="G8385" s="7"/>
      <c r="H8385" s="8"/>
      <c r="I8385" s="8"/>
      <c r="J8385" s="7"/>
      <c r="K8385" s="7"/>
      <c r="L8385" s="7"/>
      <c r="M8385" s="7"/>
      <c r="N8385" s="7"/>
      <c r="O8385" s="7"/>
      <c r="P8385" s="7"/>
      <c r="Q8385" s="7"/>
      <c r="R8385" s="7"/>
      <c r="S8385" s="7"/>
      <c r="T8385" s="7"/>
      <c r="U8385" s="7"/>
      <c r="V8385" s="7"/>
      <c r="W8385" s="7"/>
      <c r="X8385" s="7"/>
      <c r="Y8385" s="7"/>
      <c r="Z8385" s="7"/>
    </row>
    <row r="8386" hidden="1">
      <c r="A8386" s="7"/>
      <c r="B8386" s="7"/>
      <c r="C8386" s="7"/>
      <c r="D8386" s="7"/>
      <c r="E8386" s="7"/>
      <c r="F8386" s="7"/>
      <c r="G8386" s="7"/>
      <c r="H8386" s="8"/>
      <c r="I8386" s="8"/>
      <c r="J8386" s="7"/>
      <c r="K8386" s="7"/>
      <c r="L8386" s="7"/>
      <c r="M8386" s="7"/>
      <c r="N8386" s="7"/>
      <c r="O8386" s="7"/>
      <c r="P8386" s="7"/>
      <c r="Q8386" s="7"/>
      <c r="R8386" s="7"/>
      <c r="S8386" s="7"/>
      <c r="T8386" s="7"/>
      <c r="U8386" s="7"/>
      <c r="V8386" s="7"/>
      <c r="W8386" s="7"/>
      <c r="X8386" s="7"/>
      <c r="Y8386" s="7"/>
      <c r="Z8386" s="7"/>
    </row>
    <row r="8387" hidden="1">
      <c r="A8387" s="7"/>
      <c r="B8387" s="7"/>
      <c r="C8387" s="7"/>
      <c r="D8387" s="7"/>
      <c r="E8387" s="7"/>
      <c r="F8387" s="7"/>
      <c r="G8387" s="7"/>
      <c r="H8387" s="8"/>
      <c r="I8387" s="8"/>
      <c r="J8387" s="7"/>
      <c r="K8387" s="7"/>
      <c r="L8387" s="7"/>
      <c r="M8387" s="7"/>
      <c r="N8387" s="7"/>
      <c r="O8387" s="7"/>
      <c r="P8387" s="7"/>
      <c r="Q8387" s="7"/>
      <c r="R8387" s="7"/>
      <c r="S8387" s="7"/>
      <c r="T8387" s="7"/>
      <c r="U8387" s="7"/>
      <c r="V8387" s="7"/>
      <c r="W8387" s="7"/>
      <c r="X8387" s="7"/>
      <c r="Y8387" s="7"/>
      <c r="Z8387" s="7"/>
    </row>
    <row r="8388" hidden="1">
      <c r="A8388" s="7"/>
      <c r="B8388" s="7"/>
      <c r="C8388" s="7"/>
      <c r="D8388" s="7"/>
      <c r="E8388" s="7"/>
      <c r="F8388" s="7"/>
      <c r="G8388" s="7"/>
      <c r="H8388" s="8"/>
      <c r="I8388" s="8"/>
      <c r="J8388" s="7"/>
      <c r="K8388" s="7"/>
      <c r="L8388" s="7"/>
      <c r="M8388" s="7"/>
      <c r="N8388" s="7"/>
      <c r="O8388" s="7"/>
      <c r="P8388" s="7"/>
      <c r="Q8388" s="7"/>
      <c r="R8388" s="7"/>
      <c r="S8388" s="7"/>
      <c r="T8388" s="7"/>
      <c r="U8388" s="7"/>
      <c r="V8388" s="7"/>
      <c r="W8388" s="7"/>
      <c r="X8388" s="7"/>
      <c r="Y8388" s="7"/>
      <c r="Z8388" s="7"/>
    </row>
    <row r="8389" hidden="1">
      <c r="A8389" s="7"/>
      <c r="B8389" s="7"/>
      <c r="C8389" s="7"/>
      <c r="D8389" s="7"/>
      <c r="E8389" s="7"/>
      <c r="F8389" s="7"/>
      <c r="G8389" s="7"/>
      <c r="H8389" s="8"/>
      <c r="I8389" s="8"/>
      <c r="J8389" s="7"/>
      <c r="K8389" s="7"/>
      <c r="L8389" s="7"/>
      <c r="M8389" s="7"/>
      <c r="N8389" s="7"/>
      <c r="O8389" s="7"/>
      <c r="P8389" s="7"/>
      <c r="Q8389" s="7"/>
      <c r="R8389" s="7"/>
      <c r="S8389" s="7"/>
      <c r="T8389" s="7"/>
      <c r="U8389" s="7"/>
      <c r="V8389" s="7"/>
      <c r="W8389" s="7"/>
      <c r="X8389" s="7"/>
      <c r="Y8389" s="7"/>
      <c r="Z8389" s="7"/>
    </row>
    <row r="8390" hidden="1">
      <c r="A8390" s="7"/>
      <c r="B8390" s="7"/>
      <c r="C8390" s="7"/>
      <c r="D8390" s="7"/>
      <c r="E8390" s="7"/>
      <c r="F8390" s="7"/>
      <c r="G8390" s="7"/>
      <c r="H8390" s="8"/>
      <c r="I8390" s="8"/>
      <c r="J8390" s="7"/>
      <c r="K8390" s="7"/>
      <c r="L8390" s="7"/>
      <c r="M8390" s="7"/>
      <c r="N8390" s="7"/>
      <c r="O8390" s="7"/>
      <c r="P8390" s="7"/>
      <c r="Q8390" s="7"/>
      <c r="R8390" s="7"/>
      <c r="S8390" s="7"/>
      <c r="T8390" s="7"/>
      <c r="U8390" s="7"/>
      <c r="V8390" s="7"/>
      <c r="W8390" s="7"/>
      <c r="X8390" s="7"/>
      <c r="Y8390" s="7"/>
      <c r="Z8390" s="7"/>
    </row>
    <row r="8391" hidden="1">
      <c r="A8391" s="7"/>
      <c r="B8391" s="7"/>
      <c r="C8391" s="7"/>
      <c r="D8391" s="7"/>
      <c r="E8391" s="7"/>
      <c r="F8391" s="7"/>
      <c r="G8391" s="7"/>
      <c r="H8391" s="8"/>
      <c r="I8391" s="8"/>
      <c r="J8391" s="7"/>
      <c r="K8391" s="7"/>
      <c r="L8391" s="7"/>
      <c r="M8391" s="7"/>
      <c r="N8391" s="7"/>
      <c r="O8391" s="7"/>
      <c r="P8391" s="7"/>
      <c r="Q8391" s="7"/>
      <c r="R8391" s="7"/>
      <c r="S8391" s="7"/>
      <c r="T8391" s="7"/>
      <c r="U8391" s="7"/>
      <c r="V8391" s="7"/>
      <c r="W8391" s="7"/>
      <c r="X8391" s="7"/>
      <c r="Y8391" s="7"/>
      <c r="Z8391" s="7"/>
    </row>
    <row r="8392" hidden="1">
      <c r="A8392" s="7"/>
      <c r="B8392" s="7"/>
      <c r="C8392" s="7"/>
      <c r="D8392" s="7"/>
      <c r="E8392" s="7"/>
      <c r="F8392" s="7"/>
      <c r="G8392" s="7"/>
      <c r="H8392" s="8"/>
      <c r="I8392" s="8"/>
      <c r="J8392" s="7"/>
      <c r="K8392" s="7"/>
      <c r="L8392" s="7"/>
      <c r="M8392" s="7"/>
      <c r="N8392" s="7"/>
      <c r="O8392" s="7"/>
      <c r="P8392" s="7"/>
      <c r="Q8392" s="7"/>
      <c r="R8392" s="7"/>
      <c r="S8392" s="7"/>
      <c r="T8392" s="7"/>
      <c r="U8392" s="7"/>
      <c r="V8392" s="7"/>
      <c r="W8392" s="7"/>
      <c r="X8392" s="7"/>
      <c r="Y8392" s="7"/>
      <c r="Z8392" s="7"/>
    </row>
    <row r="8393" hidden="1">
      <c r="A8393" s="7"/>
      <c r="B8393" s="7"/>
      <c r="C8393" s="7"/>
      <c r="D8393" s="7"/>
      <c r="E8393" s="7"/>
      <c r="F8393" s="7"/>
      <c r="G8393" s="7"/>
      <c r="H8393" s="8"/>
      <c r="I8393" s="8"/>
      <c r="J8393" s="7"/>
      <c r="K8393" s="7"/>
      <c r="L8393" s="7"/>
      <c r="M8393" s="7"/>
      <c r="N8393" s="7"/>
      <c r="O8393" s="7"/>
      <c r="P8393" s="7"/>
      <c r="Q8393" s="7"/>
      <c r="R8393" s="7"/>
      <c r="S8393" s="7"/>
      <c r="T8393" s="7"/>
      <c r="U8393" s="7"/>
      <c r="V8393" s="7"/>
      <c r="W8393" s="7"/>
      <c r="X8393" s="7"/>
      <c r="Y8393" s="7"/>
      <c r="Z8393" s="7"/>
    </row>
    <row r="8394" hidden="1">
      <c r="A8394" s="7"/>
      <c r="B8394" s="7"/>
      <c r="C8394" s="7"/>
      <c r="D8394" s="7"/>
      <c r="E8394" s="7"/>
      <c r="F8394" s="7"/>
      <c r="G8394" s="7"/>
      <c r="H8394" s="8"/>
      <c r="I8394" s="8"/>
      <c r="J8394" s="7"/>
      <c r="K8394" s="7"/>
      <c r="L8394" s="7"/>
      <c r="M8394" s="7"/>
      <c r="N8394" s="7"/>
      <c r="O8394" s="7"/>
      <c r="P8394" s="7"/>
      <c r="Q8394" s="7"/>
      <c r="R8394" s="7"/>
      <c r="S8394" s="7"/>
      <c r="T8394" s="7"/>
      <c r="U8394" s="7"/>
      <c r="V8394" s="7"/>
      <c r="W8394" s="7"/>
      <c r="X8394" s="7"/>
      <c r="Y8394" s="7"/>
      <c r="Z8394" s="7"/>
    </row>
    <row r="8395" hidden="1">
      <c r="A8395" s="7"/>
      <c r="B8395" s="7"/>
      <c r="C8395" s="7"/>
      <c r="D8395" s="7"/>
      <c r="E8395" s="7"/>
      <c r="F8395" s="7"/>
      <c r="G8395" s="7"/>
      <c r="H8395" s="8"/>
      <c r="I8395" s="8"/>
      <c r="J8395" s="7"/>
      <c r="K8395" s="7"/>
      <c r="L8395" s="7"/>
      <c r="M8395" s="7"/>
      <c r="N8395" s="7"/>
      <c r="O8395" s="7"/>
      <c r="P8395" s="7"/>
      <c r="Q8395" s="7"/>
      <c r="R8395" s="7"/>
      <c r="S8395" s="7"/>
      <c r="T8395" s="7"/>
      <c r="U8395" s="7"/>
      <c r="V8395" s="7"/>
      <c r="W8395" s="7"/>
      <c r="X8395" s="7"/>
      <c r="Y8395" s="7"/>
      <c r="Z8395" s="7"/>
    </row>
    <row r="8396" hidden="1">
      <c r="A8396" s="7"/>
      <c r="B8396" s="7"/>
      <c r="C8396" s="7"/>
      <c r="D8396" s="7"/>
      <c r="E8396" s="7"/>
      <c r="F8396" s="7"/>
      <c r="G8396" s="7"/>
      <c r="H8396" s="8"/>
      <c r="I8396" s="8"/>
      <c r="J8396" s="7"/>
      <c r="K8396" s="7"/>
      <c r="L8396" s="7"/>
      <c r="M8396" s="7"/>
      <c r="N8396" s="7"/>
      <c r="O8396" s="7"/>
      <c r="P8396" s="7"/>
      <c r="Q8396" s="7"/>
      <c r="R8396" s="7"/>
      <c r="S8396" s="7"/>
      <c r="T8396" s="7"/>
      <c r="U8396" s="7"/>
      <c r="V8396" s="7"/>
      <c r="W8396" s="7"/>
      <c r="X8396" s="7"/>
      <c r="Y8396" s="7"/>
      <c r="Z8396" s="7"/>
    </row>
    <row r="8397" hidden="1">
      <c r="A8397" s="7"/>
      <c r="B8397" s="7"/>
      <c r="C8397" s="7"/>
      <c r="D8397" s="7"/>
      <c r="E8397" s="7"/>
      <c r="F8397" s="7"/>
      <c r="G8397" s="7"/>
      <c r="H8397" s="8"/>
      <c r="I8397" s="8"/>
      <c r="J8397" s="7"/>
      <c r="K8397" s="7"/>
      <c r="L8397" s="7"/>
      <c r="M8397" s="7"/>
      <c r="N8397" s="7"/>
      <c r="O8397" s="7"/>
      <c r="P8397" s="7"/>
      <c r="Q8397" s="7"/>
      <c r="R8397" s="7"/>
      <c r="S8397" s="7"/>
      <c r="T8397" s="7"/>
      <c r="U8397" s="7"/>
      <c r="V8397" s="7"/>
      <c r="W8397" s="7"/>
      <c r="X8397" s="7"/>
      <c r="Y8397" s="7"/>
      <c r="Z8397" s="7"/>
    </row>
    <row r="8398" hidden="1">
      <c r="A8398" s="7"/>
      <c r="B8398" s="7"/>
      <c r="C8398" s="7"/>
      <c r="D8398" s="7"/>
      <c r="E8398" s="7"/>
      <c r="F8398" s="7"/>
      <c r="G8398" s="7"/>
      <c r="H8398" s="8"/>
      <c r="I8398" s="8"/>
      <c r="J8398" s="7"/>
      <c r="K8398" s="7"/>
      <c r="L8398" s="7"/>
      <c r="M8398" s="7"/>
      <c r="N8398" s="7"/>
      <c r="O8398" s="7"/>
      <c r="P8398" s="7"/>
      <c r="Q8398" s="7"/>
      <c r="R8398" s="7"/>
      <c r="S8398" s="7"/>
      <c r="T8398" s="7"/>
      <c r="U8398" s="7"/>
      <c r="V8398" s="7"/>
      <c r="W8398" s="7"/>
      <c r="X8398" s="7"/>
      <c r="Y8398" s="7"/>
      <c r="Z8398" s="7"/>
    </row>
    <row r="8399" hidden="1">
      <c r="A8399" s="7"/>
      <c r="B8399" s="7"/>
      <c r="C8399" s="7"/>
      <c r="D8399" s="7"/>
      <c r="E8399" s="7"/>
      <c r="F8399" s="7"/>
      <c r="G8399" s="7"/>
      <c r="H8399" s="8"/>
      <c r="I8399" s="8"/>
      <c r="J8399" s="7"/>
      <c r="K8399" s="7"/>
      <c r="L8399" s="7"/>
      <c r="M8399" s="7"/>
      <c r="N8399" s="7"/>
      <c r="O8399" s="7"/>
      <c r="P8399" s="7"/>
      <c r="Q8399" s="7"/>
      <c r="R8399" s="7"/>
      <c r="S8399" s="7"/>
      <c r="T8399" s="7"/>
      <c r="U8399" s="7"/>
      <c r="V8399" s="7"/>
      <c r="W8399" s="7"/>
      <c r="X8399" s="7"/>
      <c r="Y8399" s="7"/>
      <c r="Z8399" s="7"/>
    </row>
    <row r="8400" hidden="1">
      <c r="A8400" s="7"/>
      <c r="B8400" s="7"/>
      <c r="C8400" s="7"/>
      <c r="D8400" s="7"/>
      <c r="E8400" s="7"/>
      <c r="F8400" s="7"/>
      <c r="G8400" s="7"/>
      <c r="H8400" s="8"/>
      <c r="I8400" s="8"/>
      <c r="J8400" s="7"/>
      <c r="K8400" s="7"/>
      <c r="L8400" s="7"/>
      <c r="M8400" s="7"/>
      <c r="N8400" s="7"/>
      <c r="O8400" s="7"/>
      <c r="P8400" s="7"/>
      <c r="Q8400" s="7"/>
      <c r="R8400" s="7"/>
      <c r="S8400" s="7"/>
      <c r="T8400" s="7"/>
      <c r="U8400" s="7"/>
      <c r="V8400" s="7"/>
      <c r="W8400" s="7"/>
      <c r="X8400" s="7"/>
      <c r="Y8400" s="7"/>
      <c r="Z8400" s="7"/>
    </row>
    <row r="8401" hidden="1">
      <c r="A8401" s="7"/>
      <c r="B8401" s="7"/>
      <c r="C8401" s="7"/>
      <c r="D8401" s="7"/>
      <c r="E8401" s="7"/>
      <c r="F8401" s="7"/>
      <c r="G8401" s="7"/>
      <c r="H8401" s="8"/>
      <c r="I8401" s="8"/>
      <c r="J8401" s="7"/>
      <c r="K8401" s="7"/>
      <c r="L8401" s="7"/>
      <c r="M8401" s="7"/>
      <c r="N8401" s="7"/>
      <c r="O8401" s="7"/>
      <c r="P8401" s="7"/>
      <c r="Q8401" s="7"/>
      <c r="R8401" s="7"/>
      <c r="S8401" s="7"/>
      <c r="T8401" s="7"/>
      <c r="U8401" s="7"/>
      <c r="V8401" s="7"/>
      <c r="W8401" s="7"/>
      <c r="X8401" s="7"/>
      <c r="Y8401" s="7"/>
      <c r="Z8401" s="7"/>
    </row>
    <row r="8402" hidden="1">
      <c r="A8402" s="7"/>
      <c r="B8402" s="7"/>
      <c r="C8402" s="7"/>
      <c r="D8402" s="7"/>
      <c r="E8402" s="7"/>
      <c r="F8402" s="7"/>
      <c r="G8402" s="7"/>
      <c r="H8402" s="8"/>
      <c r="I8402" s="8"/>
      <c r="J8402" s="7"/>
      <c r="K8402" s="7"/>
      <c r="L8402" s="7"/>
      <c r="M8402" s="7"/>
      <c r="N8402" s="7"/>
      <c r="O8402" s="7"/>
      <c r="P8402" s="7"/>
      <c r="Q8402" s="7"/>
      <c r="R8402" s="7"/>
      <c r="S8402" s="7"/>
      <c r="T8402" s="7"/>
      <c r="U8402" s="7"/>
      <c r="V8402" s="7"/>
      <c r="W8402" s="7"/>
      <c r="X8402" s="7"/>
      <c r="Y8402" s="7"/>
      <c r="Z8402" s="7"/>
    </row>
    <row r="8403" hidden="1">
      <c r="A8403" s="7"/>
      <c r="B8403" s="7"/>
      <c r="C8403" s="7"/>
      <c r="D8403" s="7"/>
      <c r="E8403" s="7"/>
      <c r="F8403" s="7"/>
      <c r="G8403" s="7"/>
      <c r="H8403" s="8"/>
      <c r="I8403" s="8"/>
      <c r="J8403" s="7"/>
      <c r="K8403" s="7"/>
      <c r="L8403" s="7"/>
      <c r="M8403" s="7"/>
      <c r="N8403" s="7"/>
      <c r="O8403" s="7"/>
      <c r="P8403" s="7"/>
      <c r="Q8403" s="7"/>
      <c r="R8403" s="7"/>
      <c r="S8403" s="7"/>
      <c r="T8403" s="7"/>
      <c r="U8403" s="7"/>
      <c r="V8403" s="7"/>
      <c r="W8403" s="7"/>
      <c r="X8403" s="7"/>
      <c r="Y8403" s="7"/>
      <c r="Z8403" s="7"/>
    </row>
    <row r="8404" hidden="1">
      <c r="A8404" s="7"/>
      <c r="B8404" s="7"/>
      <c r="C8404" s="7"/>
      <c r="D8404" s="7"/>
      <c r="E8404" s="7"/>
      <c r="F8404" s="7"/>
      <c r="G8404" s="7"/>
      <c r="H8404" s="8"/>
      <c r="I8404" s="8"/>
      <c r="J8404" s="7"/>
      <c r="K8404" s="7"/>
      <c r="L8404" s="7"/>
      <c r="M8404" s="7"/>
      <c r="N8404" s="7"/>
      <c r="O8404" s="7"/>
      <c r="P8404" s="7"/>
      <c r="Q8404" s="7"/>
      <c r="R8404" s="7"/>
      <c r="S8404" s="7"/>
      <c r="T8404" s="7"/>
      <c r="U8404" s="7"/>
      <c r="V8404" s="7"/>
      <c r="W8404" s="7"/>
      <c r="X8404" s="7"/>
      <c r="Y8404" s="7"/>
      <c r="Z8404" s="7"/>
    </row>
    <row r="8405" hidden="1">
      <c r="A8405" s="7"/>
      <c r="B8405" s="7"/>
      <c r="C8405" s="7"/>
      <c r="D8405" s="7"/>
      <c r="E8405" s="7"/>
      <c r="F8405" s="7"/>
      <c r="G8405" s="7"/>
      <c r="H8405" s="8"/>
      <c r="I8405" s="8"/>
      <c r="J8405" s="7"/>
      <c r="K8405" s="7"/>
      <c r="L8405" s="7"/>
      <c r="M8405" s="7"/>
      <c r="N8405" s="7"/>
      <c r="O8405" s="7"/>
      <c r="P8405" s="7"/>
      <c r="Q8405" s="7"/>
      <c r="R8405" s="7"/>
      <c r="S8405" s="7"/>
      <c r="T8405" s="7"/>
      <c r="U8405" s="7"/>
      <c r="V8405" s="7"/>
      <c r="W8405" s="7"/>
      <c r="X8405" s="7"/>
      <c r="Y8405" s="7"/>
      <c r="Z8405" s="7"/>
    </row>
    <row r="8406" hidden="1">
      <c r="A8406" s="7"/>
      <c r="B8406" s="7"/>
      <c r="C8406" s="7"/>
      <c r="D8406" s="7"/>
      <c r="E8406" s="7"/>
      <c r="F8406" s="7"/>
      <c r="G8406" s="7"/>
      <c r="H8406" s="8"/>
      <c r="I8406" s="8"/>
      <c r="J8406" s="7"/>
      <c r="K8406" s="7"/>
      <c r="L8406" s="7"/>
      <c r="M8406" s="7"/>
      <c r="N8406" s="7"/>
      <c r="O8406" s="7"/>
      <c r="P8406" s="7"/>
      <c r="Q8406" s="7"/>
      <c r="R8406" s="7"/>
      <c r="S8406" s="7"/>
      <c r="T8406" s="7"/>
      <c r="U8406" s="7"/>
      <c r="V8406" s="7"/>
      <c r="W8406" s="7"/>
      <c r="X8406" s="7"/>
      <c r="Y8406" s="7"/>
      <c r="Z8406" s="7"/>
    </row>
    <row r="8407" hidden="1">
      <c r="A8407" s="7"/>
      <c r="B8407" s="7"/>
      <c r="C8407" s="7"/>
      <c r="D8407" s="7"/>
      <c r="E8407" s="7"/>
      <c r="F8407" s="7"/>
      <c r="G8407" s="7"/>
      <c r="H8407" s="8"/>
      <c r="I8407" s="8"/>
      <c r="J8407" s="7"/>
      <c r="K8407" s="7"/>
      <c r="L8407" s="7"/>
      <c r="M8407" s="7"/>
      <c r="N8407" s="7"/>
      <c r="O8407" s="7"/>
      <c r="P8407" s="7"/>
      <c r="Q8407" s="7"/>
      <c r="R8407" s="7"/>
      <c r="S8407" s="7"/>
      <c r="T8407" s="7"/>
      <c r="U8407" s="7"/>
      <c r="V8407" s="7"/>
      <c r="W8407" s="7"/>
      <c r="X8407" s="7"/>
      <c r="Y8407" s="7"/>
      <c r="Z8407" s="7"/>
    </row>
    <row r="8408" hidden="1">
      <c r="A8408" s="7"/>
      <c r="B8408" s="7"/>
      <c r="C8408" s="7"/>
      <c r="D8408" s="7"/>
      <c r="E8408" s="7"/>
      <c r="F8408" s="7"/>
      <c r="G8408" s="7"/>
      <c r="H8408" s="8"/>
      <c r="I8408" s="8"/>
      <c r="J8408" s="7"/>
      <c r="K8408" s="7"/>
      <c r="L8408" s="7"/>
      <c r="M8408" s="7"/>
      <c r="N8408" s="7"/>
      <c r="O8408" s="7"/>
      <c r="P8408" s="7"/>
      <c r="Q8408" s="7"/>
      <c r="R8408" s="7"/>
      <c r="S8408" s="7"/>
      <c r="T8408" s="7"/>
      <c r="U8408" s="7"/>
      <c r="V8408" s="7"/>
      <c r="W8408" s="7"/>
      <c r="X8408" s="7"/>
      <c r="Y8408" s="7"/>
      <c r="Z8408" s="7"/>
    </row>
    <row r="8409" hidden="1">
      <c r="A8409" s="7"/>
      <c r="B8409" s="7"/>
      <c r="C8409" s="7"/>
      <c r="D8409" s="7"/>
      <c r="E8409" s="7"/>
      <c r="F8409" s="7"/>
      <c r="G8409" s="7"/>
      <c r="H8409" s="8"/>
      <c r="I8409" s="8"/>
      <c r="J8409" s="7"/>
      <c r="K8409" s="7"/>
      <c r="L8409" s="7"/>
      <c r="M8409" s="7"/>
      <c r="N8409" s="7"/>
      <c r="O8409" s="7"/>
      <c r="P8409" s="7"/>
      <c r="Q8409" s="7"/>
      <c r="R8409" s="7"/>
      <c r="S8409" s="7"/>
      <c r="T8409" s="7"/>
      <c r="U8409" s="7"/>
      <c r="V8409" s="7"/>
      <c r="W8409" s="7"/>
      <c r="X8409" s="7"/>
      <c r="Y8409" s="7"/>
      <c r="Z8409" s="7"/>
    </row>
    <row r="8410" hidden="1">
      <c r="A8410" s="7"/>
      <c r="B8410" s="7"/>
      <c r="C8410" s="7"/>
      <c r="D8410" s="7"/>
      <c r="E8410" s="7"/>
      <c r="F8410" s="7"/>
      <c r="G8410" s="7"/>
      <c r="H8410" s="8"/>
      <c r="I8410" s="8"/>
      <c r="J8410" s="7"/>
      <c r="K8410" s="7"/>
      <c r="L8410" s="7"/>
      <c r="M8410" s="7"/>
      <c r="N8410" s="7"/>
      <c r="O8410" s="7"/>
      <c r="P8410" s="7"/>
      <c r="Q8410" s="7"/>
      <c r="R8410" s="7"/>
      <c r="S8410" s="7"/>
      <c r="T8410" s="7"/>
      <c r="U8410" s="7"/>
      <c r="V8410" s="7"/>
      <c r="W8410" s="7"/>
      <c r="X8410" s="7"/>
      <c r="Y8410" s="7"/>
      <c r="Z8410" s="7"/>
    </row>
    <row r="8411" hidden="1">
      <c r="A8411" s="7"/>
      <c r="B8411" s="7"/>
      <c r="C8411" s="7"/>
      <c r="D8411" s="7"/>
      <c r="E8411" s="7"/>
      <c r="F8411" s="7"/>
      <c r="G8411" s="7"/>
      <c r="H8411" s="8"/>
      <c r="I8411" s="8"/>
      <c r="J8411" s="7"/>
      <c r="K8411" s="7"/>
      <c r="L8411" s="7"/>
      <c r="M8411" s="7"/>
      <c r="N8411" s="7"/>
      <c r="O8411" s="7"/>
      <c r="P8411" s="7"/>
      <c r="Q8411" s="7"/>
      <c r="R8411" s="7"/>
      <c r="S8411" s="7"/>
      <c r="T8411" s="7"/>
      <c r="U8411" s="7"/>
      <c r="V8411" s="7"/>
      <c r="W8411" s="7"/>
      <c r="X8411" s="7"/>
      <c r="Y8411" s="7"/>
      <c r="Z8411" s="7"/>
    </row>
    <row r="8412" hidden="1">
      <c r="A8412" s="7"/>
      <c r="B8412" s="7"/>
      <c r="C8412" s="7"/>
      <c r="D8412" s="7"/>
      <c r="E8412" s="7"/>
      <c r="F8412" s="7"/>
      <c r="G8412" s="7"/>
      <c r="H8412" s="8"/>
      <c r="I8412" s="8"/>
      <c r="J8412" s="7"/>
      <c r="K8412" s="7"/>
      <c r="L8412" s="7"/>
      <c r="M8412" s="7"/>
      <c r="N8412" s="7"/>
      <c r="O8412" s="7"/>
      <c r="P8412" s="7"/>
      <c r="Q8412" s="7"/>
      <c r="R8412" s="7"/>
      <c r="S8412" s="7"/>
      <c r="T8412" s="7"/>
      <c r="U8412" s="7"/>
      <c r="V8412" s="7"/>
      <c r="W8412" s="7"/>
      <c r="X8412" s="7"/>
      <c r="Y8412" s="7"/>
      <c r="Z8412" s="7"/>
    </row>
    <row r="8413" hidden="1">
      <c r="A8413" s="7"/>
      <c r="B8413" s="7"/>
      <c r="C8413" s="7"/>
      <c r="D8413" s="7"/>
      <c r="E8413" s="7"/>
      <c r="F8413" s="7"/>
      <c r="G8413" s="7"/>
      <c r="H8413" s="8"/>
      <c r="I8413" s="8"/>
      <c r="J8413" s="7"/>
      <c r="K8413" s="7"/>
      <c r="L8413" s="7"/>
      <c r="M8413" s="7"/>
      <c r="N8413" s="7"/>
      <c r="O8413" s="7"/>
      <c r="P8413" s="7"/>
      <c r="Q8413" s="7"/>
      <c r="R8413" s="7"/>
      <c r="S8413" s="7"/>
      <c r="T8413" s="7"/>
      <c r="U8413" s="7"/>
      <c r="V8413" s="7"/>
      <c r="W8413" s="7"/>
      <c r="X8413" s="7"/>
      <c r="Y8413" s="7"/>
      <c r="Z8413" s="7"/>
    </row>
    <row r="8414" hidden="1">
      <c r="A8414" s="7"/>
      <c r="B8414" s="7"/>
      <c r="C8414" s="7"/>
      <c r="D8414" s="7"/>
      <c r="E8414" s="7"/>
      <c r="F8414" s="7"/>
      <c r="G8414" s="7"/>
      <c r="H8414" s="8"/>
      <c r="I8414" s="8"/>
      <c r="J8414" s="7"/>
      <c r="K8414" s="7"/>
      <c r="L8414" s="7"/>
      <c r="M8414" s="7"/>
      <c r="N8414" s="7"/>
      <c r="O8414" s="7"/>
      <c r="P8414" s="7"/>
      <c r="Q8414" s="7"/>
      <c r="R8414" s="7"/>
      <c r="S8414" s="7"/>
      <c r="T8414" s="7"/>
      <c r="U8414" s="7"/>
      <c r="V8414" s="7"/>
      <c r="W8414" s="7"/>
      <c r="X8414" s="7"/>
      <c r="Y8414" s="7"/>
      <c r="Z8414" s="7"/>
    </row>
    <row r="8415" hidden="1">
      <c r="A8415" s="7"/>
      <c r="B8415" s="7"/>
      <c r="C8415" s="7"/>
      <c r="D8415" s="7"/>
      <c r="E8415" s="7"/>
      <c r="F8415" s="7"/>
      <c r="G8415" s="7"/>
      <c r="H8415" s="8"/>
      <c r="I8415" s="8"/>
      <c r="J8415" s="7"/>
      <c r="K8415" s="7"/>
      <c r="L8415" s="7"/>
      <c r="M8415" s="7"/>
      <c r="N8415" s="7"/>
      <c r="O8415" s="7"/>
      <c r="P8415" s="7"/>
      <c r="Q8415" s="7"/>
      <c r="R8415" s="7"/>
      <c r="S8415" s="7"/>
      <c r="T8415" s="7"/>
      <c r="U8415" s="7"/>
      <c r="V8415" s="7"/>
      <c r="W8415" s="7"/>
      <c r="X8415" s="7"/>
      <c r="Y8415" s="7"/>
      <c r="Z8415" s="7"/>
    </row>
    <row r="8416" hidden="1">
      <c r="A8416" s="7"/>
      <c r="B8416" s="7"/>
      <c r="C8416" s="7"/>
      <c r="D8416" s="7"/>
      <c r="E8416" s="7"/>
      <c r="F8416" s="7"/>
      <c r="G8416" s="7"/>
      <c r="H8416" s="8"/>
      <c r="I8416" s="8"/>
      <c r="J8416" s="7"/>
      <c r="K8416" s="7"/>
      <c r="L8416" s="7"/>
      <c r="M8416" s="7"/>
      <c r="N8416" s="7"/>
      <c r="O8416" s="7"/>
      <c r="P8416" s="7"/>
      <c r="Q8416" s="7"/>
      <c r="R8416" s="7"/>
      <c r="S8416" s="7"/>
      <c r="T8416" s="7"/>
      <c r="U8416" s="7"/>
      <c r="V8416" s="7"/>
      <c r="W8416" s="7"/>
      <c r="X8416" s="7"/>
      <c r="Y8416" s="7"/>
      <c r="Z8416" s="7"/>
    </row>
    <row r="8417" hidden="1">
      <c r="A8417" s="7"/>
      <c r="B8417" s="7"/>
      <c r="C8417" s="7"/>
      <c r="D8417" s="7"/>
      <c r="E8417" s="7"/>
      <c r="F8417" s="7"/>
      <c r="G8417" s="7"/>
      <c r="H8417" s="8"/>
      <c r="I8417" s="8"/>
      <c r="J8417" s="7"/>
      <c r="K8417" s="7"/>
      <c r="L8417" s="7"/>
      <c r="M8417" s="7"/>
      <c r="N8417" s="7"/>
      <c r="O8417" s="7"/>
      <c r="P8417" s="7"/>
      <c r="Q8417" s="7"/>
      <c r="R8417" s="7"/>
      <c r="S8417" s="7"/>
      <c r="T8417" s="7"/>
      <c r="U8417" s="7"/>
      <c r="V8417" s="7"/>
      <c r="W8417" s="7"/>
      <c r="X8417" s="7"/>
      <c r="Y8417" s="7"/>
      <c r="Z8417" s="7"/>
    </row>
    <row r="8418" hidden="1">
      <c r="A8418" s="7"/>
      <c r="B8418" s="7"/>
      <c r="C8418" s="7"/>
      <c r="D8418" s="7"/>
      <c r="E8418" s="7"/>
      <c r="F8418" s="7"/>
      <c r="G8418" s="7"/>
      <c r="H8418" s="8"/>
      <c r="I8418" s="8"/>
      <c r="J8418" s="7"/>
      <c r="K8418" s="7"/>
      <c r="L8418" s="7"/>
      <c r="M8418" s="7"/>
      <c r="N8418" s="7"/>
      <c r="O8418" s="7"/>
      <c r="P8418" s="7"/>
      <c r="Q8418" s="7"/>
      <c r="R8418" s="7"/>
      <c r="S8418" s="7"/>
      <c r="T8418" s="7"/>
      <c r="U8418" s="7"/>
      <c r="V8418" s="7"/>
      <c r="W8418" s="7"/>
      <c r="X8418" s="7"/>
      <c r="Y8418" s="7"/>
      <c r="Z8418" s="7"/>
    </row>
    <row r="8419" hidden="1">
      <c r="A8419" s="7"/>
      <c r="B8419" s="7"/>
      <c r="C8419" s="7"/>
      <c r="D8419" s="7"/>
      <c r="E8419" s="7"/>
      <c r="F8419" s="7"/>
      <c r="G8419" s="7"/>
      <c r="H8419" s="8"/>
      <c r="I8419" s="8"/>
      <c r="J8419" s="7"/>
      <c r="K8419" s="7"/>
      <c r="L8419" s="7"/>
      <c r="M8419" s="7"/>
      <c r="N8419" s="7"/>
      <c r="O8419" s="7"/>
      <c r="P8419" s="7"/>
      <c r="Q8419" s="7"/>
      <c r="R8419" s="7"/>
      <c r="S8419" s="7"/>
      <c r="T8419" s="7"/>
      <c r="U8419" s="7"/>
      <c r="V8419" s="7"/>
      <c r="W8419" s="7"/>
      <c r="X8419" s="7"/>
      <c r="Y8419" s="7"/>
      <c r="Z8419" s="7"/>
    </row>
    <row r="8420" hidden="1">
      <c r="A8420" s="7"/>
      <c r="B8420" s="7"/>
      <c r="C8420" s="7"/>
      <c r="D8420" s="7"/>
      <c r="E8420" s="7"/>
      <c r="F8420" s="7"/>
      <c r="G8420" s="7"/>
      <c r="H8420" s="8"/>
      <c r="I8420" s="8"/>
      <c r="J8420" s="7"/>
      <c r="K8420" s="7"/>
      <c r="L8420" s="7"/>
      <c r="M8420" s="7"/>
      <c r="N8420" s="7"/>
      <c r="O8420" s="7"/>
      <c r="P8420" s="7"/>
      <c r="Q8420" s="7"/>
      <c r="R8420" s="7"/>
      <c r="S8420" s="7"/>
      <c r="T8420" s="7"/>
      <c r="U8420" s="7"/>
      <c r="V8420" s="7"/>
      <c r="W8420" s="7"/>
      <c r="X8420" s="7"/>
      <c r="Y8420" s="7"/>
      <c r="Z8420" s="7"/>
    </row>
    <row r="8421" hidden="1">
      <c r="A8421" s="7"/>
      <c r="B8421" s="7"/>
      <c r="C8421" s="7"/>
      <c r="D8421" s="7"/>
      <c r="E8421" s="7"/>
      <c r="F8421" s="7"/>
      <c r="G8421" s="7"/>
      <c r="H8421" s="8"/>
      <c r="I8421" s="8"/>
      <c r="J8421" s="7"/>
      <c r="K8421" s="7"/>
      <c r="L8421" s="7"/>
      <c r="M8421" s="7"/>
      <c r="N8421" s="7"/>
      <c r="O8421" s="7"/>
      <c r="P8421" s="7"/>
      <c r="Q8421" s="7"/>
      <c r="R8421" s="7"/>
      <c r="S8421" s="7"/>
      <c r="T8421" s="7"/>
      <c r="U8421" s="7"/>
      <c r="V8421" s="7"/>
      <c r="W8421" s="7"/>
      <c r="X8421" s="7"/>
      <c r="Y8421" s="7"/>
      <c r="Z8421" s="7"/>
    </row>
    <row r="8422" hidden="1">
      <c r="A8422" s="7"/>
      <c r="B8422" s="7"/>
      <c r="C8422" s="7"/>
      <c r="D8422" s="7"/>
      <c r="E8422" s="7"/>
      <c r="F8422" s="7"/>
      <c r="G8422" s="7"/>
      <c r="H8422" s="8"/>
      <c r="I8422" s="8"/>
      <c r="J8422" s="7"/>
      <c r="K8422" s="7"/>
      <c r="L8422" s="7"/>
      <c r="M8422" s="7"/>
      <c r="N8422" s="7"/>
      <c r="O8422" s="7"/>
      <c r="P8422" s="7"/>
      <c r="Q8422" s="7"/>
      <c r="R8422" s="7"/>
      <c r="S8422" s="7"/>
      <c r="T8422" s="7"/>
      <c r="U8422" s="7"/>
      <c r="V8422" s="7"/>
      <c r="W8422" s="7"/>
      <c r="X8422" s="7"/>
      <c r="Y8422" s="7"/>
      <c r="Z8422" s="7"/>
    </row>
    <row r="8423" hidden="1">
      <c r="A8423" s="7"/>
      <c r="B8423" s="7"/>
      <c r="C8423" s="7"/>
      <c r="D8423" s="7"/>
      <c r="E8423" s="7"/>
      <c r="F8423" s="7"/>
      <c r="G8423" s="7"/>
      <c r="H8423" s="8"/>
      <c r="I8423" s="8"/>
      <c r="J8423" s="7"/>
      <c r="K8423" s="7"/>
      <c r="L8423" s="7"/>
      <c r="M8423" s="7"/>
      <c r="N8423" s="7"/>
      <c r="O8423" s="7"/>
      <c r="P8423" s="7"/>
      <c r="Q8423" s="7"/>
      <c r="R8423" s="7"/>
      <c r="S8423" s="7"/>
      <c r="T8423" s="7"/>
      <c r="U8423" s="7"/>
      <c r="V8423" s="7"/>
      <c r="W8423" s="7"/>
      <c r="X8423" s="7"/>
      <c r="Y8423" s="7"/>
      <c r="Z8423" s="7"/>
    </row>
    <row r="8424" hidden="1">
      <c r="A8424" s="7"/>
      <c r="B8424" s="7"/>
      <c r="C8424" s="7"/>
      <c r="D8424" s="7"/>
      <c r="E8424" s="7"/>
      <c r="F8424" s="7"/>
      <c r="G8424" s="7"/>
      <c r="H8424" s="8"/>
      <c r="I8424" s="8"/>
      <c r="J8424" s="7"/>
      <c r="K8424" s="7"/>
      <c r="L8424" s="7"/>
      <c r="M8424" s="7"/>
      <c r="N8424" s="7"/>
      <c r="O8424" s="7"/>
      <c r="P8424" s="7"/>
      <c r="Q8424" s="7"/>
      <c r="R8424" s="7"/>
      <c r="S8424" s="7"/>
      <c r="T8424" s="7"/>
      <c r="U8424" s="7"/>
      <c r="V8424" s="7"/>
      <c r="W8424" s="7"/>
      <c r="X8424" s="7"/>
      <c r="Y8424" s="7"/>
      <c r="Z8424" s="7"/>
    </row>
    <row r="8425" hidden="1">
      <c r="A8425" s="7"/>
      <c r="B8425" s="7"/>
      <c r="C8425" s="7"/>
      <c r="D8425" s="7"/>
      <c r="E8425" s="7"/>
      <c r="F8425" s="7"/>
      <c r="G8425" s="7"/>
      <c r="H8425" s="8"/>
      <c r="I8425" s="8"/>
      <c r="J8425" s="7"/>
      <c r="K8425" s="7"/>
      <c r="L8425" s="7"/>
      <c r="M8425" s="7"/>
      <c r="N8425" s="7"/>
      <c r="O8425" s="7"/>
      <c r="P8425" s="7"/>
      <c r="Q8425" s="7"/>
      <c r="R8425" s="7"/>
      <c r="S8425" s="7"/>
      <c r="T8425" s="7"/>
      <c r="U8425" s="7"/>
      <c r="V8425" s="7"/>
      <c r="W8425" s="7"/>
      <c r="X8425" s="7"/>
      <c r="Y8425" s="7"/>
      <c r="Z8425" s="7"/>
    </row>
    <row r="8426" hidden="1">
      <c r="A8426" s="7"/>
      <c r="B8426" s="7"/>
      <c r="C8426" s="7"/>
      <c r="D8426" s="7"/>
      <c r="E8426" s="7"/>
      <c r="F8426" s="7"/>
      <c r="G8426" s="7"/>
      <c r="H8426" s="8"/>
      <c r="I8426" s="8"/>
      <c r="J8426" s="7"/>
      <c r="K8426" s="7"/>
      <c r="L8426" s="7"/>
      <c r="M8426" s="7"/>
      <c r="N8426" s="7"/>
      <c r="O8426" s="7"/>
      <c r="P8426" s="7"/>
      <c r="Q8426" s="7"/>
      <c r="R8426" s="7"/>
      <c r="S8426" s="7"/>
      <c r="T8426" s="7"/>
      <c r="U8426" s="7"/>
      <c r="V8426" s="7"/>
      <c r="W8426" s="7"/>
      <c r="X8426" s="7"/>
      <c r="Y8426" s="7"/>
      <c r="Z8426" s="7"/>
    </row>
    <row r="8427" hidden="1">
      <c r="A8427" s="7"/>
      <c r="B8427" s="7"/>
      <c r="C8427" s="7"/>
      <c r="D8427" s="7"/>
      <c r="E8427" s="7"/>
      <c r="F8427" s="7"/>
      <c r="G8427" s="7"/>
      <c r="H8427" s="8"/>
      <c r="I8427" s="8"/>
      <c r="J8427" s="7"/>
      <c r="K8427" s="7"/>
      <c r="L8427" s="7"/>
      <c r="M8427" s="7"/>
      <c r="N8427" s="7"/>
      <c r="O8427" s="7"/>
      <c r="P8427" s="7"/>
      <c r="Q8427" s="7"/>
      <c r="R8427" s="7"/>
      <c r="S8427" s="7"/>
      <c r="T8427" s="7"/>
      <c r="U8427" s="7"/>
      <c r="V8427" s="7"/>
      <c r="W8427" s="7"/>
      <c r="X8427" s="7"/>
      <c r="Y8427" s="7"/>
      <c r="Z8427" s="7"/>
    </row>
    <row r="8428" hidden="1">
      <c r="A8428" s="7"/>
      <c r="B8428" s="7"/>
      <c r="C8428" s="7"/>
      <c r="D8428" s="7"/>
      <c r="E8428" s="7"/>
      <c r="F8428" s="7"/>
      <c r="G8428" s="7"/>
      <c r="H8428" s="8"/>
      <c r="I8428" s="8"/>
      <c r="J8428" s="7"/>
      <c r="K8428" s="7"/>
      <c r="L8428" s="7"/>
      <c r="M8428" s="7"/>
      <c r="N8428" s="7"/>
      <c r="O8428" s="7"/>
      <c r="P8428" s="7"/>
      <c r="Q8428" s="7"/>
      <c r="R8428" s="7"/>
      <c r="S8428" s="7"/>
      <c r="T8428" s="7"/>
      <c r="U8428" s="7"/>
      <c r="V8428" s="7"/>
      <c r="W8428" s="7"/>
      <c r="X8428" s="7"/>
      <c r="Y8428" s="7"/>
      <c r="Z8428" s="7"/>
    </row>
    <row r="8429" hidden="1">
      <c r="A8429" s="7"/>
      <c r="B8429" s="7"/>
      <c r="C8429" s="7"/>
      <c r="D8429" s="7"/>
      <c r="E8429" s="7"/>
      <c r="F8429" s="7"/>
      <c r="G8429" s="7"/>
      <c r="H8429" s="8"/>
      <c r="I8429" s="8"/>
      <c r="J8429" s="7"/>
      <c r="K8429" s="7"/>
      <c r="L8429" s="7"/>
      <c r="M8429" s="7"/>
      <c r="N8429" s="7"/>
      <c r="O8429" s="7"/>
      <c r="P8429" s="7"/>
      <c r="Q8429" s="7"/>
      <c r="R8429" s="7"/>
      <c r="S8429" s="7"/>
      <c r="T8429" s="7"/>
      <c r="U8429" s="7"/>
      <c r="V8429" s="7"/>
      <c r="W8429" s="7"/>
      <c r="X8429" s="7"/>
      <c r="Y8429" s="7"/>
      <c r="Z8429" s="7"/>
    </row>
    <row r="8430" hidden="1">
      <c r="A8430" s="7"/>
      <c r="B8430" s="7"/>
      <c r="C8430" s="7"/>
      <c r="D8430" s="7"/>
      <c r="E8430" s="7"/>
      <c r="F8430" s="7"/>
      <c r="G8430" s="7"/>
      <c r="H8430" s="8"/>
      <c r="I8430" s="8"/>
      <c r="J8430" s="7"/>
      <c r="K8430" s="7"/>
      <c r="L8430" s="7"/>
      <c r="M8430" s="7"/>
      <c r="N8430" s="7"/>
      <c r="O8430" s="7"/>
      <c r="P8430" s="7"/>
      <c r="Q8430" s="7"/>
      <c r="R8430" s="7"/>
      <c r="S8430" s="7"/>
      <c r="T8430" s="7"/>
      <c r="U8430" s="7"/>
      <c r="V8430" s="7"/>
      <c r="W8430" s="7"/>
      <c r="X8430" s="7"/>
      <c r="Y8430" s="7"/>
      <c r="Z8430" s="7"/>
    </row>
    <row r="8431" hidden="1">
      <c r="A8431" s="7"/>
      <c r="B8431" s="7"/>
      <c r="C8431" s="7"/>
      <c r="D8431" s="7"/>
      <c r="E8431" s="7"/>
      <c r="F8431" s="7"/>
      <c r="G8431" s="7"/>
      <c r="H8431" s="8"/>
      <c r="I8431" s="8"/>
      <c r="J8431" s="7"/>
      <c r="K8431" s="7"/>
      <c r="L8431" s="7"/>
      <c r="M8431" s="7"/>
      <c r="N8431" s="7"/>
      <c r="O8431" s="7"/>
      <c r="P8431" s="7"/>
      <c r="Q8431" s="7"/>
      <c r="R8431" s="7"/>
      <c r="S8431" s="7"/>
      <c r="T8431" s="7"/>
      <c r="U8431" s="7"/>
      <c r="V8431" s="7"/>
      <c r="W8431" s="7"/>
      <c r="X8431" s="7"/>
      <c r="Y8431" s="7"/>
      <c r="Z8431" s="7"/>
    </row>
    <row r="8432" hidden="1">
      <c r="A8432" s="7"/>
      <c r="B8432" s="7"/>
      <c r="C8432" s="7"/>
      <c r="D8432" s="7"/>
      <c r="E8432" s="7"/>
      <c r="F8432" s="7"/>
      <c r="G8432" s="7"/>
      <c r="H8432" s="8"/>
      <c r="I8432" s="8"/>
      <c r="J8432" s="7"/>
      <c r="K8432" s="7"/>
      <c r="L8432" s="7"/>
      <c r="M8432" s="7"/>
      <c r="N8432" s="7"/>
      <c r="O8432" s="7"/>
      <c r="P8432" s="7"/>
      <c r="Q8432" s="7"/>
      <c r="R8432" s="7"/>
      <c r="S8432" s="7"/>
      <c r="T8432" s="7"/>
      <c r="U8432" s="7"/>
      <c r="V8432" s="7"/>
      <c r="W8432" s="7"/>
      <c r="X8432" s="7"/>
      <c r="Y8432" s="7"/>
      <c r="Z8432" s="7"/>
    </row>
    <row r="8433" hidden="1">
      <c r="A8433" s="7"/>
      <c r="B8433" s="7"/>
      <c r="C8433" s="7"/>
      <c r="D8433" s="7"/>
      <c r="E8433" s="7"/>
      <c r="F8433" s="7"/>
      <c r="G8433" s="7"/>
      <c r="H8433" s="8"/>
      <c r="I8433" s="8"/>
      <c r="J8433" s="7"/>
      <c r="K8433" s="7"/>
      <c r="L8433" s="7"/>
      <c r="M8433" s="7"/>
      <c r="N8433" s="7"/>
      <c r="O8433" s="7"/>
      <c r="P8433" s="7"/>
      <c r="Q8433" s="7"/>
      <c r="R8433" s="7"/>
      <c r="S8433" s="7"/>
      <c r="T8433" s="7"/>
      <c r="U8433" s="7"/>
      <c r="V8433" s="7"/>
      <c r="W8433" s="7"/>
      <c r="X8433" s="7"/>
      <c r="Y8433" s="7"/>
      <c r="Z8433" s="7"/>
    </row>
    <row r="8434" hidden="1">
      <c r="A8434" s="7"/>
      <c r="B8434" s="7"/>
      <c r="C8434" s="7"/>
      <c r="D8434" s="7"/>
      <c r="E8434" s="7"/>
      <c r="F8434" s="7"/>
      <c r="G8434" s="7"/>
      <c r="H8434" s="8"/>
      <c r="I8434" s="8"/>
      <c r="J8434" s="7"/>
      <c r="K8434" s="7"/>
      <c r="L8434" s="7"/>
      <c r="M8434" s="7"/>
      <c r="N8434" s="7"/>
      <c r="O8434" s="7"/>
      <c r="P8434" s="7"/>
      <c r="Q8434" s="7"/>
      <c r="R8434" s="7"/>
      <c r="S8434" s="7"/>
      <c r="T8434" s="7"/>
      <c r="U8434" s="7"/>
      <c r="V8434" s="7"/>
      <c r="W8434" s="7"/>
      <c r="X8434" s="7"/>
      <c r="Y8434" s="7"/>
      <c r="Z8434" s="7"/>
    </row>
    <row r="8435" hidden="1">
      <c r="A8435" s="7"/>
      <c r="B8435" s="7"/>
      <c r="C8435" s="7"/>
      <c r="D8435" s="7"/>
      <c r="E8435" s="7"/>
      <c r="F8435" s="7"/>
      <c r="G8435" s="7"/>
      <c r="H8435" s="8"/>
      <c r="I8435" s="8"/>
      <c r="J8435" s="7"/>
      <c r="K8435" s="7"/>
      <c r="L8435" s="7"/>
      <c r="M8435" s="7"/>
      <c r="N8435" s="7"/>
      <c r="O8435" s="7"/>
      <c r="P8435" s="7"/>
      <c r="Q8435" s="7"/>
      <c r="R8435" s="7"/>
      <c r="S8435" s="7"/>
      <c r="T8435" s="7"/>
      <c r="U8435" s="7"/>
      <c r="V8435" s="7"/>
      <c r="W8435" s="7"/>
      <c r="X8435" s="7"/>
      <c r="Y8435" s="7"/>
      <c r="Z8435" s="7"/>
    </row>
    <row r="8436" hidden="1">
      <c r="A8436" s="7"/>
      <c r="B8436" s="7"/>
      <c r="C8436" s="7"/>
      <c r="D8436" s="7"/>
      <c r="E8436" s="7"/>
      <c r="F8436" s="7"/>
      <c r="G8436" s="7"/>
      <c r="H8436" s="8"/>
      <c r="I8436" s="8"/>
      <c r="J8436" s="7"/>
      <c r="K8436" s="7"/>
      <c r="L8436" s="7"/>
      <c r="M8436" s="7"/>
      <c r="N8436" s="7"/>
      <c r="O8436" s="7"/>
      <c r="P8436" s="7"/>
      <c r="Q8436" s="7"/>
      <c r="R8436" s="7"/>
      <c r="S8436" s="7"/>
      <c r="T8436" s="7"/>
      <c r="U8436" s="7"/>
      <c r="V8436" s="7"/>
      <c r="W8436" s="7"/>
      <c r="X8436" s="7"/>
      <c r="Y8436" s="7"/>
      <c r="Z8436" s="7"/>
    </row>
    <row r="8437" hidden="1">
      <c r="A8437" s="7"/>
      <c r="B8437" s="7"/>
      <c r="C8437" s="7"/>
      <c r="D8437" s="7"/>
      <c r="E8437" s="7"/>
      <c r="F8437" s="7"/>
      <c r="G8437" s="7"/>
      <c r="H8437" s="8"/>
      <c r="I8437" s="8"/>
      <c r="J8437" s="7"/>
      <c r="K8437" s="7"/>
      <c r="L8437" s="7"/>
      <c r="M8437" s="7"/>
      <c r="N8437" s="7"/>
      <c r="O8437" s="7"/>
      <c r="P8437" s="7"/>
      <c r="Q8437" s="7"/>
      <c r="R8437" s="7"/>
      <c r="S8437" s="7"/>
      <c r="T8437" s="7"/>
      <c r="U8437" s="7"/>
      <c r="V8437" s="7"/>
      <c r="W8437" s="7"/>
      <c r="X8437" s="7"/>
      <c r="Y8437" s="7"/>
      <c r="Z8437" s="7"/>
    </row>
    <row r="8438" hidden="1">
      <c r="A8438" s="7"/>
      <c r="B8438" s="7"/>
      <c r="C8438" s="7"/>
      <c r="D8438" s="7"/>
      <c r="E8438" s="7"/>
      <c r="F8438" s="7"/>
      <c r="G8438" s="7"/>
      <c r="H8438" s="8"/>
      <c r="I8438" s="8"/>
      <c r="J8438" s="7"/>
      <c r="K8438" s="7"/>
      <c r="L8438" s="7"/>
      <c r="M8438" s="7"/>
      <c r="N8438" s="7"/>
      <c r="O8438" s="7"/>
      <c r="P8438" s="7"/>
      <c r="Q8438" s="7"/>
      <c r="R8438" s="7"/>
      <c r="S8438" s="7"/>
      <c r="T8438" s="7"/>
      <c r="U8438" s="7"/>
      <c r="V8438" s="7"/>
      <c r="W8438" s="7"/>
      <c r="X8438" s="7"/>
      <c r="Y8438" s="7"/>
      <c r="Z8438" s="7"/>
    </row>
    <row r="8439" hidden="1">
      <c r="A8439" s="7"/>
      <c r="B8439" s="7"/>
      <c r="C8439" s="7"/>
      <c r="D8439" s="7"/>
      <c r="E8439" s="7"/>
      <c r="F8439" s="7"/>
      <c r="G8439" s="7"/>
      <c r="H8439" s="8"/>
      <c r="I8439" s="8"/>
      <c r="J8439" s="7"/>
      <c r="K8439" s="7"/>
      <c r="L8439" s="7"/>
      <c r="M8439" s="7"/>
      <c r="N8439" s="7"/>
      <c r="O8439" s="7"/>
      <c r="P8439" s="7"/>
      <c r="Q8439" s="7"/>
      <c r="R8439" s="7"/>
      <c r="S8439" s="7"/>
      <c r="T8439" s="7"/>
      <c r="U8439" s="7"/>
      <c r="V8439" s="7"/>
      <c r="W8439" s="7"/>
      <c r="X8439" s="7"/>
      <c r="Y8439" s="7"/>
      <c r="Z8439" s="7"/>
    </row>
    <row r="8440" hidden="1">
      <c r="A8440" s="7"/>
      <c r="B8440" s="7"/>
      <c r="C8440" s="7"/>
      <c r="D8440" s="7"/>
      <c r="E8440" s="7"/>
      <c r="F8440" s="7"/>
      <c r="G8440" s="7"/>
      <c r="H8440" s="8"/>
      <c r="I8440" s="8"/>
      <c r="J8440" s="7"/>
      <c r="K8440" s="7"/>
      <c r="L8440" s="7"/>
      <c r="M8440" s="7"/>
      <c r="N8440" s="7"/>
      <c r="O8440" s="7"/>
      <c r="P8440" s="7"/>
      <c r="Q8440" s="7"/>
      <c r="R8440" s="7"/>
      <c r="S8440" s="7"/>
      <c r="T8440" s="7"/>
      <c r="U8440" s="7"/>
      <c r="V8440" s="7"/>
      <c r="W8440" s="7"/>
      <c r="X8440" s="7"/>
      <c r="Y8440" s="7"/>
      <c r="Z8440" s="7"/>
    </row>
    <row r="8441" hidden="1">
      <c r="A8441" s="7"/>
      <c r="B8441" s="7"/>
      <c r="C8441" s="7"/>
      <c r="D8441" s="7"/>
      <c r="E8441" s="7"/>
      <c r="F8441" s="7"/>
      <c r="G8441" s="7"/>
      <c r="H8441" s="8"/>
      <c r="I8441" s="8"/>
      <c r="J8441" s="7"/>
      <c r="K8441" s="7"/>
      <c r="L8441" s="7"/>
      <c r="M8441" s="7"/>
      <c r="N8441" s="7"/>
      <c r="O8441" s="7"/>
      <c r="P8441" s="7"/>
      <c r="Q8441" s="7"/>
      <c r="R8441" s="7"/>
      <c r="S8441" s="7"/>
      <c r="T8441" s="7"/>
      <c r="U8441" s="7"/>
      <c r="V8441" s="7"/>
      <c r="W8441" s="7"/>
      <c r="X8441" s="7"/>
      <c r="Y8441" s="7"/>
      <c r="Z8441" s="7"/>
    </row>
    <row r="8442" hidden="1">
      <c r="A8442" s="7"/>
      <c r="B8442" s="7"/>
      <c r="C8442" s="7"/>
      <c r="D8442" s="7"/>
      <c r="E8442" s="7"/>
      <c r="F8442" s="7"/>
      <c r="G8442" s="7"/>
      <c r="H8442" s="8"/>
      <c r="I8442" s="8"/>
      <c r="J8442" s="7"/>
      <c r="K8442" s="7"/>
      <c r="L8442" s="7"/>
      <c r="M8442" s="7"/>
      <c r="N8442" s="7"/>
      <c r="O8442" s="7"/>
      <c r="P8442" s="7"/>
      <c r="Q8442" s="7"/>
      <c r="R8442" s="7"/>
      <c r="S8442" s="7"/>
      <c r="T8442" s="7"/>
      <c r="U8442" s="7"/>
      <c r="V8442" s="7"/>
      <c r="W8442" s="7"/>
      <c r="X8442" s="7"/>
      <c r="Y8442" s="7"/>
      <c r="Z8442" s="7"/>
    </row>
    <row r="8443" hidden="1">
      <c r="A8443" s="7"/>
      <c r="B8443" s="7"/>
      <c r="C8443" s="7"/>
      <c r="D8443" s="7"/>
      <c r="E8443" s="7"/>
      <c r="F8443" s="7"/>
      <c r="G8443" s="7"/>
      <c r="H8443" s="8"/>
      <c r="I8443" s="8"/>
      <c r="J8443" s="7"/>
      <c r="K8443" s="7"/>
      <c r="L8443" s="7"/>
      <c r="M8443" s="7"/>
      <c r="N8443" s="7"/>
      <c r="O8443" s="7"/>
      <c r="P8443" s="7"/>
      <c r="Q8443" s="7"/>
      <c r="R8443" s="7"/>
      <c r="S8443" s="7"/>
      <c r="T8443" s="7"/>
      <c r="U8443" s="7"/>
      <c r="V8443" s="7"/>
      <c r="W8443" s="7"/>
      <c r="X8443" s="7"/>
      <c r="Y8443" s="7"/>
      <c r="Z8443" s="7"/>
    </row>
    <row r="8444" hidden="1">
      <c r="A8444" s="7"/>
      <c r="B8444" s="7"/>
      <c r="C8444" s="7"/>
      <c r="D8444" s="7"/>
      <c r="E8444" s="7"/>
      <c r="F8444" s="7"/>
      <c r="G8444" s="7"/>
      <c r="H8444" s="8"/>
      <c r="I8444" s="8"/>
      <c r="J8444" s="7"/>
      <c r="K8444" s="7"/>
      <c r="L8444" s="7"/>
      <c r="M8444" s="7"/>
      <c r="N8444" s="7"/>
      <c r="O8444" s="7"/>
      <c r="P8444" s="7"/>
      <c r="Q8444" s="7"/>
      <c r="R8444" s="7"/>
      <c r="S8444" s="7"/>
      <c r="T8444" s="7"/>
      <c r="U8444" s="7"/>
      <c r="V8444" s="7"/>
      <c r="W8444" s="7"/>
      <c r="X8444" s="7"/>
      <c r="Y8444" s="7"/>
      <c r="Z8444" s="7"/>
    </row>
    <row r="8445" hidden="1">
      <c r="A8445" s="7"/>
      <c r="B8445" s="7"/>
      <c r="C8445" s="7"/>
      <c r="D8445" s="7"/>
      <c r="E8445" s="7"/>
      <c r="F8445" s="7"/>
      <c r="G8445" s="7"/>
      <c r="H8445" s="8"/>
      <c r="I8445" s="8"/>
      <c r="J8445" s="7"/>
      <c r="K8445" s="7"/>
      <c r="L8445" s="7"/>
      <c r="M8445" s="7"/>
      <c r="N8445" s="7"/>
      <c r="O8445" s="7"/>
      <c r="P8445" s="7"/>
      <c r="Q8445" s="7"/>
      <c r="R8445" s="7"/>
      <c r="S8445" s="7"/>
      <c r="T8445" s="7"/>
      <c r="U8445" s="7"/>
      <c r="V8445" s="7"/>
      <c r="W8445" s="7"/>
      <c r="X8445" s="7"/>
      <c r="Y8445" s="7"/>
      <c r="Z8445" s="7"/>
    </row>
    <row r="8446" hidden="1">
      <c r="A8446" s="7"/>
      <c r="B8446" s="7"/>
      <c r="C8446" s="7"/>
      <c r="D8446" s="7"/>
      <c r="E8446" s="7"/>
      <c r="F8446" s="7"/>
      <c r="G8446" s="7"/>
      <c r="H8446" s="8"/>
      <c r="I8446" s="8"/>
      <c r="J8446" s="7"/>
      <c r="K8446" s="7"/>
      <c r="L8446" s="7"/>
      <c r="M8446" s="7"/>
      <c r="N8446" s="7"/>
      <c r="O8446" s="7"/>
      <c r="P8446" s="7"/>
      <c r="Q8446" s="7"/>
      <c r="R8446" s="7"/>
      <c r="S8446" s="7"/>
      <c r="T8446" s="7"/>
      <c r="U8446" s="7"/>
      <c r="V8446" s="7"/>
      <c r="W8446" s="7"/>
      <c r="X8446" s="7"/>
      <c r="Y8446" s="7"/>
      <c r="Z8446" s="7"/>
    </row>
    <row r="8447" hidden="1">
      <c r="A8447" s="7"/>
      <c r="B8447" s="7"/>
      <c r="C8447" s="7"/>
      <c r="D8447" s="7"/>
      <c r="E8447" s="7"/>
      <c r="F8447" s="7"/>
      <c r="G8447" s="7"/>
      <c r="H8447" s="8"/>
      <c r="I8447" s="8"/>
      <c r="J8447" s="7"/>
      <c r="K8447" s="7"/>
      <c r="L8447" s="7"/>
      <c r="M8447" s="7"/>
      <c r="N8447" s="7"/>
      <c r="O8447" s="7"/>
      <c r="P8447" s="7"/>
      <c r="Q8447" s="7"/>
      <c r="R8447" s="7"/>
      <c r="S8447" s="7"/>
      <c r="T8447" s="7"/>
      <c r="U8447" s="7"/>
      <c r="V8447" s="7"/>
      <c r="W8447" s="7"/>
      <c r="X8447" s="7"/>
      <c r="Y8447" s="7"/>
      <c r="Z8447" s="7"/>
    </row>
    <row r="8448" hidden="1">
      <c r="A8448" s="7"/>
      <c r="B8448" s="7"/>
      <c r="C8448" s="7"/>
      <c r="D8448" s="7"/>
      <c r="E8448" s="7"/>
      <c r="F8448" s="7"/>
      <c r="G8448" s="7"/>
      <c r="H8448" s="8"/>
      <c r="I8448" s="8"/>
      <c r="J8448" s="7"/>
      <c r="K8448" s="7"/>
      <c r="L8448" s="7"/>
      <c r="M8448" s="7"/>
      <c r="N8448" s="7"/>
      <c r="O8448" s="7"/>
      <c r="P8448" s="7"/>
      <c r="Q8448" s="7"/>
      <c r="R8448" s="7"/>
      <c r="S8448" s="7"/>
      <c r="T8448" s="7"/>
      <c r="U8448" s="7"/>
      <c r="V8448" s="7"/>
      <c r="W8448" s="7"/>
      <c r="X8448" s="7"/>
      <c r="Y8448" s="7"/>
      <c r="Z8448" s="7"/>
    </row>
    <row r="8449" hidden="1">
      <c r="A8449" s="7"/>
      <c r="B8449" s="7"/>
      <c r="C8449" s="7"/>
      <c r="D8449" s="7"/>
      <c r="E8449" s="7"/>
      <c r="F8449" s="7"/>
      <c r="G8449" s="7"/>
      <c r="H8449" s="8"/>
      <c r="I8449" s="8"/>
      <c r="J8449" s="7"/>
      <c r="K8449" s="7"/>
      <c r="L8449" s="7"/>
      <c r="M8449" s="7"/>
      <c r="N8449" s="7"/>
      <c r="O8449" s="7"/>
      <c r="P8449" s="7"/>
      <c r="Q8449" s="7"/>
      <c r="R8449" s="7"/>
      <c r="S8449" s="7"/>
      <c r="T8449" s="7"/>
      <c r="U8449" s="7"/>
      <c r="V8449" s="7"/>
      <c r="W8449" s="7"/>
      <c r="X8449" s="7"/>
      <c r="Y8449" s="7"/>
      <c r="Z8449" s="7"/>
    </row>
    <row r="8450" hidden="1">
      <c r="A8450" s="7"/>
      <c r="B8450" s="7"/>
      <c r="C8450" s="7"/>
      <c r="D8450" s="7"/>
      <c r="E8450" s="7"/>
      <c r="F8450" s="7"/>
      <c r="G8450" s="7"/>
      <c r="H8450" s="8"/>
      <c r="I8450" s="8"/>
      <c r="J8450" s="7"/>
      <c r="K8450" s="7"/>
      <c r="L8450" s="7"/>
      <c r="M8450" s="7"/>
      <c r="N8450" s="7"/>
      <c r="O8450" s="7"/>
      <c r="P8450" s="7"/>
      <c r="Q8450" s="7"/>
      <c r="R8450" s="7"/>
      <c r="S8450" s="7"/>
      <c r="T8450" s="7"/>
      <c r="U8450" s="7"/>
      <c r="V8450" s="7"/>
      <c r="W8450" s="7"/>
      <c r="X8450" s="7"/>
      <c r="Y8450" s="7"/>
      <c r="Z8450" s="7"/>
    </row>
    <row r="8451" hidden="1">
      <c r="A8451" s="7"/>
      <c r="B8451" s="7"/>
      <c r="C8451" s="7"/>
      <c r="D8451" s="7"/>
      <c r="E8451" s="7"/>
      <c r="F8451" s="7"/>
      <c r="G8451" s="7"/>
      <c r="H8451" s="8"/>
      <c r="I8451" s="8"/>
      <c r="J8451" s="7"/>
      <c r="K8451" s="7"/>
      <c r="L8451" s="7"/>
      <c r="M8451" s="7"/>
      <c r="N8451" s="7"/>
      <c r="O8451" s="7"/>
      <c r="P8451" s="7"/>
      <c r="Q8451" s="7"/>
      <c r="R8451" s="7"/>
      <c r="S8451" s="7"/>
      <c r="T8451" s="7"/>
      <c r="U8451" s="7"/>
      <c r="V8451" s="7"/>
      <c r="W8451" s="7"/>
      <c r="X8451" s="7"/>
      <c r="Y8451" s="7"/>
      <c r="Z8451" s="7"/>
    </row>
    <row r="8452" hidden="1">
      <c r="A8452" s="7"/>
      <c r="B8452" s="7"/>
      <c r="C8452" s="7"/>
      <c r="D8452" s="7"/>
      <c r="E8452" s="7"/>
      <c r="F8452" s="7"/>
      <c r="G8452" s="7"/>
      <c r="H8452" s="8"/>
      <c r="I8452" s="8"/>
      <c r="J8452" s="7"/>
      <c r="K8452" s="7"/>
      <c r="L8452" s="7"/>
      <c r="M8452" s="7"/>
      <c r="N8452" s="7"/>
      <c r="O8452" s="7"/>
      <c r="P8452" s="7"/>
      <c r="Q8452" s="7"/>
      <c r="R8452" s="7"/>
      <c r="S8452" s="7"/>
      <c r="T8452" s="7"/>
      <c r="U8452" s="7"/>
      <c r="V8452" s="7"/>
      <c r="W8452" s="7"/>
      <c r="X8452" s="7"/>
      <c r="Y8452" s="7"/>
      <c r="Z8452" s="7"/>
    </row>
    <row r="8453" hidden="1">
      <c r="A8453" s="7"/>
      <c r="B8453" s="7"/>
      <c r="C8453" s="7"/>
      <c r="D8453" s="7"/>
      <c r="E8453" s="7"/>
      <c r="F8453" s="7"/>
      <c r="G8453" s="7"/>
      <c r="H8453" s="8"/>
      <c r="I8453" s="8"/>
      <c r="J8453" s="7"/>
      <c r="K8453" s="7"/>
      <c r="L8453" s="7"/>
      <c r="M8453" s="7"/>
      <c r="N8453" s="7"/>
      <c r="O8453" s="7"/>
      <c r="P8453" s="7"/>
      <c r="Q8453" s="7"/>
      <c r="R8453" s="7"/>
      <c r="S8453" s="7"/>
      <c r="T8453" s="7"/>
      <c r="U8453" s="7"/>
      <c r="V8453" s="7"/>
      <c r="W8453" s="7"/>
      <c r="X8453" s="7"/>
      <c r="Y8453" s="7"/>
      <c r="Z8453" s="7"/>
    </row>
    <row r="8454" hidden="1">
      <c r="A8454" s="7"/>
      <c r="B8454" s="7"/>
      <c r="C8454" s="7"/>
      <c r="D8454" s="7"/>
      <c r="E8454" s="7"/>
      <c r="F8454" s="7"/>
      <c r="G8454" s="7"/>
      <c r="H8454" s="8"/>
      <c r="I8454" s="8"/>
      <c r="J8454" s="7"/>
      <c r="K8454" s="7"/>
      <c r="L8454" s="7"/>
      <c r="M8454" s="7"/>
      <c r="N8454" s="7"/>
      <c r="O8454" s="7"/>
      <c r="P8454" s="7"/>
      <c r="Q8454" s="7"/>
      <c r="R8454" s="7"/>
      <c r="S8454" s="7"/>
      <c r="T8454" s="7"/>
      <c r="U8454" s="7"/>
      <c r="V8454" s="7"/>
      <c r="W8454" s="7"/>
      <c r="X8454" s="7"/>
      <c r="Y8454" s="7"/>
      <c r="Z8454" s="7"/>
    </row>
    <row r="8455" hidden="1">
      <c r="A8455" s="7"/>
      <c r="B8455" s="7"/>
      <c r="C8455" s="7"/>
      <c r="D8455" s="7"/>
      <c r="E8455" s="7"/>
      <c r="F8455" s="7"/>
      <c r="G8455" s="7"/>
      <c r="H8455" s="8"/>
      <c r="I8455" s="8"/>
      <c r="J8455" s="7"/>
      <c r="K8455" s="7"/>
      <c r="L8455" s="7"/>
      <c r="M8455" s="7"/>
      <c r="N8455" s="7"/>
      <c r="O8455" s="7"/>
      <c r="P8455" s="7"/>
      <c r="Q8455" s="7"/>
      <c r="R8455" s="7"/>
      <c r="S8455" s="7"/>
      <c r="T8455" s="7"/>
      <c r="U8455" s="7"/>
      <c r="V8455" s="7"/>
      <c r="W8455" s="7"/>
      <c r="X8455" s="7"/>
      <c r="Y8455" s="7"/>
      <c r="Z8455" s="7"/>
    </row>
    <row r="8456" hidden="1">
      <c r="A8456" s="7"/>
      <c r="B8456" s="7"/>
      <c r="C8456" s="7"/>
      <c r="D8456" s="7"/>
      <c r="E8456" s="7"/>
      <c r="F8456" s="7"/>
      <c r="G8456" s="7"/>
      <c r="H8456" s="8"/>
      <c r="I8456" s="8"/>
      <c r="J8456" s="7"/>
      <c r="K8456" s="7"/>
      <c r="L8456" s="7"/>
      <c r="M8456" s="7"/>
      <c r="N8456" s="7"/>
      <c r="O8456" s="7"/>
      <c r="P8456" s="7"/>
      <c r="Q8456" s="7"/>
      <c r="R8456" s="7"/>
      <c r="S8456" s="7"/>
      <c r="T8456" s="7"/>
      <c r="U8456" s="7"/>
      <c r="V8456" s="7"/>
      <c r="W8456" s="7"/>
      <c r="X8456" s="7"/>
      <c r="Y8456" s="7"/>
      <c r="Z8456" s="7"/>
    </row>
    <row r="8457" hidden="1">
      <c r="A8457" s="7"/>
      <c r="B8457" s="7"/>
      <c r="C8457" s="7"/>
      <c r="D8457" s="7"/>
      <c r="E8457" s="7"/>
      <c r="F8457" s="7"/>
      <c r="G8457" s="7"/>
      <c r="H8457" s="8"/>
      <c r="I8457" s="8"/>
      <c r="J8457" s="7"/>
      <c r="K8457" s="7"/>
      <c r="L8457" s="7"/>
      <c r="M8457" s="7"/>
      <c r="N8457" s="7"/>
      <c r="O8457" s="7"/>
      <c r="P8457" s="7"/>
      <c r="Q8457" s="7"/>
      <c r="R8457" s="7"/>
      <c r="S8457" s="7"/>
      <c r="T8457" s="7"/>
      <c r="U8457" s="7"/>
      <c r="V8457" s="7"/>
      <c r="W8457" s="7"/>
      <c r="X8457" s="7"/>
      <c r="Y8457" s="7"/>
      <c r="Z8457" s="7"/>
    </row>
    <row r="8458" hidden="1">
      <c r="A8458" s="7"/>
      <c r="B8458" s="7"/>
      <c r="C8458" s="7"/>
      <c r="D8458" s="7"/>
      <c r="E8458" s="7"/>
      <c r="F8458" s="7"/>
      <c r="G8458" s="7"/>
      <c r="H8458" s="8"/>
      <c r="I8458" s="8"/>
      <c r="J8458" s="7"/>
      <c r="K8458" s="7"/>
      <c r="L8458" s="7"/>
      <c r="M8458" s="7"/>
      <c r="N8458" s="7"/>
      <c r="O8458" s="7"/>
      <c r="P8458" s="7"/>
      <c r="Q8458" s="7"/>
      <c r="R8458" s="7"/>
      <c r="S8458" s="7"/>
      <c r="T8458" s="7"/>
      <c r="U8458" s="7"/>
      <c r="V8458" s="7"/>
      <c r="W8458" s="7"/>
      <c r="X8458" s="7"/>
      <c r="Y8458" s="7"/>
      <c r="Z8458" s="7"/>
    </row>
    <row r="8459" hidden="1">
      <c r="A8459" s="7"/>
      <c r="B8459" s="7"/>
      <c r="C8459" s="7"/>
      <c r="D8459" s="7"/>
      <c r="E8459" s="7"/>
      <c r="F8459" s="7"/>
      <c r="G8459" s="7"/>
      <c r="H8459" s="8"/>
      <c r="I8459" s="8"/>
      <c r="J8459" s="7"/>
      <c r="K8459" s="7"/>
      <c r="L8459" s="7"/>
      <c r="M8459" s="7"/>
      <c r="N8459" s="7"/>
      <c r="O8459" s="7"/>
      <c r="P8459" s="7"/>
      <c r="Q8459" s="7"/>
      <c r="R8459" s="7"/>
      <c r="S8459" s="7"/>
      <c r="T8459" s="7"/>
      <c r="U8459" s="7"/>
      <c r="V8459" s="7"/>
      <c r="W8459" s="7"/>
      <c r="X8459" s="7"/>
      <c r="Y8459" s="7"/>
      <c r="Z8459" s="7"/>
    </row>
    <row r="8460" hidden="1">
      <c r="A8460" s="7"/>
      <c r="B8460" s="7"/>
      <c r="C8460" s="7"/>
      <c r="D8460" s="7"/>
      <c r="E8460" s="7"/>
      <c r="F8460" s="7"/>
      <c r="G8460" s="7"/>
      <c r="H8460" s="8"/>
      <c r="I8460" s="8"/>
      <c r="J8460" s="7"/>
      <c r="K8460" s="7"/>
      <c r="L8460" s="7"/>
      <c r="M8460" s="7"/>
      <c r="N8460" s="7"/>
      <c r="O8460" s="7"/>
      <c r="P8460" s="7"/>
      <c r="Q8460" s="7"/>
      <c r="R8460" s="7"/>
      <c r="S8460" s="7"/>
      <c r="T8460" s="7"/>
      <c r="U8460" s="7"/>
      <c r="V8460" s="7"/>
      <c r="W8460" s="7"/>
      <c r="X8460" s="7"/>
      <c r="Y8460" s="7"/>
      <c r="Z8460" s="7"/>
    </row>
    <row r="8461" hidden="1">
      <c r="A8461" s="7"/>
      <c r="B8461" s="7"/>
      <c r="C8461" s="7"/>
      <c r="D8461" s="7"/>
      <c r="E8461" s="7"/>
      <c r="F8461" s="7"/>
      <c r="G8461" s="7"/>
      <c r="H8461" s="8"/>
      <c r="I8461" s="8"/>
      <c r="J8461" s="7"/>
      <c r="K8461" s="7"/>
      <c r="L8461" s="7"/>
      <c r="M8461" s="7"/>
      <c r="N8461" s="7"/>
      <c r="O8461" s="7"/>
      <c r="P8461" s="7"/>
      <c r="Q8461" s="7"/>
      <c r="R8461" s="7"/>
      <c r="S8461" s="7"/>
      <c r="T8461" s="7"/>
      <c r="U8461" s="7"/>
      <c r="V8461" s="7"/>
      <c r="W8461" s="7"/>
      <c r="X8461" s="7"/>
      <c r="Y8461" s="7"/>
      <c r="Z8461" s="7"/>
    </row>
    <row r="8462" hidden="1">
      <c r="A8462" s="7"/>
      <c r="B8462" s="7"/>
      <c r="C8462" s="7"/>
      <c r="D8462" s="7"/>
      <c r="E8462" s="7"/>
      <c r="F8462" s="7"/>
      <c r="G8462" s="7"/>
      <c r="H8462" s="8"/>
      <c r="I8462" s="8"/>
      <c r="J8462" s="7"/>
      <c r="K8462" s="7"/>
      <c r="L8462" s="7"/>
      <c r="M8462" s="7"/>
      <c r="N8462" s="7"/>
      <c r="O8462" s="7"/>
      <c r="P8462" s="7"/>
      <c r="Q8462" s="7"/>
      <c r="R8462" s="7"/>
      <c r="S8462" s="7"/>
      <c r="T8462" s="7"/>
      <c r="U8462" s="7"/>
      <c r="V8462" s="7"/>
      <c r="W8462" s="7"/>
      <c r="X8462" s="7"/>
      <c r="Y8462" s="7"/>
      <c r="Z8462" s="7"/>
    </row>
    <row r="8463" hidden="1">
      <c r="A8463" s="7"/>
      <c r="B8463" s="7"/>
      <c r="C8463" s="7"/>
      <c r="D8463" s="7"/>
      <c r="E8463" s="7"/>
      <c r="F8463" s="7"/>
      <c r="G8463" s="7"/>
      <c r="H8463" s="8"/>
      <c r="I8463" s="8"/>
      <c r="J8463" s="7"/>
      <c r="K8463" s="7"/>
      <c r="L8463" s="7"/>
      <c r="M8463" s="7"/>
      <c r="N8463" s="7"/>
      <c r="O8463" s="7"/>
      <c r="P8463" s="7"/>
      <c r="Q8463" s="7"/>
      <c r="R8463" s="7"/>
      <c r="S8463" s="7"/>
      <c r="T8463" s="7"/>
      <c r="U8463" s="7"/>
      <c r="V8463" s="7"/>
      <c r="W8463" s="7"/>
      <c r="X8463" s="7"/>
      <c r="Y8463" s="7"/>
      <c r="Z8463" s="7"/>
    </row>
    <row r="8464" hidden="1">
      <c r="A8464" s="7"/>
      <c r="B8464" s="7"/>
      <c r="C8464" s="7"/>
      <c r="D8464" s="7"/>
      <c r="E8464" s="7"/>
      <c r="F8464" s="7"/>
      <c r="G8464" s="7"/>
      <c r="H8464" s="8"/>
      <c r="I8464" s="8"/>
      <c r="J8464" s="7"/>
      <c r="K8464" s="7"/>
      <c r="L8464" s="7"/>
      <c r="M8464" s="7"/>
      <c r="N8464" s="7"/>
      <c r="O8464" s="7"/>
      <c r="P8464" s="7"/>
      <c r="Q8464" s="7"/>
      <c r="R8464" s="7"/>
      <c r="S8464" s="7"/>
      <c r="T8464" s="7"/>
      <c r="U8464" s="7"/>
      <c r="V8464" s="7"/>
      <c r="W8464" s="7"/>
      <c r="X8464" s="7"/>
      <c r="Y8464" s="7"/>
      <c r="Z8464" s="7"/>
    </row>
    <row r="8465" hidden="1">
      <c r="A8465" s="7"/>
      <c r="B8465" s="7"/>
      <c r="C8465" s="7"/>
      <c r="D8465" s="7"/>
      <c r="E8465" s="7"/>
      <c r="F8465" s="7"/>
      <c r="G8465" s="7"/>
      <c r="H8465" s="8"/>
      <c r="I8465" s="8"/>
      <c r="J8465" s="7"/>
      <c r="K8465" s="7"/>
      <c r="L8465" s="7"/>
      <c r="M8465" s="7"/>
      <c r="N8465" s="7"/>
      <c r="O8465" s="7"/>
      <c r="P8465" s="7"/>
      <c r="Q8465" s="7"/>
      <c r="R8465" s="7"/>
      <c r="S8465" s="7"/>
      <c r="T8465" s="7"/>
      <c r="U8465" s="7"/>
      <c r="V8465" s="7"/>
      <c r="W8465" s="7"/>
      <c r="X8465" s="7"/>
      <c r="Y8465" s="7"/>
      <c r="Z8465" s="7"/>
    </row>
    <row r="8466" hidden="1">
      <c r="A8466" s="7"/>
      <c r="B8466" s="7"/>
      <c r="C8466" s="7"/>
      <c r="D8466" s="7"/>
      <c r="E8466" s="7"/>
      <c r="F8466" s="7"/>
      <c r="G8466" s="7"/>
      <c r="H8466" s="8"/>
      <c r="I8466" s="8"/>
      <c r="J8466" s="7"/>
      <c r="K8466" s="7"/>
      <c r="L8466" s="7"/>
      <c r="M8466" s="7"/>
      <c r="N8466" s="7"/>
      <c r="O8466" s="7"/>
      <c r="P8466" s="7"/>
      <c r="Q8466" s="7"/>
      <c r="R8466" s="7"/>
      <c r="S8466" s="7"/>
      <c r="T8466" s="7"/>
      <c r="U8466" s="7"/>
      <c r="V8466" s="7"/>
      <c r="W8466" s="7"/>
      <c r="X8466" s="7"/>
      <c r="Y8466" s="7"/>
      <c r="Z8466" s="7"/>
    </row>
    <row r="8467" hidden="1">
      <c r="A8467" s="7"/>
      <c r="B8467" s="7"/>
      <c r="C8467" s="7"/>
      <c r="D8467" s="7"/>
      <c r="E8467" s="7"/>
      <c r="F8467" s="7"/>
      <c r="G8467" s="7"/>
      <c r="H8467" s="8"/>
      <c r="I8467" s="8"/>
      <c r="J8467" s="7"/>
      <c r="K8467" s="7"/>
      <c r="L8467" s="7"/>
      <c r="M8467" s="7"/>
      <c r="N8467" s="7"/>
      <c r="O8467" s="7"/>
      <c r="P8467" s="7"/>
      <c r="Q8467" s="7"/>
      <c r="R8467" s="7"/>
      <c r="S8467" s="7"/>
      <c r="T8467" s="7"/>
      <c r="U8467" s="7"/>
      <c r="V8467" s="7"/>
      <c r="W8467" s="7"/>
      <c r="X8467" s="7"/>
      <c r="Y8467" s="7"/>
      <c r="Z8467" s="7"/>
    </row>
    <row r="8468" hidden="1">
      <c r="A8468" s="7"/>
      <c r="B8468" s="7"/>
      <c r="C8468" s="7"/>
      <c r="D8468" s="7"/>
      <c r="E8468" s="7"/>
      <c r="F8468" s="7"/>
      <c r="G8468" s="7"/>
      <c r="H8468" s="8"/>
      <c r="I8468" s="8"/>
      <c r="J8468" s="7"/>
      <c r="K8468" s="7"/>
      <c r="L8468" s="7"/>
      <c r="M8468" s="7"/>
      <c r="N8468" s="7"/>
      <c r="O8468" s="7"/>
      <c r="P8468" s="7"/>
      <c r="Q8468" s="7"/>
      <c r="R8468" s="7"/>
      <c r="S8468" s="7"/>
      <c r="T8468" s="7"/>
      <c r="U8468" s="7"/>
      <c r="V8468" s="7"/>
      <c r="W8468" s="7"/>
      <c r="X8468" s="7"/>
      <c r="Y8468" s="7"/>
      <c r="Z8468" s="7"/>
    </row>
    <row r="8469" hidden="1">
      <c r="A8469" s="7"/>
      <c r="B8469" s="7"/>
      <c r="C8469" s="7"/>
      <c r="D8469" s="7"/>
      <c r="E8469" s="7"/>
      <c r="F8469" s="7"/>
      <c r="G8469" s="7"/>
      <c r="H8469" s="8"/>
      <c r="I8469" s="8"/>
      <c r="J8469" s="7"/>
      <c r="K8469" s="7"/>
      <c r="L8469" s="7"/>
      <c r="M8469" s="7"/>
      <c r="N8469" s="7"/>
      <c r="O8469" s="7"/>
      <c r="P8469" s="7"/>
      <c r="Q8469" s="7"/>
      <c r="R8469" s="7"/>
      <c r="S8469" s="7"/>
      <c r="T8469" s="7"/>
      <c r="U8469" s="7"/>
      <c r="V8469" s="7"/>
      <c r="W8469" s="7"/>
      <c r="X8469" s="7"/>
      <c r="Y8469" s="7"/>
      <c r="Z8469" s="7"/>
    </row>
    <row r="8470" hidden="1">
      <c r="A8470" s="7"/>
      <c r="B8470" s="7"/>
      <c r="C8470" s="7"/>
      <c r="D8470" s="7"/>
      <c r="E8470" s="7"/>
      <c r="F8470" s="7"/>
      <c r="G8470" s="7"/>
      <c r="H8470" s="8"/>
      <c r="I8470" s="8"/>
      <c r="J8470" s="7"/>
      <c r="K8470" s="7"/>
      <c r="L8470" s="7"/>
      <c r="M8470" s="7"/>
      <c r="N8470" s="7"/>
      <c r="O8470" s="7"/>
      <c r="P8470" s="7"/>
      <c r="Q8470" s="7"/>
      <c r="R8470" s="7"/>
      <c r="S8470" s="7"/>
      <c r="T8470" s="7"/>
      <c r="U8470" s="7"/>
      <c r="V8470" s="7"/>
      <c r="W8470" s="7"/>
      <c r="X8470" s="7"/>
      <c r="Y8470" s="7"/>
      <c r="Z8470" s="7"/>
    </row>
    <row r="8471" hidden="1">
      <c r="A8471" s="7"/>
      <c r="B8471" s="7"/>
      <c r="C8471" s="7"/>
      <c r="D8471" s="7"/>
      <c r="E8471" s="7"/>
      <c r="F8471" s="7"/>
      <c r="G8471" s="7"/>
      <c r="H8471" s="8"/>
      <c r="I8471" s="8"/>
      <c r="J8471" s="7"/>
      <c r="K8471" s="7"/>
      <c r="L8471" s="7"/>
      <c r="M8471" s="7"/>
      <c r="N8471" s="7"/>
      <c r="O8471" s="7"/>
      <c r="P8471" s="7"/>
      <c r="Q8471" s="7"/>
      <c r="R8471" s="7"/>
      <c r="S8471" s="7"/>
      <c r="T8471" s="7"/>
      <c r="U8471" s="7"/>
      <c r="V8471" s="7"/>
      <c r="W8471" s="7"/>
      <c r="X8471" s="7"/>
      <c r="Y8471" s="7"/>
      <c r="Z8471" s="7"/>
    </row>
    <row r="8472" hidden="1">
      <c r="A8472" s="7"/>
      <c r="B8472" s="7"/>
      <c r="C8472" s="7"/>
      <c r="D8472" s="7"/>
      <c r="E8472" s="7"/>
      <c r="F8472" s="7"/>
      <c r="G8472" s="7"/>
      <c r="H8472" s="8"/>
      <c r="I8472" s="8"/>
      <c r="J8472" s="7"/>
      <c r="K8472" s="7"/>
      <c r="L8472" s="7"/>
      <c r="M8472" s="7"/>
      <c r="N8472" s="7"/>
      <c r="O8472" s="7"/>
      <c r="P8472" s="7"/>
      <c r="Q8472" s="7"/>
      <c r="R8472" s="7"/>
      <c r="S8472" s="7"/>
      <c r="T8472" s="7"/>
      <c r="U8472" s="7"/>
      <c r="V8472" s="7"/>
      <c r="W8472" s="7"/>
      <c r="X8472" s="7"/>
      <c r="Y8472" s="7"/>
      <c r="Z8472" s="7"/>
    </row>
    <row r="8473" hidden="1">
      <c r="A8473" s="7"/>
      <c r="B8473" s="7"/>
      <c r="C8473" s="7"/>
      <c r="D8473" s="7"/>
      <c r="E8473" s="7"/>
      <c r="F8473" s="7"/>
      <c r="G8473" s="7"/>
      <c r="H8473" s="8"/>
      <c r="I8473" s="8"/>
      <c r="J8473" s="7"/>
      <c r="K8473" s="7"/>
      <c r="L8473" s="7"/>
      <c r="M8473" s="7"/>
      <c r="N8473" s="7"/>
      <c r="O8473" s="7"/>
      <c r="P8473" s="7"/>
      <c r="Q8473" s="7"/>
      <c r="R8473" s="7"/>
      <c r="S8473" s="7"/>
      <c r="T8473" s="7"/>
      <c r="U8473" s="7"/>
      <c r="V8473" s="7"/>
      <c r="W8473" s="7"/>
      <c r="X8473" s="7"/>
      <c r="Y8473" s="7"/>
      <c r="Z8473" s="7"/>
    </row>
    <row r="8474" hidden="1">
      <c r="A8474" s="7"/>
      <c r="B8474" s="7"/>
      <c r="C8474" s="7"/>
      <c r="D8474" s="7"/>
      <c r="E8474" s="7"/>
      <c r="F8474" s="7"/>
      <c r="G8474" s="7"/>
      <c r="H8474" s="8"/>
      <c r="I8474" s="8"/>
      <c r="J8474" s="7"/>
      <c r="K8474" s="7"/>
      <c r="L8474" s="7"/>
      <c r="M8474" s="7"/>
      <c r="N8474" s="7"/>
      <c r="O8474" s="7"/>
      <c r="P8474" s="7"/>
      <c r="Q8474" s="7"/>
      <c r="R8474" s="7"/>
      <c r="S8474" s="7"/>
      <c r="T8474" s="7"/>
      <c r="U8474" s="7"/>
      <c r="V8474" s="7"/>
      <c r="W8474" s="7"/>
      <c r="X8474" s="7"/>
      <c r="Y8474" s="7"/>
      <c r="Z8474" s="7"/>
    </row>
    <row r="8475" hidden="1">
      <c r="A8475" s="7"/>
      <c r="B8475" s="7"/>
      <c r="C8475" s="7"/>
      <c r="D8475" s="7"/>
      <c r="E8475" s="7"/>
      <c r="F8475" s="7"/>
      <c r="G8475" s="7"/>
      <c r="H8475" s="8"/>
      <c r="I8475" s="8"/>
      <c r="J8475" s="7"/>
      <c r="K8475" s="7"/>
      <c r="L8475" s="7"/>
      <c r="M8475" s="7"/>
      <c r="N8475" s="7"/>
      <c r="O8475" s="7"/>
      <c r="P8475" s="7"/>
      <c r="Q8475" s="7"/>
      <c r="R8475" s="7"/>
      <c r="S8475" s="7"/>
      <c r="T8475" s="7"/>
      <c r="U8475" s="7"/>
      <c r="V8475" s="7"/>
      <c r="W8475" s="7"/>
      <c r="X8475" s="7"/>
      <c r="Y8475" s="7"/>
      <c r="Z8475" s="7"/>
    </row>
    <row r="8476" hidden="1">
      <c r="A8476" s="7"/>
      <c r="B8476" s="7"/>
      <c r="C8476" s="7"/>
      <c r="D8476" s="7"/>
      <c r="E8476" s="7"/>
      <c r="F8476" s="7"/>
      <c r="G8476" s="7"/>
      <c r="H8476" s="8"/>
      <c r="I8476" s="8"/>
      <c r="J8476" s="7"/>
      <c r="K8476" s="7"/>
      <c r="L8476" s="7"/>
      <c r="M8476" s="7"/>
      <c r="N8476" s="7"/>
      <c r="O8476" s="7"/>
      <c r="P8476" s="7"/>
      <c r="Q8476" s="7"/>
      <c r="R8476" s="7"/>
      <c r="S8476" s="7"/>
      <c r="T8476" s="7"/>
      <c r="U8476" s="7"/>
      <c r="V8476" s="7"/>
      <c r="W8476" s="7"/>
      <c r="X8476" s="7"/>
      <c r="Y8476" s="7"/>
      <c r="Z8476" s="7"/>
    </row>
    <row r="8477" hidden="1">
      <c r="A8477" s="7"/>
      <c r="B8477" s="7"/>
      <c r="C8477" s="7"/>
      <c r="D8477" s="7"/>
      <c r="E8477" s="7"/>
      <c r="F8477" s="7"/>
      <c r="G8477" s="7"/>
      <c r="H8477" s="8"/>
      <c r="I8477" s="8"/>
      <c r="J8477" s="7"/>
      <c r="K8477" s="7"/>
      <c r="L8477" s="7"/>
      <c r="M8477" s="7"/>
      <c r="N8477" s="7"/>
      <c r="O8477" s="7"/>
      <c r="P8477" s="7"/>
      <c r="Q8477" s="7"/>
      <c r="R8477" s="7"/>
      <c r="S8477" s="7"/>
      <c r="T8477" s="7"/>
      <c r="U8477" s="7"/>
      <c r="V8477" s="7"/>
      <c r="W8477" s="7"/>
      <c r="X8477" s="7"/>
      <c r="Y8477" s="7"/>
      <c r="Z8477" s="7"/>
    </row>
    <row r="8478" hidden="1">
      <c r="A8478" s="7"/>
      <c r="B8478" s="7"/>
      <c r="C8478" s="7"/>
      <c r="D8478" s="7"/>
      <c r="E8478" s="7"/>
      <c r="F8478" s="7"/>
      <c r="G8478" s="7"/>
      <c r="H8478" s="8"/>
      <c r="I8478" s="8"/>
      <c r="J8478" s="7"/>
      <c r="K8478" s="7"/>
      <c r="L8478" s="7"/>
      <c r="M8478" s="7"/>
      <c r="N8478" s="7"/>
      <c r="O8478" s="7"/>
      <c r="P8478" s="7"/>
      <c r="Q8478" s="7"/>
      <c r="R8478" s="7"/>
      <c r="S8478" s="7"/>
      <c r="T8478" s="7"/>
      <c r="U8478" s="7"/>
      <c r="V8478" s="7"/>
      <c r="W8478" s="7"/>
      <c r="X8478" s="7"/>
      <c r="Y8478" s="7"/>
      <c r="Z8478" s="7"/>
    </row>
    <row r="8479" hidden="1">
      <c r="A8479" s="7"/>
      <c r="B8479" s="7"/>
      <c r="C8479" s="7"/>
      <c r="D8479" s="7"/>
      <c r="E8479" s="7"/>
      <c r="F8479" s="7"/>
      <c r="G8479" s="7"/>
      <c r="H8479" s="8"/>
      <c r="I8479" s="8"/>
      <c r="J8479" s="7"/>
      <c r="K8479" s="7"/>
      <c r="L8479" s="7"/>
      <c r="M8479" s="7"/>
      <c r="N8479" s="7"/>
      <c r="O8479" s="7"/>
      <c r="P8479" s="7"/>
      <c r="Q8479" s="7"/>
      <c r="R8479" s="7"/>
      <c r="S8479" s="7"/>
      <c r="T8479" s="7"/>
      <c r="U8479" s="7"/>
      <c r="V8479" s="7"/>
      <c r="W8479" s="7"/>
      <c r="X8479" s="7"/>
      <c r="Y8479" s="7"/>
      <c r="Z8479" s="7"/>
    </row>
    <row r="8480" hidden="1">
      <c r="A8480" s="7"/>
      <c r="B8480" s="7"/>
      <c r="C8480" s="7"/>
      <c r="D8480" s="7"/>
      <c r="E8480" s="7"/>
      <c r="F8480" s="7"/>
      <c r="G8480" s="7"/>
      <c r="H8480" s="8"/>
      <c r="I8480" s="8"/>
      <c r="J8480" s="7"/>
      <c r="K8480" s="7"/>
      <c r="L8480" s="7"/>
      <c r="M8480" s="7"/>
      <c r="N8480" s="7"/>
      <c r="O8480" s="7"/>
      <c r="P8480" s="7"/>
      <c r="Q8480" s="7"/>
      <c r="R8480" s="7"/>
      <c r="S8480" s="7"/>
      <c r="T8480" s="7"/>
      <c r="U8480" s="7"/>
      <c r="V8480" s="7"/>
      <c r="W8480" s="7"/>
      <c r="X8480" s="7"/>
      <c r="Y8480" s="7"/>
      <c r="Z8480" s="7"/>
    </row>
    <row r="8481" hidden="1">
      <c r="A8481" s="7"/>
      <c r="B8481" s="7"/>
      <c r="C8481" s="7"/>
      <c r="D8481" s="7"/>
      <c r="E8481" s="7"/>
      <c r="F8481" s="7"/>
      <c r="G8481" s="7"/>
      <c r="H8481" s="8"/>
      <c r="I8481" s="8"/>
      <c r="J8481" s="7"/>
      <c r="K8481" s="7"/>
      <c r="L8481" s="7"/>
      <c r="M8481" s="7"/>
      <c r="N8481" s="7"/>
      <c r="O8481" s="7"/>
      <c r="P8481" s="7"/>
      <c r="Q8481" s="7"/>
      <c r="R8481" s="7"/>
      <c r="S8481" s="7"/>
      <c r="T8481" s="7"/>
      <c r="U8481" s="7"/>
      <c r="V8481" s="7"/>
      <c r="W8481" s="7"/>
      <c r="X8481" s="7"/>
      <c r="Y8481" s="7"/>
      <c r="Z8481" s="7"/>
    </row>
    <row r="8482" hidden="1">
      <c r="A8482" s="7"/>
      <c r="B8482" s="7"/>
      <c r="C8482" s="7"/>
      <c r="D8482" s="7"/>
      <c r="E8482" s="7"/>
      <c r="F8482" s="7"/>
      <c r="G8482" s="7"/>
      <c r="H8482" s="8"/>
      <c r="I8482" s="8"/>
      <c r="J8482" s="7"/>
      <c r="K8482" s="7"/>
      <c r="L8482" s="7"/>
      <c r="M8482" s="7"/>
      <c r="N8482" s="7"/>
      <c r="O8482" s="7"/>
      <c r="P8482" s="7"/>
      <c r="Q8482" s="7"/>
      <c r="R8482" s="7"/>
      <c r="S8482" s="7"/>
      <c r="T8482" s="7"/>
      <c r="U8482" s="7"/>
      <c r="V8482" s="7"/>
      <c r="W8482" s="7"/>
      <c r="X8482" s="7"/>
      <c r="Y8482" s="7"/>
      <c r="Z8482" s="7"/>
    </row>
    <row r="8483" hidden="1">
      <c r="A8483" s="7"/>
      <c r="B8483" s="7"/>
      <c r="C8483" s="7"/>
      <c r="D8483" s="7"/>
      <c r="E8483" s="7"/>
      <c r="F8483" s="7"/>
      <c r="G8483" s="7"/>
      <c r="H8483" s="8"/>
      <c r="I8483" s="8"/>
      <c r="J8483" s="7"/>
      <c r="K8483" s="7"/>
      <c r="L8483" s="7"/>
      <c r="M8483" s="7"/>
      <c r="N8483" s="7"/>
      <c r="O8483" s="7"/>
      <c r="P8483" s="7"/>
      <c r="Q8483" s="7"/>
      <c r="R8483" s="7"/>
      <c r="S8483" s="7"/>
      <c r="T8483" s="7"/>
      <c r="U8483" s="7"/>
      <c r="V8483" s="7"/>
      <c r="W8483" s="7"/>
      <c r="X8483" s="7"/>
      <c r="Y8483" s="7"/>
      <c r="Z8483" s="7"/>
    </row>
    <row r="8484" hidden="1">
      <c r="A8484" s="7"/>
      <c r="B8484" s="7"/>
      <c r="C8484" s="7"/>
      <c r="D8484" s="7"/>
      <c r="E8484" s="7"/>
      <c r="F8484" s="7"/>
      <c r="G8484" s="7"/>
      <c r="H8484" s="8"/>
      <c r="I8484" s="8"/>
      <c r="J8484" s="7"/>
      <c r="K8484" s="7"/>
      <c r="L8484" s="7"/>
      <c r="M8484" s="7"/>
      <c r="N8484" s="7"/>
      <c r="O8484" s="7"/>
      <c r="P8484" s="7"/>
      <c r="Q8484" s="7"/>
      <c r="R8484" s="7"/>
      <c r="S8484" s="7"/>
      <c r="T8484" s="7"/>
      <c r="U8484" s="7"/>
      <c r="V8484" s="7"/>
      <c r="W8484" s="7"/>
      <c r="X8484" s="7"/>
      <c r="Y8484" s="7"/>
      <c r="Z8484" s="7"/>
    </row>
    <row r="8485" hidden="1">
      <c r="A8485" s="7"/>
      <c r="B8485" s="7"/>
      <c r="C8485" s="7"/>
      <c r="D8485" s="7"/>
      <c r="E8485" s="7"/>
      <c r="F8485" s="7"/>
      <c r="G8485" s="7"/>
      <c r="H8485" s="8"/>
      <c r="I8485" s="8"/>
      <c r="J8485" s="7"/>
      <c r="K8485" s="7"/>
      <c r="L8485" s="7"/>
      <c r="M8485" s="7"/>
      <c r="N8485" s="7"/>
      <c r="O8485" s="7"/>
      <c r="P8485" s="7"/>
      <c r="Q8485" s="7"/>
      <c r="R8485" s="7"/>
      <c r="S8485" s="7"/>
      <c r="T8485" s="7"/>
      <c r="U8485" s="7"/>
      <c r="V8485" s="7"/>
      <c r="W8485" s="7"/>
      <c r="X8485" s="7"/>
      <c r="Y8485" s="7"/>
      <c r="Z8485" s="7"/>
    </row>
    <row r="8486" hidden="1">
      <c r="A8486" s="7"/>
      <c r="B8486" s="7"/>
      <c r="C8486" s="7"/>
      <c r="D8486" s="7"/>
      <c r="E8486" s="7"/>
      <c r="F8486" s="7"/>
      <c r="G8486" s="7"/>
      <c r="H8486" s="8"/>
      <c r="I8486" s="8"/>
      <c r="J8486" s="7"/>
      <c r="K8486" s="7"/>
      <c r="L8486" s="7"/>
      <c r="M8486" s="7"/>
      <c r="N8486" s="7"/>
      <c r="O8486" s="7"/>
      <c r="P8486" s="7"/>
      <c r="Q8486" s="7"/>
      <c r="R8486" s="7"/>
      <c r="S8486" s="7"/>
      <c r="T8486" s="7"/>
      <c r="U8486" s="7"/>
      <c r="V8486" s="7"/>
      <c r="W8486" s="7"/>
      <c r="X8486" s="7"/>
      <c r="Y8486" s="7"/>
      <c r="Z8486" s="7"/>
    </row>
    <row r="8487" hidden="1">
      <c r="A8487" s="7"/>
      <c r="B8487" s="7"/>
      <c r="C8487" s="7"/>
      <c r="D8487" s="7"/>
      <c r="E8487" s="7"/>
      <c r="F8487" s="7"/>
      <c r="G8487" s="7"/>
      <c r="H8487" s="8"/>
      <c r="I8487" s="8"/>
      <c r="J8487" s="7"/>
      <c r="K8487" s="7"/>
      <c r="L8487" s="7"/>
      <c r="M8487" s="7"/>
      <c r="N8487" s="7"/>
      <c r="O8487" s="7"/>
      <c r="P8487" s="7"/>
      <c r="Q8487" s="7"/>
      <c r="R8487" s="7"/>
      <c r="S8487" s="7"/>
      <c r="T8487" s="7"/>
      <c r="U8487" s="7"/>
      <c r="V8487" s="7"/>
      <c r="W8487" s="7"/>
      <c r="X8487" s="7"/>
      <c r="Y8487" s="7"/>
      <c r="Z8487" s="7"/>
    </row>
    <row r="8488" hidden="1">
      <c r="A8488" s="7"/>
      <c r="B8488" s="7"/>
      <c r="C8488" s="7"/>
      <c r="D8488" s="7"/>
      <c r="E8488" s="7"/>
      <c r="F8488" s="7"/>
      <c r="G8488" s="7"/>
      <c r="H8488" s="8"/>
      <c r="I8488" s="8"/>
      <c r="J8488" s="7"/>
      <c r="K8488" s="7"/>
      <c r="L8488" s="7"/>
      <c r="M8488" s="7"/>
      <c r="N8488" s="7"/>
      <c r="O8488" s="7"/>
      <c r="P8488" s="7"/>
      <c r="Q8488" s="7"/>
      <c r="R8488" s="7"/>
      <c r="S8488" s="7"/>
      <c r="T8488" s="7"/>
      <c r="U8488" s="7"/>
      <c r="V8488" s="7"/>
      <c r="W8488" s="7"/>
      <c r="X8488" s="7"/>
      <c r="Y8488" s="7"/>
      <c r="Z8488" s="7"/>
    </row>
    <row r="8489" hidden="1">
      <c r="A8489" s="7"/>
      <c r="B8489" s="7"/>
      <c r="C8489" s="7"/>
      <c r="D8489" s="7"/>
      <c r="E8489" s="7"/>
      <c r="F8489" s="7"/>
      <c r="G8489" s="7"/>
      <c r="H8489" s="8"/>
      <c r="I8489" s="8"/>
      <c r="J8489" s="7"/>
      <c r="K8489" s="7"/>
      <c r="L8489" s="7"/>
      <c r="M8489" s="7"/>
      <c r="N8489" s="7"/>
      <c r="O8489" s="7"/>
      <c r="P8489" s="7"/>
      <c r="Q8489" s="7"/>
      <c r="R8489" s="7"/>
      <c r="S8489" s="7"/>
      <c r="T8489" s="7"/>
      <c r="U8489" s="7"/>
      <c r="V8489" s="7"/>
      <c r="W8489" s="7"/>
      <c r="X8489" s="7"/>
      <c r="Y8489" s="7"/>
      <c r="Z8489" s="7"/>
    </row>
    <row r="8490" hidden="1">
      <c r="A8490" s="7"/>
      <c r="B8490" s="7"/>
      <c r="C8490" s="7"/>
      <c r="D8490" s="7"/>
      <c r="E8490" s="7"/>
      <c r="F8490" s="7"/>
      <c r="G8490" s="7"/>
      <c r="H8490" s="8"/>
      <c r="I8490" s="8"/>
      <c r="J8490" s="7"/>
      <c r="K8490" s="7"/>
      <c r="L8490" s="7"/>
      <c r="M8490" s="7"/>
      <c r="N8490" s="7"/>
      <c r="O8490" s="7"/>
      <c r="P8490" s="7"/>
      <c r="Q8490" s="7"/>
      <c r="R8490" s="7"/>
      <c r="S8490" s="7"/>
      <c r="T8490" s="7"/>
      <c r="U8490" s="7"/>
      <c r="V8490" s="7"/>
      <c r="W8490" s="7"/>
      <c r="X8490" s="7"/>
      <c r="Y8490" s="7"/>
      <c r="Z8490" s="7"/>
    </row>
    <row r="8491" hidden="1">
      <c r="A8491" s="7"/>
      <c r="B8491" s="7"/>
      <c r="C8491" s="7"/>
      <c r="D8491" s="7"/>
      <c r="E8491" s="7"/>
      <c r="F8491" s="7"/>
      <c r="G8491" s="7"/>
      <c r="H8491" s="8"/>
      <c r="I8491" s="8"/>
      <c r="J8491" s="7"/>
      <c r="K8491" s="7"/>
      <c r="L8491" s="7"/>
      <c r="M8491" s="7"/>
      <c r="N8491" s="7"/>
      <c r="O8491" s="7"/>
      <c r="P8491" s="7"/>
      <c r="Q8491" s="7"/>
      <c r="R8491" s="7"/>
      <c r="S8491" s="7"/>
      <c r="T8491" s="7"/>
      <c r="U8491" s="7"/>
      <c r="V8491" s="7"/>
      <c r="W8491" s="7"/>
      <c r="X8491" s="7"/>
      <c r="Y8491" s="7"/>
      <c r="Z8491" s="7"/>
    </row>
    <row r="8492" hidden="1">
      <c r="A8492" s="7"/>
      <c r="B8492" s="7"/>
      <c r="C8492" s="7"/>
      <c r="D8492" s="7"/>
      <c r="E8492" s="7"/>
      <c r="F8492" s="7"/>
      <c r="G8492" s="7"/>
      <c r="H8492" s="8"/>
      <c r="I8492" s="8"/>
      <c r="J8492" s="7"/>
      <c r="K8492" s="7"/>
      <c r="L8492" s="7"/>
      <c r="M8492" s="7"/>
      <c r="N8492" s="7"/>
      <c r="O8492" s="7"/>
      <c r="P8492" s="7"/>
      <c r="Q8492" s="7"/>
      <c r="R8492" s="7"/>
      <c r="S8492" s="7"/>
      <c r="T8492" s="7"/>
      <c r="U8492" s="7"/>
      <c r="V8492" s="7"/>
      <c r="W8492" s="7"/>
      <c r="X8492" s="7"/>
      <c r="Y8492" s="7"/>
      <c r="Z8492" s="7"/>
    </row>
    <row r="8493" hidden="1">
      <c r="A8493" s="7"/>
      <c r="B8493" s="7"/>
      <c r="C8493" s="7"/>
      <c r="D8493" s="7"/>
      <c r="E8493" s="7"/>
      <c r="F8493" s="7"/>
      <c r="G8493" s="7"/>
      <c r="H8493" s="8"/>
      <c r="I8493" s="8"/>
      <c r="J8493" s="7"/>
      <c r="K8493" s="7"/>
      <c r="L8493" s="7"/>
      <c r="M8493" s="7"/>
      <c r="N8493" s="7"/>
      <c r="O8493" s="7"/>
      <c r="P8493" s="7"/>
      <c r="Q8493" s="7"/>
      <c r="R8493" s="7"/>
      <c r="S8493" s="7"/>
      <c r="T8493" s="7"/>
      <c r="U8493" s="7"/>
      <c r="V8493" s="7"/>
      <c r="W8493" s="7"/>
      <c r="X8493" s="7"/>
      <c r="Y8493" s="7"/>
      <c r="Z8493" s="7"/>
    </row>
    <row r="8494" hidden="1">
      <c r="A8494" s="7"/>
      <c r="B8494" s="7"/>
      <c r="C8494" s="7"/>
      <c r="D8494" s="7"/>
      <c r="E8494" s="7"/>
      <c r="F8494" s="7"/>
      <c r="G8494" s="7"/>
      <c r="H8494" s="8"/>
      <c r="I8494" s="8"/>
      <c r="J8494" s="7"/>
      <c r="K8494" s="7"/>
      <c r="L8494" s="7"/>
      <c r="M8494" s="7"/>
      <c r="N8494" s="7"/>
      <c r="O8494" s="7"/>
      <c r="P8494" s="7"/>
      <c r="Q8494" s="7"/>
      <c r="R8494" s="7"/>
      <c r="S8494" s="7"/>
      <c r="T8494" s="7"/>
      <c r="U8494" s="7"/>
      <c r="V8494" s="7"/>
      <c r="W8494" s="7"/>
      <c r="X8494" s="7"/>
      <c r="Y8494" s="7"/>
      <c r="Z8494" s="7"/>
    </row>
    <row r="8495" hidden="1">
      <c r="A8495" s="7"/>
      <c r="B8495" s="7"/>
      <c r="C8495" s="7"/>
      <c r="D8495" s="7"/>
      <c r="E8495" s="7"/>
      <c r="F8495" s="7"/>
      <c r="G8495" s="7"/>
      <c r="H8495" s="8"/>
      <c r="I8495" s="8"/>
      <c r="J8495" s="7"/>
      <c r="K8495" s="7"/>
      <c r="L8495" s="7"/>
      <c r="M8495" s="7"/>
      <c r="N8495" s="7"/>
      <c r="O8495" s="7"/>
      <c r="P8495" s="7"/>
      <c r="Q8495" s="7"/>
      <c r="R8495" s="7"/>
      <c r="S8495" s="7"/>
      <c r="T8495" s="7"/>
      <c r="U8495" s="7"/>
      <c r="V8495" s="7"/>
      <c r="W8495" s="7"/>
      <c r="X8495" s="7"/>
      <c r="Y8495" s="7"/>
      <c r="Z8495" s="7"/>
    </row>
    <row r="8496" hidden="1">
      <c r="A8496" s="7"/>
      <c r="B8496" s="7"/>
      <c r="C8496" s="7"/>
      <c r="D8496" s="7"/>
      <c r="E8496" s="7"/>
      <c r="F8496" s="7"/>
      <c r="G8496" s="7"/>
      <c r="H8496" s="8"/>
      <c r="I8496" s="8"/>
      <c r="J8496" s="7"/>
      <c r="K8496" s="7"/>
      <c r="L8496" s="7"/>
      <c r="M8496" s="7"/>
      <c r="N8496" s="7"/>
      <c r="O8496" s="7"/>
      <c r="P8496" s="7"/>
      <c r="Q8496" s="7"/>
      <c r="R8496" s="7"/>
      <c r="S8496" s="7"/>
      <c r="T8496" s="7"/>
      <c r="U8496" s="7"/>
      <c r="V8496" s="7"/>
      <c r="W8496" s="7"/>
      <c r="X8496" s="7"/>
      <c r="Y8496" s="7"/>
      <c r="Z8496" s="7"/>
    </row>
    <row r="8497" hidden="1">
      <c r="A8497" s="7"/>
      <c r="B8497" s="7"/>
      <c r="C8497" s="7"/>
      <c r="D8497" s="7"/>
      <c r="E8497" s="7"/>
      <c r="F8497" s="7"/>
      <c r="G8497" s="7"/>
      <c r="H8497" s="8"/>
      <c r="I8497" s="8"/>
      <c r="J8497" s="7"/>
      <c r="K8497" s="7"/>
      <c r="L8497" s="7"/>
      <c r="M8497" s="7"/>
      <c r="N8497" s="7"/>
      <c r="O8497" s="7"/>
      <c r="P8497" s="7"/>
      <c r="Q8497" s="7"/>
      <c r="R8497" s="7"/>
      <c r="S8497" s="7"/>
      <c r="T8497" s="7"/>
      <c r="U8497" s="7"/>
      <c r="V8497" s="7"/>
      <c r="W8497" s="7"/>
      <c r="X8497" s="7"/>
      <c r="Y8497" s="7"/>
      <c r="Z8497" s="7"/>
    </row>
    <row r="8498" hidden="1">
      <c r="A8498" s="7"/>
      <c r="B8498" s="7"/>
      <c r="C8498" s="7"/>
      <c r="D8498" s="7"/>
      <c r="E8498" s="7"/>
      <c r="F8498" s="7"/>
      <c r="G8498" s="7"/>
      <c r="H8498" s="8"/>
      <c r="I8498" s="8"/>
      <c r="J8498" s="7"/>
      <c r="K8498" s="7"/>
      <c r="L8498" s="7"/>
      <c r="M8498" s="7"/>
      <c r="N8498" s="7"/>
      <c r="O8498" s="7"/>
      <c r="P8498" s="7"/>
      <c r="Q8498" s="7"/>
      <c r="R8498" s="7"/>
      <c r="S8498" s="7"/>
      <c r="T8498" s="7"/>
      <c r="U8498" s="7"/>
      <c r="V8498" s="7"/>
      <c r="W8498" s="7"/>
      <c r="X8498" s="7"/>
      <c r="Y8498" s="7"/>
      <c r="Z8498" s="7"/>
    </row>
    <row r="8499" hidden="1">
      <c r="A8499" s="7"/>
      <c r="B8499" s="7"/>
      <c r="C8499" s="7"/>
      <c r="D8499" s="7"/>
      <c r="E8499" s="7"/>
      <c r="F8499" s="7"/>
      <c r="G8499" s="7"/>
      <c r="H8499" s="8"/>
      <c r="I8499" s="8"/>
      <c r="J8499" s="7"/>
      <c r="K8499" s="7"/>
      <c r="L8499" s="7"/>
      <c r="M8499" s="7"/>
      <c r="N8499" s="7"/>
      <c r="O8499" s="7"/>
      <c r="P8499" s="7"/>
      <c r="Q8499" s="7"/>
      <c r="R8499" s="7"/>
      <c r="S8499" s="7"/>
      <c r="T8499" s="7"/>
      <c r="U8499" s="7"/>
      <c r="V8499" s="7"/>
      <c r="W8499" s="7"/>
      <c r="X8499" s="7"/>
      <c r="Y8499" s="7"/>
      <c r="Z8499" s="7"/>
    </row>
    <row r="8500" hidden="1">
      <c r="A8500" s="7"/>
      <c r="B8500" s="7"/>
      <c r="C8500" s="7"/>
      <c r="D8500" s="7"/>
      <c r="E8500" s="7"/>
      <c r="F8500" s="7"/>
      <c r="G8500" s="7"/>
      <c r="H8500" s="8"/>
      <c r="I8500" s="8"/>
      <c r="J8500" s="7"/>
      <c r="K8500" s="7"/>
      <c r="L8500" s="7"/>
      <c r="M8500" s="7"/>
      <c r="N8500" s="7"/>
      <c r="O8500" s="7"/>
      <c r="P8500" s="7"/>
      <c r="Q8500" s="7"/>
      <c r="R8500" s="7"/>
      <c r="S8500" s="7"/>
      <c r="T8500" s="7"/>
      <c r="U8500" s="7"/>
      <c r="V8500" s="7"/>
      <c r="W8500" s="7"/>
      <c r="X8500" s="7"/>
      <c r="Y8500" s="7"/>
      <c r="Z8500" s="7"/>
    </row>
    <row r="8501" hidden="1">
      <c r="A8501" s="7"/>
      <c r="B8501" s="7"/>
      <c r="C8501" s="7"/>
      <c r="D8501" s="7"/>
      <c r="E8501" s="7"/>
      <c r="F8501" s="7"/>
      <c r="G8501" s="7"/>
      <c r="H8501" s="8"/>
      <c r="I8501" s="8"/>
      <c r="J8501" s="7"/>
      <c r="K8501" s="7"/>
      <c r="L8501" s="7"/>
      <c r="M8501" s="7"/>
      <c r="N8501" s="7"/>
      <c r="O8501" s="7"/>
      <c r="P8501" s="7"/>
      <c r="Q8501" s="7"/>
      <c r="R8501" s="7"/>
      <c r="S8501" s="7"/>
      <c r="T8501" s="7"/>
      <c r="U8501" s="7"/>
      <c r="V8501" s="7"/>
      <c r="W8501" s="7"/>
      <c r="X8501" s="7"/>
      <c r="Y8501" s="7"/>
      <c r="Z8501" s="7"/>
    </row>
    <row r="8502" hidden="1">
      <c r="A8502" s="7"/>
      <c r="B8502" s="7"/>
      <c r="C8502" s="7"/>
      <c r="D8502" s="7"/>
      <c r="E8502" s="7"/>
      <c r="F8502" s="7"/>
      <c r="G8502" s="7"/>
      <c r="H8502" s="8"/>
      <c r="I8502" s="8"/>
      <c r="J8502" s="7"/>
      <c r="K8502" s="7"/>
      <c r="L8502" s="7"/>
      <c r="M8502" s="7"/>
      <c r="N8502" s="7"/>
      <c r="O8502" s="7"/>
      <c r="P8502" s="7"/>
      <c r="Q8502" s="7"/>
      <c r="R8502" s="7"/>
      <c r="S8502" s="7"/>
      <c r="T8502" s="7"/>
      <c r="U8502" s="7"/>
      <c r="V8502" s="7"/>
      <c r="W8502" s="7"/>
      <c r="X8502" s="7"/>
      <c r="Y8502" s="7"/>
      <c r="Z8502" s="7"/>
    </row>
    <row r="8503" hidden="1">
      <c r="A8503" s="7"/>
      <c r="B8503" s="7"/>
      <c r="C8503" s="7"/>
      <c r="D8503" s="7"/>
      <c r="E8503" s="7"/>
      <c r="F8503" s="7"/>
      <c r="G8503" s="7"/>
      <c r="H8503" s="8"/>
      <c r="I8503" s="8"/>
      <c r="J8503" s="7"/>
      <c r="K8503" s="7"/>
      <c r="L8503" s="7"/>
      <c r="M8503" s="7"/>
      <c r="N8503" s="7"/>
      <c r="O8503" s="7"/>
      <c r="P8503" s="7"/>
      <c r="Q8503" s="7"/>
      <c r="R8503" s="7"/>
      <c r="S8503" s="7"/>
      <c r="T8503" s="7"/>
      <c r="U8503" s="7"/>
      <c r="V8503" s="7"/>
      <c r="W8503" s="7"/>
      <c r="X8503" s="7"/>
      <c r="Y8503" s="7"/>
      <c r="Z8503" s="7"/>
    </row>
    <row r="8504" hidden="1">
      <c r="A8504" s="7"/>
      <c r="B8504" s="7"/>
      <c r="C8504" s="7"/>
      <c r="D8504" s="7"/>
      <c r="E8504" s="7"/>
      <c r="F8504" s="7"/>
      <c r="G8504" s="7"/>
      <c r="H8504" s="8"/>
      <c r="I8504" s="8"/>
      <c r="J8504" s="7"/>
      <c r="K8504" s="7"/>
      <c r="L8504" s="7"/>
      <c r="M8504" s="7"/>
      <c r="N8504" s="7"/>
      <c r="O8504" s="7"/>
      <c r="P8504" s="7"/>
      <c r="Q8504" s="7"/>
      <c r="R8504" s="7"/>
      <c r="S8504" s="7"/>
      <c r="T8504" s="7"/>
      <c r="U8504" s="7"/>
      <c r="V8504" s="7"/>
      <c r="W8504" s="7"/>
      <c r="X8504" s="7"/>
      <c r="Y8504" s="7"/>
      <c r="Z8504" s="7"/>
    </row>
    <row r="8505" hidden="1">
      <c r="A8505" s="7"/>
      <c r="B8505" s="7"/>
      <c r="C8505" s="7"/>
      <c r="D8505" s="7"/>
      <c r="E8505" s="7"/>
      <c r="F8505" s="7"/>
      <c r="G8505" s="7"/>
      <c r="H8505" s="8"/>
      <c r="I8505" s="8"/>
      <c r="J8505" s="7"/>
      <c r="K8505" s="7"/>
      <c r="L8505" s="7"/>
      <c r="M8505" s="7"/>
      <c r="N8505" s="7"/>
      <c r="O8505" s="7"/>
      <c r="P8505" s="7"/>
      <c r="Q8505" s="7"/>
      <c r="R8505" s="7"/>
      <c r="S8505" s="7"/>
      <c r="T8505" s="7"/>
      <c r="U8505" s="7"/>
      <c r="V8505" s="7"/>
      <c r="W8505" s="7"/>
      <c r="X8505" s="7"/>
      <c r="Y8505" s="7"/>
      <c r="Z8505" s="7"/>
    </row>
    <row r="8506" hidden="1">
      <c r="A8506" s="7"/>
      <c r="B8506" s="7"/>
      <c r="C8506" s="7"/>
      <c r="D8506" s="7"/>
      <c r="E8506" s="7"/>
      <c r="F8506" s="7"/>
      <c r="G8506" s="7"/>
      <c r="H8506" s="8"/>
      <c r="I8506" s="8"/>
      <c r="J8506" s="7"/>
      <c r="K8506" s="7"/>
      <c r="L8506" s="7"/>
      <c r="M8506" s="7"/>
      <c r="N8506" s="7"/>
      <c r="O8506" s="7"/>
      <c r="P8506" s="7"/>
      <c r="Q8506" s="7"/>
      <c r="R8506" s="7"/>
      <c r="S8506" s="7"/>
      <c r="T8506" s="7"/>
      <c r="U8506" s="7"/>
      <c r="V8506" s="7"/>
      <c r="W8506" s="7"/>
      <c r="X8506" s="7"/>
      <c r="Y8506" s="7"/>
      <c r="Z8506" s="7"/>
    </row>
    <row r="8507" hidden="1">
      <c r="A8507" s="7"/>
      <c r="B8507" s="7"/>
      <c r="C8507" s="7"/>
      <c r="D8507" s="7"/>
      <c r="E8507" s="7"/>
      <c r="F8507" s="7"/>
      <c r="G8507" s="7"/>
      <c r="H8507" s="8"/>
      <c r="I8507" s="8"/>
      <c r="J8507" s="7"/>
      <c r="K8507" s="7"/>
      <c r="L8507" s="7"/>
      <c r="M8507" s="7"/>
      <c r="N8507" s="7"/>
      <c r="O8507" s="7"/>
      <c r="P8507" s="7"/>
      <c r="Q8507" s="7"/>
      <c r="R8507" s="7"/>
      <c r="S8507" s="7"/>
      <c r="T8507" s="7"/>
      <c r="U8507" s="7"/>
      <c r="V8507" s="7"/>
      <c r="W8507" s="7"/>
      <c r="X8507" s="7"/>
      <c r="Y8507" s="7"/>
      <c r="Z8507" s="7"/>
    </row>
    <row r="8508" hidden="1">
      <c r="A8508" s="7"/>
      <c r="B8508" s="7"/>
      <c r="C8508" s="7"/>
      <c r="D8508" s="7"/>
      <c r="E8508" s="7"/>
      <c r="F8508" s="7"/>
      <c r="G8508" s="7"/>
      <c r="H8508" s="8"/>
      <c r="I8508" s="8"/>
      <c r="J8508" s="7"/>
      <c r="K8508" s="7"/>
      <c r="L8508" s="7"/>
      <c r="M8508" s="7"/>
      <c r="N8508" s="7"/>
      <c r="O8508" s="7"/>
      <c r="P8508" s="7"/>
      <c r="Q8508" s="7"/>
      <c r="R8508" s="7"/>
      <c r="S8508" s="7"/>
      <c r="T8508" s="7"/>
      <c r="U8508" s="7"/>
      <c r="V8508" s="7"/>
      <c r="W8508" s="7"/>
      <c r="X8508" s="7"/>
      <c r="Y8508" s="7"/>
      <c r="Z8508" s="7"/>
    </row>
    <row r="8509" hidden="1">
      <c r="A8509" s="7"/>
      <c r="B8509" s="7"/>
      <c r="C8509" s="7"/>
      <c r="D8509" s="7"/>
      <c r="E8509" s="7"/>
      <c r="F8509" s="7"/>
      <c r="G8509" s="7"/>
      <c r="H8509" s="8"/>
      <c r="I8509" s="8"/>
      <c r="J8509" s="7"/>
      <c r="K8509" s="7"/>
      <c r="L8509" s="7"/>
      <c r="M8509" s="7"/>
      <c r="N8509" s="7"/>
      <c r="O8509" s="7"/>
      <c r="P8509" s="7"/>
      <c r="Q8509" s="7"/>
      <c r="R8509" s="7"/>
      <c r="S8509" s="7"/>
      <c r="T8509" s="7"/>
      <c r="U8509" s="7"/>
      <c r="V8509" s="7"/>
      <c r="W8509" s="7"/>
      <c r="X8509" s="7"/>
      <c r="Y8509" s="7"/>
      <c r="Z8509" s="7"/>
    </row>
    <row r="8510" hidden="1">
      <c r="A8510" s="7"/>
      <c r="B8510" s="7"/>
      <c r="C8510" s="7"/>
      <c r="D8510" s="7"/>
      <c r="E8510" s="7"/>
      <c r="F8510" s="7"/>
      <c r="G8510" s="7"/>
      <c r="H8510" s="8"/>
      <c r="I8510" s="8"/>
      <c r="J8510" s="7"/>
      <c r="K8510" s="7"/>
      <c r="L8510" s="7"/>
      <c r="M8510" s="7"/>
      <c r="N8510" s="7"/>
      <c r="O8510" s="7"/>
      <c r="P8510" s="7"/>
      <c r="Q8510" s="7"/>
      <c r="R8510" s="7"/>
      <c r="S8510" s="7"/>
      <c r="T8510" s="7"/>
      <c r="U8510" s="7"/>
      <c r="V8510" s="7"/>
      <c r="W8510" s="7"/>
      <c r="X8510" s="7"/>
      <c r="Y8510" s="7"/>
      <c r="Z8510" s="7"/>
    </row>
    <row r="8511" hidden="1">
      <c r="A8511" s="7"/>
      <c r="B8511" s="7"/>
      <c r="C8511" s="7"/>
      <c r="D8511" s="7"/>
      <c r="E8511" s="7"/>
      <c r="F8511" s="7"/>
      <c r="G8511" s="7"/>
      <c r="H8511" s="8"/>
      <c r="I8511" s="8"/>
      <c r="J8511" s="7"/>
      <c r="K8511" s="7"/>
      <c r="L8511" s="7"/>
      <c r="M8511" s="7"/>
      <c r="N8511" s="7"/>
      <c r="O8511" s="7"/>
      <c r="P8511" s="7"/>
      <c r="Q8511" s="7"/>
      <c r="R8511" s="7"/>
      <c r="S8511" s="7"/>
      <c r="T8511" s="7"/>
      <c r="U8511" s="7"/>
      <c r="V8511" s="7"/>
      <c r="W8511" s="7"/>
      <c r="X8511" s="7"/>
      <c r="Y8511" s="7"/>
      <c r="Z8511" s="7"/>
    </row>
    <row r="8512" hidden="1">
      <c r="A8512" s="7"/>
      <c r="B8512" s="7"/>
      <c r="C8512" s="7"/>
      <c r="D8512" s="7"/>
      <c r="E8512" s="7"/>
      <c r="F8512" s="7"/>
      <c r="G8512" s="7"/>
      <c r="H8512" s="8"/>
      <c r="I8512" s="8"/>
      <c r="J8512" s="7"/>
      <c r="K8512" s="7"/>
      <c r="L8512" s="7"/>
      <c r="M8512" s="7"/>
      <c r="N8512" s="7"/>
      <c r="O8512" s="7"/>
      <c r="P8512" s="7"/>
      <c r="Q8512" s="7"/>
      <c r="R8512" s="7"/>
      <c r="S8512" s="7"/>
      <c r="T8512" s="7"/>
      <c r="U8512" s="7"/>
      <c r="V8512" s="7"/>
      <c r="W8512" s="7"/>
      <c r="X8512" s="7"/>
      <c r="Y8512" s="7"/>
      <c r="Z8512" s="7"/>
    </row>
    <row r="8513" hidden="1">
      <c r="A8513" s="7"/>
      <c r="B8513" s="7"/>
      <c r="C8513" s="7"/>
      <c r="D8513" s="7"/>
      <c r="E8513" s="7"/>
      <c r="F8513" s="7"/>
      <c r="G8513" s="7"/>
      <c r="H8513" s="8"/>
      <c r="I8513" s="8"/>
      <c r="J8513" s="7"/>
      <c r="K8513" s="7"/>
      <c r="L8513" s="7"/>
      <c r="M8513" s="7"/>
      <c r="N8513" s="7"/>
      <c r="O8513" s="7"/>
      <c r="P8513" s="7"/>
      <c r="Q8513" s="7"/>
      <c r="R8513" s="7"/>
      <c r="S8513" s="7"/>
      <c r="T8513" s="7"/>
      <c r="U8513" s="7"/>
      <c r="V8513" s="7"/>
      <c r="W8513" s="7"/>
      <c r="X8513" s="7"/>
      <c r="Y8513" s="7"/>
      <c r="Z8513" s="7"/>
    </row>
    <row r="8514" hidden="1">
      <c r="A8514" s="7"/>
      <c r="B8514" s="7"/>
      <c r="C8514" s="7"/>
      <c r="D8514" s="7"/>
      <c r="E8514" s="7"/>
      <c r="F8514" s="7"/>
      <c r="G8514" s="7"/>
      <c r="H8514" s="8"/>
      <c r="I8514" s="8"/>
      <c r="J8514" s="7"/>
      <c r="K8514" s="7"/>
      <c r="L8514" s="7"/>
      <c r="M8514" s="7"/>
      <c r="N8514" s="7"/>
      <c r="O8514" s="7"/>
      <c r="P8514" s="7"/>
      <c r="Q8514" s="7"/>
      <c r="R8514" s="7"/>
      <c r="S8514" s="7"/>
      <c r="T8514" s="7"/>
      <c r="U8514" s="7"/>
      <c r="V8514" s="7"/>
      <c r="W8514" s="7"/>
      <c r="X8514" s="7"/>
      <c r="Y8514" s="7"/>
      <c r="Z8514" s="7"/>
    </row>
    <row r="8515" hidden="1">
      <c r="A8515" s="7"/>
      <c r="B8515" s="7"/>
      <c r="C8515" s="7"/>
      <c r="D8515" s="7"/>
      <c r="E8515" s="7"/>
      <c r="F8515" s="7"/>
      <c r="G8515" s="7"/>
      <c r="H8515" s="8"/>
      <c r="I8515" s="8"/>
      <c r="J8515" s="7"/>
      <c r="K8515" s="7"/>
      <c r="L8515" s="7"/>
      <c r="M8515" s="7"/>
      <c r="N8515" s="7"/>
      <c r="O8515" s="7"/>
      <c r="P8515" s="7"/>
      <c r="Q8515" s="7"/>
      <c r="R8515" s="7"/>
      <c r="S8515" s="7"/>
      <c r="T8515" s="7"/>
      <c r="U8515" s="7"/>
      <c r="V8515" s="7"/>
      <c r="W8515" s="7"/>
      <c r="X8515" s="7"/>
      <c r="Y8515" s="7"/>
      <c r="Z8515" s="7"/>
    </row>
    <row r="8516" hidden="1">
      <c r="A8516" s="7"/>
      <c r="B8516" s="7"/>
      <c r="C8516" s="7"/>
      <c r="D8516" s="7"/>
      <c r="E8516" s="7"/>
      <c r="F8516" s="7"/>
      <c r="G8516" s="7"/>
      <c r="H8516" s="8"/>
      <c r="I8516" s="8"/>
      <c r="J8516" s="7"/>
      <c r="K8516" s="7"/>
      <c r="L8516" s="7"/>
      <c r="M8516" s="7"/>
      <c r="N8516" s="7"/>
      <c r="O8516" s="7"/>
      <c r="P8516" s="7"/>
      <c r="Q8516" s="7"/>
      <c r="R8516" s="7"/>
      <c r="S8516" s="7"/>
      <c r="T8516" s="7"/>
      <c r="U8516" s="7"/>
      <c r="V8516" s="7"/>
      <c r="W8516" s="7"/>
      <c r="X8516" s="7"/>
      <c r="Y8516" s="7"/>
      <c r="Z8516" s="7"/>
    </row>
    <row r="8517" hidden="1">
      <c r="A8517" s="7"/>
      <c r="B8517" s="7"/>
      <c r="C8517" s="7"/>
      <c r="D8517" s="7"/>
      <c r="E8517" s="7"/>
      <c r="F8517" s="7"/>
      <c r="G8517" s="7"/>
      <c r="H8517" s="8"/>
      <c r="I8517" s="8"/>
      <c r="J8517" s="7"/>
      <c r="K8517" s="7"/>
      <c r="L8517" s="7"/>
      <c r="M8517" s="7"/>
      <c r="N8517" s="7"/>
      <c r="O8517" s="7"/>
      <c r="P8517" s="7"/>
      <c r="Q8517" s="7"/>
      <c r="R8517" s="7"/>
      <c r="S8517" s="7"/>
      <c r="T8517" s="7"/>
      <c r="U8517" s="7"/>
      <c r="V8517" s="7"/>
      <c r="W8517" s="7"/>
      <c r="X8517" s="7"/>
      <c r="Y8517" s="7"/>
      <c r="Z8517" s="7"/>
    </row>
    <row r="8518" hidden="1">
      <c r="A8518" s="7"/>
      <c r="B8518" s="7"/>
      <c r="C8518" s="7"/>
      <c r="D8518" s="7"/>
      <c r="E8518" s="7"/>
      <c r="F8518" s="7"/>
      <c r="G8518" s="7"/>
      <c r="H8518" s="8"/>
      <c r="I8518" s="8"/>
      <c r="J8518" s="7"/>
      <c r="K8518" s="7"/>
      <c r="L8518" s="7"/>
      <c r="M8518" s="7"/>
      <c r="N8518" s="7"/>
      <c r="O8518" s="7"/>
      <c r="P8518" s="7"/>
      <c r="Q8518" s="7"/>
      <c r="R8518" s="7"/>
      <c r="S8518" s="7"/>
      <c r="T8518" s="7"/>
      <c r="U8518" s="7"/>
      <c r="V8518" s="7"/>
      <c r="W8518" s="7"/>
      <c r="X8518" s="7"/>
      <c r="Y8518" s="7"/>
      <c r="Z8518" s="7"/>
    </row>
    <row r="8519" hidden="1">
      <c r="A8519" s="7"/>
      <c r="B8519" s="7"/>
      <c r="C8519" s="7"/>
      <c r="D8519" s="7"/>
      <c r="E8519" s="7"/>
      <c r="F8519" s="7"/>
      <c r="G8519" s="7"/>
      <c r="H8519" s="8"/>
      <c r="I8519" s="8"/>
      <c r="J8519" s="7"/>
      <c r="K8519" s="7"/>
      <c r="L8519" s="7"/>
      <c r="M8519" s="7"/>
      <c r="N8519" s="7"/>
      <c r="O8519" s="7"/>
      <c r="P8519" s="7"/>
      <c r="Q8519" s="7"/>
      <c r="R8519" s="7"/>
      <c r="S8519" s="7"/>
      <c r="T8519" s="7"/>
      <c r="U8519" s="7"/>
      <c r="V8519" s="7"/>
      <c r="W8519" s="7"/>
      <c r="X8519" s="7"/>
      <c r="Y8519" s="7"/>
      <c r="Z8519" s="7"/>
    </row>
    <row r="8520" hidden="1">
      <c r="A8520" s="7"/>
      <c r="B8520" s="7"/>
      <c r="C8520" s="7"/>
      <c r="D8520" s="7"/>
      <c r="E8520" s="7"/>
      <c r="F8520" s="7"/>
      <c r="G8520" s="7"/>
      <c r="H8520" s="8"/>
      <c r="I8520" s="8"/>
      <c r="J8520" s="7"/>
      <c r="K8520" s="7"/>
      <c r="L8520" s="7"/>
      <c r="M8520" s="7"/>
      <c r="N8520" s="7"/>
      <c r="O8520" s="7"/>
      <c r="P8520" s="7"/>
      <c r="Q8520" s="7"/>
      <c r="R8520" s="7"/>
      <c r="S8520" s="7"/>
      <c r="T8520" s="7"/>
      <c r="U8520" s="7"/>
      <c r="V8520" s="7"/>
      <c r="W8520" s="7"/>
      <c r="X8520" s="7"/>
      <c r="Y8520" s="7"/>
      <c r="Z8520" s="7"/>
    </row>
    <row r="8521" hidden="1">
      <c r="A8521" s="7"/>
      <c r="B8521" s="7"/>
      <c r="C8521" s="7"/>
      <c r="D8521" s="7"/>
      <c r="E8521" s="7"/>
      <c r="F8521" s="7"/>
      <c r="G8521" s="7"/>
      <c r="H8521" s="8"/>
      <c r="I8521" s="8"/>
      <c r="J8521" s="7"/>
      <c r="K8521" s="7"/>
      <c r="L8521" s="7"/>
      <c r="M8521" s="7"/>
      <c r="N8521" s="7"/>
      <c r="O8521" s="7"/>
      <c r="P8521" s="7"/>
      <c r="Q8521" s="7"/>
      <c r="R8521" s="7"/>
      <c r="S8521" s="7"/>
      <c r="T8521" s="7"/>
      <c r="U8521" s="7"/>
      <c r="V8521" s="7"/>
      <c r="W8521" s="7"/>
      <c r="X8521" s="7"/>
      <c r="Y8521" s="7"/>
      <c r="Z8521" s="7"/>
    </row>
    <row r="8522" hidden="1">
      <c r="A8522" s="7"/>
      <c r="B8522" s="7"/>
      <c r="C8522" s="7"/>
      <c r="D8522" s="7"/>
      <c r="E8522" s="7"/>
      <c r="F8522" s="7"/>
      <c r="G8522" s="7"/>
      <c r="H8522" s="8"/>
      <c r="I8522" s="8"/>
      <c r="J8522" s="7"/>
      <c r="K8522" s="7"/>
      <c r="L8522" s="7"/>
      <c r="M8522" s="7"/>
      <c r="N8522" s="7"/>
      <c r="O8522" s="7"/>
      <c r="P8522" s="7"/>
      <c r="Q8522" s="7"/>
      <c r="R8522" s="7"/>
      <c r="S8522" s="7"/>
      <c r="T8522" s="7"/>
      <c r="U8522" s="7"/>
      <c r="V8522" s="7"/>
      <c r="W8522" s="7"/>
      <c r="X8522" s="7"/>
      <c r="Y8522" s="7"/>
      <c r="Z8522" s="7"/>
    </row>
    <row r="8523" hidden="1">
      <c r="A8523" s="7"/>
      <c r="B8523" s="7"/>
      <c r="C8523" s="7"/>
      <c r="D8523" s="7"/>
      <c r="E8523" s="7"/>
      <c r="F8523" s="7"/>
      <c r="G8523" s="7"/>
      <c r="H8523" s="8"/>
      <c r="I8523" s="8"/>
      <c r="J8523" s="7"/>
      <c r="K8523" s="7"/>
      <c r="L8523" s="7"/>
      <c r="M8523" s="7"/>
      <c r="N8523" s="7"/>
      <c r="O8523" s="7"/>
      <c r="P8523" s="7"/>
      <c r="Q8523" s="7"/>
      <c r="R8523" s="7"/>
      <c r="S8523" s="7"/>
      <c r="T8523" s="7"/>
      <c r="U8523" s="7"/>
      <c r="V8523" s="7"/>
      <c r="W8523" s="7"/>
      <c r="X8523" s="7"/>
      <c r="Y8523" s="7"/>
      <c r="Z8523" s="7"/>
    </row>
    <row r="8524" hidden="1">
      <c r="A8524" s="7"/>
      <c r="B8524" s="7"/>
      <c r="C8524" s="7"/>
      <c r="D8524" s="7"/>
      <c r="E8524" s="7"/>
      <c r="F8524" s="7"/>
      <c r="G8524" s="7"/>
      <c r="H8524" s="8"/>
      <c r="I8524" s="8"/>
      <c r="J8524" s="7"/>
      <c r="K8524" s="7"/>
      <c r="L8524" s="7"/>
      <c r="M8524" s="7"/>
      <c r="N8524" s="7"/>
      <c r="O8524" s="7"/>
      <c r="P8524" s="7"/>
      <c r="Q8524" s="7"/>
      <c r="R8524" s="7"/>
      <c r="S8524" s="7"/>
      <c r="T8524" s="7"/>
      <c r="U8524" s="7"/>
      <c r="V8524" s="7"/>
      <c r="W8524" s="7"/>
      <c r="X8524" s="7"/>
      <c r="Y8524" s="7"/>
      <c r="Z8524" s="7"/>
    </row>
    <row r="8525" hidden="1">
      <c r="A8525" s="7"/>
      <c r="B8525" s="7"/>
      <c r="C8525" s="7"/>
      <c r="D8525" s="7"/>
      <c r="E8525" s="7"/>
      <c r="F8525" s="7"/>
      <c r="G8525" s="7"/>
      <c r="H8525" s="8"/>
      <c r="I8525" s="8"/>
      <c r="J8525" s="7"/>
      <c r="K8525" s="7"/>
      <c r="L8525" s="7"/>
      <c r="M8525" s="7"/>
      <c r="N8525" s="7"/>
      <c r="O8525" s="7"/>
      <c r="P8525" s="7"/>
      <c r="Q8525" s="7"/>
      <c r="R8525" s="7"/>
      <c r="S8525" s="7"/>
      <c r="T8525" s="7"/>
      <c r="U8525" s="7"/>
      <c r="V8525" s="7"/>
      <c r="W8525" s="7"/>
      <c r="X8525" s="7"/>
      <c r="Y8525" s="7"/>
      <c r="Z8525" s="7"/>
    </row>
    <row r="8526" hidden="1">
      <c r="A8526" s="7"/>
      <c r="B8526" s="7"/>
      <c r="C8526" s="7"/>
      <c r="D8526" s="7"/>
      <c r="E8526" s="7"/>
      <c r="F8526" s="7"/>
      <c r="G8526" s="7"/>
      <c r="H8526" s="8"/>
      <c r="I8526" s="8"/>
      <c r="J8526" s="7"/>
      <c r="K8526" s="7"/>
      <c r="L8526" s="7"/>
      <c r="M8526" s="7"/>
      <c r="N8526" s="7"/>
      <c r="O8526" s="7"/>
      <c r="P8526" s="7"/>
      <c r="Q8526" s="7"/>
      <c r="R8526" s="7"/>
      <c r="S8526" s="7"/>
      <c r="T8526" s="7"/>
      <c r="U8526" s="7"/>
      <c r="V8526" s="7"/>
      <c r="W8526" s="7"/>
      <c r="X8526" s="7"/>
      <c r="Y8526" s="7"/>
      <c r="Z8526" s="7"/>
    </row>
    <row r="8527" hidden="1">
      <c r="A8527" s="7"/>
      <c r="B8527" s="7"/>
      <c r="C8527" s="7"/>
      <c r="D8527" s="7"/>
      <c r="E8527" s="7"/>
      <c r="F8527" s="7"/>
      <c r="G8527" s="7"/>
      <c r="H8527" s="8"/>
      <c r="I8527" s="8"/>
      <c r="J8527" s="7"/>
      <c r="K8527" s="7"/>
      <c r="L8527" s="7"/>
      <c r="M8527" s="7"/>
      <c r="N8527" s="7"/>
      <c r="O8527" s="7"/>
      <c r="P8527" s="7"/>
      <c r="Q8527" s="7"/>
      <c r="R8527" s="7"/>
      <c r="S8527" s="7"/>
      <c r="T8527" s="7"/>
      <c r="U8527" s="7"/>
      <c r="V8527" s="7"/>
      <c r="W8527" s="7"/>
      <c r="X8527" s="7"/>
      <c r="Y8527" s="7"/>
      <c r="Z8527" s="7"/>
    </row>
    <row r="8528" hidden="1">
      <c r="A8528" s="7"/>
      <c r="B8528" s="7"/>
      <c r="C8528" s="7"/>
      <c r="D8528" s="7"/>
      <c r="E8528" s="7"/>
      <c r="F8528" s="7"/>
      <c r="G8528" s="7"/>
      <c r="H8528" s="8"/>
      <c r="I8528" s="8"/>
      <c r="J8528" s="7"/>
      <c r="K8528" s="7"/>
      <c r="L8528" s="7"/>
      <c r="M8528" s="7"/>
      <c r="N8528" s="7"/>
      <c r="O8528" s="7"/>
      <c r="P8528" s="7"/>
      <c r="Q8528" s="7"/>
      <c r="R8528" s="7"/>
      <c r="S8528" s="7"/>
      <c r="T8528" s="7"/>
      <c r="U8528" s="7"/>
      <c r="V8528" s="7"/>
      <c r="W8528" s="7"/>
      <c r="X8528" s="7"/>
      <c r="Y8528" s="7"/>
      <c r="Z8528" s="7"/>
    </row>
    <row r="8529" hidden="1">
      <c r="A8529" s="7"/>
      <c r="B8529" s="7"/>
      <c r="C8529" s="7"/>
      <c r="D8529" s="7"/>
      <c r="E8529" s="7"/>
      <c r="F8529" s="7"/>
      <c r="G8529" s="7"/>
      <c r="H8529" s="8"/>
      <c r="I8529" s="8"/>
      <c r="J8529" s="7"/>
      <c r="K8529" s="7"/>
      <c r="L8529" s="7"/>
      <c r="M8529" s="7"/>
      <c r="N8529" s="7"/>
      <c r="O8529" s="7"/>
      <c r="P8529" s="7"/>
      <c r="Q8529" s="7"/>
      <c r="R8529" s="7"/>
      <c r="S8529" s="7"/>
      <c r="T8529" s="7"/>
      <c r="U8529" s="7"/>
      <c r="V8529" s="7"/>
      <c r="W8529" s="7"/>
      <c r="X8529" s="7"/>
      <c r="Y8529" s="7"/>
      <c r="Z8529" s="7"/>
    </row>
    <row r="8530" hidden="1">
      <c r="A8530" s="7"/>
      <c r="B8530" s="7"/>
      <c r="C8530" s="7"/>
      <c r="D8530" s="7"/>
      <c r="E8530" s="7"/>
      <c r="F8530" s="7"/>
      <c r="G8530" s="7"/>
      <c r="H8530" s="8"/>
      <c r="I8530" s="8"/>
      <c r="J8530" s="7"/>
      <c r="K8530" s="7"/>
      <c r="L8530" s="7"/>
      <c r="M8530" s="7"/>
      <c r="N8530" s="7"/>
      <c r="O8530" s="7"/>
      <c r="P8530" s="7"/>
      <c r="Q8530" s="7"/>
      <c r="R8530" s="7"/>
      <c r="S8530" s="7"/>
      <c r="T8530" s="7"/>
      <c r="U8530" s="7"/>
      <c r="V8530" s="7"/>
      <c r="W8530" s="7"/>
      <c r="X8530" s="7"/>
      <c r="Y8530" s="7"/>
      <c r="Z8530" s="7"/>
    </row>
    <row r="8531" hidden="1">
      <c r="A8531" s="7"/>
      <c r="B8531" s="7"/>
      <c r="C8531" s="7"/>
      <c r="D8531" s="7"/>
      <c r="E8531" s="7"/>
      <c r="F8531" s="7"/>
      <c r="G8531" s="7"/>
      <c r="H8531" s="8"/>
      <c r="I8531" s="8"/>
      <c r="J8531" s="7"/>
      <c r="K8531" s="7"/>
      <c r="L8531" s="7"/>
      <c r="M8531" s="7"/>
      <c r="N8531" s="7"/>
      <c r="O8531" s="7"/>
      <c r="P8531" s="7"/>
      <c r="Q8531" s="7"/>
      <c r="R8531" s="7"/>
      <c r="S8531" s="7"/>
      <c r="T8531" s="7"/>
      <c r="U8531" s="7"/>
      <c r="V8531" s="7"/>
      <c r="W8531" s="7"/>
      <c r="X8531" s="7"/>
      <c r="Y8531" s="7"/>
      <c r="Z8531" s="7"/>
    </row>
    <row r="8532" hidden="1">
      <c r="A8532" s="7"/>
      <c r="B8532" s="7"/>
      <c r="C8532" s="7"/>
      <c r="D8532" s="7"/>
      <c r="E8532" s="7"/>
      <c r="F8532" s="7"/>
      <c r="G8532" s="7"/>
      <c r="H8532" s="8"/>
      <c r="I8532" s="8"/>
      <c r="J8532" s="7"/>
      <c r="K8532" s="7"/>
      <c r="L8532" s="7"/>
      <c r="M8532" s="7"/>
      <c r="N8532" s="7"/>
      <c r="O8532" s="7"/>
      <c r="P8532" s="7"/>
      <c r="Q8532" s="7"/>
      <c r="R8532" s="7"/>
      <c r="S8532" s="7"/>
      <c r="T8532" s="7"/>
      <c r="U8532" s="7"/>
      <c r="V8532" s="7"/>
      <c r="W8532" s="7"/>
      <c r="X8532" s="7"/>
      <c r="Y8532" s="7"/>
      <c r="Z8532" s="7"/>
    </row>
    <row r="8533" hidden="1">
      <c r="A8533" s="7"/>
      <c r="B8533" s="7"/>
      <c r="C8533" s="7"/>
      <c r="D8533" s="7"/>
      <c r="E8533" s="7"/>
      <c r="F8533" s="7"/>
      <c r="G8533" s="7"/>
      <c r="H8533" s="8"/>
      <c r="I8533" s="8"/>
      <c r="J8533" s="7"/>
      <c r="K8533" s="7"/>
      <c r="L8533" s="7"/>
      <c r="M8533" s="7"/>
      <c r="N8533" s="7"/>
      <c r="O8533" s="7"/>
      <c r="P8533" s="7"/>
      <c r="Q8533" s="7"/>
      <c r="R8533" s="7"/>
      <c r="S8533" s="7"/>
      <c r="T8533" s="7"/>
      <c r="U8533" s="7"/>
      <c r="V8533" s="7"/>
      <c r="W8533" s="7"/>
      <c r="X8533" s="7"/>
      <c r="Y8533" s="7"/>
      <c r="Z8533" s="7"/>
    </row>
    <row r="8534" hidden="1">
      <c r="A8534" s="7"/>
      <c r="B8534" s="7"/>
      <c r="C8534" s="7"/>
      <c r="D8534" s="7"/>
      <c r="E8534" s="7"/>
      <c r="F8534" s="7"/>
      <c r="G8534" s="7"/>
      <c r="H8534" s="8"/>
      <c r="I8534" s="8"/>
      <c r="J8534" s="7"/>
      <c r="K8534" s="7"/>
      <c r="L8534" s="7"/>
      <c r="M8534" s="7"/>
      <c r="N8534" s="7"/>
      <c r="O8534" s="7"/>
      <c r="P8534" s="7"/>
      <c r="Q8534" s="7"/>
      <c r="R8534" s="7"/>
      <c r="S8534" s="7"/>
      <c r="T8534" s="7"/>
      <c r="U8534" s="7"/>
      <c r="V8534" s="7"/>
      <c r="W8534" s="7"/>
      <c r="X8534" s="7"/>
      <c r="Y8534" s="7"/>
      <c r="Z8534" s="7"/>
    </row>
    <row r="8535" hidden="1">
      <c r="A8535" s="7"/>
      <c r="B8535" s="7"/>
      <c r="C8535" s="7"/>
      <c r="D8535" s="7"/>
      <c r="E8535" s="7"/>
      <c r="F8535" s="7"/>
      <c r="G8535" s="7"/>
      <c r="H8535" s="8"/>
      <c r="I8535" s="8"/>
      <c r="J8535" s="7"/>
      <c r="K8535" s="7"/>
      <c r="L8535" s="7"/>
      <c r="M8535" s="7"/>
      <c r="N8535" s="7"/>
      <c r="O8535" s="7"/>
      <c r="P8535" s="7"/>
      <c r="Q8535" s="7"/>
      <c r="R8535" s="7"/>
      <c r="S8535" s="7"/>
      <c r="T8535" s="7"/>
      <c r="U8535" s="7"/>
      <c r="V8535" s="7"/>
      <c r="W8535" s="7"/>
      <c r="X8535" s="7"/>
      <c r="Y8535" s="7"/>
      <c r="Z8535" s="7"/>
    </row>
    <row r="8536" hidden="1">
      <c r="A8536" s="7"/>
      <c r="B8536" s="7"/>
      <c r="C8536" s="7"/>
      <c r="D8536" s="7"/>
      <c r="E8536" s="7"/>
      <c r="F8536" s="7"/>
      <c r="G8536" s="7"/>
      <c r="H8536" s="8"/>
      <c r="I8536" s="8"/>
      <c r="J8536" s="7"/>
      <c r="K8536" s="7"/>
      <c r="L8536" s="7"/>
      <c r="M8536" s="7"/>
      <c r="N8536" s="7"/>
      <c r="O8536" s="7"/>
      <c r="P8536" s="7"/>
      <c r="Q8536" s="7"/>
      <c r="R8536" s="7"/>
      <c r="S8536" s="7"/>
      <c r="T8536" s="7"/>
      <c r="U8536" s="7"/>
      <c r="V8536" s="7"/>
      <c r="W8536" s="7"/>
      <c r="X8536" s="7"/>
      <c r="Y8536" s="7"/>
      <c r="Z8536" s="7"/>
    </row>
    <row r="8537" hidden="1">
      <c r="A8537" s="7"/>
      <c r="B8537" s="7"/>
      <c r="C8537" s="7"/>
      <c r="D8537" s="7"/>
      <c r="E8537" s="7"/>
      <c r="F8537" s="7"/>
      <c r="G8537" s="7"/>
      <c r="H8537" s="8"/>
      <c r="I8537" s="8"/>
      <c r="J8537" s="7"/>
      <c r="K8537" s="7"/>
      <c r="L8537" s="7"/>
      <c r="M8537" s="7"/>
      <c r="N8537" s="7"/>
      <c r="O8537" s="7"/>
      <c r="P8537" s="7"/>
      <c r="Q8537" s="7"/>
      <c r="R8537" s="7"/>
      <c r="S8537" s="7"/>
      <c r="T8537" s="7"/>
      <c r="U8537" s="7"/>
      <c r="V8537" s="7"/>
      <c r="W8537" s="7"/>
      <c r="X8537" s="7"/>
      <c r="Y8537" s="7"/>
      <c r="Z8537" s="7"/>
    </row>
    <row r="8538" hidden="1">
      <c r="A8538" s="7"/>
      <c r="B8538" s="7"/>
      <c r="C8538" s="7"/>
      <c r="D8538" s="7"/>
      <c r="E8538" s="7"/>
      <c r="F8538" s="7"/>
      <c r="G8538" s="7"/>
      <c r="H8538" s="8"/>
      <c r="I8538" s="8"/>
      <c r="J8538" s="7"/>
      <c r="K8538" s="7"/>
      <c r="L8538" s="7"/>
      <c r="M8538" s="7"/>
      <c r="N8538" s="7"/>
      <c r="O8538" s="7"/>
      <c r="P8538" s="7"/>
      <c r="Q8538" s="7"/>
      <c r="R8538" s="7"/>
      <c r="S8538" s="7"/>
      <c r="T8538" s="7"/>
      <c r="U8538" s="7"/>
      <c r="V8538" s="7"/>
      <c r="W8538" s="7"/>
      <c r="X8538" s="7"/>
      <c r="Y8538" s="7"/>
      <c r="Z8538" s="7"/>
    </row>
    <row r="8539" hidden="1">
      <c r="A8539" s="7"/>
      <c r="B8539" s="7"/>
      <c r="C8539" s="7"/>
      <c r="D8539" s="7"/>
      <c r="E8539" s="7"/>
      <c r="F8539" s="7"/>
      <c r="G8539" s="7"/>
      <c r="H8539" s="8"/>
      <c r="I8539" s="8"/>
      <c r="J8539" s="7"/>
      <c r="K8539" s="7"/>
      <c r="L8539" s="7"/>
      <c r="M8539" s="7"/>
      <c r="N8539" s="7"/>
      <c r="O8539" s="7"/>
      <c r="P8539" s="7"/>
      <c r="Q8539" s="7"/>
      <c r="R8539" s="7"/>
      <c r="S8539" s="7"/>
      <c r="T8539" s="7"/>
      <c r="U8539" s="7"/>
      <c r="V8539" s="7"/>
      <c r="W8539" s="7"/>
      <c r="X8539" s="7"/>
      <c r="Y8539" s="7"/>
      <c r="Z8539" s="7"/>
    </row>
    <row r="8540" hidden="1">
      <c r="A8540" s="7"/>
      <c r="B8540" s="7"/>
      <c r="C8540" s="7"/>
      <c r="D8540" s="7"/>
      <c r="E8540" s="7"/>
      <c r="F8540" s="7"/>
      <c r="G8540" s="7"/>
      <c r="H8540" s="8"/>
      <c r="I8540" s="8"/>
      <c r="J8540" s="7"/>
      <c r="K8540" s="7"/>
      <c r="L8540" s="7"/>
      <c r="M8540" s="7"/>
      <c r="N8540" s="7"/>
      <c r="O8540" s="7"/>
      <c r="P8540" s="7"/>
      <c r="Q8540" s="7"/>
      <c r="R8540" s="7"/>
      <c r="S8540" s="7"/>
      <c r="T8540" s="7"/>
      <c r="U8540" s="7"/>
      <c r="V8540" s="7"/>
      <c r="W8540" s="7"/>
      <c r="X8540" s="7"/>
      <c r="Y8540" s="7"/>
      <c r="Z8540" s="7"/>
    </row>
    <row r="8541" hidden="1">
      <c r="A8541" s="7"/>
      <c r="B8541" s="7"/>
      <c r="C8541" s="7"/>
      <c r="D8541" s="7"/>
      <c r="E8541" s="7"/>
      <c r="F8541" s="7"/>
      <c r="G8541" s="7"/>
      <c r="H8541" s="8"/>
      <c r="I8541" s="8"/>
      <c r="J8541" s="7"/>
      <c r="K8541" s="7"/>
      <c r="L8541" s="7"/>
      <c r="M8541" s="7"/>
      <c r="N8541" s="7"/>
      <c r="O8541" s="7"/>
      <c r="P8541" s="7"/>
      <c r="Q8541" s="7"/>
      <c r="R8541" s="7"/>
      <c r="S8541" s="7"/>
      <c r="T8541" s="7"/>
      <c r="U8541" s="7"/>
      <c r="V8541" s="7"/>
      <c r="W8541" s="7"/>
      <c r="X8541" s="7"/>
      <c r="Y8541" s="7"/>
      <c r="Z8541" s="7"/>
    </row>
    <row r="8542" hidden="1">
      <c r="A8542" s="7"/>
      <c r="B8542" s="7"/>
      <c r="C8542" s="7"/>
      <c r="D8542" s="7"/>
      <c r="E8542" s="7"/>
      <c r="F8542" s="7"/>
      <c r="G8542" s="7"/>
      <c r="H8542" s="8"/>
      <c r="I8542" s="8"/>
      <c r="J8542" s="7"/>
      <c r="K8542" s="7"/>
      <c r="L8542" s="7"/>
      <c r="M8542" s="7"/>
      <c r="N8542" s="7"/>
      <c r="O8542" s="7"/>
      <c r="P8542" s="7"/>
      <c r="Q8542" s="7"/>
      <c r="R8542" s="7"/>
      <c r="S8542" s="7"/>
      <c r="T8542" s="7"/>
      <c r="U8542" s="7"/>
      <c r="V8542" s="7"/>
      <c r="W8542" s="7"/>
      <c r="X8542" s="7"/>
      <c r="Y8542" s="7"/>
      <c r="Z8542" s="7"/>
    </row>
    <row r="8543" hidden="1">
      <c r="A8543" s="7"/>
      <c r="B8543" s="7"/>
      <c r="C8543" s="7"/>
      <c r="D8543" s="7"/>
      <c r="E8543" s="7"/>
      <c r="F8543" s="7"/>
      <c r="G8543" s="7"/>
      <c r="H8543" s="8"/>
      <c r="I8543" s="8"/>
      <c r="J8543" s="7"/>
      <c r="K8543" s="7"/>
      <c r="L8543" s="7"/>
      <c r="M8543" s="7"/>
      <c r="N8543" s="7"/>
      <c r="O8543" s="7"/>
      <c r="P8543" s="7"/>
      <c r="Q8543" s="7"/>
      <c r="R8543" s="7"/>
      <c r="S8543" s="7"/>
      <c r="T8543" s="7"/>
      <c r="U8543" s="7"/>
      <c r="V8543" s="7"/>
      <c r="W8543" s="7"/>
      <c r="X8543" s="7"/>
      <c r="Y8543" s="7"/>
      <c r="Z8543" s="7"/>
    </row>
    <row r="8544" hidden="1">
      <c r="A8544" s="7"/>
      <c r="B8544" s="7"/>
      <c r="C8544" s="7"/>
      <c r="D8544" s="7"/>
      <c r="E8544" s="7"/>
      <c r="F8544" s="7"/>
      <c r="G8544" s="7"/>
      <c r="H8544" s="8"/>
      <c r="I8544" s="8"/>
      <c r="J8544" s="7"/>
      <c r="K8544" s="7"/>
      <c r="L8544" s="7"/>
      <c r="M8544" s="7"/>
      <c r="N8544" s="7"/>
      <c r="O8544" s="7"/>
      <c r="P8544" s="7"/>
      <c r="Q8544" s="7"/>
      <c r="R8544" s="7"/>
      <c r="S8544" s="7"/>
      <c r="T8544" s="7"/>
      <c r="U8544" s="7"/>
      <c r="V8544" s="7"/>
      <c r="W8544" s="7"/>
      <c r="X8544" s="7"/>
      <c r="Y8544" s="7"/>
      <c r="Z8544" s="7"/>
    </row>
    <row r="8545" hidden="1">
      <c r="A8545" s="7"/>
      <c r="B8545" s="7"/>
      <c r="C8545" s="7"/>
      <c r="D8545" s="7"/>
      <c r="E8545" s="7"/>
      <c r="F8545" s="7"/>
      <c r="G8545" s="7"/>
      <c r="H8545" s="8"/>
      <c r="I8545" s="8"/>
      <c r="J8545" s="7"/>
      <c r="K8545" s="7"/>
      <c r="L8545" s="7"/>
      <c r="M8545" s="7"/>
      <c r="N8545" s="7"/>
      <c r="O8545" s="7"/>
      <c r="P8545" s="7"/>
      <c r="Q8545" s="7"/>
      <c r="R8545" s="7"/>
      <c r="S8545" s="7"/>
      <c r="T8545" s="7"/>
      <c r="U8545" s="7"/>
      <c r="V8545" s="7"/>
      <c r="W8545" s="7"/>
      <c r="X8545" s="7"/>
      <c r="Y8545" s="7"/>
      <c r="Z8545" s="7"/>
    </row>
    <row r="8546" hidden="1">
      <c r="A8546" s="7"/>
      <c r="B8546" s="7"/>
      <c r="C8546" s="7"/>
      <c r="D8546" s="7"/>
      <c r="E8546" s="7"/>
      <c r="F8546" s="7"/>
      <c r="G8546" s="7"/>
      <c r="H8546" s="8"/>
      <c r="I8546" s="8"/>
      <c r="J8546" s="7"/>
      <c r="K8546" s="7"/>
      <c r="L8546" s="7"/>
      <c r="M8546" s="7"/>
      <c r="N8546" s="7"/>
      <c r="O8546" s="7"/>
      <c r="P8546" s="7"/>
      <c r="Q8546" s="7"/>
      <c r="R8546" s="7"/>
      <c r="S8546" s="7"/>
      <c r="T8546" s="7"/>
      <c r="U8546" s="7"/>
      <c r="V8546" s="7"/>
      <c r="W8546" s="7"/>
      <c r="X8546" s="7"/>
      <c r="Y8546" s="7"/>
      <c r="Z8546" s="7"/>
    </row>
    <row r="8547" hidden="1">
      <c r="A8547" s="7"/>
      <c r="B8547" s="7"/>
      <c r="C8547" s="7"/>
      <c r="D8547" s="7"/>
      <c r="E8547" s="7"/>
      <c r="F8547" s="7"/>
      <c r="G8547" s="7"/>
      <c r="H8547" s="8"/>
      <c r="I8547" s="8"/>
      <c r="J8547" s="7"/>
      <c r="K8547" s="7"/>
      <c r="L8547" s="7"/>
      <c r="M8547" s="7"/>
      <c r="N8547" s="7"/>
      <c r="O8547" s="7"/>
      <c r="P8547" s="7"/>
      <c r="Q8547" s="7"/>
      <c r="R8547" s="7"/>
      <c r="S8547" s="7"/>
      <c r="T8547" s="7"/>
      <c r="U8547" s="7"/>
      <c r="V8547" s="7"/>
      <c r="W8547" s="7"/>
      <c r="X8547" s="7"/>
      <c r="Y8547" s="7"/>
      <c r="Z8547" s="7"/>
    </row>
    <row r="8548" hidden="1">
      <c r="A8548" s="7"/>
      <c r="B8548" s="7"/>
      <c r="C8548" s="7"/>
      <c r="D8548" s="7"/>
      <c r="E8548" s="7"/>
      <c r="F8548" s="7"/>
      <c r="G8548" s="7"/>
      <c r="H8548" s="8"/>
      <c r="I8548" s="8"/>
      <c r="J8548" s="7"/>
      <c r="K8548" s="7"/>
      <c r="L8548" s="7"/>
      <c r="M8548" s="7"/>
      <c r="N8548" s="7"/>
      <c r="O8548" s="7"/>
      <c r="P8548" s="7"/>
      <c r="Q8548" s="7"/>
      <c r="R8548" s="7"/>
      <c r="S8548" s="7"/>
      <c r="T8548" s="7"/>
      <c r="U8548" s="7"/>
      <c r="V8548" s="7"/>
      <c r="W8548" s="7"/>
      <c r="X8548" s="7"/>
      <c r="Y8548" s="7"/>
      <c r="Z8548" s="7"/>
    </row>
    <row r="8549" hidden="1">
      <c r="A8549" s="7"/>
      <c r="B8549" s="7"/>
      <c r="C8549" s="7"/>
      <c r="D8549" s="7"/>
      <c r="E8549" s="7"/>
      <c r="F8549" s="7"/>
      <c r="G8549" s="7"/>
      <c r="H8549" s="8"/>
      <c r="I8549" s="8"/>
      <c r="J8549" s="7"/>
      <c r="K8549" s="7"/>
      <c r="L8549" s="7"/>
      <c r="M8549" s="7"/>
      <c r="N8549" s="7"/>
      <c r="O8549" s="7"/>
      <c r="P8549" s="7"/>
      <c r="Q8549" s="7"/>
      <c r="R8549" s="7"/>
      <c r="S8549" s="7"/>
      <c r="T8549" s="7"/>
      <c r="U8549" s="7"/>
      <c r="V8549" s="7"/>
      <c r="W8549" s="7"/>
      <c r="X8549" s="7"/>
      <c r="Y8549" s="7"/>
      <c r="Z8549" s="7"/>
    </row>
    <row r="8550" hidden="1">
      <c r="A8550" s="7"/>
      <c r="B8550" s="7"/>
      <c r="C8550" s="7"/>
      <c r="D8550" s="7"/>
      <c r="E8550" s="7"/>
      <c r="F8550" s="7"/>
      <c r="G8550" s="7"/>
      <c r="H8550" s="8"/>
      <c r="I8550" s="8"/>
      <c r="J8550" s="7"/>
      <c r="K8550" s="7"/>
      <c r="L8550" s="7"/>
      <c r="M8550" s="7"/>
      <c r="N8550" s="7"/>
      <c r="O8550" s="7"/>
      <c r="P8550" s="7"/>
      <c r="Q8550" s="7"/>
      <c r="R8550" s="7"/>
      <c r="S8550" s="7"/>
      <c r="T8550" s="7"/>
      <c r="U8550" s="7"/>
      <c r="V8550" s="7"/>
      <c r="W8550" s="7"/>
      <c r="X8550" s="7"/>
      <c r="Y8550" s="7"/>
      <c r="Z8550" s="7"/>
    </row>
    <row r="8551" hidden="1">
      <c r="A8551" s="7"/>
      <c r="B8551" s="7"/>
      <c r="C8551" s="7"/>
      <c r="D8551" s="7"/>
      <c r="E8551" s="7"/>
      <c r="F8551" s="7"/>
      <c r="G8551" s="7"/>
      <c r="H8551" s="8"/>
      <c r="I8551" s="8"/>
      <c r="J8551" s="7"/>
      <c r="K8551" s="7"/>
      <c r="L8551" s="7"/>
      <c r="M8551" s="7"/>
      <c r="N8551" s="7"/>
      <c r="O8551" s="7"/>
      <c r="P8551" s="7"/>
      <c r="Q8551" s="7"/>
      <c r="R8551" s="7"/>
      <c r="S8551" s="7"/>
      <c r="T8551" s="7"/>
      <c r="U8551" s="7"/>
      <c r="V8551" s="7"/>
      <c r="W8551" s="7"/>
      <c r="X8551" s="7"/>
      <c r="Y8551" s="7"/>
      <c r="Z8551" s="7"/>
    </row>
    <row r="8552" hidden="1">
      <c r="A8552" s="7"/>
      <c r="B8552" s="7"/>
      <c r="C8552" s="7"/>
      <c r="D8552" s="7"/>
      <c r="E8552" s="7"/>
      <c r="F8552" s="7"/>
      <c r="G8552" s="7"/>
      <c r="H8552" s="8"/>
      <c r="I8552" s="8"/>
      <c r="J8552" s="7"/>
      <c r="K8552" s="7"/>
      <c r="L8552" s="7"/>
      <c r="M8552" s="7"/>
      <c r="N8552" s="7"/>
      <c r="O8552" s="7"/>
      <c r="P8552" s="7"/>
      <c r="Q8552" s="7"/>
      <c r="R8552" s="7"/>
      <c r="S8552" s="7"/>
      <c r="T8552" s="7"/>
      <c r="U8552" s="7"/>
      <c r="V8552" s="7"/>
      <c r="W8552" s="7"/>
      <c r="X8552" s="7"/>
      <c r="Y8552" s="7"/>
      <c r="Z8552" s="7"/>
    </row>
    <row r="8553" hidden="1">
      <c r="A8553" s="7"/>
      <c r="B8553" s="7"/>
      <c r="C8553" s="7"/>
      <c r="D8553" s="7"/>
      <c r="E8553" s="7"/>
      <c r="F8553" s="7"/>
      <c r="G8553" s="7"/>
      <c r="H8553" s="8"/>
      <c r="I8553" s="8"/>
      <c r="J8553" s="7"/>
      <c r="K8553" s="7"/>
      <c r="L8553" s="7"/>
      <c r="M8553" s="7"/>
      <c r="N8553" s="7"/>
      <c r="O8553" s="7"/>
      <c r="P8553" s="7"/>
      <c r="Q8553" s="7"/>
      <c r="R8553" s="7"/>
      <c r="S8553" s="7"/>
      <c r="T8553" s="7"/>
      <c r="U8553" s="7"/>
      <c r="V8553" s="7"/>
      <c r="W8553" s="7"/>
      <c r="X8553" s="7"/>
      <c r="Y8553" s="7"/>
      <c r="Z8553" s="7"/>
    </row>
    <row r="8554" hidden="1">
      <c r="A8554" s="7"/>
      <c r="B8554" s="7"/>
      <c r="C8554" s="7"/>
      <c r="D8554" s="7"/>
      <c r="E8554" s="7"/>
      <c r="F8554" s="7"/>
      <c r="G8554" s="7"/>
      <c r="H8554" s="8"/>
      <c r="I8554" s="8"/>
      <c r="J8554" s="7"/>
      <c r="K8554" s="7"/>
      <c r="L8554" s="7"/>
      <c r="M8554" s="7"/>
      <c r="N8554" s="7"/>
      <c r="O8554" s="7"/>
      <c r="P8554" s="7"/>
      <c r="Q8554" s="7"/>
      <c r="R8554" s="7"/>
      <c r="S8554" s="7"/>
      <c r="T8554" s="7"/>
      <c r="U8554" s="7"/>
      <c r="V8554" s="7"/>
      <c r="W8554" s="7"/>
      <c r="X8554" s="7"/>
      <c r="Y8554" s="7"/>
      <c r="Z8554" s="7"/>
    </row>
    <row r="8555" hidden="1">
      <c r="A8555" s="7"/>
      <c r="B8555" s="7"/>
      <c r="C8555" s="7"/>
      <c r="D8555" s="7"/>
      <c r="E8555" s="7"/>
      <c r="F8555" s="7"/>
      <c r="G8555" s="7"/>
      <c r="H8555" s="8"/>
      <c r="I8555" s="8"/>
      <c r="J8555" s="7"/>
      <c r="K8555" s="7"/>
      <c r="L8555" s="7"/>
      <c r="M8555" s="7"/>
      <c r="N8555" s="7"/>
      <c r="O8555" s="7"/>
      <c r="P8555" s="7"/>
      <c r="Q8555" s="7"/>
      <c r="R8555" s="7"/>
      <c r="S8555" s="7"/>
      <c r="T8555" s="7"/>
      <c r="U8555" s="7"/>
      <c r="V8555" s="7"/>
      <c r="W8555" s="7"/>
      <c r="X8555" s="7"/>
      <c r="Y8555" s="7"/>
      <c r="Z8555" s="7"/>
    </row>
    <row r="8556" hidden="1">
      <c r="A8556" s="7"/>
      <c r="B8556" s="7"/>
      <c r="C8556" s="7"/>
      <c r="D8556" s="7"/>
      <c r="E8556" s="7"/>
      <c r="F8556" s="7"/>
      <c r="G8556" s="7"/>
      <c r="H8556" s="8"/>
      <c r="I8556" s="8"/>
      <c r="J8556" s="7"/>
      <c r="K8556" s="7"/>
      <c r="L8556" s="7"/>
      <c r="M8556" s="7"/>
      <c r="N8556" s="7"/>
      <c r="O8556" s="7"/>
      <c r="P8556" s="7"/>
      <c r="Q8556" s="7"/>
      <c r="R8556" s="7"/>
      <c r="S8556" s="7"/>
      <c r="T8556" s="7"/>
      <c r="U8556" s="7"/>
      <c r="V8556" s="7"/>
      <c r="W8556" s="7"/>
      <c r="X8556" s="7"/>
      <c r="Y8556" s="7"/>
      <c r="Z8556" s="7"/>
    </row>
    <row r="8557" hidden="1">
      <c r="A8557" s="7"/>
      <c r="B8557" s="7"/>
      <c r="C8557" s="7"/>
      <c r="D8557" s="7"/>
      <c r="E8557" s="7"/>
      <c r="F8557" s="7"/>
      <c r="G8557" s="7"/>
      <c r="H8557" s="8"/>
      <c r="I8557" s="8"/>
      <c r="J8557" s="7"/>
      <c r="K8557" s="7"/>
      <c r="L8557" s="7"/>
      <c r="M8557" s="7"/>
      <c r="N8557" s="7"/>
      <c r="O8557" s="7"/>
      <c r="P8557" s="7"/>
      <c r="Q8557" s="7"/>
      <c r="R8557" s="7"/>
      <c r="S8557" s="7"/>
      <c r="T8557" s="7"/>
      <c r="U8557" s="7"/>
      <c r="V8557" s="7"/>
      <c r="W8557" s="7"/>
      <c r="X8557" s="7"/>
      <c r="Y8557" s="7"/>
      <c r="Z8557" s="7"/>
    </row>
    <row r="8558" hidden="1">
      <c r="A8558" s="7"/>
      <c r="B8558" s="7"/>
      <c r="C8558" s="7"/>
      <c r="D8558" s="7"/>
      <c r="E8558" s="7"/>
      <c r="F8558" s="7"/>
      <c r="G8558" s="7"/>
      <c r="H8558" s="8"/>
      <c r="I8558" s="8"/>
      <c r="J8558" s="7"/>
      <c r="K8558" s="7"/>
      <c r="L8558" s="7"/>
      <c r="M8558" s="7"/>
      <c r="N8558" s="7"/>
      <c r="O8558" s="7"/>
      <c r="P8558" s="7"/>
      <c r="Q8558" s="7"/>
      <c r="R8558" s="7"/>
      <c r="S8558" s="7"/>
      <c r="T8558" s="7"/>
      <c r="U8558" s="7"/>
      <c r="V8558" s="7"/>
      <c r="W8558" s="7"/>
      <c r="X8558" s="7"/>
      <c r="Y8558" s="7"/>
      <c r="Z8558" s="7"/>
    </row>
    <row r="8559" hidden="1">
      <c r="A8559" s="7"/>
      <c r="B8559" s="7"/>
      <c r="C8559" s="7"/>
      <c r="D8559" s="7"/>
      <c r="E8559" s="7"/>
      <c r="F8559" s="7"/>
      <c r="G8559" s="7"/>
      <c r="H8559" s="8"/>
      <c r="I8559" s="8"/>
      <c r="J8559" s="7"/>
      <c r="K8559" s="7"/>
      <c r="L8559" s="7"/>
      <c r="M8559" s="7"/>
      <c r="N8559" s="7"/>
      <c r="O8559" s="7"/>
      <c r="P8559" s="7"/>
      <c r="Q8559" s="7"/>
      <c r="R8559" s="7"/>
      <c r="S8559" s="7"/>
      <c r="T8559" s="7"/>
      <c r="U8559" s="7"/>
      <c r="V8559" s="7"/>
      <c r="W8559" s="7"/>
      <c r="X8559" s="7"/>
      <c r="Y8559" s="7"/>
      <c r="Z8559" s="7"/>
    </row>
    <row r="8560" hidden="1">
      <c r="A8560" s="7"/>
      <c r="B8560" s="7"/>
      <c r="C8560" s="7"/>
      <c r="D8560" s="7"/>
      <c r="E8560" s="7"/>
      <c r="F8560" s="7"/>
      <c r="G8560" s="7"/>
      <c r="H8560" s="8"/>
      <c r="I8560" s="8"/>
      <c r="J8560" s="7"/>
      <c r="K8560" s="7"/>
      <c r="L8560" s="7"/>
      <c r="M8560" s="7"/>
      <c r="N8560" s="7"/>
      <c r="O8560" s="7"/>
      <c r="P8560" s="7"/>
      <c r="Q8560" s="7"/>
      <c r="R8560" s="7"/>
      <c r="S8560" s="7"/>
      <c r="T8560" s="7"/>
      <c r="U8560" s="7"/>
      <c r="V8560" s="7"/>
      <c r="W8560" s="7"/>
      <c r="X8560" s="7"/>
      <c r="Y8560" s="7"/>
      <c r="Z8560" s="7"/>
    </row>
    <row r="8561" hidden="1">
      <c r="A8561" s="7"/>
      <c r="B8561" s="7"/>
      <c r="C8561" s="7"/>
      <c r="D8561" s="7"/>
      <c r="E8561" s="7"/>
      <c r="F8561" s="7"/>
      <c r="G8561" s="7"/>
      <c r="H8561" s="8"/>
      <c r="I8561" s="8"/>
      <c r="J8561" s="7"/>
      <c r="K8561" s="7"/>
      <c r="L8561" s="7"/>
      <c r="M8561" s="7"/>
      <c r="N8561" s="7"/>
      <c r="O8561" s="7"/>
      <c r="P8561" s="7"/>
      <c r="Q8561" s="7"/>
      <c r="R8561" s="7"/>
      <c r="S8561" s="7"/>
      <c r="T8561" s="7"/>
      <c r="U8561" s="7"/>
      <c r="V8561" s="7"/>
      <c r="W8561" s="7"/>
      <c r="X8561" s="7"/>
      <c r="Y8561" s="7"/>
      <c r="Z8561" s="7"/>
    </row>
    <row r="8562" hidden="1">
      <c r="A8562" s="7"/>
      <c r="B8562" s="7"/>
      <c r="C8562" s="7"/>
      <c r="D8562" s="7"/>
      <c r="E8562" s="7"/>
      <c r="F8562" s="7"/>
      <c r="G8562" s="7"/>
      <c r="H8562" s="8"/>
      <c r="I8562" s="8"/>
      <c r="J8562" s="7"/>
      <c r="K8562" s="7"/>
      <c r="L8562" s="7"/>
      <c r="M8562" s="7"/>
      <c r="N8562" s="7"/>
      <c r="O8562" s="7"/>
      <c r="P8562" s="7"/>
      <c r="Q8562" s="7"/>
      <c r="R8562" s="7"/>
      <c r="S8562" s="7"/>
      <c r="T8562" s="7"/>
      <c r="U8562" s="7"/>
      <c r="V8562" s="7"/>
      <c r="W8562" s="7"/>
      <c r="X8562" s="7"/>
      <c r="Y8562" s="7"/>
      <c r="Z8562" s="7"/>
    </row>
    <row r="8563" hidden="1">
      <c r="A8563" s="7"/>
      <c r="B8563" s="7"/>
      <c r="C8563" s="7"/>
      <c r="D8563" s="7"/>
      <c r="E8563" s="7"/>
      <c r="F8563" s="7"/>
      <c r="G8563" s="7"/>
      <c r="H8563" s="8"/>
      <c r="I8563" s="8"/>
      <c r="J8563" s="7"/>
      <c r="K8563" s="7"/>
      <c r="L8563" s="7"/>
      <c r="M8563" s="7"/>
      <c r="N8563" s="7"/>
      <c r="O8563" s="7"/>
      <c r="P8563" s="7"/>
      <c r="Q8563" s="7"/>
      <c r="R8563" s="7"/>
      <c r="S8563" s="7"/>
      <c r="T8563" s="7"/>
      <c r="U8563" s="7"/>
      <c r="V8563" s="7"/>
      <c r="W8563" s="7"/>
      <c r="X8563" s="7"/>
      <c r="Y8563" s="7"/>
      <c r="Z8563" s="7"/>
    </row>
    <row r="8564" hidden="1">
      <c r="A8564" s="7"/>
      <c r="B8564" s="7"/>
      <c r="C8564" s="7"/>
      <c r="D8564" s="7"/>
      <c r="E8564" s="7"/>
      <c r="F8564" s="7"/>
      <c r="G8564" s="7"/>
      <c r="H8564" s="8"/>
      <c r="I8564" s="8"/>
      <c r="J8564" s="7"/>
      <c r="K8564" s="7"/>
      <c r="L8564" s="7"/>
      <c r="M8564" s="7"/>
      <c r="N8564" s="7"/>
      <c r="O8564" s="7"/>
      <c r="P8564" s="7"/>
      <c r="Q8564" s="7"/>
      <c r="R8564" s="7"/>
      <c r="S8564" s="7"/>
      <c r="T8564" s="7"/>
      <c r="U8564" s="7"/>
      <c r="V8564" s="7"/>
      <c r="W8564" s="7"/>
      <c r="X8564" s="7"/>
      <c r="Y8564" s="7"/>
      <c r="Z8564" s="7"/>
    </row>
    <row r="8565" hidden="1">
      <c r="A8565" s="7"/>
      <c r="B8565" s="7"/>
      <c r="C8565" s="7"/>
      <c r="D8565" s="7"/>
      <c r="E8565" s="7"/>
      <c r="F8565" s="7"/>
      <c r="G8565" s="7"/>
      <c r="H8565" s="8"/>
      <c r="I8565" s="8"/>
      <c r="J8565" s="7"/>
      <c r="K8565" s="7"/>
      <c r="L8565" s="7"/>
      <c r="M8565" s="7"/>
      <c r="N8565" s="7"/>
      <c r="O8565" s="7"/>
      <c r="P8565" s="7"/>
      <c r="Q8565" s="7"/>
      <c r="R8565" s="7"/>
      <c r="S8565" s="7"/>
      <c r="T8565" s="7"/>
      <c r="U8565" s="7"/>
      <c r="V8565" s="7"/>
      <c r="W8565" s="7"/>
      <c r="X8565" s="7"/>
      <c r="Y8565" s="7"/>
      <c r="Z8565" s="7"/>
    </row>
    <row r="8566" hidden="1">
      <c r="A8566" s="7"/>
      <c r="B8566" s="7"/>
      <c r="C8566" s="7"/>
      <c r="D8566" s="7"/>
      <c r="E8566" s="7"/>
      <c r="F8566" s="7"/>
      <c r="G8566" s="7"/>
      <c r="H8566" s="8"/>
      <c r="I8566" s="8"/>
      <c r="J8566" s="7"/>
      <c r="K8566" s="7"/>
      <c r="L8566" s="7"/>
      <c r="M8566" s="7"/>
      <c r="N8566" s="7"/>
      <c r="O8566" s="7"/>
      <c r="P8566" s="7"/>
      <c r="Q8566" s="7"/>
      <c r="R8566" s="7"/>
      <c r="S8566" s="7"/>
      <c r="T8566" s="7"/>
      <c r="U8566" s="7"/>
      <c r="V8566" s="7"/>
      <c r="W8566" s="7"/>
      <c r="X8566" s="7"/>
      <c r="Y8566" s="7"/>
      <c r="Z8566" s="7"/>
    </row>
    <row r="8567" hidden="1">
      <c r="A8567" s="7"/>
      <c r="B8567" s="7"/>
      <c r="C8567" s="7"/>
      <c r="D8567" s="7"/>
      <c r="E8567" s="7"/>
      <c r="F8567" s="7"/>
      <c r="G8567" s="7"/>
      <c r="H8567" s="8"/>
      <c r="I8567" s="8"/>
      <c r="J8567" s="7"/>
      <c r="K8567" s="7"/>
      <c r="L8567" s="7"/>
      <c r="M8567" s="7"/>
      <c r="N8567" s="7"/>
      <c r="O8567" s="7"/>
      <c r="P8567" s="7"/>
      <c r="Q8567" s="7"/>
      <c r="R8567" s="7"/>
      <c r="S8567" s="7"/>
      <c r="T8567" s="7"/>
      <c r="U8567" s="7"/>
      <c r="V8567" s="7"/>
      <c r="W8567" s="7"/>
      <c r="X8567" s="7"/>
      <c r="Y8567" s="7"/>
      <c r="Z8567" s="7"/>
    </row>
    <row r="8568" hidden="1">
      <c r="A8568" s="7"/>
      <c r="B8568" s="7"/>
      <c r="C8568" s="7"/>
      <c r="D8568" s="7"/>
      <c r="E8568" s="7"/>
      <c r="F8568" s="7"/>
      <c r="G8568" s="7"/>
      <c r="H8568" s="8"/>
      <c r="I8568" s="8"/>
      <c r="J8568" s="7"/>
      <c r="K8568" s="7"/>
      <c r="L8568" s="7"/>
      <c r="M8568" s="7"/>
      <c r="N8568" s="7"/>
      <c r="O8568" s="7"/>
      <c r="P8568" s="7"/>
      <c r="Q8568" s="7"/>
      <c r="R8568" s="7"/>
      <c r="S8568" s="7"/>
      <c r="T8568" s="7"/>
      <c r="U8568" s="7"/>
      <c r="V8568" s="7"/>
      <c r="W8568" s="7"/>
      <c r="X8568" s="7"/>
      <c r="Y8568" s="7"/>
      <c r="Z8568" s="7"/>
    </row>
    <row r="8569" hidden="1">
      <c r="A8569" s="7"/>
      <c r="B8569" s="7"/>
      <c r="C8569" s="7"/>
      <c r="D8569" s="7"/>
      <c r="E8569" s="7"/>
      <c r="F8569" s="7"/>
      <c r="G8569" s="7"/>
      <c r="H8569" s="8"/>
      <c r="I8569" s="8"/>
      <c r="J8569" s="7"/>
      <c r="K8569" s="7"/>
      <c r="L8569" s="7"/>
      <c r="M8569" s="7"/>
      <c r="N8569" s="7"/>
      <c r="O8569" s="7"/>
      <c r="P8569" s="7"/>
      <c r="Q8569" s="7"/>
      <c r="R8569" s="7"/>
      <c r="S8569" s="7"/>
      <c r="T8569" s="7"/>
      <c r="U8569" s="7"/>
      <c r="V8569" s="7"/>
      <c r="W8569" s="7"/>
      <c r="X8569" s="7"/>
      <c r="Y8569" s="7"/>
      <c r="Z8569" s="7"/>
    </row>
    <row r="8570" hidden="1">
      <c r="A8570" s="7"/>
      <c r="B8570" s="7"/>
      <c r="C8570" s="7"/>
      <c r="D8570" s="7"/>
      <c r="E8570" s="7"/>
      <c r="F8570" s="7"/>
      <c r="G8570" s="7"/>
      <c r="H8570" s="8"/>
      <c r="I8570" s="8"/>
      <c r="J8570" s="7"/>
      <c r="K8570" s="7"/>
      <c r="L8570" s="7"/>
      <c r="M8570" s="7"/>
      <c r="N8570" s="7"/>
      <c r="O8570" s="7"/>
      <c r="P8570" s="7"/>
      <c r="Q8570" s="7"/>
      <c r="R8570" s="7"/>
      <c r="S8570" s="7"/>
      <c r="T8570" s="7"/>
      <c r="U8570" s="7"/>
      <c r="V8570" s="7"/>
      <c r="W8570" s="7"/>
      <c r="X8570" s="7"/>
      <c r="Y8570" s="7"/>
      <c r="Z8570" s="7"/>
    </row>
    <row r="8571" hidden="1">
      <c r="A8571" s="7"/>
      <c r="B8571" s="7"/>
      <c r="C8571" s="7"/>
      <c r="D8571" s="7"/>
      <c r="E8571" s="7"/>
      <c r="F8571" s="7"/>
      <c r="G8571" s="7"/>
      <c r="H8571" s="8"/>
      <c r="I8571" s="8"/>
      <c r="J8571" s="7"/>
      <c r="K8571" s="7"/>
      <c r="L8571" s="7"/>
      <c r="M8571" s="7"/>
      <c r="N8571" s="7"/>
      <c r="O8571" s="7"/>
      <c r="P8571" s="7"/>
      <c r="Q8571" s="7"/>
      <c r="R8571" s="7"/>
      <c r="S8571" s="7"/>
      <c r="T8571" s="7"/>
      <c r="U8571" s="7"/>
      <c r="V8571" s="7"/>
      <c r="W8571" s="7"/>
      <c r="X8571" s="7"/>
      <c r="Y8571" s="7"/>
      <c r="Z8571" s="7"/>
    </row>
    <row r="8572" hidden="1">
      <c r="A8572" s="7"/>
      <c r="B8572" s="7"/>
      <c r="C8572" s="7"/>
      <c r="D8572" s="7"/>
      <c r="E8572" s="7"/>
      <c r="F8572" s="7"/>
      <c r="G8572" s="7"/>
      <c r="H8572" s="8"/>
      <c r="I8572" s="8"/>
      <c r="J8572" s="7"/>
      <c r="K8572" s="7"/>
      <c r="L8572" s="7"/>
      <c r="M8572" s="7"/>
      <c r="N8572" s="7"/>
      <c r="O8572" s="7"/>
      <c r="P8572" s="7"/>
      <c r="Q8572" s="7"/>
      <c r="R8572" s="7"/>
      <c r="S8572" s="7"/>
      <c r="T8572" s="7"/>
      <c r="U8572" s="7"/>
      <c r="V8572" s="7"/>
      <c r="W8572" s="7"/>
      <c r="X8572" s="7"/>
      <c r="Y8572" s="7"/>
      <c r="Z8572" s="7"/>
    </row>
    <row r="8573" hidden="1">
      <c r="A8573" s="7"/>
      <c r="B8573" s="7"/>
      <c r="C8573" s="7"/>
      <c r="D8573" s="7"/>
      <c r="E8573" s="7"/>
      <c r="F8573" s="7"/>
      <c r="G8573" s="7"/>
      <c r="H8573" s="8"/>
      <c r="I8573" s="8"/>
      <c r="J8573" s="7"/>
      <c r="K8573" s="7"/>
      <c r="L8573" s="7"/>
      <c r="M8573" s="7"/>
      <c r="N8573" s="7"/>
      <c r="O8573" s="7"/>
      <c r="P8573" s="7"/>
      <c r="Q8573" s="7"/>
      <c r="R8573" s="7"/>
      <c r="S8573" s="7"/>
      <c r="T8573" s="7"/>
      <c r="U8573" s="7"/>
      <c r="V8573" s="7"/>
      <c r="W8573" s="7"/>
      <c r="X8573" s="7"/>
      <c r="Y8573" s="7"/>
      <c r="Z8573" s="7"/>
    </row>
    <row r="8574" hidden="1">
      <c r="A8574" s="7"/>
      <c r="B8574" s="7"/>
      <c r="C8574" s="7"/>
      <c r="D8574" s="7"/>
      <c r="E8574" s="7"/>
      <c r="F8574" s="7"/>
      <c r="G8574" s="7"/>
      <c r="H8574" s="8"/>
      <c r="I8574" s="8"/>
      <c r="J8574" s="7"/>
      <c r="K8574" s="7"/>
      <c r="L8574" s="7"/>
      <c r="M8574" s="7"/>
      <c r="N8574" s="7"/>
      <c r="O8574" s="7"/>
      <c r="P8574" s="7"/>
      <c r="Q8574" s="7"/>
      <c r="R8574" s="7"/>
      <c r="S8574" s="7"/>
      <c r="T8574" s="7"/>
      <c r="U8574" s="7"/>
      <c r="V8574" s="7"/>
      <c r="W8574" s="7"/>
      <c r="X8574" s="7"/>
      <c r="Y8574" s="7"/>
      <c r="Z8574" s="7"/>
    </row>
    <row r="8575" hidden="1">
      <c r="A8575" s="7"/>
      <c r="B8575" s="7"/>
      <c r="C8575" s="7"/>
      <c r="D8575" s="7"/>
      <c r="E8575" s="7"/>
      <c r="F8575" s="7"/>
      <c r="G8575" s="7"/>
      <c r="H8575" s="8"/>
      <c r="I8575" s="8"/>
      <c r="J8575" s="7"/>
      <c r="K8575" s="7"/>
      <c r="L8575" s="7"/>
      <c r="M8575" s="7"/>
      <c r="N8575" s="7"/>
      <c r="O8575" s="7"/>
      <c r="P8575" s="7"/>
      <c r="Q8575" s="7"/>
      <c r="R8575" s="7"/>
      <c r="S8575" s="7"/>
      <c r="T8575" s="7"/>
      <c r="U8575" s="7"/>
      <c r="V8575" s="7"/>
      <c r="W8575" s="7"/>
      <c r="X8575" s="7"/>
      <c r="Y8575" s="7"/>
      <c r="Z8575" s="7"/>
    </row>
    <row r="8576" hidden="1">
      <c r="A8576" s="7"/>
      <c r="B8576" s="7"/>
      <c r="C8576" s="7"/>
      <c r="D8576" s="7"/>
      <c r="E8576" s="7"/>
      <c r="F8576" s="7"/>
      <c r="G8576" s="7"/>
      <c r="H8576" s="8"/>
      <c r="I8576" s="8"/>
      <c r="J8576" s="7"/>
      <c r="K8576" s="7"/>
      <c r="L8576" s="7"/>
      <c r="M8576" s="7"/>
      <c r="N8576" s="7"/>
      <c r="O8576" s="7"/>
      <c r="P8576" s="7"/>
      <c r="Q8576" s="7"/>
      <c r="R8576" s="7"/>
      <c r="S8576" s="7"/>
      <c r="T8576" s="7"/>
      <c r="U8576" s="7"/>
      <c r="V8576" s="7"/>
      <c r="W8576" s="7"/>
      <c r="X8576" s="7"/>
      <c r="Y8576" s="7"/>
      <c r="Z8576" s="7"/>
    </row>
    <row r="8577" hidden="1">
      <c r="A8577" s="7"/>
      <c r="B8577" s="7"/>
      <c r="C8577" s="7"/>
      <c r="D8577" s="7"/>
      <c r="E8577" s="7"/>
      <c r="F8577" s="7"/>
      <c r="G8577" s="7"/>
      <c r="H8577" s="8"/>
      <c r="I8577" s="8"/>
      <c r="J8577" s="7"/>
      <c r="K8577" s="7"/>
      <c r="L8577" s="7"/>
      <c r="M8577" s="7"/>
      <c r="N8577" s="7"/>
      <c r="O8577" s="7"/>
      <c r="P8577" s="7"/>
      <c r="Q8577" s="7"/>
      <c r="R8577" s="7"/>
      <c r="S8577" s="7"/>
      <c r="T8577" s="7"/>
      <c r="U8577" s="7"/>
      <c r="V8577" s="7"/>
      <c r="W8577" s="7"/>
      <c r="X8577" s="7"/>
      <c r="Y8577" s="7"/>
      <c r="Z8577" s="7"/>
    </row>
    <row r="8578" hidden="1">
      <c r="A8578" s="7"/>
      <c r="B8578" s="7"/>
      <c r="C8578" s="7"/>
      <c r="D8578" s="7"/>
      <c r="E8578" s="7"/>
      <c r="F8578" s="7"/>
      <c r="G8578" s="7"/>
      <c r="H8578" s="8"/>
      <c r="I8578" s="8"/>
      <c r="J8578" s="7"/>
      <c r="K8578" s="7"/>
      <c r="L8578" s="7"/>
      <c r="M8578" s="7"/>
      <c r="N8578" s="7"/>
      <c r="O8578" s="7"/>
      <c r="P8578" s="7"/>
      <c r="Q8578" s="7"/>
      <c r="R8578" s="7"/>
      <c r="S8578" s="7"/>
      <c r="T8578" s="7"/>
      <c r="U8578" s="7"/>
      <c r="V8578" s="7"/>
      <c r="W8578" s="7"/>
      <c r="X8578" s="7"/>
      <c r="Y8578" s="7"/>
      <c r="Z8578" s="7"/>
    </row>
    <row r="8579" hidden="1">
      <c r="A8579" s="7"/>
      <c r="B8579" s="7"/>
      <c r="C8579" s="7"/>
      <c r="D8579" s="7"/>
      <c r="E8579" s="7"/>
      <c r="F8579" s="7"/>
      <c r="G8579" s="7"/>
      <c r="H8579" s="8"/>
      <c r="I8579" s="8"/>
      <c r="J8579" s="7"/>
      <c r="K8579" s="7"/>
      <c r="L8579" s="7"/>
      <c r="M8579" s="7"/>
      <c r="N8579" s="7"/>
      <c r="O8579" s="7"/>
      <c r="P8579" s="7"/>
      <c r="Q8579" s="7"/>
      <c r="R8579" s="7"/>
      <c r="S8579" s="7"/>
      <c r="T8579" s="7"/>
      <c r="U8579" s="7"/>
      <c r="V8579" s="7"/>
      <c r="W8579" s="7"/>
      <c r="X8579" s="7"/>
      <c r="Y8579" s="7"/>
      <c r="Z8579" s="7"/>
    </row>
    <row r="8580" hidden="1">
      <c r="A8580" s="7"/>
      <c r="B8580" s="7"/>
      <c r="C8580" s="7"/>
      <c r="D8580" s="7"/>
      <c r="E8580" s="7"/>
      <c r="F8580" s="7"/>
      <c r="G8580" s="7"/>
      <c r="H8580" s="8"/>
      <c r="I8580" s="8"/>
      <c r="J8580" s="7"/>
      <c r="K8580" s="7"/>
      <c r="L8580" s="7"/>
      <c r="M8580" s="7"/>
      <c r="N8580" s="7"/>
      <c r="O8580" s="7"/>
      <c r="P8580" s="7"/>
      <c r="Q8580" s="7"/>
      <c r="R8580" s="7"/>
      <c r="S8580" s="7"/>
      <c r="T8580" s="7"/>
      <c r="U8580" s="7"/>
      <c r="V8580" s="7"/>
      <c r="W8580" s="7"/>
      <c r="X8580" s="7"/>
      <c r="Y8580" s="7"/>
      <c r="Z8580" s="7"/>
    </row>
    <row r="8581" hidden="1">
      <c r="A8581" s="7"/>
      <c r="B8581" s="7"/>
      <c r="C8581" s="7"/>
      <c r="D8581" s="7"/>
      <c r="E8581" s="7"/>
      <c r="F8581" s="7"/>
      <c r="G8581" s="7"/>
      <c r="H8581" s="8"/>
      <c r="I8581" s="8"/>
      <c r="J8581" s="7"/>
      <c r="K8581" s="7"/>
      <c r="L8581" s="7"/>
      <c r="M8581" s="7"/>
      <c r="N8581" s="7"/>
      <c r="O8581" s="7"/>
      <c r="P8581" s="7"/>
      <c r="Q8581" s="7"/>
      <c r="R8581" s="7"/>
      <c r="S8581" s="7"/>
      <c r="T8581" s="7"/>
      <c r="U8581" s="7"/>
      <c r="V8581" s="7"/>
      <c r="W8581" s="7"/>
      <c r="X8581" s="7"/>
      <c r="Y8581" s="7"/>
      <c r="Z8581" s="7"/>
    </row>
    <row r="8582" hidden="1">
      <c r="A8582" s="7"/>
      <c r="B8582" s="7"/>
      <c r="C8582" s="7"/>
      <c r="D8582" s="7"/>
      <c r="E8582" s="7"/>
      <c r="F8582" s="7"/>
      <c r="G8582" s="7"/>
      <c r="H8582" s="8"/>
      <c r="I8582" s="8"/>
      <c r="J8582" s="7"/>
      <c r="K8582" s="7"/>
      <c r="L8582" s="7"/>
      <c r="M8582" s="7"/>
      <c r="N8582" s="7"/>
      <c r="O8582" s="7"/>
      <c r="P8582" s="7"/>
      <c r="Q8582" s="7"/>
      <c r="R8582" s="7"/>
      <c r="S8582" s="7"/>
      <c r="T8582" s="7"/>
      <c r="U8582" s="7"/>
      <c r="V8582" s="7"/>
      <c r="W8582" s="7"/>
      <c r="X8582" s="7"/>
      <c r="Y8582" s="7"/>
      <c r="Z8582" s="7"/>
    </row>
    <row r="8583" hidden="1">
      <c r="A8583" s="7"/>
      <c r="B8583" s="7"/>
      <c r="C8583" s="7"/>
      <c r="D8583" s="7"/>
      <c r="E8583" s="7"/>
      <c r="F8583" s="7"/>
      <c r="G8583" s="7"/>
      <c r="H8583" s="8"/>
      <c r="I8583" s="8"/>
      <c r="J8583" s="7"/>
      <c r="K8583" s="7"/>
      <c r="L8583" s="7"/>
      <c r="M8583" s="7"/>
      <c r="N8583" s="7"/>
      <c r="O8583" s="7"/>
      <c r="P8583" s="7"/>
      <c r="Q8583" s="7"/>
      <c r="R8583" s="7"/>
      <c r="S8583" s="7"/>
      <c r="T8583" s="7"/>
      <c r="U8583" s="7"/>
      <c r="V8583" s="7"/>
      <c r="W8583" s="7"/>
      <c r="X8583" s="7"/>
      <c r="Y8583" s="7"/>
      <c r="Z8583" s="7"/>
    </row>
    <row r="8584" hidden="1">
      <c r="A8584" s="7"/>
      <c r="B8584" s="7"/>
      <c r="C8584" s="7"/>
      <c r="D8584" s="7"/>
      <c r="E8584" s="7"/>
      <c r="F8584" s="7"/>
      <c r="G8584" s="7"/>
      <c r="H8584" s="8"/>
      <c r="I8584" s="8"/>
      <c r="J8584" s="7"/>
      <c r="K8584" s="7"/>
      <c r="L8584" s="7"/>
      <c r="M8584" s="7"/>
      <c r="N8584" s="7"/>
      <c r="O8584" s="7"/>
      <c r="P8584" s="7"/>
      <c r="Q8584" s="7"/>
      <c r="R8584" s="7"/>
      <c r="S8584" s="7"/>
      <c r="T8584" s="7"/>
      <c r="U8584" s="7"/>
      <c r="V8584" s="7"/>
      <c r="W8584" s="7"/>
      <c r="X8584" s="7"/>
      <c r="Y8584" s="7"/>
      <c r="Z8584" s="7"/>
    </row>
    <row r="8585" hidden="1">
      <c r="A8585" s="7"/>
      <c r="B8585" s="7"/>
      <c r="C8585" s="7"/>
      <c r="D8585" s="7"/>
      <c r="E8585" s="7"/>
      <c r="F8585" s="7"/>
      <c r="G8585" s="7"/>
      <c r="H8585" s="8"/>
      <c r="I8585" s="8"/>
      <c r="J8585" s="7"/>
      <c r="K8585" s="7"/>
      <c r="L8585" s="7"/>
      <c r="M8585" s="7"/>
      <c r="N8585" s="7"/>
      <c r="O8585" s="7"/>
      <c r="P8585" s="7"/>
      <c r="Q8585" s="7"/>
      <c r="R8585" s="7"/>
      <c r="S8585" s="7"/>
      <c r="T8585" s="7"/>
      <c r="U8585" s="7"/>
      <c r="V8585" s="7"/>
      <c r="W8585" s="7"/>
      <c r="X8585" s="7"/>
      <c r="Y8585" s="7"/>
      <c r="Z8585" s="7"/>
    </row>
    <row r="8586" hidden="1">
      <c r="A8586" s="7"/>
      <c r="B8586" s="7"/>
      <c r="C8586" s="7"/>
      <c r="D8586" s="7"/>
      <c r="E8586" s="7"/>
      <c r="F8586" s="7"/>
      <c r="G8586" s="7"/>
      <c r="H8586" s="8"/>
      <c r="I8586" s="8"/>
      <c r="J8586" s="7"/>
      <c r="K8586" s="7"/>
      <c r="L8586" s="7"/>
      <c r="M8586" s="7"/>
      <c r="N8586" s="7"/>
      <c r="O8586" s="7"/>
      <c r="P8586" s="7"/>
      <c r="Q8586" s="7"/>
      <c r="R8586" s="7"/>
      <c r="S8586" s="7"/>
      <c r="T8586" s="7"/>
      <c r="U8586" s="7"/>
      <c r="V8586" s="7"/>
      <c r="W8586" s="7"/>
      <c r="X8586" s="7"/>
      <c r="Y8586" s="7"/>
      <c r="Z8586" s="7"/>
    </row>
    <row r="8587" hidden="1">
      <c r="A8587" s="7"/>
      <c r="B8587" s="7"/>
      <c r="C8587" s="7"/>
      <c r="D8587" s="7"/>
      <c r="E8587" s="7"/>
      <c r="F8587" s="7"/>
      <c r="G8587" s="7"/>
      <c r="H8587" s="8"/>
      <c r="I8587" s="8"/>
      <c r="J8587" s="7"/>
      <c r="K8587" s="7"/>
      <c r="L8587" s="7"/>
      <c r="M8587" s="7"/>
      <c r="N8587" s="7"/>
      <c r="O8587" s="7"/>
      <c r="P8587" s="7"/>
      <c r="Q8587" s="7"/>
      <c r="R8587" s="7"/>
      <c r="S8587" s="7"/>
      <c r="T8587" s="7"/>
      <c r="U8587" s="7"/>
      <c r="V8587" s="7"/>
      <c r="W8587" s="7"/>
      <c r="X8587" s="7"/>
      <c r="Y8587" s="7"/>
      <c r="Z8587" s="7"/>
    </row>
    <row r="8588" hidden="1">
      <c r="A8588" s="7"/>
      <c r="B8588" s="7"/>
      <c r="C8588" s="7"/>
      <c r="D8588" s="7"/>
      <c r="E8588" s="7"/>
      <c r="F8588" s="7"/>
      <c r="G8588" s="7"/>
      <c r="H8588" s="8"/>
      <c r="I8588" s="8"/>
      <c r="J8588" s="7"/>
      <c r="K8588" s="7"/>
      <c r="L8588" s="7"/>
      <c r="M8588" s="7"/>
      <c r="N8588" s="7"/>
      <c r="O8588" s="7"/>
      <c r="P8588" s="7"/>
      <c r="Q8588" s="7"/>
      <c r="R8588" s="7"/>
      <c r="S8588" s="7"/>
      <c r="T8588" s="7"/>
      <c r="U8588" s="7"/>
      <c r="V8588" s="7"/>
      <c r="W8588" s="7"/>
      <c r="X8588" s="7"/>
      <c r="Y8588" s="7"/>
      <c r="Z8588" s="7"/>
    </row>
    <row r="8589" hidden="1">
      <c r="A8589" s="7"/>
      <c r="B8589" s="7"/>
      <c r="C8589" s="7"/>
      <c r="D8589" s="7"/>
      <c r="E8589" s="7"/>
      <c r="F8589" s="7"/>
      <c r="G8589" s="7"/>
      <c r="H8589" s="8"/>
      <c r="I8589" s="8"/>
      <c r="J8589" s="7"/>
      <c r="K8589" s="7"/>
      <c r="L8589" s="7"/>
      <c r="M8589" s="7"/>
      <c r="N8589" s="7"/>
      <c r="O8589" s="7"/>
      <c r="P8589" s="7"/>
      <c r="Q8589" s="7"/>
      <c r="R8589" s="7"/>
      <c r="S8589" s="7"/>
      <c r="T8589" s="7"/>
      <c r="U8589" s="7"/>
      <c r="V8589" s="7"/>
      <c r="W8589" s="7"/>
      <c r="X8589" s="7"/>
      <c r="Y8589" s="7"/>
      <c r="Z8589" s="7"/>
    </row>
    <row r="8590" hidden="1">
      <c r="A8590" s="7"/>
      <c r="B8590" s="7"/>
      <c r="C8590" s="7"/>
      <c r="D8590" s="7"/>
      <c r="E8590" s="7"/>
      <c r="F8590" s="7"/>
      <c r="G8590" s="7"/>
      <c r="H8590" s="8"/>
      <c r="I8590" s="8"/>
      <c r="J8590" s="7"/>
      <c r="K8590" s="7"/>
      <c r="L8590" s="7"/>
      <c r="M8590" s="7"/>
      <c r="N8590" s="7"/>
      <c r="O8590" s="7"/>
      <c r="P8590" s="7"/>
      <c r="Q8590" s="7"/>
      <c r="R8590" s="7"/>
      <c r="S8590" s="7"/>
      <c r="T8590" s="7"/>
      <c r="U8590" s="7"/>
      <c r="V8590" s="7"/>
      <c r="W8590" s="7"/>
      <c r="X8590" s="7"/>
      <c r="Y8590" s="7"/>
      <c r="Z8590" s="7"/>
    </row>
    <row r="8591" hidden="1">
      <c r="A8591" s="7"/>
      <c r="B8591" s="7"/>
      <c r="C8591" s="7"/>
      <c r="D8591" s="7"/>
      <c r="E8591" s="7"/>
      <c r="F8591" s="7"/>
      <c r="G8591" s="7"/>
      <c r="H8591" s="8"/>
      <c r="I8591" s="8"/>
      <c r="J8591" s="7"/>
      <c r="K8591" s="7"/>
      <c r="L8591" s="7"/>
      <c r="M8591" s="7"/>
      <c r="N8591" s="7"/>
      <c r="O8591" s="7"/>
      <c r="P8591" s="7"/>
      <c r="Q8591" s="7"/>
      <c r="R8591" s="7"/>
      <c r="S8591" s="7"/>
      <c r="T8591" s="7"/>
      <c r="U8591" s="7"/>
      <c r="V8591" s="7"/>
      <c r="W8591" s="7"/>
      <c r="X8591" s="7"/>
      <c r="Y8591" s="7"/>
      <c r="Z8591" s="7"/>
    </row>
    <row r="8592" hidden="1">
      <c r="A8592" s="7"/>
      <c r="B8592" s="7"/>
      <c r="C8592" s="7"/>
      <c r="D8592" s="7"/>
      <c r="E8592" s="7"/>
      <c r="F8592" s="7"/>
      <c r="G8592" s="7"/>
      <c r="H8592" s="8"/>
      <c r="I8592" s="8"/>
      <c r="J8592" s="7"/>
      <c r="K8592" s="7"/>
      <c r="L8592" s="7"/>
      <c r="M8592" s="7"/>
      <c r="N8592" s="7"/>
      <c r="O8592" s="7"/>
      <c r="P8592" s="7"/>
      <c r="Q8592" s="7"/>
      <c r="R8592" s="7"/>
      <c r="S8592" s="7"/>
      <c r="T8592" s="7"/>
      <c r="U8592" s="7"/>
      <c r="V8592" s="7"/>
      <c r="W8592" s="7"/>
      <c r="X8592" s="7"/>
      <c r="Y8592" s="7"/>
      <c r="Z8592" s="7"/>
    </row>
    <row r="8593" hidden="1">
      <c r="A8593" s="7"/>
      <c r="B8593" s="7"/>
      <c r="C8593" s="7"/>
      <c r="D8593" s="7"/>
      <c r="E8593" s="7"/>
      <c r="F8593" s="7"/>
      <c r="G8593" s="7"/>
      <c r="H8593" s="8"/>
      <c r="I8593" s="8"/>
      <c r="J8593" s="7"/>
      <c r="K8593" s="7"/>
      <c r="L8593" s="7"/>
      <c r="M8593" s="7"/>
      <c r="N8593" s="7"/>
      <c r="O8593" s="7"/>
      <c r="P8593" s="7"/>
      <c r="Q8593" s="7"/>
      <c r="R8593" s="7"/>
      <c r="S8593" s="7"/>
      <c r="T8593" s="7"/>
      <c r="U8593" s="7"/>
      <c r="V8593" s="7"/>
      <c r="W8593" s="7"/>
      <c r="X8593" s="7"/>
      <c r="Y8593" s="7"/>
      <c r="Z8593" s="7"/>
    </row>
    <row r="8594" hidden="1">
      <c r="A8594" s="7"/>
      <c r="B8594" s="7"/>
      <c r="C8594" s="7"/>
      <c r="D8594" s="7"/>
      <c r="E8594" s="7"/>
      <c r="F8594" s="7"/>
      <c r="G8594" s="7"/>
      <c r="H8594" s="8"/>
      <c r="I8594" s="8"/>
      <c r="J8594" s="7"/>
      <c r="K8594" s="7"/>
      <c r="L8594" s="7"/>
      <c r="M8594" s="7"/>
      <c r="N8594" s="7"/>
      <c r="O8594" s="7"/>
      <c r="P8594" s="7"/>
      <c r="Q8594" s="7"/>
      <c r="R8594" s="7"/>
      <c r="S8594" s="7"/>
      <c r="T8594" s="7"/>
      <c r="U8594" s="7"/>
      <c r="V8594" s="7"/>
      <c r="W8594" s="7"/>
      <c r="X8594" s="7"/>
      <c r="Y8594" s="7"/>
      <c r="Z8594" s="7"/>
    </row>
    <row r="8595" hidden="1">
      <c r="A8595" s="7"/>
      <c r="B8595" s="7"/>
      <c r="C8595" s="7"/>
      <c r="D8595" s="7"/>
      <c r="E8595" s="7"/>
      <c r="F8595" s="7"/>
      <c r="G8595" s="7"/>
      <c r="H8595" s="8"/>
      <c r="I8595" s="8"/>
      <c r="J8595" s="7"/>
      <c r="K8595" s="7"/>
      <c r="L8595" s="7"/>
      <c r="M8595" s="7"/>
      <c r="N8595" s="7"/>
      <c r="O8595" s="7"/>
      <c r="P8595" s="7"/>
      <c r="Q8595" s="7"/>
      <c r="R8595" s="7"/>
      <c r="S8595" s="7"/>
      <c r="T8595" s="7"/>
      <c r="U8595" s="7"/>
      <c r="V8595" s="7"/>
      <c r="W8595" s="7"/>
      <c r="X8595" s="7"/>
      <c r="Y8595" s="7"/>
      <c r="Z8595" s="7"/>
    </row>
    <row r="8596" hidden="1">
      <c r="A8596" s="7"/>
      <c r="B8596" s="7"/>
      <c r="C8596" s="7"/>
      <c r="D8596" s="7"/>
      <c r="E8596" s="7"/>
      <c r="F8596" s="7"/>
      <c r="G8596" s="7"/>
      <c r="H8596" s="8"/>
      <c r="I8596" s="8"/>
      <c r="J8596" s="7"/>
      <c r="K8596" s="7"/>
      <c r="L8596" s="7"/>
      <c r="M8596" s="7"/>
      <c r="N8596" s="7"/>
      <c r="O8596" s="7"/>
      <c r="P8596" s="7"/>
      <c r="Q8596" s="7"/>
      <c r="R8596" s="7"/>
      <c r="S8596" s="7"/>
      <c r="T8596" s="7"/>
      <c r="U8596" s="7"/>
      <c r="V8596" s="7"/>
      <c r="W8596" s="7"/>
      <c r="X8596" s="7"/>
      <c r="Y8596" s="7"/>
      <c r="Z8596" s="7"/>
    </row>
    <row r="8597" hidden="1">
      <c r="A8597" s="7"/>
      <c r="B8597" s="7"/>
      <c r="C8597" s="7"/>
      <c r="D8597" s="7"/>
      <c r="E8597" s="7"/>
      <c r="F8597" s="7"/>
      <c r="G8597" s="7"/>
      <c r="H8597" s="8"/>
      <c r="I8597" s="8"/>
      <c r="J8597" s="7"/>
      <c r="K8597" s="7"/>
      <c r="L8597" s="7"/>
      <c r="M8597" s="7"/>
      <c r="N8597" s="7"/>
      <c r="O8597" s="7"/>
      <c r="P8597" s="7"/>
      <c r="Q8597" s="7"/>
      <c r="R8597" s="7"/>
      <c r="S8597" s="7"/>
      <c r="T8597" s="7"/>
      <c r="U8597" s="7"/>
      <c r="V8597" s="7"/>
      <c r="W8597" s="7"/>
      <c r="X8597" s="7"/>
      <c r="Y8597" s="7"/>
      <c r="Z8597" s="7"/>
    </row>
    <row r="8598" hidden="1">
      <c r="A8598" s="7"/>
      <c r="B8598" s="7"/>
      <c r="C8598" s="7"/>
      <c r="D8598" s="7"/>
      <c r="E8598" s="7"/>
      <c r="F8598" s="7"/>
      <c r="G8598" s="7"/>
      <c r="H8598" s="8"/>
      <c r="I8598" s="8"/>
      <c r="J8598" s="7"/>
      <c r="K8598" s="7"/>
      <c r="L8598" s="7"/>
      <c r="M8598" s="7"/>
      <c r="N8598" s="7"/>
      <c r="O8598" s="7"/>
      <c r="P8598" s="7"/>
      <c r="Q8598" s="7"/>
      <c r="R8598" s="7"/>
      <c r="S8598" s="7"/>
      <c r="T8598" s="7"/>
      <c r="U8598" s="7"/>
      <c r="V8598" s="7"/>
      <c r="W8598" s="7"/>
      <c r="X8598" s="7"/>
      <c r="Y8598" s="7"/>
      <c r="Z8598" s="7"/>
    </row>
    <row r="8599" hidden="1">
      <c r="A8599" s="7"/>
      <c r="B8599" s="7"/>
      <c r="C8599" s="7"/>
      <c r="D8599" s="7"/>
      <c r="E8599" s="7"/>
      <c r="F8599" s="7"/>
      <c r="G8599" s="7"/>
      <c r="H8599" s="8"/>
      <c r="I8599" s="8"/>
      <c r="J8599" s="7"/>
      <c r="K8599" s="7"/>
      <c r="L8599" s="7"/>
      <c r="M8599" s="7"/>
      <c r="N8599" s="7"/>
      <c r="O8599" s="7"/>
      <c r="P8599" s="7"/>
      <c r="Q8599" s="7"/>
      <c r="R8599" s="7"/>
      <c r="S8599" s="7"/>
      <c r="T8599" s="7"/>
      <c r="U8599" s="7"/>
      <c r="V8599" s="7"/>
      <c r="W8599" s="7"/>
      <c r="X8599" s="7"/>
      <c r="Y8599" s="7"/>
      <c r="Z8599" s="7"/>
    </row>
    <row r="8600" hidden="1">
      <c r="A8600" s="7"/>
      <c r="B8600" s="7"/>
      <c r="C8600" s="7"/>
      <c r="D8600" s="7"/>
      <c r="E8600" s="7"/>
      <c r="F8600" s="7"/>
      <c r="G8600" s="7"/>
      <c r="H8600" s="8"/>
      <c r="I8600" s="8"/>
      <c r="J8600" s="7"/>
      <c r="K8600" s="7"/>
      <c r="L8600" s="7"/>
      <c r="M8600" s="7"/>
      <c r="N8600" s="7"/>
      <c r="O8600" s="7"/>
      <c r="P8600" s="7"/>
      <c r="Q8600" s="7"/>
      <c r="R8600" s="7"/>
      <c r="S8600" s="7"/>
      <c r="T8600" s="7"/>
      <c r="U8600" s="7"/>
      <c r="V8600" s="7"/>
      <c r="W8600" s="7"/>
      <c r="X8600" s="7"/>
      <c r="Y8600" s="7"/>
      <c r="Z8600" s="7"/>
    </row>
    <row r="8601" hidden="1">
      <c r="A8601" s="7"/>
      <c r="B8601" s="7"/>
      <c r="C8601" s="7"/>
      <c r="D8601" s="7"/>
      <c r="E8601" s="7"/>
      <c r="F8601" s="7"/>
      <c r="G8601" s="7"/>
      <c r="H8601" s="8"/>
      <c r="I8601" s="8"/>
      <c r="J8601" s="7"/>
      <c r="K8601" s="7"/>
      <c r="L8601" s="7"/>
      <c r="M8601" s="7"/>
      <c r="N8601" s="7"/>
      <c r="O8601" s="7"/>
      <c r="P8601" s="7"/>
      <c r="Q8601" s="7"/>
      <c r="R8601" s="7"/>
      <c r="S8601" s="7"/>
      <c r="T8601" s="7"/>
      <c r="U8601" s="7"/>
      <c r="V8601" s="7"/>
      <c r="W8601" s="7"/>
      <c r="X8601" s="7"/>
      <c r="Y8601" s="7"/>
      <c r="Z8601" s="7"/>
    </row>
    <row r="8602" hidden="1">
      <c r="A8602" s="7"/>
      <c r="B8602" s="7"/>
      <c r="C8602" s="7"/>
      <c r="D8602" s="7"/>
      <c r="E8602" s="7"/>
      <c r="F8602" s="7"/>
      <c r="G8602" s="7"/>
      <c r="H8602" s="8"/>
      <c r="I8602" s="8"/>
      <c r="J8602" s="7"/>
      <c r="K8602" s="7"/>
      <c r="L8602" s="7"/>
      <c r="M8602" s="7"/>
      <c r="N8602" s="7"/>
      <c r="O8602" s="7"/>
      <c r="P8602" s="7"/>
      <c r="Q8602" s="7"/>
      <c r="R8602" s="7"/>
      <c r="S8602" s="7"/>
      <c r="T8602" s="7"/>
      <c r="U8602" s="7"/>
      <c r="V8602" s="7"/>
      <c r="W8602" s="7"/>
      <c r="X8602" s="7"/>
      <c r="Y8602" s="7"/>
      <c r="Z8602" s="7"/>
    </row>
    <row r="8603" hidden="1">
      <c r="A8603" s="7"/>
      <c r="B8603" s="7"/>
      <c r="C8603" s="7"/>
      <c r="D8603" s="7"/>
      <c r="E8603" s="7"/>
      <c r="F8603" s="7"/>
      <c r="G8603" s="7"/>
      <c r="H8603" s="8"/>
      <c r="I8603" s="8"/>
      <c r="J8603" s="7"/>
      <c r="K8603" s="7"/>
      <c r="L8603" s="7"/>
      <c r="M8603" s="7"/>
      <c r="N8603" s="7"/>
      <c r="O8603" s="7"/>
      <c r="P8603" s="7"/>
      <c r="Q8603" s="7"/>
      <c r="R8603" s="7"/>
      <c r="S8603" s="7"/>
      <c r="T8603" s="7"/>
      <c r="U8603" s="7"/>
      <c r="V8603" s="7"/>
      <c r="W8603" s="7"/>
      <c r="X8603" s="7"/>
      <c r="Y8603" s="7"/>
      <c r="Z8603" s="7"/>
    </row>
    <row r="8604" hidden="1">
      <c r="A8604" s="7"/>
      <c r="B8604" s="7"/>
      <c r="C8604" s="7"/>
      <c r="D8604" s="7"/>
      <c r="E8604" s="7"/>
      <c r="F8604" s="7"/>
      <c r="G8604" s="7"/>
      <c r="H8604" s="8"/>
      <c r="I8604" s="8"/>
      <c r="J8604" s="7"/>
      <c r="K8604" s="7"/>
      <c r="L8604" s="7"/>
      <c r="M8604" s="7"/>
      <c r="N8604" s="7"/>
      <c r="O8604" s="7"/>
      <c r="P8604" s="7"/>
      <c r="Q8604" s="7"/>
      <c r="R8604" s="7"/>
      <c r="S8604" s="7"/>
      <c r="T8604" s="7"/>
      <c r="U8604" s="7"/>
      <c r="V8604" s="7"/>
      <c r="W8604" s="7"/>
      <c r="X8604" s="7"/>
      <c r="Y8604" s="7"/>
      <c r="Z8604" s="7"/>
    </row>
    <row r="8605" hidden="1">
      <c r="A8605" s="7"/>
      <c r="B8605" s="7"/>
      <c r="C8605" s="7"/>
      <c r="D8605" s="7"/>
      <c r="E8605" s="7"/>
      <c r="F8605" s="7"/>
      <c r="G8605" s="7"/>
      <c r="H8605" s="8"/>
      <c r="I8605" s="8"/>
      <c r="J8605" s="7"/>
      <c r="K8605" s="7"/>
      <c r="L8605" s="7"/>
      <c r="M8605" s="7"/>
      <c r="N8605" s="7"/>
      <c r="O8605" s="7"/>
      <c r="P8605" s="7"/>
      <c r="Q8605" s="7"/>
      <c r="R8605" s="7"/>
      <c r="S8605" s="7"/>
      <c r="T8605" s="7"/>
      <c r="U8605" s="7"/>
      <c r="V8605" s="7"/>
      <c r="W8605" s="7"/>
      <c r="X8605" s="7"/>
      <c r="Y8605" s="7"/>
      <c r="Z8605" s="7"/>
    </row>
    <row r="8606" hidden="1">
      <c r="A8606" s="7"/>
      <c r="B8606" s="7"/>
      <c r="C8606" s="7"/>
      <c r="D8606" s="7"/>
      <c r="E8606" s="7"/>
      <c r="F8606" s="7"/>
      <c r="G8606" s="7"/>
      <c r="H8606" s="8"/>
      <c r="I8606" s="8"/>
      <c r="J8606" s="7"/>
      <c r="K8606" s="7"/>
      <c r="L8606" s="7"/>
      <c r="M8606" s="7"/>
      <c r="N8606" s="7"/>
      <c r="O8606" s="7"/>
      <c r="P8606" s="7"/>
      <c r="Q8606" s="7"/>
      <c r="R8606" s="7"/>
      <c r="S8606" s="7"/>
      <c r="T8606" s="7"/>
      <c r="U8606" s="7"/>
      <c r="V8606" s="7"/>
      <c r="W8606" s="7"/>
      <c r="X8606" s="7"/>
      <c r="Y8606" s="7"/>
      <c r="Z8606" s="7"/>
    </row>
    <row r="8607" hidden="1">
      <c r="A8607" s="7"/>
      <c r="B8607" s="7"/>
      <c r="C8607" s="7"/>
      <c r="D8607" s="7"/>
      <c r="E8607" s="7"/>
      <c r="F8607" s="7"/>
      <c r="G8607" s="7"/>
      <c r="H8607" s="8"/>
      <c r="I8607" s="8"/>
      <c r="J8607" s="7"/>
      <c r="K8607" s="7"/>
      <c r="L8607" s="7"/>
      <c r="M8607" s="7"/>
      <c r="N8607" s="7"/>
      <c r="O8607" s="7"/>
      <c r="P8607" s="7"/>
      <c r="Q8607" s="7"/>
      <c r="R8607" s="7"/>
      <c r="S8607" s="7"/>
      <c r="T8607" s="7"/>
      <c r="U8607" s="7"/>
      <c r="V8607" s="7"/>
      <c r="W8607" s="7"/>
      <c r="X8607" s="7"/>
      <c r="Y8607" s="7"/>
      <c r="Z8607" s="7"/>
    </row>
    <row r="8608" hidden="1">
      <c r="A8608" s="7"/>
      <c r="B8608" s="7"/>
      <c r="C8608" s="7"/>
      <c r="D8608" s="7"/>
      <c r="E8608" s="7"/>
      <c r="F8608" s="7"/>
      <c r="G8608" s="7"/>
      <c r="H8608" s="8"/>
      <c r="I8608" s="8"/>
      <c r="J8608" s="7"/>
      <c r="K8608" s="7"/>
      <c r="L8608" s="7"/>
      <c r="M8608" s="7"/>
      <c r="N8608" s="7"/>
      <c r="O8608" s="7"/>
      <c r="P8608" s="7"/>
      <c r="Q8608" s="7"/>
      <c r="R8608" s="7"/>
      <c r="S8608" s="7"/>
      <c r="T8608" s="7"/>
      <c r="U8608" s="7"/>
      <c r="V8608" s="7"/>
      <c r="W8608" s="7"/>
      <c r="X8608" s="7"/>
      <c r="Y8608" s="7"/>
      <c r="Z8608" s="7"/>
    </row>
    <row r="8609" hidden="1">
      <c r="A8609" s="7"/>
      <c r="B8609" s="7"/>
      <c r="C8609" s="7"/>
      <c r="D8609" s="7"/>
      <c r="E8609" s="7"/>
      <c r="F8609" s="7"/>
      <c r="G8609" s="7"/>
      <c r="H8609" s="8"/>
      <c r="I8609" s="8"/>
      <c r="J8609" s="7"/>
      <c r="K8609" s="7"/>
      <c r="L8609" s="7"/>
      <c r="M8609" s="7"/>
      <c r="N8609" s="7"/>
      <c r="O8609" s="7"/>
      <c r="P8609" s="7"/>
      <c r="Q8609" s="7"/>
      <c r="R8609" s="7"/>
      <c r="S8609" s="7"/>
      <c r="T8609" s="7"/>
      <c r="U8609" s="7"/>
      <c r="V8609" s="7"/>
      <c r="W8609" s="7"/>
      <c r="X8609" s="7"/>
      <c r="Y8609" s="7"/>
      <c r="Z8609" s="7"/>
    </row>
    <row r="8610" hidden="1">
      <c r="A8610" s="7"/>
      <c r="B8610" s="7"/>
      <c r="C8610" s="7"/>
      <c r="D8610" s="7"/>
      <c r="E8610" s="7"/>
      <c r="F8610" s="7"/>
      <c r="G8610" s="7"/>
      <c r="H8610" s="8"/>
      <c r="I8610" s="8"/>
      <c r="J8610" s="7"/>
      <c r="K8610" s="7"/>
      <c r="L8610" s="7"/>
      <c r="M8610" s="7"/>
      <c r="N8610" s="7"/>
      <c r="O8610" s="7"/>
      <c r="P8610" s="7"/>
      <c r="Q8610" s="7"/>
      <c r="R8610" s="7"/>
      <c r="S8610" s="7"/>
      <c r="T8610" s="7"/>
      <c r="U8610" s="7"/>
      <c r="V8610" s="7"/>
      <c r="W8610" s="7"/>
      <c r="X8610" s="7"/>
      <c r="Y8610" s="7"/>
      <c r="Z8610" s="7"/>
    </row>
    <row r="8611" hidden="1">
      <c r="A8611" s="7"/>
      <c r="B8611" s="7"/>
      <c r="C8611" s="7"/>
      <c r="D8611" s="7"/>
      <c r="E8611" s="7"/>
      <c r="F8611" s="7"/>
      <c r="G8611" s="7"/>
      <c r="H8611" s="8"/>
      <c r="I8611" s="8"/>
      <c r="J8611" s="7"/>
      <c r="K8611" s="7"/>
      <c r="L8611" s="7"/>
      <c r="M8611" s="7"/>
      <c r="N8611" s="7"/>
      <c r="O8611" s="7"/>
      <c r="P8611" s="7"/>
      <c r="Q8611" s="7"/>
      <c r="R8611" s="7"/>
      <c r="S8611" s="7"/>
      <c r="T8611" s="7"/>
      <c r="U8611" s="7"/>
      <c r="V8611" s="7"/>
      <c r="W8611" s="7"/>
      <c r="X8611" s="7"/>
      <c r="Y8611" s="7"/>
      <c r="Z8611" s="7"/>
    </row>
    <row r="8612" hidden="1">
      <c r="A8612" s="7"/>
      <c r="B8612" s="7"/>
      <c r="C8612" s="7"/>
      <c r="D8612" s="7"/>
      <c r="E8612" s="7"/>
      <c r="F8612" s="7"/>
      <c r="G8612" s="7"/>
      <c r="H8612" s="8"/>
      <c r="I8612" s="8"/>
      <c r="J8612" s="7"/>
      <c r="K8612" s="7"/>
      <c r="L8612" s="7"/>
      <c r="M8612" s="7"/>
      <c r="N8612" s="7"/>
      <c r="O8612" s="7"/>
      <c r="P8612" s="7"/>
      <c r="Q8612" s="7"/>
      <c r="R8612" s="7"/>
      <c r="S8612" s="7"/>
      <c r="T8612" s="7"/>
      <c r="U8612" s="7"/>
      <c r="V8612" s="7"/>
      <c r="W8612" s="7"/>
      <c r="X8612" s="7"/>
      <c r="Y8612" s="7"/>
      <c r="Z8612" s="7"/>
    </row>
    <row r="8613" hidden="1">
      <c r="A8613" s="7"/>
      <c r="B8613" s="7"/>
      <c r="C8613" s="7"/>
      <c r="D8613" s="7"/>
      <c r="E8613" s="7"/>
      <c r="F8613" s="7"/>
      <c r="G8613" s="7"/>
      <c r="H8613" s="8"/>
      <c r="I8613" s="8"/>
      <c r="J8613" s="7"/>
      <c r="K8613" s="7"/>
      <c r="L8613" s="7"/>
      <c r="M8613" s="7"/>
      <c r="N8613" s="7"/>
      <c r="O8613" s="7"/>
      <c r="P8613" s="7"/>
      <c r="Q8613" s="7"/>
      <c r="R8613" s="7"/>
      <c r="S8613" s="7"/>
      <c r="T8613" s="7"/>
      <c r="U8613" s="7"/>
      <c r="V8613" s="7"/>
      <c r="W8613" s="7"/>
      <c r="X8613" s="7"/>
      <c r="Y8613" s="7"/>
      <c r="Z8613" s="7"/>
    </row>
    <row r="8614" hidden="1">
      <c r="A8614" s="7"/>
      <c r="B8614" s="7"/>
      <c r="C8614" s="7"/>
      <c r="D8614" s="7"/>
      <c r="E8614" s="7"/>
      <c r="F8614" s="7"/>
      <c r="G8614" s="7"/>
      <c r="H8614" s="8"/>
      <c r="I8614" s="8"/>
      <c r="J8614" s="7"/>
      <c r="K8614" s="7"/>
      <c r="L8614" s="7"/>
      <c r="M8614" s="7"/>
      <c r="N8614" s="7"/>
      <c r="O8614" s="7"/>
      <c r="P8614" s="7"/>
      <c r="Q8614" s="7"/>
      <c r="R8614" s="7"/>
      <c r="S8614" s="7"/>
      <c r="T8614" s="7"/>
      <c r="U8614" s="7"/>
      <c r="V8614" s="7"/>
      <c r="W8614" s="7"/>
      <c r="X8614" s="7"/>
      <c r="Y8614" s="7"/>
      <c r="Z8614" s="7"/>
    </row>
    <row r="8615" hidden="1">
      <c r="A8615" s="7"/>
      <c r="B8615" s="7"/>
      <c r="C8615" s="7"/>
      <c r="D8615" s="7"/>
      <c r="E8615" s="7"/>
      <c r="F8615" s="7"/>
      <c r="G8615" s="7"/>
      <c r="H8615" s="8"/>
      <c r="I8615" s="8"/>
      <c r="J8615" s="7"/>
      <c r="K8615" s="7"/>
      <c r="L8615" s="7"/>
      <c r="M8615" s="7"/>
      <c r="N8615" s="7"/>
      <c r="O8615" s="7"/>
      <c r="P8615" s="7"/>
      <c r="Q8615" s="7"/>
      <c r="R8615" s="7"/>
      <c r="S8615" s="7"/>
      <c r="T8615" s="7"/>
      <c r="U8615" s="7"/>
      <c r="V8615" s="7"/>
      <c r="W8615" s="7"/>
      <c r="X8615" s="7"/>
      <c r="Y8615" s="7"/>
      <c r="Z8615" s="7"/>
    </row>
    <row r="8616" hidden="1">
      <c r="A8616" s="7"/>
      <c r="B8616" s="7"/>
      <c r="C8616" s="7"/>
      <c r="D8616" s="7"/>
      <c r="E8616" s="7"/>
      <c r="F8616" s="7"/>
      <c r="G8616" s="7"/>
      <c r="H8616" s="8"/>
      <c r="I8616" s="8"/>
      <c r="J8616" s="7"/>
      <c r="K8616" s="7"/>
      <c r="L8616" s="7"/>
      <c r="M8616" s="7"/>
      <c r="N8616" s="7"/>
      <c r="O8616" s="7"/>
      <c r="P8616" s="7"/>
      <c r="Q8616" s="7"/>
      <c r="R8616" s="7"/>
      <c r="S8616" s="7"/>
      <c r="T8616" s="7"/>
      <c r="U8616" s="7"/>
      <c r="V8616" s="7"/>
      <c r="W8616" s="7"/>
      <c r="X8616" s="7"/>
      <c r="Y8616" s="7"/>
      <c r="Z8616" s="7"/>
    </row>
    <row r="8617" hidden="1">
      <c r="A8617" s="7"/>
      <c r="B8617" s="7"/>
      <c r="C8617" s="7"/>
      <c r="D8617" s="7"/>
      <c r="E8617" s="7"/>
      <c r="F8617" s="7"/>
      <c r="G8617" s="7"/>
      <c r="H8617" s="8"/>
      <c r="I8617" s="8"/>
      <c r="J8617" s="7"/>
      <c r="K8617" s="7"/>
      <c r="L8617" s="7"/>
      <c r="M8617" s="7"/>
      <c r="N8617" s="7"/>
      <c r="O8617" s="7"/>
      <c r="P8617" s="7"/>
      <c r="Q8617" s="7"/>
      <c r="R8617" s="7"/>
      <c r="S8617" s="7"/>
      <c r="T8617" s="7"/>
      <c r="U8617" s="7"/>
      <c r="V8617" s="7"/>
      <c r="W8617" s="7"/>
      <c r="X8617" s="7"/>
      <c r="Y8617" s="7"/>
      <c r="Z8617" s="7"/>
    </row>
    <row r="8618" hidden="1">
      <c r="A8618" s="7"/>
      <c r="B8618" s="7"/>
      <c r="C8618" s="7"/>
      <c r="D8618" s="7"/>
      <c r="E8618" s="7"/>
      <c r="F8618" s="7"/>
      <c r="G8618" s="7"/>
      <c r="H8618" s="8"/>
      <c r="I8618" s="8"/>
      <c r="J8618" s="7"/>
      <c r="K8618" s="7"/>
      <c r="L8618" s="7"/>
      <c r="M8618" s="7"/>
      <c r="N8618" s="7"/>
      <c r="O8618" s="7"/>
      <c r="P8618" s="7"/>
      <c r="Q8618" s="7"/>
      <c r="R8618" s="7"/>
      <c r="S8618" s="7"/>
      <c r="T8618" s="7"/>
      <c r="U8618" s="7"/>
      <c r="V8618" s="7"/>
      <c r="W8618" s="7"/>
      <c r="X8618" s="7"/>
      <c r="Y8618" s="7"/>
      <c r="Z8618" s="7"/>
    </row>
    <row r="8619" hidden="1">
      <c r="A8619" s="7"/>
      <c r="B8619" s="7"/>
      <c r="C8619" s="7"/>
      <c r="D8619" s="7"/>
      <c r="E8619" s="7"/>
      <c r="F8619" s="7"/>
      <c r="G8619" s="7"/>
      <c r="H8619" s="8"/>
      <c r="I8619" s="8"/>
      <c r="J8619" s="7"/>
      <c r="K8619" s="7"/>
      <c r="L8619" s="7"/>
      <c r="M8619" s="7"/>
      <c r="N8619" s="7"/>
      <c r="O8619" s="7"/>
      <c r="P8619" s="7"/>
      <c r="Q8619" s="7"/>
      <c r="R8619" s="7"/>
      <c r="S8619" s="7"/>
      <c r="T8619" s="7"/>
      <c r="U8619" s="7"/>
      <c r="V8619" s="7"/>
      <c r="W8619" s="7"/>
      <c r="X8619" s="7"/>
      <c r="Y8619" s="7"/>
      <c r="Z8619" s="7"/>
    </row>
    <row r="8620" hidden="1">
      <c r="A8620" s="7"/>
      <c r="B8620" s="7"/>
      <c r="C8620" s="7"/>
      <c r="D8620" s="7"/>
      <c r="E8620" s="7"/>
      <c r="F8620" s="7"/>
      <c r="G8620" s="7"/>
      <c r="H8620" s="8"/>
      <c r="I8620" s="8"/>
      <c r="J8620" s="7"/>
      <c r="K8620" s="7"/>
      <c r="L8620" s="7"/>
      <c r="M8620" s="7"/>
      <c r="N8620" s="7"/>
      <c r="O8620" s="7"/>
      <c r="P8620" s="7"/>
      <c r="Q8620" s="7"/>
      <c r="R8620" s="7"/>
      <c r="S8620" s="7"/>
      <c r="T8620" s="7"/>
      <c r="U8620" s="7"/>
      <c r="V8620" s="7"/>
      <c r="W8620" s="7"/>
      <c r="X8620" s="7"/>
      <c r="Y8620" s="7"/>
      <c r="Z8620" s="7"/>
    </row>
    <row r="8621" hidden="1">
      <c r="A8621" s="7"/>
      <c r="B8621" s="7"/>
      <c r="C8621" s="7"/>
      <c r="D8621" s="7"/>
      <c r="E8621" s="7"/>
      <c r="F8621" s="7"/>
      <c r="G8621" s="7"/>
      <c r="H8621" s="8"/>
      <c r="I8621" s="8"/>
      <c r="J8621" s="7"/>
      <c r="K8621" s="7"/>
      <c r="L8621" s="7"/>
      <c r="M8621" s="7"/>
      <c r="N8621" s="7"/>
      <c r="O8621" s="7"/>
      <c r="P8621" s="7"/>
      <c r="Q8621" s="7"/>
      <c r="R8621" s="7"/>
      <c r="S8621" s="7"/>
      <c r="T8621" s="7"/>
      <c r="U8621" s="7"/>
      <c r="V8621" s="7"/>
      <c r="W8621" s="7"/>
      <c r="X8621" s="7"/>
      <c r="Y8621" s="7"/>
      <c r="Z8621" s="7"/>
    </row>
    <row r="8622" hidden="1">
      <c r="A8622" s="7"/>
      <c r="B8622" s="7"/>
      <c r="C8622" s="7"/>
      <c r="D8622" s="7"/>
      <c r="E8622" s="7"/>
      <c r="F8622" s="7"/>
      <c r="G8622" s="7"/>
      <c r="H8622" s="8"/>
      <c r="I8622" s="8"/>
      <c r="J8622" s="7"/>
      <c r="K8622" s="7"/>
      <c r="L8622" s="7"/>
      <c r="M8622" s="7"/>
      <c r="N8622" s="7"/>
      <c r="O8622" s="7"/>
      <c r="P8622" s="7"/>
      <c r="Q8622" s="7"/>
      <c r="R8622" s="7"/>
      <c r="S8622" s="7"/>
      <c r="T8622" s="7"/>
      <c r="U8622" s="7"/>
      <c r="V8622" s="7"/>
      <c r="W8622" s="7"/>
      <c r="X8622" s="7"/>
      <c r="Y8622" s="7"/>
      <c r="Z8622" s="7"/>
    </row>
    <row r="8623" hidden="1">
      <c r="A8623" s="7"/>
      <c r="B8623" s="7"/>
      <c r="C8623" s="7"/>
      <c r="D8623" s="7"/>
      <c r="E8623" s="7"/>
      <c r="F8623" s="7"/>
      <c r="G8623" s="7"/>
      <c r="H8623" s="8"/>
      <c r="I8623" s="8"/>
      <c r="J8623" s="7"/>
      <c r="K8623" s="7"/>
      <c r="L8623" s="7"/>
      <c r="M8623" s="7"/>
      <c r="N8623" s="7"/>
      <c r="O8623" s="7"/>
      <c r="P8623" s="7"/>
      <c r="Q8623" s="7"/>
      <c r="R8623" s="7"/>
      <c r="S8623" s="7"/>
      <c r="T8623" s="7"/>
      <c r="U8623" s="7"/>
      <c r="V8623" s="7"/>
      <c r="W8623" s="7"/>
      <c r="X8623" s="7"/>
      <c r="Y8623" s="7"/>
      <c r="Z8623" s="7"/>
    </row>
    <row r="8624" hidden="1">
      <c r="A8624" s="7"/>
      <c r="B8624" s="7"/>
      <c r="C8624" s="7"/>
      <c r="D8624" s="7"/>
      <c r="E8624" s="7"/>
      <c r="F8624" s="7"/>
      <c r="G8624" s="7"/>
      <c r="H8624" s="8"/>
      <c r="I8624" s="8"/>
      <c r="J8624" s="7"/>
      <c r="K8624" s="7"/>
      <c r="L8624" s="7"/>
      <c r="M8624" s="7"/>
      <c r="N8624" s="7"/>
      <c r="O8624" s="7"/>
      <c r="P8624" s="7"/>
      <c r="Q8624" s="7"/>
      <c r="R8624" s="7"/>
      <c r="S8624" s="7"/>
      <c r="T8624" s="7"/>
      <c r="U8624" s="7"/>
      <c r="V8624" s="7"/>
      <c r="W8624" s="7"/>
      <c r="X8624" s="7"/>
      <c r="Y8624" s="7"/>
      <c r="Z8624" s="7"/>
    </row>
    <row r="8625" hidden="1">
      <c r="A8625" s="7"/>
      <c r="B8625" s="7"/>
      <c r="C8625" s="7"/>
      <c r="D8625" s="7"/>
      <c r="E8625" s="7"/>
      <c r="F8625" s="7"/>
      <c r="G8625" s="7"/>
      <c r="H8625" s="8"/>
      <c r="I8625" s="8"/>
      <c r="J8625" s="7"/>
      <c r="K8625" s="7"/>
      <c r="L8625" s="7"/>
      <c r="M8625" s="7"/>
      <c r="N8625" s="7"/>
      <c r="O8625" s="7"/>
      <c r="P8625" s="7"/>
      <c r="Q8625" s="7"/>
      <c r="R8625" s="7"/>
      <c r="S8625" s="7"/>
      <c r="T8625" s="7"/>
      <c r="U8625" s="7"/>
      <c r="V8625" s="7"/>
      <c r="W8625" s="7"/>
      <c r="X8625" s="7"/>
      <c r="Y8625" s="7"/>
      <c r="Z8625" s="7"/>
    </row>
    <row r="8626" hidden="1">
      <c r="A8626" s="7"/>
      <c r="B8626" s="7"/>
      <c r="C8626" s="7"/>
      <c r="D8626" s="7"/>
      <c r="E8626" s="7"/>
      <c r="F8626" s="7"/>
      <c r="G8626" s="7"/>
      <c r="H8626" s="8"/>
      <c r="I8626" s="8"/>
      <c r="J8626" s="7"/>
      <c r="K8626" s="7"/>
      <c r="L8626" s="7"/>
      <c r="M8626" s="7"/>
      <c r="N8626" s="7"/>
      <c r="O8626" s="7"/>
      <c r="P8626" s="7"/>
      <c r="Q8626" s="7"/>
      <c r="R8626" s="7"/>
      <c r="S8626" s="7"/>
      <c r="T8626" s="7"/>
      <c r="U8626" s="7"/>
      <c r="V8626" s="7"/>
      <c r="W8626" s="7"/>
      <c r="X8626" s="7"/>
      <c r="Y8626" s="7"/>
      <c r="Z8626" s="7"/>
    </row>
    <row r="8627" hidden="1">
      <c r="A8627" s="7"/>
      <c r="B8627" s="7"/>
      <c r="C8627" s="7"/>
      <c r="D8627" s="7"/>
      <c r="E8627" s="7"/>
      <c r="F8627" s="7"/>
      <c r="G8627" s="7"/>
      <c r="H8627" s="8"/>
      <c r="I8627" s="8"/>
      <c r="J8627" s="7"/>
      <c r="K8627" s="7"/>
      <c r="L8627" s="7"/>
      <c r="M8627" s="7"/>
      <c r="N8627" s="7"/>
      <c r="O8627" s="7"/>
      <c r="P8627" s="7"/>
      <c r="Q8627" s="7"/>
      <c r="R8627" s="7"/>
      <c r="S8627" s="7"/>
      <c r="T8627" s="7"/>
      <c r="U8627" s="7"/>
      <c r="V8627" s="7"/>
      <c r="W8627" s="7"/>
      <c r="X8627" s="7"/>
      <c r="Y8627" s="7"/>
      <c r="Z8627" s="7"/>
    </row>
    <row r="8628" hidden="1">
      <c r="A8628" s="7"/>
      <c r="B8628" s="7"/>
      <c r="C8628" s="7"/>
      <c r="D8628" s="7"/>
      <c r="E8628" s="7"/>
      <c r="F8628" s="7"/>
      <c r="G8628" s="7"/>
      <c r="H8628" s="8"/>
      <c r="I8628" s="8"/>
      <c r="J8628" s="7"/>
      <c r="K8628" s="7"/>
      <c r="L8628" s="7"/>
      <c r="M8628" s="7"/>
      <c r="N8628" s="7"/>
      <c r="O8628" s="7"/>
      <c r="P8628" s="7"/>
      <c r="Q8628" s="7"/>
      <c r="R8628" s="7"/>
      <c r="S8628" s="7"/>
      <c r="T8628" s="7"/>
      <c r="U8628" s="7"/>
      <c r="V8628" s="7"/>
      <c r="W8628" s="7"/>
      <c r="X8628" s="7"/>
      <c r="Y8628" s="7"/>
      <c r="Z8628" s="7"/>
    </row>
    <row r="8629" hidden="1">
      <c r="A8629" s="7"/>
      <c r="B8629" s="7"/>
      <c r="C8629" s="7"/>
      <c r="D8629" s="7"/>
      <c r="E8629" s="7"/>
      <c r="F8629" s="7"/>
      <c r="G8629" s="7"/>
      <c r="H8629" s="8"/>
      <c r="I8629" s="8"/>
      <c r="J8629" s="7"/>
      <c r="K8629" s="7"/>
      <c r="L8629" s="7"/>
      <c r="M8629" s="7"/>
      <c r="N8629" s="7"/>
      <c r="O8629" s="7"/>
      <c r="P8629" s="7"/>
      <c r="Q8629" s="7"/>
      <c r="R8629" s="7"/>
      <c r="S8629" s="7"/>
      <c r="T8629" s="7"/>
      <c r="U8629" s="7"/>
      <c r="V8629" s="7"/>
      <c r="W8629" s="7"/>
      <c r="X8629" s="7"/>
      <c r="Y8629" s="7"/>
      <c r="Z8629" s="7"/>
    </row>
    <row r="8630" hidden="1">
      <c r="A8630" s="7"/>
      <c r="B8630" s="7"/>
      <c r="C8630" s="7"/>
      <c r="D8630" s="7"/>
      <c r="E8630" s="7"/>
      <c r="F8630" s="7"/>
      <c r="G8630" s="7"/>
      <c r="H8630" s="8"/>
      <c r="I8630" s="8"/>
      <c r="J8630" s="7"/>
      <c r="K8630" s="7"/>
      <c r="L8630" s="7"/>
      <c r="M8630" s="7"/>
      <c r="N8630" s="7"/>
      <c r="O8630" s="7"/>
      <c r="P8630" s="7"/>
      <c r="Q8630" s="7"/>
      <c r="R8630" s="7"/>
      <c r="S8630" s="7"/>
      <c r="T8630" s="7"/>
      <c r="U8630" s="7"/>
      <c r="V8630" s="7"/>
      <c r="W8630" s="7"/>
      <c r="X8630" s="7"/>
      <c r="Y8630" s="7"/>
      <c r="Z8630" s="7"/>
    </row>
    <row r="8631" hidden="1">
      <c r="A8631" s="7"/>
      <c r="B8631" s="7"/>
      <c r="C8631" s="7"/>
      <c r="D8631" s="7"/>
      <c r="E8631" s="7"/>
      <c r="F8631" s="7"/>
      <c r="G8631" s="7"/>
      <c r="H8631" s="8"/>
      <c r="I8631" s="8"/>
      <c r="J8631" s="7"/>
      <c r="K8631" s="7"/>
      <c r="L8631" s="7"/>
      <c r="M8631" s="7"/>
      <c r="N8631" s="7"/>
      <c r="O8631" s="7"/>
      <c r="P8631" s="7"/>
      <c r="Q8631" s="7"/>
      <c r="R8631" s="7"/>
      <c r="S8631" s="7"/>
      <c r="T8631" s="7"/>
      <c r="U8631" s="7"/>
      <c r="V8631" s="7"/>
      <c r="W8631" s="7"/>
      <c r="X8631" s="7"/>
      <c r="Y8631" s="7"/>
      <c r="Z8631" s="7"/>
    </row>
    <row r="8632" hidden="1">
      <c r="A8632" s="7"/>
      <c r="B8632" s="7"/>
      <c r="C8632" s="7"/>
      <c r="D8632" s="7"/>
      <c r="E8632" s="7"/>
      <c r="F8632" s="7"/>
      <c r="G8632" s="7"/>
      <c r="H8632" s="8"/>
      <c r="I8632" s="8"/>
      <c r="J8632" s="7"/>
      <c r="K8632" s="7"/>
      <c r="L8632" s="7"/>
      <c r="M8632" s="7"/>
      <c r="N8632" s="7"/>
      <c r="O8632" s="7"/>
      <c r="P8632" s="7"/>
      <c r="Q8632" s="7"/>
      <c r="R8632" s="7"/>
      <c r="S8632" s="7"/>
      <c r="T8632" s="7"/>
      <c r="U8632" s="7"/>
      <c r="V8632" s="7"/>
      <c r="W8632" s="7"/>
      <c r="X8632" s="7"/>
      <c r="Y8632" s="7"/>
      <c r="Z8632" s="7"/>
    </row>
    <row r="8633" hidden="1">
      <c r="A8633" s="7"/>
      <c r="B8633" s="7"/>
      <c r="C8633" s="7"/>
      <c r="D8633" s="7"/>
      <c r="E8633" s="7"/>
      <c r="F8633" s="7"/>
      <c r="G8633" s="7"/>
      <c r="H8633" s="8"/>
      <c r="I8633" s="8"/>
      <c r="J8633" s="7"/>
      <c r="K8633" s="7"/>
      <c r="L8633" s="7"/>
      <c r="M8633" s="7"/>
      <c r="N8633" s="7"/>
      <c r="O8633" s="7"/>
      <c r="P8633" s="7"/>
      <c r="Q8633" s="7"/>
      <c r="R8633" s="7"/>
      <c r="S8633" s="7"/>
      <c r="T8633" s="7"/>
      <c r="U8633" s="7"/>
      <c r="V8633" s="7"/>
      <c r="W8633" s="7"/>
      <c r="X8633" s="7"/>
      <c r="Y8633" s="7"/>
      <c r="Z8633" s="7"/>
    </row>
    <row r="8634" hidden="1">
      <c r="A8634" s="7"/>
      <c r="B8634" s="7"/>
      <c r="C8634" s="7"/>
      <c r="D8634" s="7"/>
      <c r="E8634" s="7"/>
      <c r="F8634" s="7"/>
      <c r="G8634" s="7"/>
      <c r="H8634" s="8"/>
      <c r="I8634" s="8"/>
      <c r="J8634" s="7"/>
      <c r="K8634" s="7"/>
      <c r="L8634" s="7"/>
      <c r="M8634" s="7"/>
      <c r="N8634" s="7"/>
      <c r="O8634" s="7"/>
      <c r="P8634" s="7"/>
      <c r="Q8634" s="7"/>
      <c r="R8634" s="7"/>
      <c r="S8634" s="7"/>
      <c r="T8634" s="7"/>
      <c r="U8634" s="7"/>
      <c r="V8634" s="7"/>
      <c r="W8634" s="7"/>
      <c r="X8634" s="7"/>
      <c r="Y8634" s="7"/>
      <c r="Z8634" s="7"/>
    </row>
    <row r="8635" hidden="1">
      <c r="A8635" s="7"/>
      <c r="B8635" s="7"/>
      <c r="C8635" s="7"/>
      <c r="D8635" s="7"/>
      <c r="E8635" s="7"/>
      <c r="F8635" s="7"/>
      <c r="G8635" s="7"/>
      <c r="H8635" s="8"/>
      <c r="I8635" s="8"/>
      <c r="J8635" s="7"/>
      <c r="K8635" s="7"/>
      <c r="L8635" s="7"/>
      <c r="M8635" s="7"/>
      <c r="N8635" s="7"/>
      <c r="O8635" s="7"/>
      <c r="P8635" s="7"/>
      <c r="Q8635" s="7"/>
      <c r="R8635" s="7"/>
      <c r="S8635" s="7"/>
      <c r="T8635" s="7"/>
      <c r="U8635" s="7"/>
      <c r="V8635" s="7"/>
      <c r="W8635" s="7"/>
      <c r="X8635" s="7"/>
      <c r="Y8635" s="7"/>
      <c r="Z8635" s="7"/>
    </row>
    <row r="8636" hidden="1">
      <c r="A8636" s="7"/>
      <c r="B8636" s="7"/>
      <c r="C8636" s="7"/>
      <c r="D8636" s="7"/>
      <c r="E8636" s="7"/>
      <c r="F8636" s="7"/>
      <c r="G8636" s="7"/>
      <c r="H8636" s="8"/>
      <c r="I8636" s="8"/>
      <c r="J8636" s="7"/>
      <c r="K8636" s="7"/>
      <c r="L8636" s="7"/>
      <c r="M8636" s="7"/>
      <c r="N8636" s="7"/>
      <c r="O8636" s="7"/>
      <c r="P8636" s="7"/>
      <c r="Q8636" s="7"/>
      <c r="R8636" s="7"/>
      <c r="S8636" s="7"/>
      <c r="T8636" s="7"/>
      <c r="U8636" s="7"/>
      <c r="V8636" s="7"/>
      <c r="W8636" s="7"/>
      <c r="X8636" s="7"/>
      <c r="Y8636" s="7"/>
      <c r="Z8636" s="7"/>
    </row>
    <row r="8637" hidden="1">
      <c r="A8637" s="7"/>
      <c r="B8637" s="7"/>
      <c r="C8637" s="7"/>
      <c r="D8637" s="7"/>
      <c r="E8637" s="7"/>
      <c r="F8637" s="7"/>
      <c r="G8637" s="7"/>
      <c r="H8637" s="8"/>
      <c r="I8637" s="8"/>
      <c r="J8637" s="7"/>
      <c r="K8637" s="7"/>
      <c r="L8637" s="7"/>
      <c r="M8637" s="7"/>
      <c r="N8637" s="7"/>
      <c r="O8637" s="7"/>
      <c r="P8637" s="7"/>
      <c r="Q8637" s="7"/>
      <c r="R8637" s="7"/>
      <c r="S8637" s="7"/>
      <c r="T8637" s="7"/>
      <c r="U8637" s="7"/>
      <c r="V8637" s="7"/>
      <c r="W8637" s="7"/>
      <c r="X8637" s="7"/>
      <c r="Y8637" s="7"/>
      <c r="Z8637" s="7"/>
    </row>
    <row r="8638" hidden="1">
      <c r="A8638" s="7"/>
      <c r="B8638" s="7"/>
      <c r="C8638" s="7"/>
      <c r="D8638" s="7"/>
      <c r="E8638" s="7"/>
      <c r="F8638" s="7"/>
      <c r="G8638" s="7"/>
      <c r="H8638" s="8"/>
      <c r="I8638" s="8"/>
      <c r="J8638" s="7"/>
      <c r="K8638" s="7"/>
      <c r="L8638" s="7"/>
      <c r="M8638" s="7"/>
      <c r="N8638" s="7"/>
      <c r="O8638" s="7"/>
      <c r="P8638" s="7"/>
      <c r="Q8638" s="7"/>
      <c r="R8638" s="7"/>
      <c r="S8638" s="7"/>
      <c r="T8638" s="7"/>
      <c r="U8638" s="7"/>
      <c r="V8638" s="7"/>
      <c r="W8638" s="7"/>
      <c r="X8638" s="7"/>
      <c r="Y8638" s="7"/>
      <c r="Z8638" s="7"/>
    </row>
    <row r="8639" hidden="1">
      <c r="A8639" s="7"/>
      <c r="B8639" s="7"/>
      <c r="C8639" s="7"/>
      <c r="D8639" s="7"/>
      <c r="E8639" s="7"/>
      <c r="F8639" s="7"/>
      <c r="G8639" s="7"/>
      <c r="H8639" s="8"/>
      <c r="I8639" s="8"/>
      <c r="J8639" s="7"/>
      <c r="K8639" s="7"/>
      <c r="L8639" s="7"/>
      <c r="M8639" s="7"/>
      <c r="N8639" s="7"/>
      <c r="O8639" s="7"/>
      <c r="P8639" s="7"/>
      <c r="Q8639" s="7"/>
      <c r="R8639" s="7"/>
      <c r="S8639" s="7"/>
      <c r="T8639" s="7"/>
      <c r="U8639" s="7"/>
      <c r="V8639" s="7"/>
      <c r="W8639" s="7"/>
      <c r="X8639" s="7"/>
      <c r="Y8639" s="7"/>
      <c r="Z8639" s="7"/>
    </row>
    <row r="8640" hidden="1">
      <c r="A8640" s="7"/>
      <c r="B8640" s="7"/>
      <c r="C8640" s="7"/>
      <c r="D8640" s="7"/>
      <c r="E8640" s="7"/>
      <c r="F8640" s="7"/>
      <c r="G8640" s="7"/>
      <c r="H8640" s="8"/>
      <c r="I8640" s="8"/>
      <c r="J8640" s="7"/>
      <c r="K8640" s="7"/>
      <c r="L8640" s="7"/>
      <c r="M8640" s="7"/>
      <c r="N8640" s="7"/>
      <c r="O8640" s="7"/>
      <c r="P8640" s="7"/>
      <c r="Q8640" s="7"/>
      <c r="R8640" s="7"/>
      <c r="S8640" s="7"/>
      <c r="T8640" s="7"/>
      <c r="U8640" s="7"/>
      <c r="V8640" s="7"/>
      <c r="W8640" s="7"/>
      <c r="X8640" s="7"/>
      <c r="Y8640" s="7"/>
      <c r="Z8640" s="7"/>
    </row>
    <row r="8641" hidden="1">
      <c r="A8641" s="7"/>
      <c r="B8641" s="7"/>
      <c r="C8641" s="7"/>
      <c r="D8641" s="7"/>
      <c r="E8641" s="7"/>
      <c r="F8641" s="7"/>
      <c r="G8641" s="7"/>
      <c r="H8641" s="8"/>
      <c r="I8641" s="8"/>
      <c r="J8641" s="7"/>
      <c r="K8641" s="7"/>
      <c r="L8641" s="7"/>
      <c r="M8641" s="7"/>
      <c r="N8641" s="7"/>
      <c r="O8641" s="7"/>
      <c r="P8641" s="7"/>
      <c r="Q8641" s="7"/>
      <c r="R8641" s="7"/>
      <c r="S8641" s="7"/>
      <c r="T8641" s="7"/>
      <c r="U8641" s="7"/>
      <c r="V8641" s="7"/>
      <c r="W8641" s="7"/>
      <c r="X8641" s="7"/>
      <c r="Y8641" s="7"/>
      <c r="Z8641" s="7"/>
    </row>
    <row r="8642" hidden="1">
      <c r="A8642" s="7"/>
      <c r="B8642" s="7"/>
      <c r="C8642" s="7"/>
      <c r="D8642" s="7"/>
      <c r="E8642" s="7"/>
      <c r="F8642" s="7"/>
      <c r="G8642" s="7"/>
      <c r="H8642" s="8"/>
      <c r="I8642" s="8"/>
      <c r="J8642" s="7"/>
      <c r="K8642" s="7"/>
      <c r="L8642" s="7"/>
      <c r="M8642" s="7"/>
      <c r="N8642" s="7"/>
      <c r="O8642" s="7"/>
      <c r="P8642" s="7"/>
      <c r="Q8642" s="7"/>
      <c r="R8642" s="7"/>
      <c r="S8642" s="7"/>
      <c r="T8642" s="7"/>
      <c r="U8642" s="7"/>
      <c r="V8642" s="7"/>
      <c r="W8642" s="7"/>
      <c r="X8642" s="7"/>
      <c r="Y8642" s="7"/>
      <c r="Z8642" s="7"/>
    </row>
    <row r="8643" hidden="1">
      <c r="A8643" s="7"/>
      <c r="B8643" s="7"/>
      <c r="C8643" s="7"/>
      <c r="D8643" s="7"/>
      <c r="E8643" s="7"/>
      <c r="F8643" s="7"/>
      <c r="G8643" s="7"/>
      <c r="H8643" s="8"/>
      <c r="I8643" s="8"/>
      <c r="J8643" s="7"/>
      <c r="K8643" s="7"/>
      <c r="L8643" s="7"/>
      <c r="M8643" s="7"/>
      <c r="N8643" s="7"/>
      <c r="O8643" s="7"/>
      <c r="P8643" s="7"/>
      <c r="Q8643" s="7"/>
      <c r="R8643" s="7"/>
      <c r="S8643" s="7"/>
      <c r="T8643" s="7"/>
      <c r="U8643" s="7"/>
      <c r="V8643" s="7"/>
      <c r="W8643" s="7"/>
      <c r="X8643" s="7"/>
      <c r="Y8643" s="7"/>
      <c r="Z8643" s="7"/>
    </row>
    <row r="8644" hidden="1">
      <c r="A8644" s="7"/>
      <c r="B8644" s="7"/>
      <c r="C8644" s="7"/>
      <c r="D8644" s="7"/>
      <c r="E8644" s="7"/>
      <c r="F8644" s="7"/>
      <c r="G8644" s="7"/>
      <c r="H8644" s="8"/>
      <c r="I8644" s="8"/>
      <c r="J8644" s="7"/>
      <c r="K8644" s="7"/>
      <c r="L8644" s="7"/>
      <c r="M8644" s="7"/>
      <c r="N8644" s="7"/>
      <c r="O8644" s="7"/>
      <c r="P8644" s="7"/>
      <c r="Q8644" s="7"/>
      <c r="R8644" s="7"/>
      <c r="S8644" s="7"/>
      <c r="T8644" s="7"/>
      <c r="U8644" s="7"/>
      <c r="V8644" s="7"/>
      <c r="W8644" s="7"/>
      <c r="X8644" s="7"/>
      <c r="Y8644" s="7"/>
      <c r="Z8644" s="7"/>
    </row>
    <row r="8645" hidden="1">
      <c r="A8645" s="7"/>
      <c r="B8645" s="7"/>
      <c r="C8645" s="7"/>
      <c r="D8645" s="7"/>
      <c r="E8645" s="7"/>
      <c r="F8645" s="7"/>
      <c r="G8645" s="7"/>
      <c r="H8645" s="8"/>
      <c r="I8645" s="8"/>
      <c r="J8645" s="7"/>
      <c r="K8645" s="7"/>
      <c r="L8645" s="7"/>
      <c r="M8645" s="7"/>
      <c r="N8645" s="7"/>
      <c r="O8645" s="7"/>
      <c r="P8645" s="7"/>
      <c r="Q8645" s="7"/>
      <c r="R8645" s="7"/>
      <c r="S8645" s="7"/>
      <c r="T8645" s="7"/>
      <c r="U8645" s="7"/>
      <c r="V8645" s="7"/>
      <c r="W8645" s="7"/>
      <c r="X8645" s="7"/>
      <c r="Y8645" s="7"/>
      <c r="Z8645" s="7"/>
    </row>
    <row r="8646" hidden="1">
      <c r="A8646" s="7"/>
      <c r="B8646" s="7"/>
      <c r="C8646" s="7"/>
      <c r="D8646" s="7"/>
      <c r="E8646" s="7"/>
      <c r="F8646" s="7"/>
      <c r="G8646" s="7"/>
      <c r="H8646" s="8"/>
      <c r="I8646" s="8"/>
      <c r="J8646" s="7"/>
      <c r="K8646" s="7"/>
      <c r="L8646" s="7"/>
      <c r="M8646" s="7"/>
      <c r="N8646" s="7"/>
      <c r="O8646" s="7"/>
      <c r="P8646" s="7"/>
      <c r="Q8646" s="7"/>
      <c r="R8646" s="7"/>
      <c r="S8646" s="7"/>
      <c r="T8646" s="7"/>
      <c r="U8646" s="7"/>
      <c r="V8646" s="7"/>
      <c r="W8646" s="7"/>
      <c r="X8646" s="7"/>
      <c r="Y8646" s="7"/>
      <c r="Z8646" s="7"/>
    </row>
    <row r="8647" hidden="1">
      <c r="A8647" s="7"/>
      <c r="B8647" s="7"/>
      <c r="C8647" s="7"/>
      <c r="D8647" s="7"/>
      <c r="E8647" s="7"/>
      <c r="F8647" s="7"/>
      <c r="G8647" s="7"/>
      <c r="H8647" s="8"/>
      <c r="I8647" s="8"/>
      <c r="J8647" s="7"/>
      <c r="K8647" s="7"/>
      <c r="L8647" s="7"/>
      <c r="M8647" s="7"/>
      <c r="N8647" s="7"/>
      <c r="O8647" s="7"/>
      <c r="P8647" s="7"/>
      <c r="Q8647" s="7"/>
      <c r="R8647" s="7"/>
      <c r="S8647" s="7"/>
      <c r="T8647" s="7"/>
      <c r="U8647" s="7"/>
      <c r="V8647" s="7"/>
      <c r="W8647" s="7"/>
      <c r="X8647" s="7"/>
      <c r="Y8647" s="7"/>
      <c r="Z8647" s="7"/>
    </row>
    <row r="8648" hidden="1">
      <c r="A8648" s="7"/>
      <c r="B8648" s="7"/>
      <c r="C8648" s="7"/>
      <c r="D8648" s="7"/>
      <c r="E8648" s="7"/>
      <c r="F8648" s="7"/>
      <c r="G8648" s="7"/>
      <c r="H8648" s="8"/>
      <c r="I8648" s="8"/>
      <c r="J8648" s="7"/>
      <c r="K8648" s="7"/>
      <c r="L8648" s="7"/>
      <c r="M8648" s="7"/>
      <c r="N8648" s="7"/>
      <c r="O8648" s="7"/>
      <c r="P8648" s="7"/>
      <c r="Q8648" s="7"/>
      <c r="R8648" s="7"/>
      <c r="S8648" s="7"/>
      <c r="T8648" s="7"/>
      <c r="U8648" s="7"/>
      <c r="V8648" s="7"/>
      <c r="W8648" s="7"/>
      <c r="X8648" s="7"/>
      <c r="Y8648" s="7"/>
      <c r="Z8648" s="7"/>
    </row>
    <row r="8649" hidden="1">
      <c r="A8649" s="7"/>
      <c r="B8649" s="7"/>
      <c r="C8649" s="7"/>
      <c r="D8649" s="7"/>
      <c r="E8649" s="7"/>
      <c r="F8649" s="7"/>
      <c r="G8649" s="7"/>
      <c r="H8649" s="8"/>
      <c r="I8649" s="8"/>
      <c r="J8649" s="7"/>
      <c r="K8649" s="7"/>
      <c r="L8649" s="7"/>
      <c r="M8649" s="7"/>
      <c r="N8649" s="7"/>
      <c r="O8649" s="7"/>
      <c r="P8649" s="7"/>
      <c r="Q8649" s="7"/>
      <c r="R8649" s="7"/>
      <c r="S8649" s="7"/>
      <c r="T8649" s="7"/>
      <c r="U8649" s="7"/>
      <c r="V8649" s="7"/>
      <c r="W8649" s="7"/>
      <c r="X8649" s="7"/>
      <c r="Y8649" s="7"/>
      <c r="Z8649" s="7"/>
    </row>
    <row r="8650" hidden="1">
      <c r="A8650" s="7"/>
      <c r="B8650" s="7"/>
      <c r="C8650" s="7"/>
      <c r="D8650" s="7"/>
      <c r="E8650" s="7"/>
      <c r="F8650" s="7"/>
      <c r="G8650" s="7"/>
      <c r="H8650" s="8"/>
      <c r="I8650" s="8"/>
      <c r="J8650" s="7"/>
      <c r="K8650" s="7"/>
      <c r="L8650" s="7"/>
      <c r="M8650" s="7"/>
      <c r="N8650" s="7"/>
      <c r="O8650" s="7"/>
      <c r="P8650" s="7"/>
      <c r="Q8650" s="7"/>
      <c r="R8650" s="7"/>
      <c r="S8650" s="7"/>
      <c r="T8650" s="7"/>
      <c r="U8650" s="7"/>
      <c r="V8650" s="7"/>
      <c r="W8650" s="7"/>
      <c r="X8650" s="7"/>
      <c r="Y8650" s="7"/>
      <c r="Z8650" s="7"/>
    </row>
    <row r="8651" hidden="1">
      <c r="A8651" s="7"/>
      <c r="B8651" s="7"/>
      <c r="C8651" s="7"/>
      <c r="D8651" s="7"/>
      <c r="E8651" s="7"/>
      <c r="F8651" s="7"/>
      <c r="G8651" s="7"/>
      <c r="H8651" s="8"/>
      <c r="I8651" s="8"/>
      <c r="J8651" s="7"/>
      <c r="K8651" s="7"/>
      <c r="L8651" s="7"/>
      <c r="M8651" s="7"/>
      <c r="N8651" s="7"/>
      <c r="O8651" s="7"/>
      <c r="P8651" s="7"/>
      <c r="Q8651" s="7"/>
      <c r="R8651" s="7"/>
      <c r="S8651" s="7"/>
      <c r="T8651" s="7"/>
      <c r="U8651" s="7"/>
      <c r="V8651" s="7"/>
      <c r="W8651" s="7"/>
      <c r="X8651" s="7"/>
      <c r="Y8651" s="7"/>
      <c r="Z8651" s="7"/>
    </row>
    <row r="8652" hidden="1">
      <c r="A8652" s="7"/>
      <c r="B8652" s="7"/>
      <c r="C8652" s="7"/>
      <c r="D8652" s="7"/>
      <c r="E8652" s="7"/>
      <c r="F8652" s="7"/>
      <c r="G8652" s="7"/>
      <c r="H8652" s="8"/>
      <c r="I8652" s="8"/>
      <c r="J8652" s="7"/>
      <c r="K8652" s="7"/>
      <c r="L8652" s="7"/>
      <c r="M8652" s="7"/>
      <c r="N8652" s="7"/>
      <c r="O8652" s="7"/>
      <c r="P8652" s="7"/>
      <c r="Q8652" s="7"/>
      <c r="R8652" s="7"/>
      <c r="S8652" s="7"/>
      <c r="T8652" s="7"/>
      <c r="U8652" s="7"/>
      <c r="V8652" s="7"/>
      <c r="W8652" s="7"/>
      <c r="X8652" s="7"/>
      <c r="Y8652" s="7"/>
      <c r="Z8652" s="7"/>
    </row>
    <row r="8653" hidden="1">
      <c r="A8653" s="7"/>
      <c r="B8653" s="7"/>
      <c r="C8653" s="7"/>
      <c r="D8653" s="7"/>
      <c r="E8653" s="7"/>
      <c r="F8653" s="7"/>
      <c r="G8653" s="7"/>
      <c r="H8653" s="8"/>
      <c r="I8653" s="8"/>
      <c r="J8653" s="7"/>
      <c r="K8653" s="7"/>
      <c r="L8653" s="7"/>
      <c r="M8653" s="7"/>
      <c r="N8653" s="7"/>
      <c r="O8653" s="7"/>
      <c r="P8653" s="7"/>
      <c r="Q8653" s="7"/>
      <c r="R8653" s="7"/>
      <c r="S8653" s="7"/>
      <c r="T8653" s="7"/>
      <c r="U8653" s="7"/>
      <c r="V8653" s="7"/>
      <c r="W8653" s="7"/>
      <c r="X8653" s="7"/>
      <c r="Y8653" s="7"/>
      <c r="Z8653" s="7"/>
    </row>
    <row r="8654" hidden="1">
      <c r="A8654" s="7"/>
      <c r="B8654" s="7"/>
      <c r="C8654" s="7"/>
      <c r="D8654" s="7"/>
      <c r="E8654" s="7"/>
      <c r="F8654" s="7"/>
      <c r="G8654" s="7"/>
      <c r="H8654" s="8"/>
      <c r="I8654" s="8"/>
      <c r="J8654" s="7"/>
      <c r="K8654" s="7"/>
      <c r="L8654" s="7"/>
      <c r="M8654" s="7"/>
      <c r="N8654" s="7"/>
      <c r="O8654" s="7"/>
      <c r="P8654" s="7"/>
      <c r="Q8654" s="7"/>
      <c r="R8654" s="7"/>
      <c r="S8654" s="7"/>
      <c r="T8654" s="7"/>
      <c r="U8654" s="7"/>
      <c r="V8654" s="7"/>
      <c r="W8654" s="7"/>
      <c r="X8654" s="7"/>
      <c r="Y8654" s="7"/>
      <c r="Z8654" s="7"/>
    </row>
    <row r="8655" hidden="1">
      <c r="A8655" s="7"/>
      <c r="B8655" s="7"/>
      <c r="C8655" s="7"/>
      <c r="D8655" s="7"/>
      <c r="E8655" s="7"/>
      <c r="F8655" s="7"/>
      <c r="G8655" s="7"/>
      <c r="H8655" s="8"/>
      <c r="I8655" s="8"/>
      <c r="J8655" s="7"/>
      <c r="K8655" s="7"/>
      <c r="L8655" s="7"/>
      <c r="M8655" s="7"/>
      <c r="N8655" s="7"/>
      <c r="O8655" s="7"/>
      <c r="P8655" s="7"/>
      <c r="Q8655" s="7"/>
      <c r="R8655" s="7"/>
      <c r="S8655" s="7"/>
      <c r="T8655" s="7"/>
      <c r="U8655" s="7"/>
      <c r="V8655" s="7"/>
      <c r="W8655" s="7"/>
      <c r="X8655" s="7"/>
      <c r="Y8655" s="7"/>
      <c r="Z8655" s="7"/>
    </row>
    <row r="8656" hidden="1">
      <c r="A8656" s="7"/>
      <c r="B8656" s="7"/>
      <c r="C8656" s="7"/>
      <c r="D8656" s="7"/>
      <c r="E8656" s="7"/>
      <c r="F8656" s="7"/>
      <c r="G8656" s="7"/>
      <c r="H8656" s="8"/>
      <c r="I8656" s="8"/>
      <c r="J8656" s="7"/>
      <c r="K8656" s="7"/>
      <c r="L8656" s="7"/>
      <c r="M8656" s="7"/>
      <c r="N8656" s="7"/>
      <c r="O8656" s="7"/>
      <c r="P8656" s="7"/>
      <c r="Q8656" s="7"/>
      <c r="R8656" s="7"/>
      <c r="S8656" s="7"/>
      <c r="T8656" s="7"/>
      <c r="U8656" s="7"/>
      <c r="V8656" s="7"/>
      <c r="W8656" s="7"/>
      <c r="X8656" s="7"/>
      <c r="Y8656" s="7"/>
      <c r="Z8656" s="7"/>
    </row>
    <row r="8657" hidden="1">
      <c r="A8657" s="7"/>
      <c r="B8657" s="7"/>
      <c r="C8657" s="7"/>
      <c r="D8657" s="7"/>
      <c r="E8657" s="7"/>
      <c r="F8657" s="7"/>
      <c r="G8657" s="7"/>
      <c r="H8657" s="8"/>
      <c r="I8657" s="8"/>
      <c r="J8657" s="7"/>
      <c r="K8657" s="7"/>
      <c r="L8657" s="7"/>
      <c r="M8657" s="7"/>
      <c r="N8657" s="7"/>
      <c r="O8657" s="7"/>
      <c r="P8657" s="7"/>
      <c r="Q8657" s="7"/>
      <c r="R8657" s="7"/>
      <c r="S8657" s="7"/>
      <c r="T8657" s="7"/>
      <c r="U8657" s="7"/>
      <c r="V8657" s="7"/>
      <c r="W8657" s="7"/>
      <c r="X8657" s="7"/>
      <c r="Y8657" s="7"/>
      <c r="Z8657" s="7"/>
    </row>
    <row r="8658" hidden="1">
      <c r="A8658" s="7"/>
      <c r="B8658" s="7"/>
      <c r="C8658" s="7"/>
      <c r="D8658" s="7"/>
      <c r="E8658" s="7"/>
      <c r="F8658" s="7"/>
      <c r="G8658" s="7"/>
      <c r="H8658" s="8"/>
      <c r="I8658" s="8"/>
      <c r="J8658" s="7"/>
      <c r="K8658" s="7"/>
      <c r="L8658" s="7"/>
      <c r="M8658" s="7"/>
      <c r="N8658" s="7"/>
      <c r="O8658" s="7"/>
      <c r="P8658" s="7"/>
      <c r="Q8658" s="7"/>
      <c r="R8658" s="7"/>
      <c r="S8658" s="7"/>
      <c r="T8658" s="7"/>
      <c r="U8658" s="7"/>
      <c r="V8658" s="7"/>
      <c r="W8658" s="7"/>
      <c r="X8658" s="7"/>
      <c r="Y8658" s="7"/>
      <c r="Z8658" s="7"/>
    </row>
    <row r="8659" hidden="1">
      <c r="A8659" s="7"/>
      <c r="B8659" s="7"/>
      <c r="C8659" s="7"/>
      <c r="D8659" s="7"/>
      <c r="E8659" s="7"/>
      <c r="F8659" s="7"/>
      <c r="G8659" s="7"/>
      <c r="H8659" s="8"/>
      <c r="I8659" s="8"/>
      <c r="J8659" s="7"/>
      <c r="K8659" s="7"/>
      <c r="L8659" s="7"/>
      <c r="M8659" s="7"/>
      <c r="N8659" s="7"/>
      <c r="O8659" s="7"/>
      <c r="P8659" s="7"/>
      <c r="Q8659" s="7"/>
      <c r="R8659" s="7"/>
      <c r="S8659" s="7"/>
      <c r="T8659" s="7"/>
      <c r="U8659" s="7"/>
      <c r="V8659" s="7"/>
      <c r="W8659" s="7"/>
      <c r="X8659" s="7"/>
      <c r="Y8659" s="7"/>
      <c r="Z8659" s="7"/>
    </row>
    <row r="8660" hidden="1">
      <c r="A8660" s="7"/>
      <c r="B8660" s="7"/>
      <c r="C8660" s="7"/>
      <c r="D8660" s="7"/>
      <c r="E8660" s="7"/>
      <c r="F8660" s="7"/>
      <c r="G8660" s="7"/>
      <c r="H8660" s="8"/>
      <c r="I8660" s="8"/>
      <c r="J8660" s="7"/>
      <c r="K8660" s="7"/>
      <c r="L8660" s="7"/>
      <c r="M8660" s="7"/>
      <c r="N8660" s="7"/>
      <c r="O8660" s="7"/>
      <c r="P8660" s="7"/>
      <c r="Q8660" s="7"/>
      <c r="R8660" s="7"/>
      <c r="S8660" s="7"/>
      <c r="T8660" s="7"/>
      <c r="U8660" s="7"/>
      <c r="V8660" s="7"/>
      <c r="W8660" s="7"/>
      <c r="X8660" s="7"/>
      <c r="Y8660" s="7"/>
      <c r="Z8660" s="7"/>
    </row>
    <row r="8661" hidden="1">
      <c r="A8661" s="7"/>
      <c r="B8661" s="7"/>
      <c r="C8661" s="7"/>
      <c r="D8661" s="7"/>
      <c r="E8661" s="7"/>
      <c r="F8661" s="7"/>
      <c r="G8661" s="7"/>
      <c r="H8661" s="8"/>
      <c r="I8661" s="8"/>
      <c r="J8661" s="7"/>
      <c r="K8661" s="7"/>
      <c r="L8661" s="7"/>
      <c r="M8661" s="7"/>
      <c r="N8661" s="7"/>
      <c r="O8661" s="7"/>
      <c r="P8661" s="7"/>
      <c r="Q8661" s="7"/>
      <c r="R8661" s="7"/>
      <c r="S8661" s="7"/>
      <c r="T8661" s="7"/>
      <c r="U8661" s="7"/>
      <c r="V8661" s="7"/>
      <c r="W8661" s="7"/>
      <c r="X8661" s="7"/>
      <c r="Y8661" s="7"/>
      <c r="Z8661" s="7"/>
    </row>
    <row r="8662" hidden="1">
      <c r="A8662" s="7"/>
      <c r="B8662" s="7"/>
      <c r="C8662" s="7"/>
      <c r="D8662" s="7"/>
      <c r="E8662" s="7"/>
      <c r="F8662" s="7"/>
      <c r="G8662" s="7"/>
      <c r="H8662" s="8"/>
      <c r="I8662" s="8"/>
      <c r="J8662" s="7"/>
      <c r="K8662" s="7"/>
      <c r="L8662" s="7"/>
      <c r="M8662" s="7"/>
      <c r="N8662" s="7"/>
      <c r="O8662" s="7"/>
      <c r="P8662" s="7"/>
      <c r="Q8662" s="7"/>
      <c r="R8662" s="7"/>
      <c r="S8662" s="7"/>
      <c r="T8662" s="7"/>
      <c r="U8662" s="7"/>
      <c r="V8662" s="7"/>
      <c r="W8662" s="7"/>
      <c r="X8662" s="7"/>
      <c r="Y8662" s="7"/>
      <c r="Z8662" s="7"/>
    </row>
    <row r="8663" hidden="1">
      <c r="A8663" s="7"/>
      <c r="B8663" s="7"/>
      <c r="C8663" s="7"/>
      <c r="D8663" s="7"/>
      <c r="E8663" s="7"/>
      <c r="F8663" s="7"/>
      <c r="G8663" s="7"/>
      <c r="H8663" s="8"/>
      <c r="I8663" s="8"/>
      <c r="J8663" s="7"/>
      <c r="K8663" s="7"/>
      <c r="L8663" s="7"/>
      <c r="M8663" s="7"/>
      <c r="N8663" s="7"/>
      <c r="O8663" s="7"/>
      <c r="P8663" s="7"/>
      <c r="Q8663" s="7"/>
      <c r="R8663" s="7"/>
      <c r="S8663" s="7"/>
      <c r="T8663" s="7"/>
      <c r="U8663" s="7"/>
      <c r="V8663" s="7"/>
      <c r="W8663" s="7"/>
      <c r="X8663" s="7"/>
      <c r="Y8663" s="7"/>
      <c r="Z8663" s="7"/>
    </row>
    <row r="8664" hidden="1">
      <c r="A8664" s="7"/>
      <c r="B8664" s="7"/>
      <c r="C8664" s="7"/>
      <c r="D8664" s="7"/>
      <c r="E8664" s="7"/>
      <c r="F8664" s="7"/>
      <c r="G8664" s="7"/>
      <c r="H8664" s="8"/>
      <c r="I8664" s="8"/>
      <c r="J8664" s="7"/>
      <c r="K8664" s="7"/>
      <c r="L8664" s="7"/>
      <c r="M8664" s="7"/>
      <c r="N8664" s="7"/>
      <c r="O8664" s="7"/>
      <c r="P8664" s="7"/>
      <c r="Q8664" s="7"/>
      <c r="R8664" s="7"/>
      <c r="S8664" s="7"/>
      <c r="T8664" s="7"/>
      <c r="U8664" s="7"/>
      <c r="V8664" s="7"/>
      <c r="W8664" s="7"/>
      <c r="X8664" s="7"/>
      <c r="Y8664" s="7"/>
      <c r="Z8664" s="7"/>
    </row>
    <row r="8665" hidden="1">
      <c r="A8665" s="7"/>
      <c r="B8665" s="7"/>
      <c r="C8665" s="7"/>
      <c r="D8665" s="7"/>
      <c r="E8665" s="7"/>
      <c r="F8665" s="7"/>
      <c r="G8665" s="7"/>
      <c r="H8665" s="8"/>
      <c r="I8665" s="8"/>
      <c r="J8665" s="7"/>
      <c r="K8665" s="7"/>
      <c r="L8665" s="7"/>
      <c r="M8665" s="7"/>
      <c r="N8665" s="7"/>
      <c r="O8665" s="7"/>
      <c r="P8665" s="7"/>
      <c r="Q8665" s="7"/>
      <c r="R8665" s="7"/>
      <c r="S8665" s="7"/>
      <c r="T8665" s="7"/>
      <c r="U8665" s="7"/>
      <c r="V8665" s="7"/>
      <c r="W8665" s="7"/>
      <c r="X8665" s="7"/>
      <c r="Y8665" s="7"/>
      <c r="Z8665" s="7"/>
    </row>
    <row r="8666" hidden="1">
      <c r="A8666" s="7"/>
      <c r="B8666" s="7"/>
      <c r="C8666" s="7"/>
      <c r="D8666" s="7"/>
      <c r="E8666" s="7"/>
      <c r="F8666" s="7"/>
      <c r="G8666" s="7"/>
      <c r="H8666" s="8"/>
      <c r="I8666" s="8"/>
      <c r="J8666" s="7"/>
      <c r="K8666" s="7"/>
      <c r="L8666" s="7"/>
      <c r="M8666" s="7"/>
      <c r="N8666" s="7"/>
      <c r="O8666" s="7"/>
      <c r="P8666" s="7"/>
      <c r="Q8666" s="7"/>
      <c r="R8666" s="7"/>
      <c r="S8666" s="7"/>
      <c r="T8666" s="7"/>
      <c r="U8666" s="7"/>
      <c r="V8666" s="7"/>
      <c r="W8666" s="7"/>
      <c r="X8666" s="7"/>
      <c r="Y8666" s="7"/>
      <c r="Z8666" s="7"/>
    </row>
    <row r="8667" hidden="1">
      <c r="A8667" s="7"/>
      <c r="B8667" s="7"/>
      <c r="C8667" s="7"/>
      <c r="D8667" s="7"/>
      <c r="E8667" s="7"/>
      <c r="F8667" s="7"/>
      <c r="G8667" s="7"/>
      <c r="H8667" s="8"/>
      <c r="I8667" s="8"/>
      <c r="J8667" s="7"/>
      <c r="K8667" s="7"/>
      <c r="L8667" s="7"/>
      <c r="M8667" s="7"/>
      <c r="N8667" s="7"/>
      <c r="O8667" s="7"/>
      <c r="P8667" s="7"/>
      <c r="Q8667" s="7"/>
      <c r="R8667" s="7"/>
      <c r="S8667" s="7"/>
      <c r="T8667" s="7"/>
      <c r="U8667" s="7"/>
      <c r="V8667" s="7"/>
      <c r="W8667" s="7"/>
      <c r="X8667" s="7"/>
      <c r="Y8667" s="7"/>
      <c r="Z8667" s="7"/>
    </row>
    <row r="8668" hidden="1">
      <c r="A8668" s="7"/>
      <c r="B8668" s="7"/>
      <c r="C8668" s="7"/>
      <c r="D8668" s="7"/>
      <c r="E8668" s="7"/>
      <c r="F8668" s="7"/>
      <c r="G8668" s="7"/>
      <c r="H8668" s="8"/>
      <c r="I8668" s="8"/>
      <c r="J8668" s="7"/>
      <c r="K8668" s="7"/>
      <c r="L8668" s="7"/>
      <c r="M8668" s="7"/>
      <c r="N8668" s="7"/>
      <c r="O8668" s="7"/>
      <c r="P8668" s="7"/>
      <c r="Q8668" s="7"/>
      <c r="R8668" s="7"/>
      <c r="S8668" s="7"/>
      <c r="T8668" s="7"/>
      <c r="U8668" s="7"/>
      <c r="V8668" s="7"/>
      <c r="W8668" s="7"/>
      <c r="X8668" s="7"/>
      <c r="Y8668" s="7"/>
      <c r="Z8668" s="7"/>
    </row>
    <row r="8669" hidden="1">
      <c r="A8669" s="7"/>
      <c r="B8669" s="7"/>
      <c r="C8669" s="7"/>
      <c r="D8669" s="7"/>
      <c r="E8669" s="7"/>
      <c r="F8669" s="7"/>
      <c r="G8669" s="7"/>
      <c r="H8669" s="8"/>
      <c r="I8669" s="8"/>
      <c r="J8669" s="7"/>
      <c r="K8669" s="7"/>
      <c r="L8669" s="7"/>
      <c r="M8669" s="7"/>
      <c r="N8669" s="7"/>
      <c r="O8669" s="7"/>
      <c r="P8669" s="7"/>
      <c r="Q8669" s="7"/>
      <c r="R8669" s="7"/>
      <c r="S8669" s="7"/>
      <c r="T8669" s="7"/>
      <c r="U8669" s="7"/>
      <c r="V8669" s="7"/>
      <c r="W8669" s="7"/>
      <c r="X8669" s="7"/>
      <c r="Y8669" s="7"/>
      <c r="Z8669" s="7"/>
    </row>
    <row r="8670" hidden="1">
      <c r="A8670" s="7"/>
      <c r="B8670" s="7"/>
      <c r="C8670" s="7"/>
      <c r="D8670" s="7"/>
      <c r="E8670" s="7"/>
      <c r="F8670" s="7"/>
      <c r="G8670" s="7"/>
      <c r="H8670" s="8"/>
      <c r="I8670" s="8"/>
      <c r="J8670" s="7"/>
      <c r="K8670" s="7"/>
      <c r="L8670" s="7"/>
      <c r="M8670" s="7"/>
      <c r="N8670" s="7"/>
      <c r="O8670" s="7"/>
      <c r="P8670" s="7"/>
      <c r="Q8670" s="7"/>
      <c r="R8670" s="7"/>
      <c r="S8670" s="7"/>
      <c r="T8670" s="7"/>
      <c r="U8670" s="7"/>
      <c r="V8670" s="7"/>
      <c r="W8670" s="7"/>
      <c r="X8670" s="7"/>
      <c r="Y8670" s="7"/>
      <c r="Z8670" s="7"/>
    </row>
    <row r="8671" hidden="1">
      <c r="A8671" s="7"/>
      <c r="B8671" s="7"/>
      <c r="C8671" s="7"/>
      <c r="D8671" s="7"/>
      <c r="E8671" s="7"/>
      <c r="F8671" s="7"/>
      <c r="G8671" s="7"/>
      <c r="H8671" s="8"/>
      <c r="I8671" s="8"/>
      <c r="J8671" s="7"/>
      <c r="K8671" s="7"/>
      <c r="L8671" s="7"/>
      <c r="M8671" s="7"/>
      <c r="N8671" s="7"/>
      <c r="O8671" s="7"/>
      <c r="P8671" s="7"/>
      <c r="Q8671" s="7"/>
      <c r="R8671" s="7"/>
      <c r="S8671" s="7"/>
      <c r="T8671" s="7"/>
      <c r="U8671" s="7"/>
      <c r="V8671" s="7"/>
      <c r="W8671" s="7"/>
      <c r="X8671" s="7"/>
      <c r="Y8671" s="7"/>
      <c r="Z8671" s="7"/>
    </row>
    <row r="8672" hidden="1">
      <c r="A8672" s="7"/>
      <c r="B8672" s="7"/>
      <c r="C8672" s="7"/>
      <c r="D8672" s="7"/>
      <c r="E8672" s="7"/>
      <c r="F8672" s="7"/>
      <c r="G8672" s="7"/>
      <c r="H8672" s="8"/>
      <c r="I8672" s="8"/>
      <c r="J8672" s="7"/>
      <c r="K8672" s="7"/>
      <c r="L8672" s="7"/>
      <c r="M8672" s="7"/>
      <c r="N8672" s="7"/>
      <c r="O8672" s="7"/>
      <c r="P8672" s="7"/>
      <c r="Q8672" s="7"/>
      <c r="R8672" s="7"/>
      <c r="S8672" s="7"/>
      <c r="T8672" s="7"/>
      <c r="U8672" s="7"/>
      <c r="V8672" s="7"/>
      <c r="W8672" s="7"/>
      <c r="X8672" s="7"/>
      <c r="Y8672" s="7"/>
      <c r="Z8672" s="7"/>
    </row>
    <row r="8673" hidden="1">
      <c r="A8673" s="7"/>
      <c r="B8673" s="7"/>
      <c r="C8673" s="7"/>
      <c r="D8673" s="7"/>
      <c r="E8673" s="7"/>
      <c r="F8673" s="7"/>
      <c r="G8673" s="7"/>
      <c r="H8673" s="8"/>
      <c r="I8673" s="8"/>
      <c r="J8673" s="7"/>
      <c r="K8673" s="7"/>
      <c r="L8673" s="7"/>
      <c r="M8673" s="7"/>
      <c r="N8673" s="7"/>
      <c r="O8673" s="7"/>
      <c r="P8673" s="7"/>
      <c r="Q8673" s="7"/>
      <c r="R8673" s="7"/>
      <c r="S8673" s="7"/>
      <c r="T8673" s="7"/>
      <c r="U8673" s="7"/>
      <c r="V8673" s="7"/>
      <c r="W8673" s="7"/>
      <c r="X8673" s="7"/>
      <c r="Y8673" s="7"/>
      <c r="Z8673" s="7"/>
    </row>
    <row r="8674" hidden="1">
      <c r="A8674" s="7"/>
      <c r="B8674" s="7"/>
      <c r="C8674" s="7"/>
      <c r="D8674" s="7"/>
      <c r="E8674" s="7"/>
      <c r="F8674" s="7"/>
      <c r="G8674" s="7"/>
      <c r="H8674" s="8"/>
      <c r="I8674" s="8"/>
      <c r="J8674" s="7"/>
      <c r="K8674" s="7"/>
      <c r="L8674" s="7"/>
      <c r="M8674" s="7"/>
      <c r="N8674" s="7"/>
      <c r="O8674" s="7"/>
      <c r="P8674" s="7"/>
      <c r="Q8674" s="7"/>
      <c r="R8674" s="7"/>
      <c r="S8674" s="7"/>
      <c r="T8674" s="7"/>
      <c r="U8674" s="7"/>
      <c r="V8674" s="7"/>
      <c r="W8674" s="7"/>
      <c r="X8674" s="7"/>
      <c r="Y8674" s="7"/>
      <c r="Z8674" s="7"/>
    </row>
    <row r="8675" hidden="1">
      <c r="A8675" s="7"/>
      <c r="B8675" s="7"/>
      <c r="C8675" s="7"/>
      <c r="D8675" s="7"/>
      <c r="E8675" s="7"/>
      <c r="F8675" s="7"/>
      <c r="G8675" s="7"/>
      <c r="H8675" s="8"/>
      <c r="I8675" s="8"/>
      <c r="J8675" s="7"/>
      <c r="K8675" s="7"/>
      <c r="L8675" s="7"/>
      <c r="M8675" s="7"/>
      <c r="N8675" s="7"/>
      <c r="O8675" s="7"/>
      <c r="P8675" s="7"/>
      <c r="Q8675" s="7"/>
      <c r="R8675" s="7"/>
      <c r="S8675" s="7"/>
      <c r="T8675" s="7"/>
      <c r="U8675" s="7"/>
      <c r="V8675" s="7"/>
      <c r="W8675" s="7"/>
      <c r="X8675" s="7"/>
      <c r="Y8675" s="7"/>
      <c r="Z8675" s="7"/>
    </row>
    <row r="8676" hidden="1">
      <c r="A8676" s="7"/>
      <c r="B8676" s="7"/>
      <c r="C8676" s="7"/>
      <c r="D8676" s="7"/>
      <c r="E8676" s="7"/>
      <c r="F8676" s="7"/>
      <c r="G8676" s="7"/>
      <c r="H8676" s="8"/>
      <c r="I8676" s="8"/>
      <c r="J8676" s="7"/>
      <c r="K8676" s="7"/>
      <c r="L8676" s="7"/>
      <c r="M8676" s="7"/>
      <c r="N8676" s="7"/>
      <c r="O8676" s="7"/>
      <c r="P8676" s="7"/>
      <c r="Q8676" s="7"/>
      <c r="R8676" s="7"/>
      <c r="S8676" s="7"/>
      <c r="T8676" s="7"/>
      <c r="U8676" s="7"/>
      <c r="V8676" s="7"/>
      <c r="W8676" s="7"/>
      <c r="X8676" s="7"/>
      <c r="Y8676" s="7"/>
      <c r="Z8676" s="7"/>
    </row>
    <row r="8677" hidden="1">
      <c r="A8677" s="7"/>
      <c r="B8677" s="7"/>
      <c r="C8677" s="7"/>
      <c r="D8677" s="7"/>
      <c r="E8677" s="7"/>
      <c r="F8677" s="7"/>
      <c r="G8677" s="7"/>
      <c r="H8677" s="8"/>
      <c r="I8677" s="8"/>
      <c r="J8677" s="7"/>
      <c r="K8677" s="7"/>
      <c r="L8677" s="7"/>
      <c r="M8677" s="7"/>
      <c r="N8677" s="7"/>
      <c r="O8677" s="7"/>
      <c r="P8677" s="7"/>
      <c r="Q8677" s="7"/>
      <c r="R8677" s="7"/>
      <c r="S8677" s="7"/>
      <c r="T8677" s="7"/>
      <c r="U8677" s="7"/>
      <c r="V8677" s="7"/>
      <c r="W8677" s="7"/>
      <c r="X8677" s="7"/>
      <c r="Y8677" s="7"/>
      <c r="Z8677" s="7"/>
    </row>
    <row r="8678" hidden="1">
      <c r="A8678" s="7"/>
      <c r="B8678" s="7"/>
      <c r="C8678" s="7"/>
      <c r="D8678" s="7"/>
      <c r="E8678" s="7"/>
      <c r="F8678" s="7"/>
      <c r="G8678" s="7"/>
      <c r="H8678" s="8"/>
      <c r="I8678" s="8"/>
      <c r="J8678" s="7"/>
      <c r="K8678" s="7"/>
      <c r="L8678" s="7"/>
      <c r="M8678" s="7"/>
      <c r="N8678" s="7"/>
      <c r="O8678" s="7"/>
      <c r="P8678" s="7"/>
      <c r="Q8678" s="7"/>
      <c r="R8678" s="7"/>
      <c r="S8678" s="7"/>
      <c r="T8678" s="7"/>
      <c r="U8678" s="7"/>
      <c r="V8678" s="7"/>
      <c r="W8678" s="7"/>
      <c r="X8678" s="7"/>
      <c r="Y8678" s="7"/>
      <c r="Z8678" s="7"/>
    </row>
    <row r="8679" hidden="1">
      <c r="A8679" s="7"/>
      <c r="B8679" s="7"/>
      <c r="C8679" s="7"/>
      <c r="D8679" s="7"/>
      <c r="E8679" s="7"/>
      <c r="F8679" s="7"/>
      <c r="G8679" s="7"/>
      <c r="H8679" s="8"/>
      <c r="I8679" s="8"/>
      <c r="J8679" s="7"/>
      <c r="K8679" s="7"/>
      <c r="L8679" s="7"/>
      <c r="M8679" s="7"/>
      <c r="N8679" s="7"/>
      <c r="O8679" s="7"/>
      <c r="P8679" s="7"/>
      <c r="Q8679" s="7"/>
      <c r="R8679" s="7"/>
      <c r="S8679" s="7"/>
      <c r="T8679" s="7"/>
      <c r="U8679" s="7"/>
      <c r="V8679" s="7"/>
      <c r="W8679" s="7"/>
      <c r="X8679" s="7"/>
      <c r="Y8679" s="7"/>
      <c r="Z8679" s="7"/>
    </row>
    <row r="8680" hidden="1">
      <c r="A8680" s="7"/>
      <c r="B8680" s="7"/>
      <c r="C8680" s="7"/>
      <c r="D8680" s="7"/>
      <c r="E8680" s="7"/>
      <c r="F8680" s="7"/>
      <c r="G8680" s="7"/>
      <c r="H8680" s="8"/>
      <c r="I8680" s="8"/>
      <c r="J8680" s="7"/>
      <c r="K8680" s="7"/>
      <c r="L8680" s="7"/>
      <c r="M8680" s="7"/>
      <c r="N8680" s="7"/>
      <c r="O8680" s="7"/>
      <c r="P8680" s="7"/>
      <c r="Q8680" s="7"/>
      <c r="R8680" s="7"/>
      <c r="S8680" s="7"/>
      <c r="T8680" s="7"/>
      <c r="U8680" s="7"/>
      <c r="V8680" s="7"/>
      <c r="W8680" s="7"/>
      <c r="X8680" s="7"/>
      <c r="Y8680" s="7"/>
      <c r="Z8680" s="7"/>
    </row>
    <row r="8681" hidden="1">
      <c r="A8681" s="7"/>
      <c r="B8681" s="7"/>
      <c r="C8681" s="7"/>
      <c r="D8681" s="7"/>
      <c r="E8681" s="7"/>
      <c r="F8681" s="7"/>
      <c r="G8681" s="7"/>
      <c r="H8681" s="8"/>
      <c r="I8681" s="8"/>
      <c r="J8681" s="7"/>
      <c r="K8681" s="7"/>
      <c r="L8681" s="7"/>
      <c r="M8681" s="7"/>
      <c r="N8681" s="7"/>
      <c r="O8681" s="7"/>
      <c r="P8681" s="7"/>
      <c r="Q8681" s="7"/>
      <c r="R8681" s="7"/>
      <c r="S8681" s="7"/>
      <c r="T8681" s="7"/>
      <c r="U8681" s="7"/>
      <c r="V8681" s="7"/>
      <c r="W8681" s="7"/>
      <c r="X8681" s="7"/>
      <c r="Y8681" s="7"/>
      <c r="Z8681" s="7"/>
    </row>
    <row r="8682" hidden="1">
      <c r="A8682" s="7"/>
      <c r="B8682" s="7"/>
      <c r="C8682" s="7"/>
      <c r="D8682" s="7"/>
      <c r="E8682" s="7"/>
      <c r="F8682" s="7"/>
      <c r="G8682" s="7"/>
      <c r="H8682" s="8"/>
      <c r="I8682" s="8"/>
      <c r="J8682" s="7"/>
      <c r="K8682" s="7"/>
      <c r="L8682" s="7"/>
      <c r="M8682" s="7"/>
      <c r="N8682" s="7"/>
      <c r="O8682" s="7"/>
      <c r="P8682" s="7"/>
      <c r="Q8682" s="7"/>
      <c r="R8682" s="7"/>
      <c r="S8682" s="7"/>
      <c r="T8682" s="7"/>
      <c r="U8682" s="7"/>
      <c r="V8682" s="7"/>
      <c r="W8682" s="7"/>
      <c r="X8682" s="7"/>
      <c r="Y8682" s="7"/>
      <c r="Z8682" s="7"/>
    </row>
    <row r="8683" hidden="1">
      <c r="A8683" s="7"/>
      <c r="B8683" s="7"/>
      <c r="C8683" s="7"/>
      <c r="D8683" s="7"/>
      <c r="E8683" s="7"/>
      <c r="F8683" s="7"/>
      <c r="G8683" s="7"/>
      <c r="H8683" s="8"/>
      <c r="I8683" s="8"/>
      <c r="J8683" s="7"/>
      <c r="K8683" s="7"/>
      <c r="L8683" s="7"/>
      <c r="M8683" s="7"/>
      <c r="N8683" s="7"/>
      <c r="O8683" s="7"/>
      <c r="P8683" s="7"/>
      <c r="Q8683" s="7"/>
      <c r="R8683" s="7"/>
      <c r="S8683" s="7"/>
      <c r="T8683" s="7"/>
      <c r="U8683" s="7"/>
      <c r="V8683" s="7"/>
      <c r="W8683" s="7"/>
      <c r="X8683" s="7"/>
      <c r="Y8683" s="7"/>
      <c r="Z8683" s="7"/>
    </row>
    <row r="8684" hidden="1">
      <c r="A8684" s="7"/>
      <c r="B8684" s="7"/>
      <c r="C8684" s="7"/>
      <c r="D8684" s="7"/>
      <c r="E8684" s="7"/>
      <c r="F8684" s="7"/>
      <c r="G8684" s="7"/>
      <c r="H8684" s="8"/>
      <c r="I8684" s="8"/>
      <c r="J8684" s="7"/>
      <c r="K8684" s="7"/>
      <c r="L8684" s="7"/>
      <c r="M8684" s="7"/>
      <c r="N8684" s="7"/>
      <c r="O8684" s="7"/>
      <c r="P8684" s="7"/>
      <c r="Q8684" s="7"/>
      <c r="R8684" s="7"/>
      <c r="S8684" s="7"/>
      <c r="T8684" s="7"/>
      <c r="U8684" s="7"/>
      <c r="V8684" s="7"/>
      <c r="W8684" s="7"/>
      <c r="X8684" s="7"/>
      <c r="Y8684" s="7"/>
      <c r="Z8684" s="7"/>
    </row>
    <row r="8685" hidden="1">
      <c r="A8685" s="7"/>
      <c r="B8685" s="7"/>
      <c r="C8685" s="7"/>
      <c r="D8685" s="7"/>
      <c r="E8685" s="7"/>
      <c r="F8685" s="7"/>
      <c r="G8685" s="7"/>
      <c r="H8685" s="8"/>
      <c r="I8685" s="8"/>
      <c r="J8685" s="7"/>
      <c r="K8685" s="7"/>
      <c r="L8685" s="7"/>
      <c r="M8685" s="7"/>
      <c r="N8685" s="7"/>
      <c r="O8685" s="7"/>
      <c r="P8685" s="7"/>
      <c r="Q8685" s="7"/>
      <c r="R8685" s="7"/>
      <c r="S8685" s="7"/>
      <c r="T8685" s="7"/>
      <c r="U8685" s="7"/>
      <c r="V8685" s="7"/>
      <c r="W8685" s="7"/>
      <c r="X8685" s="7"/>
      <c r="Y8685" s="7"/>
      <c r="Z8685" s="7"/>
    </row>
    <row r="8686" hidden="1">
      <c r="A8686" s="7"/>
      <c r="B8686" s="7"/>
      <c r="C8686" s="7"/>
      <c r="D8686" s="7"/>
      <c r="E8686" s="7"/>
      <c r="F8686" s="7"/>
      <c r="G8686" s="7"/>
      <c r="H8686" s="8"/>
      <c r="I8686" s="8"/>
      <c r="J8686" s="7"/>
      <c r="K8686" s="7"/>
      <c r="L8686" s="7"/>
      <c r="M8686" s="7"/>
      <c r="N8686" s="7"/>
      <c r="O8686" s="7"/>
      <c r="P8686" s="7"/>
      <c r="Q8686" s="7"/>
      <c r="R8686" s="7"/>
      <c r="S8686" s="7"/>
      <c r="T8686" s="7"/>
      <c r="U8686" s="7"/>
      <c r="V8686" s="7"/>
      <c r="W8686" s="7"/>
      <c r="X8686" s="7"/>
      <c r="Y8686" s="7"/>
      <c r="Z8686" s="7"/>
    </row>
    <row r="8687" hidden="1">
      <c r="A8687" s="7"/>
      <c r="B8687" s="7"/>
      <c r="C8687" s="7"/>
      <c r="D8687" s="7"/>
      <c r="E8687" s="7"/>
      <c r="F8687" s="7"/>
      <c r="G8687" s="7"/>
      <c r="H8687" s="8"/>
      <c r="I8687" s="8"/>
      <c r="J8687" s="7"/>
      <c r="K8687" s="7"/>
      <c r="L8687" s="7"/>
      <c r="M8687" s="7"/>
      <c r="N8687" s="7"/>
      <c r="O8687" s="7"/>
      <c r="P8687" s="7"/>
      <c r="Q8687" s="7"/>
      <c r="R8687" s="7"/>
      <c r="S8687" s="7"/>
      <c r="T8687" s="7"/>
      <c r="U8687" s="7"/>
      <c r="V8687" s="7"/>
      <c r="W8687" s="7"/>
      <c r="X8687" s="7"/>
      <c r="Y8687" s="7"/>
      <c r="Z8687" s="7"/>
    </row>
    <row r="8688" hidden="1">
      <c r="A8688" s="7"/>
      <c r="B8688" s="7"/>
      <c r="C8688" s="7"/>
      <c r="D8688" s="7"/>
      <c r="E8688" s="7"/>
      <c r="F8688" s="7"/>
      <c r="G8688" s="7"/>
      <c r="H8688" s="8"/>
      <c r="I8688" s="8"/>
      <c r="J8688" s="7"/>
      <c r="K8688" s="7"/>
      <c r="L8688" s="7"/>
      <c r="M8688" s="7"/>
      <c r="N8688" s="7"/>
      <c r="O8688" s="7"/>
      <c r="P8688" s="7"/>
      <c r="Q8688" s="7"/>
      <c r="R8688" s="7"/>
      <c r="S8688" s="7"/>
      <c r="T8688" s="7"/>
      <c r="U8688" s="7"/>
      <c r="V8688" s="7"/>
      <c r="W8688" s="7"/>
      <c r="X8688" s="7"/>
      <c r="Y8688" s="7"/>
      <c r="Z8688" s="7"/>
    </row>
    <row r="8689" hidden="1">
      <c r="A8689" s="7"/>
      <c r="B8689" s="7"/>
      <c r="C8689" s="7"/>
      <c r="D8689" s="7"/>
      <c r="E8689" s="7"/>
      <c r="F8689" s="7"/>
      <c r="G8689" s="7"/>
      <c r="H8689" s="8"/>
      <c r="I8689" s="8"/>
      <c r="J8689" s="7"/>
      <c r="K8689" s="7"/>
      <c r="L8689" s="7"/>
      <c r="M8689" s="7"/>
      <c r="N8689" s="7"/>
      <c r="O8689" s="7"/>
      <c r="P8689" s="7"/>
      <c r="Q8689" s="7"/>
      <c r="R8689" s="7"/>
      <c r="S8689" s="7"/>
      <c r="T8689" s="7"/>
      <c r="U8689" s="7"/>
      <c r="V8689" s="7"/>
      <c r="W8689" s="7"/>
      <c r="X8689" s="7"/>
      <c r="Y8689" s="7"/>
      <c r="Z8689" s="7"/>
    </row>
    <row r="8690" hidden="1">
      <c r="A8690" s="7"/>
      <c r="B8690" s="7"/>
      <c r="C8690" s="7"/>
      <c r="D8690" s="7"/>
      <c r="E8690" s="7"/>
      <c r="F8690" s="7"/>
      <c r="G8690" s="7"/>
      <c r="H8690" s="8"/>
      <c r="I8690" s="8"/>
      <c r="J8690" s="7"/>
      <c r="K8690" s="7"/>
      <c r="L8690" s="7"/>
      <c r="M8690" s="7"/>
      <c r="N8690" s="7"/>
      <c r="O8690" s="7"/>
      <c r="P8690" s="7"/>
      <c r="Q8690" s="7"/>
      <c r="R8690" s="7"/>
      <c r="S8690" s="7"/>
      <c r="T8690" s="7"/>
      <c r="U8690" s="7"/>
      <c r="V8690" s="7"/>
      <c r="W8690" s="7"/>
      <c r="X8690" s="7"/>
      <c r="Y8690" s="7"/>
      <c r="Z8690" s="7"/>
    </row>
    <row r="8691" hidden="1">
      <c r="A8691" s="7"/>
      <c r="B8691" s="7"/>
      <c r="C8691" s="7"/>
      <c r="D8691" s="7"/>
      <c r="E8691" s="7"/>
      <c r="F8691" s="7"/>
      <c r="G8691" s="7"/>
      <c r="H8691" s="8"/>
      <c r="I8691" s="8"/>
      <c r="J8691" s="7"/>
      <c r="K8691" s="7"/>
      <c r="L8691" s="7"/>
      <c r="M8691" s="7"/>
      <c r="N8691" s="7"/>
      <c r="O8691" s="7"/>
      <c r="P8691" s="7"/>
      <c r="Q8691" s="7"/>
      <c r="R8691" s="7"/>
      <c r="S8691" s="7"/>
      <c r="T8691" s="7"/>
      <c r="U8691" s="7"/>
      <c r="V8691" s="7"/>
      <c r="W8691" s="7"/>
      <c r="X8691" s="7"/>
      <c r="Y8691" s="7"/>
      <c r="Z8691" s="7"/>
    </row>
    <row r="8692" hidden="1">
      <c r="A8692" s="7"/>
      <c r="B8692" s="7"/>
      <c r="C8692" s="7"/>
      <c r="D8692" s="7"/>
      <c r="E8692" s="7"/>
      <c r="F8692" s="7"/>
      <c r="G8692" s="7"/>
      <c r="H8692" s="8"/>
      <c r="I8692" s="8"/>
      <c r="J8692" s="7"/>
      <c r="K8692" s="7"/>
      <c r="L8692" s="7"/>
      <c r="M8692" s="7"/>
      <c r="N8692" s="7"/>
      <c r="O8692" s="7"/>
      <c r="P8692" s="7"/>
      <c r="Q8692" s="7"/>
      <c r="R8692" s="7"/>
      <c r="S8692" s="7"/>
      <c r="T8692" s="7"/>
      <c r="U8692" s="7"/>
      <c r="V8692" s="7"/>
      <c r="W8692" s="7"/>
      <c r="X8692" s="7"/>
      <c r="Y8692" s="7"/>
      <c r="Z8692" s="7"/>
    </row>
    <row r="8693" hidden="1">
      <c r="A8693" s="7"/>
      <c r="B8693" s="7"/>
      <c r="C8693" s="7"/>
      <c r="D8693" s="7"/>
      <c r="E8693" s="7"/>
      <c r="F8693" s="7"/>
      <c r="G8693" s="7"/>
      <c r="H8693" s="8"/>
      <c r="I8693" s="8"/>
      <c r="J8693" s="7"/>
      <c r="K8693" s="7"/>
      <c r="L8693" s="7"/>
      <c r="M8693" s="7"/>
      <c r="N8693" s="7"/>
      <c r="O8693" s="7"/>
      <c r="P8693" s="7"/>
      <c r="Q8693" s="7"/>
      <c r="R8693" s="7"/>
      <c r="S8693" s="7"/>
      <c r="T8693" s="7"/>
      <c r="U8693" s="7"/>
      <c r="V8693" s="7"/>
      <c r="W8693" s="7"/>
      <c r="X8693" s="7"/>
      <c r="Y8693" s="7"/>
      <c r="Z8693" s="7"/>
    </row>
    <row r="8694" hidden="1">
      <c r="A8694" s="7"/>
      <c r="B8694" s="7"/>
      <c r="C8694" s="7"/>
      <c r="D8694" s="7"/>
      <c r="E8694" s="7"/>
      <c r="F8694" s="7"/>
      <c r="G8694" s="7"/>
      <c r="H8694" s="8"/>
      <c r="I8694" s="8"/>
      <c r="J8694" s="7"/>
      <c r="K8694" s="7"/>
      <c r="L8694" s="7"/>
      <c r="M8694" s="7"/>
      <c r="N8694" s="7"/>
      <c r="O8694" s="7"/>
      <c r="P8694" s="7"/>
      <c r="Q8694" s="7"/>
      <c r="R8694" s="7"/>
      <c r="S8694" s="7"/>
      <c r="T8694" s="7"/>
      <c r="U8694" s="7"/>
      <c r="V8694" s="7"/>
      <c r="W8694" s="7"/>
      <c r="X8694" s="7"/>
      <c r="Y8694" s="7"/>
      <c r="Z8694" s="7"/>
    </row>
    <row r="8695" hidden="1">
      <c r="A8695" s="7"/>
      <c r="B8695" s="7"/>
      <c r="C8695" s="7"/>
      <c r="D8695" s="7"/>
      <c r="E8695" s="7"/>
      <c r="F8695" s="7"/>
      <c r="G8695" s="7"/>
      <c r="H8695" s="8"/>
      <c r="I8695" s="8"/>
      <c r="J8695" s="7"/>
      <c r="K8695" s="7"/>
      <c r="L8695" s="7"/>
      <c r="M8695" s="7"/>
      <c r="N8695" s="7"/>
      <c r="O8695" s="7"/>
      <c r="P8695" s="7"/>
      <c r="Q8695" s="7"/>
      <c r="R8695" s="7"/>
      <c r="S8695" s="7"/>
      <c r="T8695" s="7"/>
      <c r="U8695" s="7"/>
      <c r="V8695" s="7"/>
      <c r="W8695" s="7"/>
      <c r="X8695" s="7"/>
      <c r="Y8695" s="7"/>
      <c r="Z8695" s="7"/>
    </row>
    <row r="8696" hidden="1">
      <c r="A8696" s="7"/>
      <c r="B8696" s="7"/>
      <c r="C8696" s="7"/>
      <c r="D8696" s="7"/>
      <c r="E8696" s="7"/>
      <c r="F8696" s="7"/>
      <c r="G8696" s="7"/>
      <c r="H8696" s="8"/>
      <c r="I8696" s="8"/>
      <c r="J8696" s="7"/>
      <c r="K8696" s="7"/>
      <c r="L8696" s="7"/>
      <c r="M8696" s="7"/>
      <c r="N8696" s="7"/>
      <c r="O8696" s="7"/>
      <c r="P8696" s="7"/>
      <c r="Q8696" s="7"/>
      <c r="R8696" s="7"/>
      <c r="S8696" s="7"/>
      <c r="T8696" s="7"/>
      <c r="U8696" s="7"/>
      <c r="V8696" s="7"/>
      <c r="W8696" s="7"/>
      <c r="X8696" s="7"/>
      <c r="Y8696" s="7"/>
      <c r="Z8696" s="7"/>
    </row>
    <row r="8697" hidden="1">
      <c r="A8697" s="7"/>
      <c r="B8697" s="7"/>
      <c r="C8697" s="7"/>
      <c r="D8697" s="7"/>
      <c r="E8697" s="7"/>
      <c r="F8697" s="7"/>
      <c r="G8697" s="7"/>
      <c r="H8697" s="8"/>
      <c r="I8697" s="8"/>
      <c r="J8697" s="7"/>
      <c r="K8697" s="7"/>
      <c r="L8697" s="7"/>
      <c r="M8697" s="7"/>
      <c r="N8697" s="7"/>
      <c r="O8697" s="7"/>
      <c r="P8697" s="7"/>
      <c r="Q8697" s="7"/>
      <c r="R8697" s="7"/>
      <c r="S8697" s="7"/>
      <c r="T8697" s="7"/>
      <c r="U8697" s="7"/>
      <c r="V8697" s="7"/>
      <c r="W8697" s="7"/>
      <c r="X8697" s="7"/>
      <c r="Y8697" s="7"/>
      <c r="Z8697" s="7"/>
    </row>
    <row r="8698" hidden="1">
      <c r="A8698" s="7"/>
      <c r="B8698" s="7"/>
      <c r="C8698" s="7"/>
      <c r="D8698" s="7"/>
      <c r="E8698" s="7"/>
      <c r="F8698" s="7"/>
      <c r="G8698" s="7"/>
      <c r="H8698" s="8"/>
      <c r="I8698" s="8"/>
      <c r="J8698" s="7"/>
      <c r="K8698" s="7"/>
      <c r="L8698" s="7"/>
      <c r="M8698" s="7"/>
      <c r="N8698" s="7"/>
      <c r="O8698" s="7"/>
      <c r="P8698" s="7"/>
      <c r="Q8698" s="7"/>
      <c r="R8698" s="7"/>
      <c r="S8698" s="7"/>
      <c r="T8698" s="7"/>
      <c r="U8698" s="7"/>
      <c r="V8698" s="7"/>
      <c r="W8698" s="7"/>
      <c r="X8698" s="7"/>
      <c r="Y8698" s="7"/>
      <c r="Z8698" s="7"/>
    </row>
    <row r="8699" hidden="1">
      <c r="A8699" s="7"/>
      <c r="B8699" s="7"/>
      <c r="C8699" s="7"/>
      <c r="D8699" s="7"/>
      <c r="E8699" s="7"/>
      <c r="F8699" s="7"/>
      <c r="G8699" s="7"/>
      <c r="H8699" s="8"/>
      <c r="I8699" s="8"/>
      <c r="J8699" s="7"/>
      <c r="K8699" s="7"/>
      <c r="L8699" s="7"/>
      <c r="M8699" s="7"/>
      <c r="N8699" s="7"/>
      <c r="O8699" s="7"/>
      <c r="P8699" s="7"/>
      <c r="Q8699" s="7"/>
      <c r="R8699" s="7"/>
      <c r="S8699" s="7"/>
      <c r="T8699" s="7"/>
      <c r="U8699" s="7"/>
      <c r="V8699" s="7"/>
      <c r="W8699" s="7"/>
      <c r="X8699" s="7"/>
      <c r="Y8699" s="7"/>
      <c r="Z8699" s="7"/>
    </row>
    <row r="8700" hidden="1">
      <c r="A8700" s="7"/>
      <c r="B8700" s="7"/>
      <c r="C8700" s="7"/>
      <c r="D8700" s="7"/>
      <c r="E8700" s="7"/>
      <c r="F8700" s="7"/>
      <c r="G8700" s="7"/>
      <c r="H8700" s="8"/>
      <c r="I8700" s="8"/>
      <c r="J8700" s="7"/>
      <c r="K8700" s="7"/>
      <c r="L8700" s="7"/>
      <c r="M8700" s="7"/>
      <c r="N8700" s="7"/>
      <c r="O8700" s="7"/>
      <c r="P8700" s="7"/>
      <c r="Q8700" s="7"/>
      <c r="R8700" s="7"/>
      <c r="S8700" s="7"/>
      <c r="T8700" s="7"/>
      <c r="U8700" s="7"/>
      <c r="V8700" s="7"/>
      <c r="W8700" s="7"/>
      <c r="X8700" s="7"/>
      <c r="Y8700" s="7"/>
      <c r="Z8700" s="7"/>
    </row>
    <row r="8701" hidden="1">
      <c r="A8701" s="7"/>
      <c r="B8701" s="7"/>
      <c r="C8701" s="7"/>
      <c r="D8701" s="7"/>
      <c r="E8701" s="7"/>
      <c r="F8701" s="7"/>
      <c r="G8701" s="7"/>
      <c r="H8701" s="8"/>
      <c r="I8701" s="8"/>
      <c r="J8701" s="7"/>
      <c r="K8701" s="7"/>
      <c r="L8701" s="7"/>
      <c r="M8701" s="7"/>
      <c r="N8701" s="7"/>
      <c r="O8701" s="7"/>
      <c r="P8701" s="7"/>
      <c r="Q8701" s="7"/>
      <c r="R8701" s="7"/>
      <c r="S8701" s="7"/>
      <c r="T8701" s="7"/>
      <c r="U8701" s="7"/>
      <c r="V8701" s="7"/>
      <c r="W8701" s="7"/>
      <c r="X8701" s="7"/>
      <c r="Y8701" s="7"/>
      <c r="Z8701" s="7"/>
    </row>
    <row r="8702" hidden="1">
      <c r="A8702" s="7"/>
      <c r="B8702" s="7"/>
      <c r="C8702" s="7"/>
      <c r="D8702" s="7"/>
      <c r="E8702" s="7"/>
      <c r="F8702" s="7"/>
      <c r="G8702" s="7"/>
      <c r="H8702" s="8"/>
      <c r="I8702" s="8"/>
      <c r="J8702" s="7"/>
      <c r="K8702" s="7"/>
      <c r="L8702" s="7"/>
      <c r="M8702" s="7"/>
      <c r="N8702" s="7"/>
      <c r="O8702" s="7"/>
      <c r="P8702" s="7"/>
      <c r="Q8702" s="7"/>
      <c r="R8702" s="7"/>
      <c r="S8702" s="7"/>
      <c r="T8702" s="7"/>
      <c r="U8702" s="7"/>
      <c r="V8702" s="7"/>
      <c r="W8702" s="7"/>
      <c r="X8702" s="7"/>
      <c r="Y8702" s="7"/>
      <c r="Z8702" s="7"/>
    </row>
    <row r="8703" hidden="1">
      <c r="A8703" s="7"/>
      <c r="B8703" s="7"/>
      <c r="C8703" s="7"/>
      <c r="D8703" s="7"/>
      <c r="E8703" s="7"/>
      <c r="F8703" s="7"/>
      <c r="G8703" s="7"/>
      <c r="H8703" s="8"/>
      <c r="I8703" s="8"/>
      <c r="J8703" s="7"/>
      <c r="K8703" s="7"/>
      <c r="L8703" s="7"/>
      <c r="M8703" s="7"/>
      <c r="N8703" s="7"/>
      <c r="O8703" s="7"/>
      <c r="P8703" s="7"/>
      <c r="Q8703" s="7"/>
      <c r="R8703" s="7"/>
      <c r="S8703" s="7"/>
      <c r="T8703" s="7"/>
      <c r="U8703" s="7"/>
      <c r="V8703" s="7"/>
      <c r="W8703" s="7"/>
      <c r="X8703" s="7"/>
      <c r="Y8703" s="7"/>
      <c r="Z8703" s="7"/>
    </row>
    <row r="8704" hidden="1">
      <c r="A8704" s="7"/>
      <c r="B8704" s="7"/>
      <c r="C8704" s="7"/>
      <c r="D8704" s="7"/>
      <c r="E8704" s="7"/>
      <c r="F8704" s="7"/>
      <c r="G8704" s="7"/>
      <c r="H8704" s="8"/>
      <c r="I8704" s="8"/>
      <c r="J8704" s="7"/>
      <c r="K8704" s="7"/>
      <c r="L8704" s="7"/>
      <c r="M8704" s="7"/>
      <c r="N8704" s="7"/>
      <c r="O8704" s="7"/>
      <c r="P8704" s="7"/>
      <c r="Q8704" s="7"/>
      <c r="R8704" s="7"/>
      <c r="S8704" s="7"/>
      <c r="T8704" s="7"/>
      <c r="U8704" s="7"/>
      <c r="V8704" s="7"/>
      <c r="W8704" s="7"/>
      <c r="X8704" s="7"/>
      <c r="Y8704" s="7"/>
      <c r="Z8704" s="7"/>
    </row>
    <row r="8705" hidden="1">
      <c r="A8705" s="7"/>
      <c r="B8705" s="7"/>
      <c r="C8705" s="7"/>
      <c r="D8705" s="7"/>
      <c r="E8705" s="7"/>
      <c r="F8705" s="7"/>
      <c r="G8705" s="7"/>
      <c r="H8705" s="8"/>
      <c r="I8705" s="8"/>
      <c r="J8705" s="7"/>
      <c r="K8705" s="7"/>
      <c r="L8705" s="7"/>
      <c r="M8705" s="7"/>
      <c r="N8705" s="7"/>
      <c r="O8705" s="7"/>
      <c r="P8705" s="7"/>
      <c r="Q8705" s="7"/>
      <c r="R8705" s="7"/>
      <c r="S8705" s="7"/>
      <c r="T8705" s="7"/>
      <c r="U8705" s="7"/>
      <c r="V8705" s="7"/>
      <c r="W8705" s="7"/>
      <c r="X8705" s="7"/>
      <c r="Y8705" s="7"/>
      <c r="Z8705" s="7"/>
    </row>
    <row r="8706" hidden="1">
      <c r="A8706" s="7"/>
      <c r="B8706" s="7"/>
      <c r="C8706" s="7"/>
      <c r="D8706" s="7"/>
      <c r="E8706" s="7"/>
      <c r="F8706" s="7"/>
      <c r="G8706" s="7"/>
      <c r="H8706" s="8"/>
      <c r="I8706" s="8"/>
      <c r="J8706" s="7"/>
      <c r="K8706" s="7"/>
      <c r="L8706" s="7"/>
      <c r="M8706" s="7"/>
      <c r="N8706" s="7"/>
      <c r="O8706" s="7"/>
      <c r="P8706" s="7"/>
      <c r="Q8706" s="7"/>
      <c r="R8706" s="7"/>
      <c r="S8706" s="7"/>
      <c r="T8706" s="7"/>
      <c r="U8706" s="7"/>
      <c r="V8706" s="7"/>
      <c r="W8706" s="7"/>
      <c r="X8706" s="7"/>
      <c r="Y8706" s="7"/>
      <c r="Z8706" s="7"/>
    </row>
    <row r="8707" hidden="1">
      <c r="A8707" s="7"/>
      <c r="B8707" s="7"/>
      <c r="C8707" s="7"/>
      <c r="D8707" s="7"/>
      <c r="E8707" s="7"/>
      <c r="F8707" s="7"/>
      <c r="G8707" s="7"/>
      <c r="H8707" s="8"/>
      <c r="I8707" s="8"/>
      <c r="J8707" s="7"/>
      <c r="K8707" s="7"/>
      <c r="L8707" s="7"/>
      <c r="M8707" s="7"/>
      <c r="N8707" s="7"/>
      <c r="O8707" s="7"/>
      <c r="P8707" s="7"/>
      <c r="Q8707" s="7"/>
      <c r="R8707" s="7"/>
      <c r="S8707" s="7"/>
      <c r="T8707" s="7"/>
      <c r="U8707" s="7"/>
      <c r="V8707" s="7"/>
      <c r="W8707" s="7"/>
      <c r="X8707" s="7"/>
      <c r="Y8707" s="7"/>
      <c r="Z8707" s="7"/>
    </row>
    <row r="8708" hidden="1">
      <c r="A8708" s="7"/>
      <c r="B8708" s="7"/>
      <c r="C8708" s="7"/>
      <c r="D8708" s="7"/>
      <c r="E8708" s="7"/>
      <c r="F8708" s="7"/>
      <c r="G8708" s="7"/>
      <c r="H8708" s="8"/>
      <c r="I8708" s="8"/>
      <c r="J8708" s="7"/>
      <c r="K8708" s="7"/>
      <c r="L8708" s="7"/>
      <c r="M8708" s="7"/>
      <c r="N8708" s="7"/>
      <c r="O8708" s="7"/>
      <c r="P8708" s="7"/>
      <c r="Q8708" s="7"/>
      <c r="R8708" s="7"/>
      <c r="S8708" s="7"/>
      <c r="T8708" s="7"/>
      <c r="U8708" s="7"/>
      <c r="V8708" s="7"/>
      <c r="W8708" s="7"/>
      <c r="X8708" s="7"/>
      <c r="Y8708" s="7"/>
      <c r="Z8708" s="7"/>
    </row>
    <row r="8709" hidden="1">
      <c r="A8709" s="7"/>
      <c r="B8709" s="7"/>
      <c r="C8709" s="7"/>
      <c r="D8709" s="7"/>
      <c r="E8709" s="7"/>
      <c r="F8709" s="7"/>
      <c r="G8709" s="7"/>
      <c r="H8709" s="8"/>
      <c r="I8709" s="8"/>
      <c r="J8709" s="7"/>
      <c r="K8709" s="7"/>
      <c r="L8709" s="7"/>
      <c r="M8709" s="7"/>
      <c r="N8709" s="7"/>
      <c r="O8709" s="7"/>
      <c r="P8709" s="7"/>
      <c r="Q8709" s="7"/>
      <c r="R8709" s="7"/>
      <c r="S8709" s="7"/>
      <c r="T8709" s="7"/>
      <c r="U8709" s="7"/>
      <c r="V8709" s="7"/>
      <c r="W8709" s="7"/>
      <c r="X8709" s="7"/>
      <c r="Y8709" s="7"/>
      <c r="Z8709" s="7"/>
    </row>
    <row r="8710" hidden="1">
      <c r="A8710" s="7"/>
      <c r="B8710" s="7"/>
      <c r="C8710" s="7"/>
      <c r="D8710" s="7"/>
      <c r="E8710" s="7"/>
      <c r="F8710" s="7"/>
      <c r="G8710" s="7"/>
      <c r="H8710" s="8"/>
      <c r="I8710" s="8"/>
      <c r="J8710" s="7"/>
      <c r="K8710" s="7"/>
      <c r="L8710" s="7"/>
      <c r="M8710" s="7"/>
      <c r="N8710" s="7"/>
      <c r="O8710" s="7"/>
      <c r="P8710" s="7"/>
      <c r="Q8710" s="7"/>
      <c r="R8710" s="7"/>
      <c r="S8710" s="7"/>
      <c r="T8710" s="7"/>
      <c r="U8710" s="7"/>
      <c r="V8710" s="7"/>
      <c r="W8710" s="7"/>
      <c r="X8710" s="7"/>
      <c r="Y8710" s="7"/>
      <c r="Z8710" s="7"/>
    </row>
    <row r="8711" hidden="1">
      <c r="A8711" s="7"/>
      <c r="B8711" s="7"/>
      <c r="C8711" s="7"/>
      <c r="D8711" s="7"/>
      <c r="E8711" s="7"/>
      <c r="F8711" s="7"/>
      <c r="G8711" s="7"/>
      <c r="H8711" s="8"/>
      <c r="I8711" s="8"/>
      <c r="J8711" s="7"/>
      <c r="K8711" s="7"/>
      <c r="L8711" s="7"/>
      <c r="M8711" s="7"/>
      <c r="N8711" s="7"/>
      <c r="O8711" s="7"/>
      <c r="P8711" s="7"/>
      <c r="Q8711" s="7"/>
      <c r="R8711" s="7"/>
      <c r="S8711" s="7"/>
      <c r="T8711" s="7"/>
      <c r="U8711" s="7"/>
      <c r="V8711" s="7"/>
      <c r="W8711" s="7"/>
      <c r="X8711" s="7"/>
      <c r="Y8711" s="7"/>
      <c r="Z8711" s="7"/>
    </row>
    <row r="8712" hidden="1">
      <c r="A8712" s="7"/>
      <c r="B8712" s="7"/>
      <c r="C8712" s="7"/>
      <c r="D8712" s="7"/>
      <c r="E8712" s="7"/>
      <c r="F8712" s="7"/>
      <c r="G8712" s="7"/>
      <c r="H8712" s="8"/>
      <c r="I8712" s="8"/>
      <c r="J8712" s="7"/>
      <c r="K8712" s="7"/>
      <c r="L8712" s="7"/>
      <c r="M8712" s="7"/>
      <c r="N8712" s="7"/>
      <c r="O8712" s="7"/>
      <c r="P8712" s="7"/>
      <c r="Q8712" s="7"/>
      <c r="R8712" s="7"/>
      <c r="S8712" s="7"/>
      <c r="T8712" s="7"/>
      <c r="U8712" s="7"/>
      <c r="V8712" s="7"/>
      <c r="W8712" s="7"/>
      <c r="X8712" s="7"/>
      <c r="Y8712" s="7"/>
      <c r="Z8712" s="7"/>
    </row>
    <row r="8713" hidden="1">
      <c r="A8713" s="7"/>
      <c r="B8713" s="7"/>
      <c r="C8713" s="7"/>
      <c r="D8713" s="7"/>
      <c r="E8713" s="7"/>
      <c r="F8713" s="7"/>
      <c r="G8713" s="7"/>
      <c r="H8713" s="8"/>
      <c r="I8713" s="8"/>
      <c r="J8713" s="7"/>
      <c r="K8713" s="7"/>
      <c r="L8713" s="7"/>
      <c r="M8713" s="7"/>
      <c r="N8713" s="7"/>
      <c r="O8713" s="7"/>
      <c r="P8713" s="7"/>
      <c r="Q8713" s="7"/>
      <c r="R8713" s="7"/>
      <c r="S8713" s="7"/>
      <c r="T8713" s="7"/>
      <c r="U8713" s="7"/>
      <c r="V8713" s="7"/>
      <c r="W8713" s="7"/>
      <c r="X8713" s="7"/>
      <c r="Y8713" s="7"/>
      <c r="Z8713" s="7"/>
    </row>
    <row r="8714" hidden="1">
      <c r="A8714" s="7"/>
      <c r="B8714" s="7"/>
      <c r="C8714" s="7"/>
      <c r="D8714" s="7"/>
      <c r="E8714" s="7"/>
      <c r="F8714" s="7"/>
      <c r="G8714" s="7"/>
      <c r="H8714" s="8"/>
      <c r="I8714" s="8"/>
      <c r="J8714" s="7"/>
      <c r="K8714" s="7"/>
      <c r="L8714" s="7"/>
      <c r="M8714" s="7"/>
      <c r="N8714" s="7"/>
      <c r="O8714" s="7"/>
      <c r="P8714" s="7"/>
      <c r="Q8714" s="7"/>
      <c r="R8714" s="7"/>
      <c r="S8714" s="7"/>
      <c r="T8714" s="7"/>
      <c r="U8714" s="7"/>
      <c r="V8714" s="7"/>
      <c r="W8714" s="7"/>
      <c r="X8714" s="7"/>
      <c r="Y8714" s="7"/>
      <c r="Z8714" s="7"/>
    </row>
    <row r="8715" hidden="1">
      <c r="A8715" s="7"/>
      <c r="B8715" s="7"/>
      <c r="C8715" s="7"/>
      <c r="D8715" s="7"/>
      <c r="E8715" s="7"/>
      <c r="F8715" s="7"/>
      <c r="G8715" s="7"/>
      <c r="H8715" s="8"/>
      <c r="I8715" s="8"/>
      <c r="J8715" s="7"/>
      <c r="K8715" s="7"/>
      <c r="L8715" s="7"/>
      <c r="M8715" s="7"/>
      <c r="N8715" s="7"/>
      <c r="O8715" s="7"/>
      <c r="P8715" s="7"/>
      <c r="Q8715" s="7"/>
      <c r="R8715" s="7"/>
      <c r="S8715" s="7"/>
      <c r="T8715" s="7"/>
      <c r="U8715" s="7"/>
      <c r="V8715" s="7"/>
      <c r="W8715" s="7"/>
      <c r="X8715" s="7"/>
      <c r="Y8715" s="7"/>
      <c r="Z8715" s="7"/>
    </row>
    <row r="8716" hidden="1">
      <c r="A8716" s="7"/>
      <c r="B8716" s="7"/>
      <c r="C8716" s="7"/>
      <c r="D8716" s="7"/>
      <c r="E8716" s="7"/>
      <c r="F8716" s="7"/>
      <c r="G8716" s="7"/>
      <c r="H8716" s="8"/>
      <c r="I8716" s="8"/>
      <c r="J8716" s="7"/>
      <c r="K8716" s="7"/>
      <c r="L8716" s="7"/>
      <c r="M8716" s="7"/>
      <c r="N8716" s="7"/>
      <c r="O8716" s="7"/>
      <c r="P8716" s="7"/>
      <c r="Q8716" s="7"/>
      <c r="R8716" s="7"/>
      <c r="S8716" s="7"/>
      <c r="T8716" s="7"/>
      <c r="U8716" s="7"/>
      <c r="V8716" s="7"/>
      <c r="W8716" s="7"/>
      <c r="X8716" s="7"/>
      <c r="Y8716" s="7"/>
      <c r="Z8716" s="7"/>
    </row>
    <row r="8717" hidden="1">
      <c r="A8717" s="7"/>
      <c r="B8717" s="7"/>
      <c r="C8717" s="7"/>
      <c r="D8717" s="7"/>
      <c r="E8717" s="7"/>
      <c r="F8717" s="7"/>
      <c r="G8717" s="7"/>
      <c r="H8717" s="8"/>
      <c r="I8717" s="8"/>
      <c r="J8717" s="7"/>
      <c r="K8717" s="7"/>
      <c r="L8717" s="7"/>
      <c r="M8717" s="7"/>
      <c r="N8717" s="7"/>
      <c r="O8717" s="7"/>
      <c r="P8717" s="7"/>
      <c r="Q8717" s="7"/>
      <c r="R8717" s="7"/>
      <c r="S8717" s="7"/>
      <c r="T8717" s="7"/>
      <c r="U8717" s="7"/>
      <c r="V8717" s="7"/>
      <c r="W8717" s="7"/>
      <c r="X8717" s="7"/>
      <c r="Y8717" s="7"/>
      <c r="Z8717" s="7"/>
    </row>
    <row r="8718" hidden="1">
      <c r="A8718" s="7"/>
      <c r="B8718" s="7"/>
      <c r="C8718" s="7"/>
      <c r="D8718" s="7"/>
      <c r="E8718" s="7"/>
      <c r="F8718" s="7"/>
      <c r="G8718" s="7"/>
      <c r="H8718" s="8"/>
      <c r="I8718" s="8"/>
      <c r="J8718" s="7"/>
      <c r="K8718" s="7"/>
      <c r="L8718" s="7"/>
      <c r="M8718" s="7"/>
      <c r="N8718" s="7"/>
      <c r="O8718" s="7"/>
      <c r="P8718" s="7"/>
      <c r="Q8718" s="7"/>
      <c r="R8718" s="7"/>
      <c r="S8718" s="7"/>
      <c r="T8718" s="7"/>
      <c r="U8718" s="7"/>
      <c r="V8718" s="7"/>
      <c r="W8718" s="7"/>
      <c r="X8718" s="7"/>
      <c r="Y8718" s="7"/>
      <c r="Z8718" s="7"/>
    </row>
    <row r="8719" hidden="1">
      <c r="A8719" s="7"/>
      <c r="B8719" s="7"/>
      <c r="C8719" s="7"/>
      <c r="D8719" s="7"/>
      <c r="E8719" s="7"/>
      <c r="F8719" s="7"/>
      <c r="G8719" s="7"/>
      <c r="H8719" s="8"/>
      <c r="I8719" s="8"/>
      <c r="J8719" s="7"/>
      <c r="K8719" s="7"/>
      <c r="L8719" s="7"/>
      <c r="M8719" s="7"/>
      <c r="N8719" s="7"/>
      <c r="O8719" s="7"/>
      <c r="P8719" s="7"/>
      <c r="Q8719" s="7"/>
      <c r="R8719" s="7"/>
      <c r="S8719" s="7"/>
      <c r="T8719" s="7"/>
      <c r="U8719" s="7"/>
      <c r="V8719" s="7"/>
      <c r="W8719" s="7"/>
      <c r="X8719" s="7"/>
      <c r="Y8719" s="7"/>
      <c r="Z8719" s="7"/>
    </row>
    <row r="8720" hidden="1">
      <c r="A8720" s="7"/>
      <c r="B8720" s="7"/>
      <c r="C8720" s="7"/>
      <c r="D8720" s="7"/>
      <c r="E8720" s="7"/>
      <c r="F8720" s="7"/>
      <c r="G8720" s="7"/>
      <c r="H8720" s="8"/>
      <c r="I8720" s="8"/>
      <c r="J8720" s="7"/>
      <c r="K8720" s="7"/>
      <c r="L8720" s="7"/>
      <c r="M8720" s="7"/>
      <c r="N8720" s="7"/>
      <c r="O8720" s="7"/>
      <c r="P8720" s="7"/>
      <c r="Q8720" s="7"/>
      <c r="R8720" s="7"/>
      <c r="S8720" s="7"/>
      <c r="T8720" s="7"/>
      <c r="U8720" s="7"/>
      <c r="V8720" s="7"/>
      <c r="W8720" s="7"/>
      <c r="X8720" s="7"/>
      <c r="Y8720" s="7"/>
      <c r="Z8720" s="7"/>
    </row>
    <row r="8721" hidden="1">
      <c r="A8721" s="7"/>
      <c r="B8721" s="7"/>
      <c r="C8721" s="7"/>
      <c r="D8721" s="7"/>
      <c r="E8721" s="7"/>
      <c r="F8721" s="7"/>
      <c r="G8721" s="7"/>
      <c r="H8721" s="8"/>
      <c r="I8721" s="8"/>
      <c r="J8721" s="7"/>
      <c r="K8721" s="7"/>
      <c r="L8721" s="7"/>
      <c r="M8721" s="7"/>
      <c r="N8721" s="7"/>
      <c r="O8721" s="7"/>
      <c r="P8721" s="7"/>
      <c r="Q8721" s="7"/>
      <c r="R8721" s="7"/>
      <c r="S8721" s="7"/>
      <c r="T8721" s="7"/>
      <c r="U8721" s="7"/>
      <c r="V8721" s="7"/>
      <c r="W8721" s="7"/>
      <c r="X8721" s="7"/>
      <c r="Y8721" s="7"/>
      <c r="Z8721" s="7"/>
    </row>
    <row r="8722" hidden="1">
      <c r="A8722" s="7"/>
      <c r="B8722" s="7"/>
      <c r="C8722" s="7"/>
      <c r="D8722" s="7"/>
      <c r="E8722" s="7"/>
      <c r="F8722" s="7"/>
      <c r="G8722" s="7"/>
      <c r="H8722" s="8"/>
      <c r="I8722" s="8"/>
      <c r="J8722" s="7"/>
      <c r="K8722" s="7"/>
      <c r="L8722" s="7"/>
      <c r="M8722" s="7"/>
      <c r="N8722" s="7"/>
      <c r="O8722" s="7"/>
      <c r="P8722" s="7"/>
      <c r="Q8722" s="7"/>
      <c r="R8722" s="7"/>
      <c r="S8722" s="7"/>
      <c r="T8722" s="7"/>
      <c r="U8722" s="7"/>
      <c r="V8722" s="7"/>
      <c r="W8722" s="7"/>
      <c r="X8722" s="7"/>
      <c r="Y8722" s="7"/>
      <c r="Z8722" s="7"/>
    </row>
    <row r="8723" hidden="1">
      <c r="A8723" s="7"/>
      <c r="B8723" s="7"/>
      <c r="C8723" s="7"/>
      <c r="D8723" s="7"/>
      <c r="E8723" s="7"/>
      <c r="F8723" s="7"/>
      <c r="G8723" s="7"/>
      <c r="H8723" s="8"/>
      <c r="I8723" s="8"/>
      <c r="J8723" s="7"/>
      <c r="K8723" s="7"/>
      <c r="L8723" s="7"/>
      <c r="M8723" s="7"/>
      <c r="N8723" s="7"/>
      <c r="O8723" s="7"/>
      <c r="P8723" s="7"/>
      <c r="Q8723" s="7"/>
      <c r="R8723" s="7"/>
      <c r="S8723" s="7"/>
      <c r="T8723" s="7"/>
      <c r="U8723" s="7"/>
      <c r="V8723" s="7"/>
      <c r="W8723" s="7"/>
      <c r="X8723" s="7"/>
      <c r="Y8723" s="7"/>
      <c r="Z8723" s="7"/>
    </row>
    <row r="8724" hidden="1">
      <c r="A8724" s="7"/>
      <c r="B8724" s="7"/>
      <c r="C8724" s="7"/>
      <c r="D8724" s="7"/>
      <c r="E8724" s="7"/>
      <c r="F8724" s="7"/>
      <c r="G8724" s="7"/>
      <c r="H8724" s="8"/>
      <c r="I8724" s="8"/>
      <c r="J8724" s="7"/>
      <c r="K8724" s="7"/>
      <c r="L8724" s="7"/>
      <c r="M8724" s="7"/>
      <c r="N8724" s="7"/>
      <c r="O8724" s="7"/>
      <c r="P8724" s="7"/>
      <c r="Q8724" s="7"/>
      <c r="R8724" s="7"/>
      <c r="S8724" s="7"/>
      <c r="T8724" s="7"/>
      <c r="U8724" s="7"/>
      <c r="V8724" s="7"/>
      <c r="W8724" s="7"/>
      <c r="X8724" s="7"/>
      <c r="Y8724" s="7"/>
      <c r="Z8724" s="7"/>
    </row>
    <row r="8725" hidden="1">
      <c r="A8725" s="7"/>
      <c r="B8725" s="7"/>
      <c r="C8725" s="7"/>
      <c r="D8725" s="7"/>
      <c r="E8725" s="7"/>
      <c r="F8725" s="7"/>
      <c r="G8725" s="7"/>
      <c r="H8725" s="8"/>
      <c r="I8725" s="8"/>
      <c r="J8725" s="7"/>
      <c r="K8725" s="7"/>
      <c r="L8725" s="7"/>
      <c r="M8725" s="7"/>
      <c r="N8725" s="7"/>
      <c r="O8725" s="7"/>
      <c r="P8725" s="7"/>
      <c r="Q8725" s="7"/>
      <c r="R8725" s="7"/>
      <c r="S8725" s="7"/>
      <c r="T8725" s="7"/>
      <c r="U8725" s="7"/>
      <c r="V8725" s="7"/>
      <c r="W8725" s="7"/>
      <c r="X8725" s="7"/>
      <c r="Y8725" s="7"/>
      <c r="Z8725" s="7"/>
    </row>
    <row r="8726" hidden="1">
      <c r="A8726" s="7"/>
      <c r="B8726" s="7"/>
      <c r="C8726" s="7"/>
      <c r="D8726" s="7"/>
      <c r="E8726" s="7"/>
      <c r="F8726" s="7"/>
      <c r="G8726" s="7"/>
      <c r="H8726" s="8"/>
      <c r="I8726" s="8"/>
      <c r="J8726" s="7"/>
      <c r="K8726" s="7"/>
      <c r="L8726" s="7"/>
      <c r="M8726" s="7"/>
      <c r="N8726" s="7"/>
      <c r="O8726" s="7"/>
      <c r="P8726" s="7"/>
      <c r="Q8726" s="7"/>
      <c r="R8726" s="7"/>
      <c r="S8726" s="7"/>
      <c r="T8726" s="7"/>
      <c r="U8726" s="7"/>
      <c r="V8726" s="7"/>
      <c r="W8726" s="7"/>
      <c r="X8726" s="7"/>
      <c r="Y8726" s="7"/>
      <c r="Z8726" s="7"/>
    </row>
    <row r="8727" hidden="1">
      <c r="A8727" s="7"/>
      <c r="B8727" s="7"/>
      <c r="C8727" s="7"/>
      <c r="D8727" s="7"/>
      <c r="E8727" s="7"/>
      <c r="F8727" s="7"/>
      <c r="G8727" s="7"/>
      <c r="H8727" s="8"/>
      <c r="I8727" s="8"/>
      <c r="J8727" s="7"/>
      <c r="K8727" s="7"/>
      <c r="L8727" s="7"/>
      <c r="M8727" s="7"/>
      <c r="N8727" s="7"/>
      <c r="O8727" s="7"/>
      <c r="P8727" s="7"/>
      <c r="Q8727" s="7"/>
      <c r="R8727" s="7"/>
      <c r="S8727" s="7"/>
      <c r="T8727" s="7"/>
      <c r="U8727" s="7"/>
      <c r="V8727" s="7"/>
      <c r="W8727" s="7"/>
      <c r="X8727" s="7"/>
      <c r="Y8727" s="7"/>
      <c r="Z8727" s="7"/>
    </row>
    <row r="8728" hidden="1">
      <c r="A8728" s="7"/>
      <c r="B8728" s="7"/>
      <c r="C8728" s="7"/>
      <c r="D8728" s="7"/>
      <c r="E8728" s="7"/>
      <c r="F8728" s="7"/>
      <c r="G8728" s="7"/>
      <c r="H8728" s="8"/>
      <c r="I8728" s="8"/>
      <c r="J8728" s="7"/>
      <c r="K8728" s="7"/>
      <c r="L8728" s="7"/>
      <c r="M8728" s="7"/>
      <c r="N8728" s="7"/>
      <c r="O8728" s="7"/>
      <c r="P8728" s="7"/>
      <c r="Q8728" s="7"/>
      <c r="R8728" s="7"/>
      <c r="S8728" s="7"/>
      <c r="T8728" s="7"/>
      <c r="U8728" s="7"/>
      <c r="V8728" s="7"/>
      <c r="W8728" s="7"/>
      <c r="X8728" s="7"/>
      <c r="Y8728" s="7"/>
      <c r="Z8728" s="7"/>
    </row>
    <row r="8729" hidden="1">
      <c r="A8729" s="7"/>
      <c r="B8729" s="7"/>
      <c r="C8729" s="7"/>
      <c r="D8729" s="7"/>
      <c r="E8729" s="7"/>
      <c r="F8729" s="7"/>
      <c r="G8729" s="7"/>
      <c r="H8729" s="8"/>
      <c r="I8729" s="8"/>
      <c r="J8729" s="7"/>
      <c r="K8729" s="7"/>
      <c r="L8729" s="7"/>
      <c r="M8729" s="7"/>
      <c r="N8729" s="7"/>
      <c r="O8729" s="7"/>
      <c r="P8729" s="7"/>
      <c r="Q8729" s="7"/>
      <c r="R8729" s="7"/>
      <c r="S8729" s="7"/>
      <c r="T8729" s="7"/>
      <c r="U8729" s="7"/>
      <c r="V8729" s="7"/>
      <c r="W8729" s="7"/>
      <c r="X8729" s="7"/>
      <c r="Y8729" s="7"/>
      <c r="Z8729" s="7"/>
    </row>
    <row r="8730" hidden="1">
      <c r="A8730" s="7"/>
      <c r="B8730" s="7"/>
      <c r="C8730" s="7"/>
      <c r="D8730" s="7"/>
      <c r="E8730" s="7"/>
      <c r="F8730" s="7"/>
      <c r="G8730" s="7"/>
      <c r="H8730" s="8"/>
      <c r="I8730" s="8"/>
      <c r="J8730" s="7"/>
      <c r="K8730" s="7"/>
      <c r="L8730" s="7"/>
      <c r="M8730" s="7"/>
      <c r="N8730" s="7"/>
      <c r="O8730" s="7"/>
      <c r="P8730" s="7"/>
      <c r="Q8730" s="7"/>
      <c r="R8730" s="7"/>
      <c r="S8730" s="7"/>
      <c r="T8730" s="7"/>
      <c r="U8730" s="7"/>
      <c r="V8730" s="7"/>
      <c r="W8730" s="7"/>
      <c r="X8730" s="7"/>
      <c r="Y8730" s="7"/>
      <c r="Z8730" s="7"/>
    </row>
    <row r="8731" hidden="1">
      <c r="A8731" s="7"/>
      <c r="B8731" s="7"/>
      <c r="C8731" s="7"/>
      <c r="D8731" s="7"/>
      <c r="E8731" s="7"/>
      <c r="F8731" s="7"/>
      <c r="G8731" s="7"/>
      <c r="H8731" s="8"/>
      <c r="I8731" s="8"/>
      <c r="J8731" s="7"/>
      <c r="K8731" s="7"/>
      <c r="L8731" s="7"/>
      <c r="M8731" s="7"/>
      <c r="N8731" s="7"/>
      <c r="O8731" s="7"/>
      <c r="P8731" s="7"/>
      <c r="Q8731" s="7"/>
      <c r="R8731" s="7"/>
      <c r="S8731" s="7"/>
      <c r="T8731" s="7"/>
      <c r="U8731" s="7"/>
      <c r="V8731" s="7"/>
      <c r="W8731" s="7"/>
      <c r="X8731" s="7"/>
      <c r="Y8731" s="7"/>
      <c r="Z8731" s="7"/>
    </row>
    <row r="8732" hidden="1">
      <c r="A8732" s="7"/>
      <c r="B8732" s="7"/>
      <c r="C8732" s="7"/>
      <c r="D8732" s="7"/>
      <c r="E8732" s="7"/>
      <c r="F8732" s="7"/>
      <c r="G8732" s="7"/>
      <c r="H8732" s="8"/>
      <c r="I8732" s="8"/>
      <c r="J8732" s="7"/>
      <c r="K8732" s="7"/>
      <c r="L8732" s="7"/>
      <c r="M8732" s="7"/>
      <c r="N8732" s="7"/>
      <c r="O8732" s="7"/>
      <c r="P8732" s="7"/>
      <c r="Q8732" s="7"/>
      <c r="R8732" s="7"/>
      <c r="S8732" s="7"/>
      <c r="T8732" s="7"/>
      <c r="U8732" s="7"/>
      <c r="V8732" s="7"/>
      <c r="W8732" s="7"/>
      <c r="X8732" s="7"/>
      <c r="Y8732" s="7"/>
      <c r="Z8732" s="7"/>
    </row>
    <row r="8733" hidden="1">
      <c r="A8733" s="7"/>
      <c r="B8733" s="7"/>
      <c r="C8733" s="7"/>
      <c r="D8733" s="7"/>
      <c r="E8733" s="7"/>
      <c r="F8733" s="7"/>
      <c r="G8733" s="7"/>
      <c r="H8733" s="8"/>
      <c r="I8733" s="8"/>
      <c r="J8733" s="7"/>
      <c r="K8733" s="7"/>
      <c r="L8733" s="7"/>
      <c r="M8733" s="7"/>
      <c r="N8733" s="7"/>
      <c r="O8733" s="7"/>
      <c r="P8733" s="7"/>
      <c r="Q8733" s="7"/>
      <c r="R8733" s="7"/>
      <c r="S8733" s="7"/>
      <c r="T8733" s="7"/>
      <c r="U8733" s="7"/>
      <c r="V8733" s="7"/>
      <c r="W8733" s="7"/>
      <c r="X8733" s="7"/>
      <c r="Y8733" s="7"/>
      <c r="Z8733" s="7"/>
    </row>
    <row r="8734" hidden="1">
      <c r="A8734" s="7"/>
      <c r="B8734" s="7"/>
      <c r="C8734" s="7"/>
      <c r="D8734" s="7"/>
      <c r="E8734" s="7"/>
      <c r="F8734" s="7"/>
      <c r="G8734" s="7"/>
      <c r="H8734" s="8"/>
      <c r="I8734" s="8"/>
      <c r="J8734" s="7"/>
      <c r="K8734" s="7"/>
      <c r="L8734" s="7"/>
      <c r="M8734" s="7"/>
      <c r="N8734" s="7"/>
      <c r="O8734" s="7"/>
      <c r="P8734" s="7"/>
      <c r="Q8734" s="7"/>
      <c r="R8734" s="7"/>
      <c r="S8734" s="7"/>
      <c r="T8734" s="7"/>
      <c r="U8734" s="7"/>
      <c r="V8734" s="7"/>
      <c r="W8734" s="7"/>
      <c r="X8734" s="7"/>
      <c r="Y8734" s="7"/>
      <c r="Z8734" s="7"/>
    </row>
    <row r="8735" hidden="1">
      <c r="A8735" s="7"/>
      <c r="B8735" s="7"/>
      <c r="C8735" s="7"/>
      <c r="D8735" s="7"/>
      <c r="E8735" s="7"/>
      <c r="F8735" s="7"/>
      <c r="G8735" s="7"/>
      <c r="H8735" s="8"/>
      <c r="I8735" s="8"/>
      <c r="J8735" s="7"/>
      <c r="K8735" s="7"/>
      <c r="L8735" s="7"/>
      <c r="M8735" s="7"/>
      <c r="N8735" s="7"/>
      <c r="O8735" s="7"/>
      <c r="P8735" s="7"/>
      <c r="Q8735" s="7"/>
      <c r="R8735" s="7"/>
      <c r="S8735" s="7"/>
      <c r="T8735" s="7"/>
      <c r="U8735" s="7"/>
      <c r="V8735" s="7"/>
      <c r="W8735" s="7"/>
      <c r="X8735" s="7"/>
      <c r="Y8735" s="7"/>
      <c r="Z8735" s="7"/>
    </row>
    <row r="8736" hidden="1">
      <c r="A8736" s="7"/>
      <c r="B8736" s="7"/>
      <c r="C8736" s="7"/>
      <c r="D8736" s="7"/>
      <c r="E8736" s="7"/>
      <c r="F8736" s="7"/>
      <c r="G8736" s="7"/>
      <c r="H8736" s="8"/>
      <c r="I8736" s="8"/>
      <c r="J8736" s="7"/>
      <c r="K8736" s="7"/>
      <c r="L8736" s="7"/>
      <c r="M8736" s="7"/>
      <c r="N8736" s="7"/>
      <c r="O8736" s="7"/>
      <c r="P8736" s="7"/>
      <c r="Q8736" s="7"/>
      <c r="R8736" s="7"/>
      <c r="S8736" s="7"/>
      <c r="T8736" s="7"/>
      <c r="U8736" s="7"/>
      <c r="V8736" s="7"/>
      <c r="W8736" s="7"/>
      <c r="X8736" s="7"/>
      <c r="Y8736" s="7"/>
      <c r="Z8736" s="7"/>
    </row>
    <row r="8737" hidden="1">
      <c r="A8737" s="7"/>
      <c r="B8737" s="7"/>
      <c r="C8737" s="7"/>
      <c r="D8737" s="7"/>
      <c r="E8737" s="7"/>
      <c r="F8737" s="7"/>
      <c r="G8737" s="7"/>
      <c r="H8737" s="8"/>
      <c r="I8737" s="8"/>
      <c r="J8737" s="7"/>
      <c r="K8737" s="7"/>
      <c r="L8737" s="7"/>
      <c r="M8737" s="7"/>
      <c r="N8737" s="7"/>
      <c r="O8737" s="7"/>
      <c r="P8737" s="7"/>
      <c r="Q8737" s="7"/>
      <c r="R8737" s="7"/>
      <c r="S8737" s="7"/>
      <c r="T8737" s="7"/>
      <c r="U8737" s="7"/>
      <c r="V8737" s="7"/>
      <c r="W8737" s="7"/>
      <c r="X8737" s="7"/>
      <c r="Y8737" s="7"/>
      <c r="Z8737" s="7"/>
    </row>
    <row r="8738" hidden="1">
      <c r="A8738" s="7"/>
      <c r="B8738" s="7"/>
      <c r="C8738" s="7"/>
      <c r="D8738" s="7"/>
      <c r="E8738" s="7"/>
      <c r="F8738" s="7"/>
      <c r="G8738" s="7"/>
      <c r="H8738" s="8"/>
      <c r="I8738" s="8"/>
      <c r="J8738" s="7"/>
      <c r="K8738" s="7"/>
      <c r="L8738" s="7"/>
      <c r="M8738" s="7"/>
      <c r="N8738" s="7"/>
      <c r="O8738" s="7"/>
      <c r="P8738" s="7"/>
      <c r="Q8738" s="7"/>
      <c r="R8738" s="7"/>
      <c r="S8738" s="7"/>
      <c r="T8738" s="7"/>
      <c r="U8738" s="7"/>
      <c r="V8738" s="7"/>
      <c r="W8738" s="7"/>
      <c r="X8738" s="7"/>
      <c r="Y8738" s="7"/>
      <c r="Z8738" s="7"/>
    </row>
    <row r="8739" hidden="1">
      <c r="A8739" s="7"/>
      <c r="B8739" s="7"/>
      <c r="C8739" s="7"/>
      <c r="D8739" s="7"/>
      <c r="E8739" s="7"/>
      <c r="F8739" s="7"/>
      <c r="G8739" s="7"/>
      <c r="H8739" s="8"/>
      <c r="I8739" s="8"/>
      <c r="J8739" s="7"/>
      <c r="K8739" s="7"/>
      <c r="L8739" s="7"/>
      <c r="M8739" s="7"/>
      <c r="N8739" s="7"/>
      <c r="O8739" s="7"/>
      <c r="P8739" s="7"/>
      <c r="Q8739" s="7"/>
      <c r="R8739" s="7"/>
      <c r="S8739" s="7"/>
      <c r="T8739" s="7"/>
      <c r="U8739" s="7"/>
      <c r="V8739" s="7"/>
      <c r="W8739" s="7"/>
      <c r="X8739" s="7"/>
      <c r="Y8739" s="7"/>
      <c r="Z8739" s="7"/>
    </row>
    <row r="8740" hidden="1">
      <c r="A8740" s="7"/>
      <c r="B8740" s="7"/>
      <c r="C8740" s="7"/>
      <c r="D8740" s="7"/>
      <c r="E8740" s="7"/>
      <c r="F8740" s="7"/>
      <c r="G8740" s="7"/>
      <c r="H8740" s="8"/>
      <c r="I8740" s="8"/>
      <c r="J8740" s="7"/>
      <c r="K8740" s="7"/>
      <c r="L8740" s="7"/>
      <c r="M8740" s="7"/>
      <c r="N8740" s="7"/>
      <c r="O8740" s="7"/>
      <c r="P8740" s="7"/>
      <c r="Q8740" s="7"/>
      <c r="R8740" s="7"/>
      <c r="S8740" s="7"/>
      <c r="T8740" s="7"/>
      <c r="U8740" s="7"/>
      <c r="V8740" s="7"/>
      <c r="W8740" s="7"/>
      <c r="X8740" s="7"/>
      <c r="Y8740" s="7"/>
      <c r="Z8740" s="7"/>
    </row>
    <row r="8741" hidden="1">
      <c r="A8741" s="7"/>
      <c r="B8741" s="7"/>
      <c r="C8741" s="7"/>
      <c r="D8741" s="7"/>
      <c r="E8741" s="7"/>
      <c r="F8741" s="7"/>
      <c r="G8741" s="7"/>
      <c r="H8741" s="8"/>
      <c r="I8741" s="8"/>
      <c r="J8741" s="7"/>
      <c r="K8741" s="7"/>
      <c r="L8741" s="7"/>
      <c r="M8741" s="7"/>
      <c r="N8741" s="7"/>
      <c r="O8741" s="7"/>
      <c r="P8741" s="7"/>
      <c r="Q8741" s="7"/>
      <c r="R8741" s="7"/>
      <c r="S8741" s="7"/>
      <c r="T8741" s="7"/>
      <c r="U8741" s="7"/>
      <c r="V8741" s="7"/>
      <c r="W8741" s="7"/>
      <c r="X8741" s="7"/>
      <c r="Y8741" s="7"/>
      <c r="Z8741" s="7"/>
    </row>
    <row r="8742" hidden="1">
      <c r="A8742" s="7"/>
      <c r="B8742" s="7"/>
      <c r="C8742" s="7"/>
      <c r="D8742" s="7"/>
      <c r="E8742" s="7"/>
      <c r="F8742" s="7"/>
      <c r="G8742" s="7"/>
      <c r="H8742" s="8"/>
      <c r="I8742" s="8"/>
      <c r="J8742" s="7"/>
      <c r="K8742" s="7"/>
      <c r="L8742" s="7"/>
      <c r="M8742" s="7"/>
      <c r="N8742" s="7"/>
      <c r="O8742" s="7"/>
      <c r="P8742" s="7"/>
      <c r="Q8742" s="7"/>
      <c r="R8742" s="7"/>
      <c r="S8742" s="7"/>
      <c r="T8742" s="7"/>
      <c r="U8742" s="7"/>
      <c r="V8742" s="7"/>
      <c r="W8742" s="7"/>
      <c r="X8742" s="7"/>
      <c r="Y8742" s="7"/>
      <c r="Z8742" s="7"/>
    </row>
    <row r="8743" hidden="1">
      <c r="A8743" s="7"/>
      <c r="B8743" s="7"/>
      <c r="C8743" s="7"/>
      <c r="D8743" s="7"/>
      <c r="E8743" s="7"/>
      <c r="F8743" s="7"/>
      <c r="G8743" s="7"/>
      <c r="H8743" s="8"/>
      <c r="I8743" s="8"/>
      <c r="J8743" s="7"/>
      <c r="K8743" s="7"/>
      <c r="L8743" s="7"/>
      <c r="M8743" s="7"/>
      <c r="N8743" s="7"/>
      <c r="O8743" s="7"/>
      <c r="P8743" s="7"/>
      <c r="Q8743" s="7"/>
      <c r="R8743" s="7"/>
      <c r="S8743" s="7"/>
      <c r="T8743" s="7"/>
      <c r="U8743" s="7"/>
      <c r="V8743" s="7"/>
      <c r="W8743" s="7"/>
      <c r="X8743" s="7"/>
      <c r="Y8743" s="7"/>
      <c r="Z8743" s="7"/>
    </row>
    <row r="8744" hidden="1">
      <c r="A8744" s="7"/>
      <c r="B8744" s="7"/>
      <c r="C8744" s="7"/>
      <c r="D8744" s="7"/>
      <c r="E8744" s="7"/>
      <c r="F8744" s="7"/>
      <c r="G8744" s="7"/>
      <c r="H8744" s="8"/>
      <c r="I8744" s="8"/>
      <c r="J8744" s="7"/>
      <c r="K8744" s="7"/>
      <c r="L8744" s="7"/>
      <c r="M8744" s="7"/>
      <c r="N8744" s="7"/>
      <c r="O8744" s="7"/>
      <c r="P8744" s="7"/>
      <c r="Q8744" s="7"/>
      <c r="R8744" s="7"/>
      <c r="S8744" s="7"/>
      <c r="T8744" s="7"/>
      <c r="U8744" s="7"/>
      <c r="V8744" s="7"/>
      <c r="W8744" s="7"/>
      <c r="X8744" s="7"/>
      <c r="Y8744" s="7"/>
      <c r="Z8744" s="7"/>
    </row>
    <row r="8745" hidden="1">
      <c r="A8745" s="7"/>
      <c r="B8745" s="7"/>
      <c r="C8745" s="7"/>
      <c r="D8745" s="7"/>
      <c r="E8745" s="7"/>
      <c r="F8745" s="7"/>
      <c r="G8745" s="7"/>
      <c r="H8745" s="8"/>
      <c r="I8745" s="8"/>
      <c r="J8745" s="7"/>
      <c r="K8745" s="7"/>
      <c r="L8745" s="7"/>
      <c r="M8745" s="7"/>
      <c r="N8745" s="7"/>
      <c r="O8745" s="7"/>
      <c r="P8745" s="7"/>
      <c r="Q8745" s="7"/>
      <c r="R8745" s="7"/>
      <c r="S8745" s="7"/>
      <c r="T8745" s="7"/>
      <c r="U8745" s="7"/>
      <c r="V8745" s="7"/>
      <c r="W8745" s="7"/>
      <c r="X8745" s="7"/>
      <c r="Y8745" s="7"/>
      <c r="Z8745" s="7"/>
    </row>
    <row r="8746" hidden="1">
      <c r="A8746" s="7"/>
      <c r="B8746" s="7"/>
      <c r="C8746" s="7"/>
      <c r="D8746" s="7"/>
      <c r="E8746" s="7"/>
      <c r="F8746" s="7"/>
      <c r="G8746" s="7"/>
      <c r="H8746" s="8"/>
      <c r="I8746" s="8"/>
      <c r="J8746" s="7"/>
      <c r="K8746" s="7"/>
      <c r="L8746" s="7"/>
      <c r="M8746" s="7"/>
      <c r="N8746" s="7"/>
      <c r="O8746" s="7"/>
      <c r="P8746" s="7"/>
      <c r="Q8746" s="7"/>
      <c r="R8746" s="7"/>
      <c r="S8746" s="7"/>
      <c r="T8746" s="7"/>
      <c r="U8746" s="7"/>
      <c r="V8746" s="7"/>
      <c r="W8746" s="7"/>
      <c r="X8746" s="7"/>
      <c r="Y8746" s="7"/>
      <c r="Z8746" s="7"/>
    </row>
    <row r="8747" hidden="1">
      <c r="A8747" s="7"/>
      <c r="B8747" s="7"/>
      <c r="C8747" s="7"/>
      <c r="D8747" s="7"/>
      <c r="E8747" s="7"/>
      <c r="F8747" s="7"/>
      <c r="G8747" s="7"/>
      <c r="H8747" s="8"/>
      <c r="I8747" s="8"/>
      <c r="J8747" s="7"/>
      <c r="K8747" s="7"/>
      <c r="L8747" s="7"/>
      <c r="M8747" s="7"/>
      <c r="N8747" s="7"/>
      <c r="O8747" s="7"/>
      <c r="P8747" s="7"/>
      <c r="Q8747" s="7"/>
      <c r="R8747" s="7"/>
      <c r="S8747" s="7"/>
      <c r="T8747" s="7"/>
      <c r="U8747" s="7"/>
      <c r="V8747" s="7"/>
      <c r="W8747" s="7"/>
      <c r="X8747" s="7"/>
      <c r="Y8747" s="7"/>
      <c r="Z8747" s="7"/>
    </row>
    <row r="8748" hidden="1">
      <c r="A8748" s="7"/>
      <c r="B8748" s="7"/>
      <c r="C8748" s="7"/>
      <c r="D8748" s="7"/>
      <c r="E8748" s="7"/>
      <c r="F8748" s="7"/>
      <c r="G8748" s="7"/>
      <c r="H8748" s="8"/>
      <c r="I8748" s="8"/>
      <c r="J8748" s="7"/>
      <c r="K8748" s="7"/>
      <c r="L8748" s="7"/>
      <c r="M8748" s="7"/>
      <c r="N8748" s="7"/>
      <c r="O8748" s="7"/>
      <c r="P8748" s="7"/>
      <c r="Q8748" s="7"/>
      <c r="R8748" s="7"/>
      <c r="S8748" s="7"/>
      <c r="T8748" s="7"/>
      <c r="U8748" s="7"/>
      <c r="V8748" s="7"/>
      <c r="W8748" s="7"/>
      <c r="X8748" s="7"/>
      <c r="Y8748" s="7"/>
      <c r="Z8748" s="7"/>
    </row>
    <row r="8749" hidden="1">
      <c r="A8749" s="7"/>
      <c r="B8749" s="7"/>
      <c r="C8749" s="7"/>
      <c r="D8749" s="7"/>
      <c r="E8749" s="7"/>
      <c r="F8749" s="7"/>
      <c r="G8749" s="7"/>
      <c r="H8749" s="8"/>
      <c r="I8749" s="8"/>
      <c r="J8749" s="7"/>
      <c r="K8749" s="7"/>
      <c r="L8749" s="7"/>
      <c r="M8749" s="7"/>
      <c r="N8749" s="7"/>
      <c r="O8749" s="7"/>
      <c r="P8749" s="7"/>
      <c r="Q8749" s="7"/>
      <c r="R8749" s="7"/>
      <c r="S8749" s="7"/>
      <c r="T8749" s="7"/>
      <c r="U8749" s="7"/>
      <c r="V8749" s="7"/>
      <c r="W8749" s="7"/>
      <c r="X8749" s="7"/>
      <c r="Y8749" s="7"/>
      <c r="Z8749" s="7"/>
    </row>
    <row r="8750" hidden="1">
      <c r="A8750" s="7"/>
      <c r="B8750" s="7"/>
      <c r="C8750" s="7"/>
      <c r="D8750" s="7"/>
      <c r="E8750" s="7"/>
      <c r="F8750" s="7"/>
      <c r="G8750" s="7"/>
      <c r="H8750" s="8"/>
      <c r="I8750" s="8"/>
      <c r="J8750" s="7"/>
      <c r="K8750" s="7"/>
      <c r="L8750" s="7"/>
      <c r="M8750" s="7"/>
      <c r="N8750" s="7"/>
      <c r="O8750" s="7"/>
      <c r="P8750" s="7"/>
      <c r="Q8750" s="7"/>
      <c r="R8750" s="7"/>
      <c r="S8750" s="7"/>
      <c r="T8750" s="7"/>
      <c r="U8750" s="7"/>
      <c r="V8750" s="7"/>
      <c r="W8750" s="7"/>
      <c r="X8750" s="7"/>
      <c r="Y8750" s="7"/>
      <c r="Z8750" s="7"/>
    </row>
    <row r="8751" hidden="1">
      <c r="A8751" s="7"/>
      <c r="B8751" s="7"/>
      <c r="C8751" s="7"/>
      <c r="D8751" s="7"/>
      <c r="E8751" s="7"/>
      <c r="F8751" s="7"/>
      <c r="G8751" s="7"/>
      <c r="H8751" s="8"/>
      <c r="I8751" s="8"/>
      <c r="J8751" s="7"/>
      <c r="K8751" s="7"/>
      <c r="L8751" s="7"/>
      <c r="M8751" s="7"/>
      <c r="N8751" s="7"/>
      <c r="O8751" s="7"/>
      <c r="P8751" s="7"/>
      <c r="Q8751" s="7"/>
      <c r="R8751" s="7"/>
      <c r="S8751" s="7"/>
      <c r="T8751" s="7"/>
      <c r="U8751" s="7"/>
      <c r="V8751" s="7"/>
      <c r="W8751" s="7"/>
      <c r="X8751" s="7"/>
      <c r="Y8751" s="7"/>
      <c r="Z8751" s="7"/>
    </row>
    <row r="8752" hidden="1">
      <c r="A8752" s="7"/>
      <c r="B8752" s="7"/>
      <c r="C8752" s="7"/>
      <c r="D8752" s="7"/>
      <c r="E8752" s="7"/>
      <c r="F8752" s="7"/>
      <c r="G8752" s="7"/>
      <c r="H8752" s="8"/>
      <c r="I8752" s="8"/>
      <c r="J8752" s="7"/>
      <c r="K8752" s="7"/>
      <c r="L8752" s="7"/>
      <c r="M8752" s="7"/>
      <c r="N8752" s="7"/>
      <c r="O8752" s="7"/>
      <c r="P8752" s="7"/>
      <c r="Q8752" s="7"/>
      <c r="R8752" s="7"/>
      <c r="S8752" s="7"/>
      <c r="T8752" s="7"/>
      <c r="U8752" s="7"/>
      <c r="V8752" s="7"/>
      <c r="W8752" s="7"/>
      <c r="X8752" s="7"/>
      <c r="Y8752" s="7"/>
      <c r="Z8752" s="7"/>
    </row>
    <row r="8753" hidden="1">
      <c r="A8753" s="7"/>
      <c r="B8753" s="7"/>
      <c r="C8753" s="7"/>
      <c r="D8753" s="7"/>
      <c r="E8753" s="7"/>
      <c r="F8753" s="7"/>
      <c r="G8753" s="7"/>
      <c r="H8753" s="8"/>
      <c r="I8753" s="8"/>
      <c r="J8753" s="7"/>
      <c r="K8753" s="7"/>
      <c r="L8753" s="7"/>
      <c r="M8753" s="7"/>
      <c r="N8753" s="7"/>
      <c r="O8753" s="7"/>
      <c r="P8753" s="7"/>
      <c r="Q8753" s="7"/>
      <c r="R8753" s="7"/>
      <c r="S8753" s="7"/>
      <c r="T8753" s="7"/>
      <c r="U8753" s="7"/>
      <c r="V8753" s="7"/>
      <c r="W8753" s="7"/>
      <c r="X8753" s="7"/>
      <c r="Y8753" s="7"/>
      <c r="Z8753" s="7"/>
    </row>
    <row r="8754" hidden="1">
      <c r="A8754" s="7"/>
      <c r="B8754" s="7"/>
      <c r="C8754" s="7"/>
      <c r="D8754" s="7"/>
      <c r="E8754" s="7"/>
      <c r="F8754" s="7"/>
      <c r="G8754" s="7"/>
      <c r="H8754" s="8"/>
      <c r="I8754" s="8"/>
      <c r="J8754" s="7"/>
      <c r="K8754" s="7"/>
      <c r="L8754" s="7"/>
      <c r="M8754" s="7"/>
      <c r="N8754" s="7"/>
      <c r="O8754" s="7"/>
      <c r="P8754" s="7"/>
      <c r="Q8754" s="7"/>
      <c r="R8754" s="7"/>
      <c r="S8754" s="7"/>
      <c r="T8754" s="7"/>
      <c r="U8754" s="7"/>
      <c r="V8754" s="7"/>
      <c r="W8754" s="7"/>
      <c r="X8754" s="7"/>
      <c r="Y8754" s="7"/>
      <c r="Z8754" s="7"/>
    </row>
    <row r="8755" hidden="1">
      <c r="A8755" s="7"/>
      <c r="B8755" s="7"/>
      <c r="C8755" s="7"/>
      <c r="D8755" s="7"/>
      <c r="E8755" s="7"/>
      <c r="F8755" s="7"/>
      <c r="G8755" s="7"/>
      <c r="H8755" s="8"/>
      <c r="I8755" s="8"/>
      <c r="J8755" s="7"/>
      <c r="K8755" s="7"/>
      <c r="L8755" s="7"/>
      <c r="M8755" s="7"/>
      <c r="N8755" s="7"/>
      <c r="O8755" s="7"/>
      <c r="P8755" s="7"/>
      <c r="Q8755" s="7"/>
      <c r="R8755" s="7"/>
      <c r="S8755" s="7"/>
      <c r="T8755" s="7"/>
      <c r="U8755" s="7"/>
      <c r="V8755" s="7"/>
      <c r="W8755" s="7"/>
      <c r="X8755" s="7"/>
      <c r="Y8755" s="7"/>
      <c r="Z8755" s="7"/>
    </row>
    <row r="8756" hidden="1">
      <c r="A8756" s="7"/>
      <c r="B8756" s="7"/>
      <c r="C8756" s="7"/>
      <c r="D8756" s="7"/>
      <c r="E8756" s="7"/>
      <c r="F8756" s="7"/>
      <c r="G8756" s="7"/>
      <c r="H8756" s="8"/>
      <c r="I8756" s="8"/>
      <c r="J8756" s="7"/>
      <c r="K8756" s="7"/>
      <c r="L8756" s="7"/>
      <c r="M8756" s="7"/>
      <c r="N8756" s="7"/>
      <c r="O8756" s="7"/>
      <c r="P8756" s="7"/>
      <c r="Q8756" s="7"/>
      <c r="R8756" s="7"/>
      <c r="S8756" s="7"/>
      <c r="T8756" s="7"/>
      <c r="U8756" s="7"/>
      <c r="V8756" s="7"/>
      <c r="W8756" s="7"/>
      <c r="X8756" s="7"/>
      <c r="Y8756" s="7"/>
      <c r="Z8756" s="7"/>
    </row>
    <row r="8757" hidden="1">
      <c r="A8757" s="7"/>
      <c r="B8757" s="7"/>
      <c r="C8757" s="7"/>
      <c r="D8757" s="7"/>
      <c r="E8757" s="7"/>
      <c r="F8757" s="7"/>
      <c r="G8757" s="7"/>
      <c r="H8757" s="8"/>
      <c r="I8757" s="8"/>
      <c r="J8757" s="7"/>
      <c r="K8757" s="7"/>
      <c r="L8757" s="7"/>
      <c r="M8757" s="7"/>
      <c r="N8757" s="7"/>
      <c r="O8757" s="7"/>
      <c r="P8757" s="7"/>
      <c r="Q8757" s="7"/>
      <c r="R8757" s="7"/>
      <c r="S8757" s="7"/>
      <c r="T8757" s="7"/>
      <c r="U8757" s="7"/>
      <c r="V8757" s="7"/>
      <c r="W8757" s="7"/>
      <c r="X8757" s="7"/>
      <c r="Y8757" s="7"/>
      <c r="Z8757" s="7"/>
    </row>
    <row r="8758" hidden="1">
      <c r="A8758" s="7"/>
      <c r="B8758" s="7"/>
      <c r="C8758" s="7"/>
      <c r="D8758" s="7"/>
      <c r="E8758" s="7"/>
      <c r="F8758" s="7"/>
      <c r="G8758" s="7"/>
      <c r="H8758" s="8"/>
      <c r="I8758" s="8"/>
      <c r="J8758" s="7"/>
      <c r="K8758" s="7"/>
      <c r="L8758" s="7"/>
      <c r="M8758" s="7"/>
      <c r="N8758" s="7"/>
      <c r="O8758" s="7"/>
      <c r="P8758" s="7"/>
      <c r="Q8758" s="7"/>
      <c r="R8758" s="7"/>
      <c r="S8758" s="7"/>
      <c r="T8758" s="7"/>
      <c r="U8758" s="7"/>
      <c r="V8758" s="7"/>
      <c r="W8758" s="7"/>
      <c r="X8758" s="7"/>
      <c r="Y8758" s="7"/>
      <c r="Z8758" s="7"/>
    </row>
    <row r="8759" hidden="1">
      <c r="A8759" s="7"/>
      <c r="B8759" s="7"/>
      <c r="C8759" s="7"/>
      <c r="D8759" s="7"/>
      <c r="E8759" s="7"/>
      <c r="F8759" s="7"/>
      <c r="G8759" s="7"/>
      <c r="H8759" s="8"/>
      <c r="I8759" s="8"/>
      <c r="J8759" s="7"/>
      <c r="K8759" s="7"/>
      <c r="L8759" s="7"/>
      <c r="M8759" s="7"/>
      <c r="N8759" s="7"/>
      <c r="O8759" s="7"/>
      <c r="P8759" s="7"/>
      <c r="Q8759" s="7"/>
      <c r="R8759" s="7"/>
      <c r="S8759" s="7"/>
      <c r="T8759" s="7"/>
      <c r="U8759" s="7"/>
      <c r="V8759" s="7"/>
      <c r="W8759" s="7"/>
      <c r="X8759" s="7"/>
      <c r="Y8759" s="7"/>
      <c r="Z8759" s="7"/>
    </row>
    <row r="8760" hidden="1">
      <c r="A8760" s="7"/>
      <c r="B8760" s="7"/>
      <c r="C8760" s="7"/>
      <c r="D8760" s="7"/>
      <c r="E8760" s="7"/>
      <c r="F8760" s="7"/>
      <c r="G8760" s="7"/>
      <c r="H8760" s="8"/>
      <c r="I8760" s="8"/>
      <c r="J8760" s="7"/>
      <c r="K8760" s="7"/>
      <c r="L8760" s="7"/>
      <c r="M8760" s="7"/>
      <c r="N8760" s="7"/>
      <c r="O8760" s="7"/>
      <c r="P8760" s="7"/>
      <c r="Q8760" s="7"/>
      <c r="R8760" s="7"/>
      <c r="S8760" s="7"/>
      <c r="T8760" s="7"/>
      <c r="U8760" s="7"/>
      <c r="V8760" s="7"/>
      <c r="W8760" s="7"/>
      <c r="X8760" s="7"/>
      <c r="Y8760" s="7"/>
      <c r="Z8760" s="7"/>
    </row>
    <row r="8761" hidden="1">
      <c r="A8761" s="7"/>
      <c r="B8761" s="7"/>
      <c r="C8761" s="7"/>
      <c r="D8761" s="7"/>
      <c r="E8761" s="7"/>
      <c r="F8761" s="7"/>
      <c r="G8761" s="7"/>
      <c r="H8761" s="8"/>
      <c r="I8761" s="8"/>
      <c r="J8761" s="7"/>
      <c r="K8761" s="7"/>
      <c r="L8761" s="7"/>
      <c r="M8761" s="7"/>
      <c r="N8761" s="7"/>
      <c r="O8761" s="7"/>
      <c r="P8761" s="7"/>
      <c r="Q8761" s="7"/>
      <c r="R8761" s="7"/>
      <c r="S8761" s="7"/>
      <c r="T8761" s="7"/>
      <c r="U8761" s="7"/>
      <c r="V8761" s="7"/>
      <c r="W8761" s="7"/>
      <c r="X8761" s="7"/>
      <c r="Y8761" s="7"/>
      <c r="Z8761" s="7"/>
    </row>
    <row r="8762" hidden="1">
      <c r="A8762" s="7"/>
      <c r="B8762" s="7"/>
      <c r="C8762" s="7"/>
      <c r="D8762" s="7"/>
      <c r="E8762" s="7"/>
      <c r="F8762" s="7"/>
      <c r="G8762" s="7"/>
      <c r="H8762" s="8"/>
      <c r="I8762" s="8"/>
      <c r="J8762" s="7"/>
      <c r="K8762" s="7"/>
      <c r="L8762" s="7"/>
      <c r="M8762" s="7"/>
      <c r="N8762" s="7"/>
      <c r="O8762" s="7"/>
      <c r="P8762" s="7"/>
      <c r="Q8762" s="7"/>
      <c r="R8762" s="7"/>
      <c r="S8762" s="7"/>
      <c r="T8762" s="7"/>
      <c r="U8762" s="7"/>
      <c r="V8762" s="7"/>
      <c r="W8762" s="7"/>
      <c r="X8762" s="7"/>
      <c r="Y8762" s="7"/>
      <c r="Z8762" s="7"/>
    </row>
    <row r="8763" hidden="1">
      <c r="A8763" s="7"/>
      <c r="B8763" s="7"/>
      <c r="C8763" s="7"/>
      <c r="D8763" s="7"/>
      <c r="E8763" s="7"/>
      <c r="F8763" s="7"/>
      <c r="G8763" s="7"/>
      <c r="H8763" s="8"/>
      <c r="I8763" s="8"/>
      <c r="J8763" s="7"/>
      <c r="K8763" s="7"/>
      <c r="L8763" s="7"/>
      <c r="M8763" s="7"/>
      <c r="N8763" s="7"/>
      <c r="O8763" s="7"/>
      <c r="P8763" s="7"/>
      <c r="Q8763" s="7"/>
      <c r="R8763" s="7"/>
      <c r="S8763" s="7"/>
      <c r="T8763" s="7"/>
      <c r="U8763" s="7"/>
      <c r="V8763" s="7"/>
      <c r="W8763" s="7"/>
      <c r="X8763" s="7"/>
      <c r="Y8763" s="7"/>
      <c r="Z8763" s="7"/>
    </row>
    <row r="8764" hidden="1">
      <c r="A8764" s="7"/>
      <c r="B8764" s="7"/>
      <c r="C8764" s="7"/>
      <c r="D8764" s="7"/>
      <c r="E8764" s="7"/>
      <c r="F8764" s="7"/>
      <c r="G8764" s="7"/>
      <c r="H8764" s="8"/>
      <c r="I8764" s="8"/>
      <c r="J8764" s="7"/>
      <c r="K8764" s="7"/>
      <c r="L8764" s="7"/>
      <c r="M8764" s="7"/>
      <c r="N8764" s="7"/>
      <c r="O8764" s="7"/>
      <c r="P8764" s="7"/>
      <c r="Q8764" s="7"/>
      <c r="R8764" s="7"/>
      <c r="S8764" s="7"/>
      <c r="T8764" s="7"/>
      <c r="U8764" s="7"/>
      <c r="V8764" s="7"/>
      <c r="W8764" s="7"/>
      <c r="X8764" s="7"/>
      <c r="Y8764" s="7"/>
      <c r="Z8764" s="7"/>
    </row>
    <row r="8765" hidden="1">
      <c r="A8765" s="7"/>
      <c r="B8765" s="7"/>
      <c r="C8765" s="7"/>
      <c r="D8765" s="7"/>
      <c r="E8765" s="7"/>
      <c r="F8765" s="7"/>
      <c r="G8765" s="7"/>
      <c r="H8765" s="8"/>
      <c r="I8765" s="8"/>
      <c r="J8765" s="7"/>
      <c r="K8765" s="7"/>
      <c r="L8765" s="7"/>
      <c r="M8765" s="7"/>
      <c r="N8765" s="7"/>
      <c r="O8765" s="7"/>
      <c r="P8765" s="7"/>
      <c r="Q8765" s="7"/>
      <c r="R8765" s="7"/>
      <c r="S8765" s="7"/>
      <c r="T8765" s="7"/>
      <c r="U8765" s="7"/>
      <c r="V8765" s="7"/>
      <c r="W8765" s="7"/>
      <c r="X8765" s="7"/>
      <c r="Y8765" s="7"/>
      <c r="Z8765" s="7"/>
    </row>
    <row r="8766" hidden="1">
      <c r="A8766" s="7"/>
      <c r="B8766" s="7"/>
      <c r="C8766" s="7"/>
      <c r="D8766" s="7"/>
      <c r="E8766" s="7"/>
      <c r="F8766" s="7"/>
      <c r="G8766" s="7"/>
      <c r="H8766" s="8"/>
      <c r="I8766" s="8"/>
      <c r="J8766" s="7"/>
      <c r="K8766" s="7"/>
      <c r="L8766" s="7"/>
      <c r="M8766" s="7"/>
      <c r="N8766" s="7"/>
      <c r="O8766" s="7"/>
      <c r="P8766" s="7"/>
      <c r="Q8766" s="7"/>
      <c r="R8766" s="7"/>
      <c r="S8766" s="7"/>
      <c r="T8766" s="7"/>
      <c r="U8766" s="7"/>
      <c r="V8766" s="7"/>
      <c r="W8766" s="7"/>
      <c r="X8766" s="7"/>
      <c r="Y8766" s="7"/>
      <c r="Z8766" s="7"/>
    </row>
    <row r="8767" hidden="1">
      <c r="A8767" s="7"/>
      <c r="B8767" s="7"/>
      <c r="C8767" s="7"/>
      <c r="D8767" s="7"/>
      <c r="E8767" s="7"/>
      <c r="F8767" s="7"/>
      <c r="G8767" s="7"/>
      <c r="H8767" s="8"/>
      <c r="I8767" s="8"/>
      <c r="J8767" s="7"/>
      <c r="K8767" s="7"/>
      <c r="L8767" s="7"/>
      <c r="M8767" s="7"/>
      <c r="N8767" s="7"/>
      <c r="O8767" s="7"/>
      <c r="P8767" s="7"/>
      <c r="Q8767" s="7"/>
      <c r="R8767" s="7"/>
      <c r="S8767" s="7"/>
      <c r="T8767" s="7"/>
      <c r="U8767" s="7"/>
      <c r="V8767" s="7"/>
      <c r="W8767" s="7"/>
      <c r="X8767" s="7"/>
      <c r="Y8767" s="7"/>
      <c r="Z8767" s="7"/>
    </row>
    <row r="8768" hidden="1">
      <c r="A8768" s="7"/>
      <c r="B8768" s="7"/>
      <c r="C8768" s="7"/>
      <c r="D8768" s="7"/>
      <c r="E8768" s="7"/>
      <c r="F8768" s="7"/>
      <c r="G8768" s="7"/>
      <c r="H8768" s="8"/>
      <c r="I8768" s="8"/>
      <c r="J8768" s="7"/>
      <c r="K8768" s="7"/>
      <c r="L8768" s="7"/>
      <c r="M8768" s="7"/>
      <c r="N8768" s="7"/>
      <c r="O8768" s="7"/>
      <c r="P8768" s="7"/>
      <c r="Q8768" s="7"/>
      <c r="R8768" s="7"/>
      <c r="S8768" s="7"/>
      <c r="T8768" s="7"/>
      <c r="U8768" s="7"/>
      <c r="V8768" s="7"/>
      <c r="W8768" s="7"/>
      <c r="X8768" s="7"/>
      <c r="Y8768" s="7"/>
      <c r="Z8768" s="7"/>
    </row>
    <row r="8769" hidden="1">
      <c r="A8769" s="7"/>
      <c r="B8769" s="7"/>
      <c r="C8769" s="7"/>
      <c r="D8769" s="7"/>
      <c r="E8769" s="7"/>
      <c r="F8769" s="7"/>
      <c r="G8769" s="7"/>
      <c r="H8769" s="8"/>
      <c r="I8769" s="8"/>
      <c r="J8769" s="7"/>
      <c r="K8769" s="7"/>
      <c r="L8769" s="7"/>
      <c r="M8769" s="7"/>
      <c r="N8769" s="7"/>
      <c r="O8769" s="7"/>
      <c r="P8769" s="7"/>
      <c r="Q8769" s="7"/>
      <c r="R8769" s="7"/>
      <c r="S8769" s="7"/>
      <c r="T8769" s="7"/>
      <c r="U8769" s="7"/>
      <c r="V8769" s="7"/>
      <c r="W8769" s="7"/>
      <c r="X8769" s="7"/>
      <c r="Y8769" s="7"/>
      <c r="Z8769" s="7"/>
    </row>
    <row r="8770" hidden="1">
      <c r="A8770" s="7"/>
      <c r="B8770" s="7"/>
      <c r="C8770" s="7"/>
      <c r="D8770" s="7"/>
      <c r="E8770" s="7"/>
      <c r="F8770" s="7"/>
      <c r="G8770" s="7"/>
      <c r="H8770" s="8"/>
      <c r="I8770" s="8"/>
      <c r="J8770" s="7"/>
      <c r="K8770" s="7"/>
      <c r="L8770" s="7"/>
      <c r="M8770" s="7"/>
      <c r="N8770" s="7"/>
      <c r="O8770" s="7"/>
      <c r="P8770" s="7"/>
      <c r="Q8770" s="7"/>
      <c r="R8770" s="7"/>
      <c r="S8770" s="7"/>
      <c r="T8770" s="7"/>
      <c r="U8770" s="7"/>
      <c r="V8770" s="7"/>
      <c r="W8770" s="7"/>
      <c r="X8770" s="7"/>
      <c r="Y8770" s="7"/>
      <c r="Z8770" s="7"/>
    </row>
    <row r="8771" hidden="1">
      <c r="A8771" s="7"/>
      <c r="B8771" s="7"/>
      <c r="C8771" s="7"/>
      <c r="D8771" s="7"/>
      <c r="E8771" s="7"/>
      <c r="F8771" s="7"/>
      <c r="G8771" s="7"/>
      <c r="H8771" s="8"/>
      <c r="I8771" s="8"/>
      <c r="J8771" s="7"/>
      <c r="K8771" s="7"/>
      <c r="L8771" s="7"/>
      <c r="M8771" s="7"/>
      <c r="N8771" s="7"/>
      <c r="O8771" s="7"/>
      <c r="P8771" s="7"/>
      <c r="Q8771" s="7"/>
      <c r="R8771" s="7"/>
      <c r="S8771" s="7"/>
      <c r="T8771" s="7"/>
      <c r="U8771" s="7"/>
      <c r="V8771" s="7"/>
      <c r="W8771" s="7"/>
      <c r="X8771" s="7"/>
      <c r="Y8771" s="7"/>
      <c r="Z8771" s="7"/>
    </row>
    <row r="8772" hidden="1">
      <c r="A8772" s="7"/>
      <c r="B8772" s="7"/>
      <c r="C8772" s="7"/>
      <c r="D8772" s="7"/>
      <c r="E8772" s="7"/>
      <c r="F8772" s="7"/>
      <c r="G8772" s="7"/>
      <c r="H8772" s="8"/>
      <c r="I8772" s="8"/>
      <c r="J8772" s="7"/>
      <c r="K8772" s="7"/>
      <c r="L8772" s="7"/>
      <c r="M8772" s="7"/>
      <c r="N8772" s="7"/>
      <c r="O8772" s="7"/>
      <c r="P8772" s="7"/>
      <c r="Q8772" s="7"/>
      <c r="R8772" s="7"/>
      <c r="S8772" s="7"/>
      <c r="T8772" s="7"/>
      <c r="U8772" s="7"/>
      <c r="V8772" s="7"/>
      <c r="W8772" s="7"/>
      <c r="X8772" s="7"/>
      <c r="Y8772" s="7"/>
      <c r="Z8772" s="7"/>
    </row>
    <row r="8773" hidden="1">
      <c r="A8773" s="7"/>
      <c r="B8773" s="7"/>
      <c r="C8773" s="7"/>
      <c r="D8773" s="7"/>
      <c r="E8773" s="7"/>
      <c r="F8773" s="7"/>
      <c r="G8773" s="7"/>
      <c r="H8773" s="8"/>
      <c r="I8773" s="8"/>
      <c r="J8773" s="7"/>
      <c r="K8773" s="7"/>
      <c r="L8773" s="7"/>
      <c r="M8773" s="7"/>
      <c r="N8773" s="7"/>
      <c r="O8773" s="7"/>
      <c r="P8773" s="7"/>
      <c r="Q8773" s="7"/>
      <c r="R8773" s="7"/>
      <c r="S8773" s="7"/>
      <c r="T8773" s="7"/>
      <c r="U8773" s="7"/>
      <c r="V8773" s="7"/>
      <c r="W8773" s="7"/>
      <c r="X8773" s="7"/>
      <c r="Y8773" s="7"/>
      <c r="Z8773" s="7"/>
    </row>
    <row r="8774" hidden="1">
      <c r="A8774" s="7"/>
      <c r="B8774" s="7"/>
      <c r="C8774" s="7"/>
      <c r="D8774" s="7"/>
      <c r="E8774" s="7"/>
      <c r="F8774" s="7"/>
      <c r="G8774" s="7"/>
      <c r="H8774" s="8"/>
      <c r="I8774" s="8"/>
      <c r="J8774" s="7"/>
      <c r="K8774" s="7"/>
      <c r="L8774" s="7"/>
      <c r="M8774" s="7"/>
      <c r="N8774" s="7"/>
      <c r="O8774" s="7"/>
      <c r="P8774" s="7"/>
      <c r="Q8774" s="7"/>
      <c r="R8774" s="7"/>
      <c r="S8774" s="7"/>
      <c r="T8774" s="7"/>
      <c r="U8774" s="7"/>
      <c r="V8774" s="7"/>
      <c r="W8774" s="7"/>
      <c r="X8774" s="7"/>
      <c r="Y8774" s="7"/>
      <c r="Z8774" s="7"/>
    </row>
    <row r="8775" hidden="1">
      <c r="A8775" s="7"/>
      <c r="B8775" s="7"/>
      <c r="C8775" s="7"/>
      <c r="D8775" s="7"/>
      <c r="E8775" s="7"/>
      <c r="F8775" s="7"/>
      <c r="G8775" s="7"/>
      <c r="H8775" s="8"/>
      <c r="I8775" s="8"/>
      <c r="J8775" s="7"/>
      <c r="K8775" s="7"/>
      <c r="L8775" s="7"/>
      <c r="M8775" s="7"/>
      <c r="N8775" s="7"/>
      <c r="O8775" s="7"/>
      <c r="P8775" s="7"/>
      <c r="Q8775" s="7"/>
      <c r="R8775" s="7"/>
      <c r="S8775" s="7"/>
      <c r="T8775" s="7"/>
      <c r="U8775" s="7"/>
      <c r="V8775" s="7"/>
      <c r="W8775" s="7"/>
      <c r="X8775" s="7"/>
      <c r="Y8775" s="7"/>
      <c r="Z8775" s="7"/>
    </row>
    <row r="8776" hidden="1">
      <c r="A8776" s="7"/>
      <c r="B8776" s="7"/>
      <c r="C8776" s="7"/>
      <c r="D8776" s="7"/>
      <c r="E8776" s="7"/>
      <c r="F8776" s="7"/>
      <c r="G8776" s="7"/>
      <c r="H8776" s="8"/>
      <c r="I8776" s="8"/>
      <c r="J8776" s="7"/>
      <c r="K8776" s="7"/>
      <c r="L8776" s="7"/>
      <c r="M8776" s="7"/>
      <c r="N8776" s="7"/>
      <c r="O8776" s="7"/>
      <c r="P8776" s="7"/>
      <c r="Q8776" s="7"/>
      <c r="R8776" s="7"/>
      <c r="S8776" s="7"/>
      <c r="T8776" s="7"/>
      <c r="U8776" s="7"/>
      <c r="V8776" s="7"/>
      <c r="W8776" s="7"/>
      <c r="X8776" s="7"/>
      <c r="Y8776" s="7"/>
      <c r="Z8776" s="7"/>
    </row>
    <row r="8777" hidden="1">
      <c r="A8777" s="7"/>
      <c r="B8777" s="7"/>
      <c r="C8777" s="7"/>
      <c r="D8777" s="7"/>
      <c r="E8777" s="7"/>
      <c r="F8777" s="7"/>
      <c r="G8777" s="7"/>
      <c r="H8777" s="8"/>
      <c r="I8777" s="8"/>
      <c r="J8777" s="7"/>
      <c r="K8777" s="7"/>
      <c r="L8777" s="7"/>
      <c r="M8777" s="7"/>
      <c r="N8777" s="7"/>
      <c r="O8777" s="7"/>
      <c r="P8777" s="7"/>
      <c r="Q8777" s="7"/>
      <c r="R8777" s="7"/>
      <c r="S8777" s="7"/>
      <c r="T8777" s="7"/>
      <c r="U8777" s="7"/>
      <c r="V8777" s="7"/>
      <c r="W8777" s="7"/>
      <c r="X8777" s="7"/>
      <c r="Y8777" s="7"/>
      <c r="Z8777" s="7"/>
    </row>
    <row r="8778" hidden="1">
      <c r="A8778" s="7"/>
      <c r="B8778" s="7"/>
      <c r="C8778" s="7"/>
      <c r="D8778" s="7"/>
      <c r="E8778" s="7"/>
      <c r="F8778" s="7"/>
      <c r="G8778" s="7"/>
      <c r="H8778" s="8"/>
      <c r="I8778" s="8"/>
      <c r="J8778" s="7"/>
      <c r="K8778" s="7"/>
      <c r="L8778" s="7"/>
      <c r="M8778" s="7"/>
      <c r="N8778" s="7"/>
      <c r="O8778" s="7"/>
      <c r="P8778" s="7"/>
      <c r="Q8778" s="7"/>
      <c r="R8778" s="7"/>
      <c r="S8778" s="7"/>
      <c r="T8778" s="7"/>
      <c r="U8778" s="7"/>
      <c r="V8778" s="7"/>
      <c r="W8778" s="7"/>
      <c r="X8778" s="7"/>
      <c r="Y8778" s="7"/>
      <c r="Z8778" s="7"/>
    </row>
    <row r="8779" hidden="1">
      <c r="A8779" s="7"/>
      <c r="B8779" s="7"/>
      <c r="C8779" s="7"/>
      <c r="D8779" s="7"/>
      <c r="E8779" s="7"/>
      <c r="F8779" s="7"/>
      <c r="G8779" s="7"/>
      <c r="H8779" s="8"/>
      <c r="I8779" s="8"/>
      <c r="J8779" s="7"/>
      <c r="K8779" s="7"/>
      <c r="L8779" s="7"/>
      <c r="M8779" s="7"/>
      <c r="N8779" s="7"/>
      <c r="O8779" s="7"/>
      <c r="P8779" s="7"/>
      <c r="Q8779" s="7"/>
      <c r="R8779" s="7"/>
      <c r="S8779" s="7"/>
      <c r="T8779" s="7"/>
      <c r="U8779" s="7"/>
      <c r="V8779" s="7"/>
      <c r="W8779" s="7"/>
      <c r="X8779" s="7"/>
      <c r="Y8779" s="7"/>
      <c r="Z8779" s="7"/>
    </row>
    <row r="8780" hidden="1">
      <c r="A8780" s="7"/>
      <c r="B8780" s="7"/>
      <c r="C8780" s="7"/>
      <c r="D8780" s="7"/>
      <c r="E8780" s="7"/>
      <c r="F8780" s="7"/>
      <c r="G8780" s="7"/>
      <c r="H8780" s="8"/>
      <c r="I8780" s="8"/>
      <c r="J8780" s="7"/>
      <c r="K8780" s="7"/>
      <c r="L8780" s="7"/>
      <c r="M8780" s="7"/>
      <c r="N8780" s="7"/>
      <c r="O8780" s="7"/>
      <c r="P8780" s="7"/>
      <c r="Q8780" s="7"/>
      <c r="R8780" s="7"/>
      <c r="S8780" s="7"/>
      <c r="T8780" s="7"/>
      <c r="U8780" s="7"/>
      <c r="V8780" s="7"/>
      <c r="W8780" s="7"/>
      <c r="X8780" s="7"/>
      <c r="Y8780" s="7"/>
      <c r="Z8780" s="7"/>
    </row>
    <row r="8781" hidden="1">
      <c r="A8781" s="7"/>
      <c r="B8781" s="7"/>
      <c r="C8781" s="7"/>
      <c r="D8781" s="7"/>
      <c r="E8781" s="7"/>
      <c r="F8781" s="7"/>
      <c r="G8781" s="7"/>
      <c r="H8781" s="8"/>
      <c r="I8781" s="8"/>
      <c r="J8781" s="7"/>
      <c r="K8781" s="7"/>
      <c r="L8781" s="7"/>
      <c r="M8781" s="7"/>
      <c r="N8781" s="7"/>
      <c r="O8781" s="7"/>
      <c r="P8781" s="7"/>
      <c r="Q8781" s="7"/>
      <c r="R8781" s="7"/>
      <c r="S8781" s="7"/>
      <c r="T8781" s="7"/>
      <c r="U8781" s="7"/>
      <c r="V8781" s="7"/>
      <c r="W8781" s="7"/>
      <c r="X8781" s="7"/>
      <c r="Y8781" s="7"/>
      <c r="Z8781" s="7"/>
    </row>
    <row r="8782" hidden="1">
      <c r="A8782" s="7"/>
      <c r="B8782" s="7"/>
      <c r="C8782" s="7"/>
      <c r="D8782" s="7"/>
      <c r="E8782" s="7"/>
      <c r="F8782" s="7"/>
      <c r="G8782" s="7"/>
      <c r="H8782" s="8"/>
      <c r="I8782" s="8"/>
      <c r="J8782" s="7"/>
      <c r="K8782" s="7"/>
      <c r="L8782" s="7"/>
      <c r="M8782" s="7"/>
      <c r="N8782" s="7"/>
      <c r="O8782" s="7"/>
      <c r="P8782" s="7"/>
      <c r="Q8782" s="7"/>
      <c r="R8782" s="7"/>
      <c r="S8782" s="7"/>
      <c r="T8782" s="7"/>
      <c r="U8782" s="7"/>
      <c r="V8782" s="7"/>
      <c r="W8782" s="7"/>
      <c r="X8782" s="7"/>
      <c r="Y8782" s="7"/>
      <c r="Z8782" s="7"/>
    </row>
    <row r="8783" hidden="1">
      <c r="A8783" s="7"/>
      <c r="B8783" s="7"/>
      <c r="C8783" s="7"/>
      <c r="D8783" s="7"/>
      <c r="E8783" s="7"/>
      <c r="F8783" s="7"/>
      <c r="G8783" s="7"/>
      <c r="H8783" s="8"/>
      <c r="I8783" s="8"/>
      <c r="J8783" s="7"/>
      <c r="K8783" s="7"/>
      <c r="L8783" s="7"/>
      <c r="M8783" s="7"/>
      <c r="N8783" s="7"/>
      <c r="O8783" s="7"/>
      <c r="P8783" s="7"/>
      <c r="Q8783" s="7"/>
      <c r="R8783" s="7"/>
      <c r="S8783" s="7"/>
      <c r="T8783" s="7"/>
      <c r="U8783" s="7"/>
      <c r="V8783" s="7"/>
      <c r="W8783" s="7"/>
      <c r="X8783" s="7"/>
      <c r="Y8783" s="7"/>
      <c r="Z8783" s="7"/>
    </row>
    <row r="8784" hidden="1">
      <c r="A8784" s="7"/>
      <c r="B8784" s="7"/>
      <c r="C8784" s="7"/>
      <c r="D8784" s="7"/>
      <c r="E8784" s="7"/>
      <c r="F8784" s="7"/>
      <c r="G8784" s="7"/>
      <c r="H8784" s="8"/>
      <c r="I8784" s="8"/>
      <c r="J8784" s="7"/>
      <c r="K8784" s="7"/>
      <c r="L8784" s="7"/>
      <c r="M8784" s="7"/>
      <c r="N8784" s="7"/>
      <c r="O8784" s="7"/>
      <c r="P8784" s="7"/>
      <c r="Q8784" s="7"/>
      <c r="R8784" s="7"/>
      <c r="S8784" s="7"/>
      <c r="T8784" s="7"/>
      <c r="U8784" s="7"/>
      <c r="V8784" s="7"/>
      <c r="W8784" s="7"/>
      <c r="X8784" s="7"/>
      <c r="Y8784" s="7"/>
      <c r="Z8784" s="7"/>
    </row>
    <row r="8785" hidden="1">
      <c r="A8785" s="7"/>
      <c r="B8785" s="7"/>
      <c r="C8785" s="7"/>
      <c r="D8785" s="7"/>
      <c r="E8785" s="7"/>
      <c r="F8785" s="7"/>
      <c r="G8785" s="7"/>
      <c r="H8785" s="8"/>
      <c r="I8785" s="8"/>
      <c r="J8785" s="7"/>
      <c r="K8785" s="7"/>
      <c r="L8785" s="7"/>
      <c r="M8785" s="7"/>
      <c r="N8785" s="7"/>
      <c r="O8785" s="7"/>
      <c r="P8785" s="7"/>
      <c r="Q8785" s="7"/>
      <c r="R8785" s="7"/>
      <c r="S8785" s="7"/>
      <c r="T8785" s="7"/>
      <c r="U8785" s="7"/>
      <c r="V8785" s="7"/>
      <c r="W8785" s="7"/>
      <c r="X8785" s="7"/>
      <c r="Y8785" s="7"/>
      <c r="Z8785" s="7"/>
    </row>
    <row r="8786" hidden="1">
      <c r="A8786" s="7"/>
      <c r="B8786" s="7"/>
      <c r="C8786" s="7"/>
      <c r="D8786" s="7"/>
      <c r="E8786" s="7"/>
      <c r="F8786" s="7"/>
      <c r="G8786" s="7"/>
      <c r="H8786" s="8"/>
      <c r="I8786" s="8"/>
      <c r="J8786" s="7"/>
      <c r="K8786" s="7"/>
      <c r="L8786" s="7"/>
      <c r="M8786" s="7"/>
      <c r="N8786" s="7"/>
      <c r="O8786" s="7"/>
      <c r="P8786" s="7"/>
      <c r="Q8786" s="7"/>
      <c r="R8786" s="7"/>
      <c r="S8786" s="7"/>
      <c r="T8786" s="7"/>
      <c r="U8786" s="7"/>
      <c r="V8786" s="7"/>
      <c r="W8786" s="7"/>
      <c r="X8786" s="7"/>
      <c r="Y8786" s="7"/>
      <c r="Z8786" s="7"/>
    </row>
    <row r="8787" hidden="1">
      <c r="A8787" s="7"/>
      <c r="B8787" s="7"/>
      <c r="C8787" s="7"/>
      <c r="D8787" s="7"/>
      <c r="E8787" s="7"/>
      <c r="F8787" s="7"/>
      <c r="G8787" s="7"/>
      <c r="H8787" s="8"/>
      <c r="I8787" s="8"/>
      <c r="J8787" s="7"/>
      <c r="K8787" s="7"/>
      <c r="L8787" s="7"/>
      <c r="M8787" s="7"/>
      <c r="N8787" s="7"/>
      <c r="O8787" s="7"/>
      <c r="P8787" s="7"/>
      <c r="Q8787" s="7"/>
      <c r="R8787" s="7"/>
      <c r="S8787" s="7"/>
      <c r="T8787" s="7"/>
      <c r="U8787" s="7"/>
      <c r="V8787" s="7"/>
      <c r="W8787" s="7"/>
      <c r="X8787" s="7"/>
      <c r="Y8787" s="7"/>
      <c r="Z8787" s="7"/>
    </row>
    <row r="8788" hidden="1">
      <c r="A8788" s="7"/>
      <c r="B8788" s="7"/>
      <c r="C8788" s="7"/>
      <c r="D8788" s="7"/>
      <c r="E8788" s="7"/>
      <c r="F8788" s="7"/>
      <c r="G8788" s="7"/>
      <c r="H8788" s="8"/>
      <c r="I8788" s="8"/>
      <c r="J8788" s="7"/>
      <c r="K8788" s="7"/>
      <c r="L8788" s="7"/>
      <c r="M8788" s="7"/>
      <c r="N8788" s="7"/>
      <c r="O8788" s="7"/>
      <c r="P8788" s="7"/>
      <c r="Q8788" s="7"/>
      <c r="R8788" s="7"/>
      <c r="S8788" s="7"/>
      <c r="T8788" s="7"/>
      <c r="U8788" s="7"/>
      <c r="V8788" s="7"/>
      <c r="W8788" s="7"/>
      <c r="X8788" s="7"/>
      <c r="Y8788" s="7"/>
      <c r="Z8788" s="7"/>
    </row>
    <row r="8789" hidden="1">
      <c r="A8789" s="7"/>
      <c r="B8789" s="7"/>
      <c r="C8789" s="7"/>
      <c r="D8789" s="7"/>
      <c r="E8789" s="7"/>
      <c r="F8789" s="7"/>
      <c r="G8789" s="7"/>
      <c r="H8789" s="8"/>
      <c r="I8789" s="8"/>
      <c r="J8789" s="7"/>
      <c r="K8789" s="7"/>
      <c r="L8789" s="7"/>
      <c r="M8789" s="7"/>
      <c r="N8789" s="7"/>
      <c r="O8789" s="7"/>
      <c r="P8789" s="7"/>
      <c r="Q8789" s="7"/>
      <c r="R8789" s="7"/>
      <c r="S8789" s="7"/>
      <c r="T8789" s="7"/>
      <c r="U8789" s="7"/>
      <c r="V8789" s="7"/>
      <c r="W8789" s="7"/>
      <c r="X8789" s="7"/>
      <c r="Y8789" s="7"/>
      <c r="Z8789" s="7"/>
    </row>
    <row r="8790" hidden="1">
      <c r="A8790" s="7"/>
      <c r="B8790" s="7"/>
      <c r="C8790" s="7"/>
      <c r="D8790" s="7"/>
      <c r="E8790" s="7"/>
      <c r="F8790" s="7"/>
      <c r="G8790" s="7"/>
      <c r="H8790" s="8"/>
      <c r="I8790" s="8"/>
      <c r="J8790" s="7"/>
      <c r="K8790" s="7"/>
      <c r="L8790" s="7"/>
      <c r="M8790" s="7"/>
      <c r="N8790" s="7"/>
      <c r="O8790" s="7"/>
      <c r="P8790" s="7"/>
      <c r="Q8790" s="7"/>
      <c r="R8790" s="7"/>
      <c r="S8790" s="7"/>
      <c r="T8790" s="7"/>
      <c r="U8790" s="7"/>
      <c r="V8790" s="7"/>
      <c r="W8790" s="7"/>
      <c r="X8790" s="7"/>
      <c r="Y8790" s="7"/>
      <c r="Z8790" s="7"/>
    </row>
    <row r="8791" hidden="1">
      <c r="A8791" s="7"/>
      <c r="B8791" s="7"/>
      <c r="C8791" s="7"/>
      <c r="D8791" s="7"/>
      <c r="E8791" s="7"/>
      <c r="F8791" s="7"/>
      <c r="G8791" s="7"/>
      <c r="H8791" s="8"/>
      <c r="I8791" s="8"/>
      <c r="J8791" s="7"/>
      <c r="K8791" s="7"/>
      <c r="L8791" s="7"/>
      <c r="M8791" s="7"/>
      <c r="N8791" s="7"/>
      <c r="O8791" s="7"/>
      <c r="P8791" s="7"/>
      <c r="Q8791" s="7"/>
      <c r="R8791" s="7"/>
      <c r="S8791" s="7"/>
      <c r="T8791" s="7"/>
      <c r="U8791" s="7"/>
      <c r="V8791" s="7"/>
      <c r="W8791" s="7"/>
      <c r="X8791" s="7"/>
      <c r="Y8791" s="7"/>
      <c r="Z8791" s="7"/>
    </row>
    <row r="8792" hidden="1">
      <c r="A8792" s="7"/>
      <c r="B8792" s="7"/>
      <c r="C8792" s="7"/>
      <c r="D8792" s="7"/>
      <c r="E8792" s="7"/>
      <c r="F8792" s="7"/>
      <c r="G8792" s="7"/>
      <c r="H8792" s="8"/>
      <c r="I8792" s="8"/>
      <c r="J8792" s="7"/>
      <c r="K8792" s="7"/>
      <c r="L8792" s="7"/>
      <c r="M8792" s="7"/>
      <c r="N8792" s="7"/>
      <c r="O8792" s="7"/>
      <c r="P8792" s="7"/>
      <c r="Q8792" s="7"/>
      <c r="R8792" s="7"/>
      <c r="S8792" s="7"/>
      <c r="T8792" s="7"/>
      <c r="U8792" s="7"/>
      <c r="V8792" s="7"/>
      <c r="W8792" s="7"/>
      <c r="X8792" s="7"/>
      <c r="Y8792" s="7"/>
      <c r="Z8792" s="7"/>
    </row>
    <row r="8793" hidden="1">
      <c r="A8793" s="7"/>
      <c r="B8793" s="7"/>
      <c r="C8793" s="7"/>
      <c r="D8793" s="7"/>
      <c r="E8793" s="7"/>
      <c r="F8793" s="7"/>
      <c r="G8793" s="7"/>
      <c r="H8793" s="8"/>
      <c r="I8793" s="8"/>
      <c r="J8793" s="7"/>
      <c r="K8793" s="7"/>
      <c r="L8793" s="7"/>
      <c r="M8793" s="7"/>
      <c r="N8793" s="7"/>
      <c r="O8793" s="7"/>
      <c r="P8793" s="7"/>
      <c r="Q8793" s="7"/>
      <c r="R8793" s="7"/>
      <c r="S8793" s="7"/>
      <c r="T8793" s="7"/>
      <c r="U8793" s="7"/>
      <c r="V8793" s="7"/>
      <c r="W8793" s="7"/>
      <c r="X8793" s="7"/>
      <c r="Y8793" s="7"/>
      <c r="Z8793" s="7"/>
    </row>
    <row r="8794" hidden="1">
      <c r="A8794" s="7"/>
      <c r="B8794" s="7"/>
      <c r="C8794" s="7"/>
      <c r="D8794" s="7"/>
      <c r="E8794" s="7"/>
      <c r="F8794" s="7"/>
      <c r="G8794" s="7"/>
      <c r="H8794" s="8"/>
      <c r="I8794" s="8"/>
      <c r="J8794" s="7"/>
      <c r="K8794" s="7"/>
      <c r="L8794" s="7"/>
      <c r="M8794" s="7"/>
      <c r="N8794" s="7"/>
      <c r="O8794" s="7"/>
      <c r="P8794" s="7"/>
      <c r="Q8794" s="7"/>
      <c r="R8794" s="7"/>
      <c r="S8794" s="7"/>
      <c r="T8794" s="7"/>
      <c r="U8794" s="7"/>
      <c r="V8794" s="7"/>
      <c r="W8794" s="7"/>
      <c r="X8794" s="7"/>
      <c r="Y8794" s="7"/>
      <c r="Z8794" s="7"/>
    </row>
    <row r="8795" hidden="1">
      <c r="A8795" s="7"/>
      <c r="B8795" s="7"/>
      <c r="C8795" s="7"/>
      <c r="D8795" s="7"/>
      <c r="E8795" s="7"/>
      <c r="F8795" s="7"/>
      <c r="G8795" s="7"/>
      <c r="H8795" s="8"/>
      <c r="I8795" s="8"/>
      <c r="J8795" s="7"/>
      <c r="K8795" s="7"/>
      <c r="L8795" s="7"/>
      <c r="M8795" s="7"/>
      <c r="N8795" s="7"/>
      <c r="O8795" s="7"/>
      <c r="P8795" s="7"/>
      <c r="Q8795" s="7"/>
      <c r="R8795" s="7"/>
      <c r="S8795" s="7"/>
      <c r="T8795" s="7"/>
      <c r="U8795" s="7"/>
      <c r="V8795" s="7"/>
      <c r="W8795" s="7"/>
      <c r="X8795" s="7"/>
      <c r="Y8795" s="7"/>
      <c r="Z8795" s="7"/>
    </row>
    <row r="8796" hidden="1">
      <c r="A8796" s="7"/>
      <c r="B8796" s="7"/>
      <c r="C8796" s="7"/>
      <c r="D8796" s="7"/>
      <c r="E8796" s="7"/>
      <c r="F8796" s="7"/>
      <c r="G8796" s="7"/>
      <c r="H8796" s="8"/>
      <c r="I8796" s="8"/>
      <c r="J8796" s="7"/>
      <c r="K8796" s="7"/>
      <c r="L8796" s="7"/>
      <c r="M8796" s="7"/>
      <c r="N8796" s="7"/>
      <c r="O8796" s="7"/>
      <c r="P8796" s="7"/>
      <c r="Q8796" s="7"/>
      <c r="R8796" s="7"/>
      <c r="S8796" s="7"/>
      <c r="T8796" s="7"/>
      <c r="U8796" s="7"/>
      <c r="V8796" s="7"/>
      <c r="W8796" s="7"/>
      <c r="X8796" s="7"/>
      <c r="Y8796" s="7"/>
      <c r="Z8796" s="7"/>
    </row>
    <row r="8797" hidden="1">
      <c r="A8797" s="7"/>
      <c r="B8797" s="7"/>
      <c r="C8797" s="7"/>
      <c r="D8797" s="7"/>
      <c r="E8797" s="7"/>
      <c r="F8797" s="7"/>
      <c r="G8797" s="7"/>
      <c r="H8797" s="8"/>
      <c r="I8797" s="8"/>
      <c r="J8797" s="7"/>
      <c r="K8797" s="7"/>
      <c r="L8797" s="7"/>
      <c r="M8797" s="7"/>
      <c r="N8797" s="7"/>
      <c r="O8797" s="7"/>
      <c r="P8797" s="7"/>
      <c r="Q8797" s="7"/>
      <c r="R8797" s="7"/>
      <c r="S8797" s="7"/>
      <c r="T8797" s="7"/>
      <c r="U8797" s="7"/>
      <c r="V8797" s="7"/>
      <c r="W8797" s="7"/>
      <c r="X8797" s="7"/>
      <c r="Y8797" s="7"/>
      <c r="Z8797" s="7"/>
    </row>
    <row r="8798" hidden="1">
      <c r="A8798" s="7"/>
      <c r="B8798" s="7"/>
      <c r="C8798" s="7"/>
      <c r="D8798" s="7"/>
      <c r="E8798" s="7"/>
      <c r="F8798" s="7"/>
      <c r="G8798" s="7"/>
      <c r="H8798" s="8"/>
      <c r="I8798" s="8"/>
      <c r="J8798" s="7"/>
      <c r="K8798" s="7"/>
      <c r="L8798" s="7"/>
      <c r="M8798" s="7"/>
      <c r="N8798" s="7"/>
      <c r="O8798" s="7"/>
      <c r="P8798" s="7"/>
      <c r="Q8798" s="7"/>
      <c r="R8798" s="7"/>
      <c r="S8798" s="7"/>
      <c r="T8798" s="7"/>
      <c r="U8798" s="7"/>
      <c r="V8798" s="7"/>
      <c r="W8798" s="7"/>
      <c r="X8798" s="7"/>
      <c r="Y8798" s="7"/>
      <c r="Z8798" s="7"/>
    </row>
    <row r="8799" hidden="1">
      <c r="A8799" s="7"/>
      <c r="B8799" s="7"/>
      <c r="C8799" s="7"/>
      <c r="D8799" s="7"/>
      <c r="E8799" s="7"/>
      <c r="F8799" s="7"/>
      <c r="G8799" s="7"/>
      <c r="H8799" s="8"/>
      <c r="I8799" s="8"/>
      <c r="J8799" s="7"/>
      <c r="K8799" s="7"/>
      <c r="L8799" s="7"/>
      <c r="M8799" s="7"/>
      <c r="N8799" s="7"/>
      <c r="O8799" s="7"/>
      <c r="P8799" s="7"/>
      <c r="Q8799" s="7"/>
      <c r="R8799" s="7"/>
      <c r="S8799" s="7"/>
      <c r="T8799" s="7"/>
      <c r="U8799" s="7"/>
      <c r="V8799" s="7"/>
      <c r="W8799" s="7"/>
      <c r="X8799" s="7"/>
      <c r="Y8799" s="7"/>
      <c r="Z8799" s="7"/>
    </row>
    <row r="8800" hidden="1">
      <c r="A8800" s="7"/>
      <c r="B8800" s="7"/>
      <c r="C8800" s="7"/>
      <c r="D8800" s="7"/>
      <c r="E8800" s="7"/>
      <c r="F8800" s="7"/>
      <c r="G8800" s="7"/>
      <c r="H8800" s="8"/>
      <c r="I8800" s="8"/>
      <c r="J8800" s="7"/>
      <c r="K8800" s="7"/>
      <c r="L8800" s="7"/>
      <c r="M8800" s="7"/>
      <c r="N8800" s="7"/>
      <c r="O8800" s="7"/>
      <c r="P8800" s="7"/>
      <c r="Q8800" s="7"/>
      <c r="R8800" s="7"/>
      <c r="S8800" s="7"/>
      <c r="T8800" s="7"/>
      <c r="U8800" s="7"/>
      <c r="V8800" s="7"/>
      <c r="W8800" s="7"/>
      <c r="X8800" s="7"/>
      <c r="Y8800" s="7"/>
      <c r="Z8800" s="7"/>
    </row>
    <row r="8801" hidden="1">
      <c r="A8801" s="7"/>
      <c r="B8801" s="7"/>
      <c r="C8801" s="7"/>
      <c r="D8801" s="7"/>
      <c r="E8801" s="7"/>
      <c r="F8801" s="7"/>
      <c r="G8801" s="7"/>
      <c r="H8801" s="8"/>
      <c r="I8801" s="8"/>
      <c r="J8801" s="7"/>
      <c r="K8801" s="7"/>
      <c r="L8801" s="7"/>
      <c r="M8801" s="7"/>
      <c r="N8801" s="7"/>
      <c r="O8801" s="7"/>
      <c r="P8801" s="7"/>
      <c r="Q8801" s="7"/>
      <c r="R8801" s="7"/>
      <c r="S8801" s="7"/>
      <c r="T8801" s="7"/>
      <c r="U8801" s="7"/>
      <c r="V8801" s="7"/>
      <c r="W8801" s="7"/>
      <c r="X8801" s="7"/>
      <c r="Y8801" s="7"/>
      <c r="Z8801" s="7"/>
    </row>
    <row r="8802" hidden="1">
      <c r="A8802" s="7"/>
      <c r="B8802" s="7"/>
      <c r="C8802" s="7"/>
      <c r="D8802" s="7"/>
      <c r="E8802" s="7"/>
      <c r="F8802" s="7"/>
      <c r="G8802" s="7"/>
      <c r="H8802" s="8"/>
      <c r="I8802" s="8"/>
      <c r="J8802" s="7"/>
      <c r="K8802" s="7"/>
      <c r="L8802" s="7"/>
      <c r="M8802" s="7"/>
      <c r="N8802" s="7"/>
      <c r="O8802" s="7"/>
      <c r="P8802" s="7"/>
      <c r="Q8802" s="7"/>
      <c r="R8802" s="7"/>
      <c r="S8802" s="7"/>
      <c r="T8802" s="7"/>
      <c r="U8802" s="7"/>
      <c r="V8802" s="7"/>
      <c r="W8802" s="7"/>
      <c r="X8802" s="7"/>
      <c r="Y8802" s="7"/>
      <c r="Z8802" s="7"/>
    </row>
    <row r="8803" hidden="1">
      <c r="A8803" s="7"/>
      <c r="B8803" s="7"/>
      <c r="C8803" s="7"/>
      <c r="D8803" s="7"/>
      <c r="E8803" s="7"/>
      <c r="F8803" s="7"/>
      <c r="G8803" s="7"/>
      <c r="H8803" s="8"/>
      <c r="I8803" s="8"/>
      <c r="J8803" s="7"/>
      <c r="K8803" s="7"/>
      <c r="L8803" s="7"/>
      <c r="M8803" s="7"/>
      <c r="N8803" s="7"/>
      <c r="O8803" s="7"/>
      <c r="P8803" s="7"/>
      <c r="Q8803" s="7"/>
      <c r="R8803" s="7"/>
      <c r="S8803" s="7"/>
      <c r="T8803" s="7"/>
      <c r="U8803" s="7"/>
      <c r="V8803" s="7"/>
      <c r="W8803" s="7"/>
      <c r="X8803" s="7"/>
      <c r="Y8803" s="7"/>
      <c r="Z8803" s="7"/>
    </row>
    <row r="8804" hidden="1">
      <c r="A8804" s="7"/>
      <c r="B8804" s="7"/>
      <c r="C8804" s="7"/>
      <c r="D8804" s="7"/>
      <c r="E8804" s="7"/>
      <c r="F8804" s="7"/>
      <c r="G8804" s="7"/>
      <c r="H8804" s="8"/>
      <c r="I8804" s="8"/>
      <c r="J8804" s="7"/>
      <c r="K8804" s="7"/>
      <c r="L8804" s="7"/>
      <c r="M8804" s="7"/>
      <c r="N8804" s="7"/>
      <c r="O8804" s="7"/>
      <c r="P8804" s="7"/>
      <c r="Q8804" s="7"/>
      <c r="R8804" s="7"/>
      <c r="S8804" s="7"/>
      <c r="T8804" s="7"/>
      <c r="U8804" s="7"/>
      <c r="V8804" s="7"/>
      <c r="W8804" s="7"/>
      <c r="X8804" s="7"/>
      <c r="Y8804" s="7"/>
      <c r="Z8804" s="7"/>
    </row>
    <row r="8805" hidden="1">
      <c r="A8805" s="7"/>
      <c r="B8805" s="7"/>
      <c r="C8805" s="7"/>
      <c r="D8805" s="7"/>
      <c r="E8805" s="7"/>
      <c r="F8805" s="7"/>
      <c r="G8805" s="7"/>
      <c r="H8805" s="8"/>
      <c r="I8805" s="8"/>
      <c r="J8805" s="7"/>
      <c r="K8805" s="7"/>
      <c r="L8805" s="7"/>
      <c r="M8805" s="7"/>
      <c r="N8805" s="7"/>
      <c r="O8805" s="7"/>
      <c r="P8805" s="7"/>
      <c r="Q8805" s="7"/>
      <c r="R8805" s="7"/>
      <c r="S8805" s="7"/>
      <c r="T8805" s="7"/>
      <c r="U8805" s="7"/>
      <c r="V8805" s="7"/>
      <c r="W8805" s="7"/>
      <c r="X8805" s="7"/>
      <c r="Y8805" s="7"/>
      <c r="Z8805" s="7"/>
    </row>
    <row r="8806" hidden="1">
      <c r="A8806" s="7"/>
      <c r="B8806" s="7"/>
      <c r="C8806" s="7"/>
      <c r="D8806" s="7"/>
      <c r="E8806" s="7"/>
      <c r="F8806" s="7"/>
      <c r="G8806" s="7"/>
      <c r="H8806" s="8"/>
      <c r="I8806" s="8"/>
      <c r="J8806" s="7"/>
      <c r="K8806" s="7"/>
      <c r="L8806" s="7"/>
      <c r="M8806" s="7"/>
      <c r="N8806" s="7"/>
      <c r="O8806" s="7"/>
      <c r="P8806" s="7"/>
      <c r="Q8806" s="7"/>
      <c r="R8806" s="7"/>
      <c r="S8806" s="7"/>
      <c r="T8806" s="7"/>
      <c r="U8806" s="7"/>
      <c r="V8806" s="7"/>
      <c r="W8806" s="7"/>
      <c r="X8806" s="7"/>
      <c r="Y8806" s="7"/>
      <c r="Z8806" s="7"/>
    </row>
    <row r="8807" hidden="1">
      <c r="A8807" s="7"/>
      <c r="B8807" s="7"/>
      <c r="C8807" s="7"/>
      <c r="D8807" s="7"/>
      <c r="E8807" s="7"/>
      <c r="F8807" s="7"/>
      <c r="G8807" s="7"/>
      <c r="H8807" s="8"/>
      <c r="I8807" s="8"/>
      <c r="J8807" s="7"/>
      <c r="K8807" s="7"/>
      <c r="L8807" s="7"/>
      <c r="M8807" s="7"/>
      <c r="N8807" s="7"/>
      <c r="O8807" s="7"/>
      <c r="P8807" s="7"/>
      <c r="Q8807" s="7"/>
      <c r="R8807" s="7"/>
      <c r="S8807" s="7"/>
      <c r="T8807" s="7"/>
      <c r="U8807" s="7"/>
      <c r="V8807" s="7"/>
      <c r="W8807" s="7"/>
      <c r="X8807" s="7"/>
      <c r="Y8807" s="7"/>
      <c r="Z8807" s="7"/>
    </row>
    <row r="8808" hidden="1">
      <c r="A8808" s="7"/>
      <c r="B8808" s="7"/>
      <c r="C8808" s="7"/>
      <c r="D8808" s="7"/>
      <c r="E8808" s="7"/>
      <c r="F8808" s="7"/>
      <c r="G8808" s="7"/>
      <c r="H8808" s="8"/>
      <c r="I8808" s="8"/>
      <c r="J8808" s="7"/>
      <c r="K8808" s="7"/>
      <c r="L8808" s="7"/>
      <c r="M8808" s="7"/>
      <c r="N8808" s="7"/>
      <c r="O8808" s="7"/>
      <c r="P8808" s="7"/>
      <c r="Q8808" s="7"/>
      <c r="R8808" s="7"/>
      <c r="S8808" s="7"/>
      <c r="T8808" s="7"/>
      <c r="U8808" s="7"/>
      <c r="V8808" s="7"/>
      <c r="W8808" s="7"/>
      <c r="X8808" s="7"/>
      <c r="Y8808" s="7"/>
      <c r="Z8808" s="7"/>
    </row>
    <row r="8809" hidden="1">
      <c r="A8809" s="7"/>
      <c r="B8809" s="7"/>
      <c r="C8809" s="7"/>
      <c r="D8809" s="7"/>
      <c r="E8809" s="7"/>
      <c r="F8809" s="7"/>
      <c r="G8809" s="7"/>
      <c r="H8809" s="8"/>
      <c r="I8809" s="8"/>
      <c r="J8809" s="7"/>
      <c r="K8809" s="7"/>
      <c r="L8809" s="7"/>
      <c r="M8809" s="7"/>
      <c r="N8809" s="7"/>
      <c r="O8809" s="7"/>
      <c r="P8809" s="7"/>
      <c r="Q8809" s="7"/>
      <c r="R8809" s="7"/>
      <c r="S8809" s="7"/>
      <c r="T8809" s="7"/>
      <c r="U8809" s="7"/>
      <c r="V8809" s="7"/>
      <c r="W8809" s="7"/>
      <c r="X8809" s="7"/>
      <c r="Y8809" s="7"/>
      <c r="Z8809" s="7"/>
    </row>
    <row r="8810" hidden="1">
      <c r="A8810" s="7"/>
      <c r="B8810" s="7"/>
      <c r="C8810" s="7"/>
      <c r="D8810" s="7"/>
      <c r="E8810" s="7"/>
      <c r="F8810" s="7"/>
      <c r="G8810" s="7"/>
      <c r="H8810" s="8"/>
      <c r="I8810" s="8"/>
      <c r="J8810" s="7"/>
      <c r="K8810" s="7"/>
      <c r="L8810" s="7"/>
      <c r="M8810" s="7"/>
      <c r="N8810" s="7"/>
      <c r="O8810" s="7"/>
      <c r="P8810" s="7"/>
      <c r="Q8810" s="7"/>
      <c r="R8810" s="7"/>
      <c r="S8810" s="7"/>
      <c r="T8810" s="7"/>
      <c r="U8810" s="7"/>
      <c r="V8810" s="7"/>
      <c r="W8810" s="7"/>
      <c r="X8810" s="7"/>
      <c r="Y8810" s="7"/>
      <c r="Z8810" s="7"/>
    </row>
    <row r="8811" hidden="1">
      <c r="A8811" s="7"/>
      <c r="B8811" s="7"/>
      <c r="C8811" s="7"/>
      <c r="D8811" s="7"/>
      <c r="E8811" s="7"/>
      <c r="F8811" s="7"/>
      <c r="G8811" s="7"/>
      <c r="H8811" s="8"/>
      <c r="I8811" s="8"/>
      <c r="J8811" s="7"/>
      <c r="K8811" s="7"/>
      <c r="L8811" s="7"/>
      <c r="M8811" s="7"/>
      <c r="N8811" s="7"/>
      <c r="O8811" s="7"/>
      <c r="P8811" s="7"/>
      <c r="Q8811" s="7"/>
      <c r="R8811" s="7"/>
      <c r="S8811" s="7"/>
      <c r="T8811" s="7"/>
      <c r="U8811" s="7"/>
      <c r="V8811" s="7"/>
      <c r="W8811" s="7"/>
      <c r="X8811" s="7"/>
      <c r="Y8811" s="7"/>
      <c r="Z8811" s="7"/>
    </row>
    <row r="8812" hidden="1">
      <c r="A8812" s="7"/>
      <c r="B8812" s="7"/>
      <c r="C8812" s="7"/>
      <c r="D8812" s="7"/>
      <c r="E8812" s="7"/>
      <c r="F8812" s="7"/>
      <c r="G8812" s="7"/>
      <c r="H8812" s="8"/>
      <c r="I8812" s="8"/>
      <c r="J8812" s="7"/>
      <c r="K8812" s="7"/>
      <c r="L8812" s="7"/>
      <c r="M8812" s="7"/>
      <c r="N8812" s="7"/>
      <c r="O8812" s="7"/>
      <c r="P8812" s="7"/>
      <c r="Q8812" s="7"/>
      <c r="R8812" s="7"/>
      <c r="S8812" s="7"/>
      <c r="T8812" s="7"/>
      <c r="U8812" s="7"/>
      <c r="V8812" s="7"/>
      <c r="W8812" s="7"/>
      <c r="X8812" s="7"/>
      <c r="Y8812" s="7"/>
      <c r="Z8812" s="7"/>
    </row>
    <row r="8813" hidden="1">
      <c r="A8813" s="7"/>
      <c r="B8813" s="7"/>
      <c r="C8813" s="7"/>
      <c r="D8813" s="7"/>
      <c r="E8813" s="7"/>
      <c r="F8813" s="7"/>
      <c r="G8813" s="7"/>
      <c r="H8813" s="8"/>
      <c r="I8813" s="8"/>
      <c r="J8813" s="7"/>
      <c r="K8813" s="7"/>
      <c r="L8813" s="7"/>
      <c r="M8813" s="7"/>
      <c r="N8813" s="7"/>
      <c r="O8813" s="7"/>
      <c r="P8813" s="7"/>
      <c r="Q8813" s="7"/>
      <c r="R8813" s="7"/>
      <c r="S8813" s="7"/>
      <c r="T8813" s="7"/>
      <c r="U8813" s="7"/>
      <c r="V8813" s="7"/>
      <c r="W8813" s="7"/>
      <c r="X8813" s="7"/>
      <c r="Y8813" s="7"/>
      <c r="Z8813" s="7"/>
    </row>
    <row r="8814" hidden="1">
      <c r="A8814" s="7"/>
      <c r="B8814" s="7"/>
      <c r="C8814" s="7"/>
      <c r="D8814" s="7"/>
      <c r="E8814" s="7"/>
      <c r="F8814" s="7"/>
      <c r="G8814" s="7"/>
      <c r="H8814" s="8"/>
      <c r="I8814" s="8"/>
      <c r="J8814" s="7"/>
      <c r="K8814" s="7"/>
      <c r="L8814" s="7"/>
      <c r="M8814" s="7"/>
      <c r="N8814" s="7"/>
      <c r="O8814" s="7"/>
      <c r="P8814" s="7"/>
      <c r="Q8814" s="7"/>
      <c r="R8814" s="7"/>
      <c r="S8814" s="7"/>
      <c r="T8814" s="7"/>
      <c r="U8814" s="7"/>
      <c r="V8814" s="7"/>
      <c r="W8814" s="7"/>
      <c r="X8814" s="7"/>
      <c r="Y8814" s="7"/>
      <c r="Z8814" s="7"/>
    </row>
    <row r="8815" hidden="1">
      <c r="A8815" s="7"/>
      <c r="B8815" s="7"/>
      <c r="C8815" s="7"/>
      <c r="D8815" s="7"/>
      <c r="E8815" s="7"/>
      <c r="F8815" s="7"/>
      <c r="G8815" s="7"/>
      <c r="H8815" s="8"/>
      <c r="I8815" s="8"/>
      <c r="J8815" s="7"/>
      <c r="K8815" s="7"/>
      <c r="L8815" s="7"/>
      <c r="M8815" s="7"/>
      <c r="N8815" s="7"/>
      <c r="O8815" s="7"/>
      <c r="P8815" s="7"/>
      <c r="Q8815" s="7"/>
      <c r="R8815" s="7"/>
      <c r="S8815" s="7"/>
      <c r="T8815" s="7"/>
      <c r="U8815" s="7"/>
      <c r="V8815" s="7"/>
      <c r="W8815" s="7"/>
      <c r="X8815" s="7"/>
      <c r="Y8815" s="7"/>
      <c r="Z8815" s="7"/>
    </row>
    <row r="8816" hidden="1">
      <c r="A8816" s="7"/>
      <c r="B8816" s="7"/>
      <c r="C8816" s="7"/>
      <c r="D8816" s="7"/>
      <c r="E8816" s="7"/>
      <c r="F8816" s="7"/>
      <c r="G8816" s="7"/>
      <c r="H8816" s="8"/>
      <c r="I8816" s="8"/>
      <c r="J8816" s="7"/>
      <c r="K8816" s="7"/>
      <c r="L8816" s="7"/>
      <c r="M8816" s="7"/>
      <c r="N8816" s="7"/>
      <c r="O8816" s="7"/>
      <c r="P8816" s="7"/>
      <c r="Q8816" s="7"/>
      <c r="R8816" s="7"/>
      <c r="S8816" s="7"/>
      <c r="T8816" s="7"/>
      <c r="U8816" s="7"/>
      <c r="V8816" s="7"/>
      <c r="W8816" s="7"/>
      <c r="X8816" s="7"/>
      <c r="Y8816" s="7"/>
      <c r="Z8816" s="7"/>
    </row>
    <row r="8817" hidden="1">
      <c r="A8817" s="7"/>
      <c r="B8817" s="7"/>
      <c r="C8817" s="7"/>
      <c r="D8817" s="7"/>
      <c r="E8817" s="7"/>
      <c r="F8817" s="7"/>
      <c r="G8817" s="7"/>
      <c r="H8817" s="8"/>
      <c r="I8817" s="8"/>
      <c r="J8817" s="7"/>
      <c r="K8817" s="7"/>
      <c r="L8817" s="7"/>
      <c r="M8817" s="7"/>
      <c r="N8817" s="7"/>
      <c r="O8817" s="7"/>
      <c r="P8817" s="7"/>
      <c r="Q8817" s="7"/>
      <c r="R8817" s="7"/>
      <c r="S8817" s="7"/>
      <c r="T8817" s="7"/>
      <c r="U8817" s="7"/>
      <c r="V8817" s="7"/>
      <c r="W8817" s="7"/>
      <c r="X8817" s="7"/>
      <c r="Y8817" s="7"/>
      <c r="Z8817" s="7"/>
    </row>
    <row r="8818" hidden="1">
      <c r="A8818" s="7"/>
      <c r="B8818" s="7"/>
      <c r="C8818" s="7"/>
      <c r="D8818" s="7"/>
      <c r="E8818" s="7"/>
      <c r="F8818" s="7"/>
      <c r="G8818" s="7"/>
      <c r="H8818" s="8"/>
      <c r="I8818" s="8"/>
      <c r="J8818" s="7"/>
      <c r="K8818" s="7"/>
      <c r="L8818" s="7"/>
      <c r="M8818" s="7"/>
      <c r="N8818" s="7"/>
      <c r="O8818" s="7"/>
      <c r="P8818" s="7"/>
      <c r="Q8818" s="7"/>
      <c r="R8818" s="7"/>
      <c r="S8818" s="7"/>
      <c r="T8818" s="7"/>
      <c r="U8818" s="7"/>
      <c r="V8818" s="7"/>
      <c r="W8818" s="7"/>
      <c r="X8818" s="7"/>
      <c r="Y8818" s="7"/>
      <c r="Z8818" s="7"/>
    </row>
    <row r="8819" hidden="1">
      <c r="A8819" s="7"/>
      <c r="B8819" s="7"/>
      <c r="C8819" s="7"/>
      <c r="D8819" s="7"/>
      <c r="E8819" s="7"/>
      <c r="F8819" s="7"/>
      <c r="G8819" s="7"/>
      <c r="H8819" s="8"/>
      <c r="I8819" s="8"/>
      <c r="J8819" s="7"/>
      <c r="K8819" s="7"/>
      <c r="L8819" s="7"/>
      <c r="M8819" s="7"/>
      <c r="N8819" s="7"/>
      <c r="O8819" s="7"/>
      <c r="P8819" s="7"/>
      <c r="Q8819" s="7"/>
      <c r="R8819" s="7"/>
      <c r="S8819" s="7"/>
      <c r="T8819" s="7"/>
      <c r="U8819" s="7"/>
      <c r="V8819" s="7"/>
      <c r="W8819" s="7"/>
      <c r="X8819" s="7"/>
      <c r="Y8819" s="7"/>
      <c r="Z8819" s="7"/>
    </row>
    <row r="8820" hidden="1">
      <c r="A8820" s="7"/>
      <c r="B8820" s="7"/>
      <c r="C8820" s="7"/>
      <c r="D8820" s="7"/>
      <c r="E8820" s="7"/>
      <c r="F8820" s="7"/>
      <c r="G8820" s="7"/>
      <c r="H8820" s="8"/>
      <c r="I8820" s="8"/>
      <c r="J8820" s="7"/>
      <c r="K8820" s="7"/>
      <c r="L8820" s="7"/>
      <c r="M8820" s="7"/>
      <c r="N8820" s="7"/>
      <c r="O8820" s="7"/>
      <c r="P8820" s="7"/>
      <c r="Q8820" s="7"/>
      <c r="R8820" s="7"/>
      <c r="S8820" s="7"/>
      <c r="T8820" s="7"/>
      <c r="U8820" s="7"/>
      <c r="V8820" s="7"/>
      <c r="W8820" s="7"/>
      <c r="X8820" s="7"/>
      <c r="Y8820" s="7"/>
      <c r="Z8820" s="7"/>
    </row>
    <row r="8821" hidden="1">
      <c r="A8821" s="7"/>
      <c r="B8821" s="7"/>
      <c r="C8821" s="7"/>
      <c r="D8821" s="7"/>
      <c r="E8821" s="7"/>
      <c r="F8821" s="7"/>
      <c r="G8821" s="7"/>
      <c r="H8821" s="8"/>
      <c r="I8821" s="8"/>
      <c r="J8821" s="7"/>
      <c r="K8821" s="7"/>
      <c r="L8821" s="7"/>
      <c r="M8821" s="7"/>
      <c r="N8821" s="7"/>
      <c r="O8821" s="7"/>
      <c r="P8821" s="7"/>
      <c r="Q8821" s="7"/>
      <c r="R8821" s="7"/>
      <c r="S8821" s="7"/>
      <c r="T8821" s="7"/>
      <c r="U8821" s="7"/>
      <c r="V8821" s="7"/>
      <c r="W8821" s="7"/>
      <c r="X8821" s="7"/>
      <c r="Y8821" s="7"/>
      <c r="Z8821" s="7"/>
    </row>
    <row r="8822" hidden="1">
      <c r="A8822" s="7"/>
      <c r="B8822" s="7"/>
      <c r="C8822" s="7"/>
      <c r="D8822" s="7"/>
      <c r="E8822" s="7"/>
      <c r="F8822" s="7"/>
      <c r="G8822" s="7"/>
      <c r="H8822" s="8"/>
      <c r="I8822" s="8"/>
      <c r="J8822" s="7"/>
      <c r="K8822" s="7"/>
      <c r="L8822" s="7"/>
      <c r="M8822" s="7"/>
      <c r="N8822" s="7"/>
      <c r="O8822" s="7"/>
      <c r="P8822" s="7"/>
      <c r="Q8822" s="7"/>
      <c r="R8822" s="7"/>
      <c r="S8822" s="7"/>
      <c r="T8822" s="7"/>
      <c r="U8822" s="7"/>
      <c r="V8822" s="7"/>
      <c r="W8822" s="7"/>
      <c r="X8822" s="7"/>
      <c r="Y8822" s="7"/>
      <c r="Z8822" s="7"/>
    </row>
    <row r="8823" hidden="1">
      <c r="A8823" s="7"/>
      <c r="B8823" s="7"/>
      <c r="C8823" s="7"/>
      <c r="D8823" s="7"/>
      <c r="E8823" s="7"/>
      <c r="F8823" s="7"/>
      <c r="G8823" s="7"/>
      <c r="H8823" s="8"/>
      <c r="I8823" s="8"/>
      <c r="J8823" s="7"/>
      <c r="K8823" s="7"/>
      <c r="L8823" s="7"/>
      <c r="M8823" s="7"/>
      <c r="N8823" s="7"/>
      <c r="O8823" s="7"/>
      <c r="P8823" s="7"/>
      <c r="Q8823" s="7"/>
      <c r="R8823" s="7"/>
      <c r="S8823" s="7"/>
      <c r="T8823" s="7"/>
      <c r="U8823" s="7"/>
      <c r="V8823" s="7"/>
      <c r="W8823" s="7"/>
      <c r="X8823" s="7"/>
      <c r="Y8823" s="7"/>
      <c r="Z8823" s="7"/>
    </row>
    <row r="8824" hidden="1">
      <c r="A8824" s="7"/>
      <c r="B8824" s="7"/>
      <c r="C8824" s="7"/>
      <c r="D8824" s="7"/>
      <c r="E8824" s="7"/>
      <c r="F8824" s="7"/>
      <c r="G8824" s="7"/>
      <c r="H8824" s="8"/>
      <c r="I8824" s="8"/>
      <c r="J8824" s="7"/>
      <c r="K8824" s="7"/>
      <c r="L8824" s="7"/>
      <c r="M8824" s="7"/>
      <c r="N8824" s="7"/>
      <c r="O8824" s="7"/>
      <c r="P8824" s="7"/>
      <c r="Q8824" s="7"/>
      <c r="R8824" s="7"/>
      <c r="S8824" s="7"/>
      <c r="T8824" s="7"/>
      <c r="U8824" s="7"/>
      <c r="V8824" s="7"/>
      <c r="W8824" s="7"/>
      <c r="X8824" s="7"/>
      <c r="Y8824" s="7"/>
      <c r="Z8824" s="7"/>
    </row>
    <row r="8825" hidden="1">
      <c r="A8825" s="7"/>
      <c r="B8825" s="7"/>
      <c r="C8825" s="7"/>
      <c r="D8825" s="7"/>
      <c r="E8825" s="7"/>
      <c r="F8825" s="7"/>
      <c r="G8825" s="7"/>
      <c r="H8825" s="8"/>
      <c r="I8825" s="8"/>
      <c r="J8825" s="7"/>
      <c r="K8825" s="7"/>
      <c r="L8825" s="7"/>
      <c r="M8825" s="7"/>
      <c r="N8825" s="7"/>
      <c r="O8825" s="7"/>
      <c r="P8825" s="7"/>
      <c r="Q8825" s="7"/>
      <c r="R8825" s="7"/>
      <c r="S8825" s="7"/>
      <c r="T8825" s="7"/>
      <c r="U8825" s="7"/>
      <c r="V8825" s="7"/>
      <c r="W8825" s="7"/>
      <c r="X8825" s="7"/>
      <c r="Y8825" s="7"/>
      <c r="Z8825" s="7"/>
    </row>
    <row r="8826" hidden="1">
      <c r="A8826" s="7"/>
      <c r="B8826" s="7"/>
      <c r="C8826" s="7"/>
      <c r="D8826" s="7"/>
      <c r="E8826" s="7"/>
      <c r="F8826" s="7"/>
      <c r="G8826" s="7"/>
      <c r="H8826" s="8"/>
      <c r="I8826" s="8"/>
      <c r="J8826" s="7"/>
      <c r="K8826" s="7"/>
      <c r="L8826" s="7"/>
      <c r="M8826" s="7"/>
      <c r="N8826" s="7"/>
      <c r="O8826" s="7"/>
      <c r="P8826" s="7"/>
      <c r="Q8826" s="7"/>
      <c r="R8826" s="7"/>
      <c r="S8826" s="7"/>
      <c r="T8826" s="7"/>
      <c r="U8826" s="7"/>
      <c r="V8826" s="7"/>
      <c r="W8826" s="7"/>
      <c r="X8826" s="7"/>
      <c r="Y8826" s="7"/>
      <c r="Z8826" s="7"/>
    </row>
    <row r="8827" hidden="1">
      <c r="A8827" s="7"/>
      <c r="B8827" s="7"/>
      <c r="C8827" s="7"/>
      <c r="D8827" s="7"/>
      <c r="E8827" s="7"/>
      <c r="F8827" s="7"/>
      <c r="G8827" s="7"/>
      <c r="H8827" s="8"/>
      <c r="I8827" s="8"/>
      <c r="J8827" s="7"/>
      <c r="K8827" s="7"/>
      <c r="L8827" s="7"/>
      <c r="M8827" s="7"/>
      <c r="N8827" s="7"/>
      <c r="O8827" s="7"/>
      <c r="P8827" s="7"/>
      <c r="Q8827" s="7"/>
      <c r="R8827" s="7"/>
      <c r="S8827" s="7"/>
      <c r="T8827" s="7"/>
      <c r="U8827" s="7"/>
      <c r="V8827" s="7"/>
      <c r="W8827" s="7"/>
      <c r="X8827" s="7"/>
      <c r="Y8827" s="7"/>
      <c r="Z8827" s="7"/>
    </row>
    <row r="8828" hidden="1">
      <c r="A8828" s="7"/>
      <c r="B8828" s="7"/>
      <c r="C8828" s="7"/>
      <c r="D8828" s="7"/>
      <c r="E8828" s="7"/>
      <c r="F8828" s="7"/>
      <c r="G8828" s="7"/>
      <c r="H8828" s="8"/>
      <c r="I8828" s="8"/>
      <c r="J8828" s="7"/>
      <c r="K8828" s="7"/>
      <c r="L8828" s="7"/>
      <c r="M8828" s="7"/>
      <c r="N8828" s="7"/>
      <c r="O8828" s="7"/>
      <c r="P8828" s="7"/>
      <c r="Q8828" s="7"/>
      <c r="R8828" s="7"/>
      <c r="S8828" s="7"/>
      <c r="T8828" s="7"/>
      <c r="U8828" s="7"/>
      <c r="V8828" s="7"/>
      <c r="W8828" s="7"/>
      <c r="X8828" s="7"/>
      <c r="Y8828" s="7"/>
      <c r="Z8828" s="7"/>
    </row>
    <row r="8829" hidden="1">
      <c r="A8829" s="7"/>
      <c r="B8829" s="7"/>
      <c r="C8829" s="7"/>
      <c r="D8829" s="7"/>
      <c r="E8829" s="7"/>
      <c r="F8829" s="7"/>
      <c r="G8829" s="7"/>
      <c r="H8829" s="8"/>
      <c r="I8829" s="8"/>
      <c r="J8829" s="7"/>
      <c r="K8829" s="7"/>
      <c r="L8829" s="7"/>
      <c r="M8829" s="7"/>
      <c r="N8829" s="7"/>
      <c r="O8829" s="7"/>
      <c r="P8829" s="7"/>
      <c r="Q8829" s="7"/>
      <c r="R8829" s="7"/>
      <c r="S8829" s="7"/>
      <c r="T8829" s="7"/>
      <c r="U8829" s="7"/>
      <c r="V8829" s="7"/>
      <c r="W8829" s="7"/>
      <c r="X8829" s="7"/>
      <c r="Y8829" s="7"/>
      <c r="Z8829" s="7"/>
    </row>
    <row r="8830" hidden="1">
      <c r="A8830" s="7"/>
      <c r="B8830" s="7"/>
      <c r="C8830" s="7"/>
      <c r="D8830" s="7"/>
      <c r="E8830" s="7"/>
      <c r="F8830" s="7"/>
      <c r="G8830" s="7"/>
      <c r="H8830" s="8"/>
      <c r="I8830" s="8"/>
      <c r="J8830" s="7"/>
      <c r="K8830" s="7"/>
      <c r="L8830" s="7"/>
      <c r="M8830" s="7"/>
      <c r="N8830" s="7"/>
      <c r="O8830" s="7"/>
      <c r="P8830" s="7"/>
      <c r="Q8830" s="7"/>
      <c r="R8830" s="7"/>
      <c r="S8830" s="7"/>
      <c r="T8830" s="7"/>
      <c r="U8830" s="7"/>
      <c r="V8830" s="7"/>
      <c r="W8830" s="7"/>
      <c r="X8830" s="7"/>
      <c r="Y8830" s="7"/>
      <c r="Z8830" s="7"/>
    </row>
    <row r="8831" hidden="1">
      <c r="A8831" s="7"/>
      <c r="B8831" s="7"/>
      <c r="C8831" s="7"/>
      <c r="D8831" s="7"/>
      <c r="E8831" s="7"/>
      <c r="F8831" s="7"/>
      <c r="G8831" s="7"/>
      <c r="H8831" s="8"/>
      <c r="I8831" s="8"/>
      <c r="J8831" s="7"/>
      <c r="K8831" s="7"/>
      <c r="L8831" s="7"/>
      <c r="M8831" s="7"/>
      <c r="N8831" s="7"/>
      <c r="O8831" s="7"/>
      <c r="P8831" s="7"/>
      <c r="Q8831" s="7"/>
      <c r="R8831" s="7"/>
      <c r="S8831" s="7"/>
      <c r="T8831" s="7"/>
      <c r="U8831" s="7"/>
      <c r="V8831" s="7"/>
      <c r="W8831" s="7"/>
      <c r="X8831" s="7"/>
      <c r="Y8831" s="7"/>
      <c r="Z8831" s="7"/>
    </row>
    <row r="8832" hidden="1">
      <c r="A8832" s="7"/>
      <c r="B8832" s="7"/>
      <c r="C8832" s="7"/>
      <c r="D8832" s="7"/>
      <c r="E8832" s="7"/>
      <c r="F8832" s="7"/>
      <c r="G8832" s="7"/>
      <c r="H8832" s="8"/>
      <c r="I8832" s="8"/>
      <c r="J8832" s="7"/>
      <c r="K8832" s="7"/>
      <c r="L8832" s="7"/>
      <c r="M8832" s="7"/>
      <c r="N8832" s="7"/>
      <c r="O8832" s="7"/>
      <c r="P8832" s="7"/>
      <c r="Q8832" s="7"/>
      <c r="R8832" s="7"/>
      <c r="S8832" s="7"/>
      <c r="T8832" s="7"/>
      <c r="U8832" s="7"/>
      <c r="V8832" s="7"/>
      <c r="W8832" s="7"/>
      <c r="X8832" s="7"/>
      <c r="Y8832" s="7"/>
      <c r="Z8832" s="7"/>
    </row>
    <row r="8833" hidden="1">
      <c r="A8833" s="7"/>
      <c r="B8833" s="7"/>
      <c r="C8833" s="7"/>
      <c r="D8833" s="7"/>
      <c r="E8833" s="7"/>
      <c r="F8833" s="7"/>
      <c r="G8833" s="7"/>
      <c r="H8833" s="8"/>
      <c r="I8833" s="8"/>
      <c r="J8833" s="7"/>
      <c r="K8833" s="7"/>
      <c r="L8833" s="7"/>
      <c r="M8833" s="7"/>
      <c r="N8833" s="7"/>
      <c r="O8833" s="7"/>
      <c r="P8833" s="7"/>
      <c r="Q8833" s="7"/>
      <c r="R8833" s="7"/>
      <c r="S8833" s="7"/>
      <c r="T8833" s="7"/>
      <c r="U8833" s="7"/>
      <c r="V8833" s="7"/>
      <c r="W8833" s="7"/>
      <c r="X8833" s="7"/>
      <c r="Y8833" s="7"/>
      <c r="Z8833" s="7"/>
    </row>
    <row r="8834" hidden="1">
      <c r="A8834" s="7"/>
      <c r="B8834" s="7"/>
      <c r="C8834" s="7"/>
      <c r="D8834" s="7"/>
      <c r="E8834" s="7"/>
      <c r="F8834" s="7"/>
      <c r="G8834" s="7"/>
      <c r="H8834" s="8"/>
      <c r="I8834" s="8"/>
      <c r="J8834" s="7"/>
      <c r="K8834" s="7"/>
      <c r="L8834" s="7"/>
      <c r="M8834" s="7"/>
      <c r="N8834" s="7"/>
      <c r="O8834" s="7"/>
      <c r="P8834" s="7"/>
      <c r="Q8834" s="7"/>
      <c r="R8834" s="7"/>
      <c r="S8834" s="7"/>
      <c r="T8834" s="7"/>
      <c r="U8834" s="7"/>
      <c r="V8834" s="7"/>
      <c r="W8834" s="7"/>
      <c r="X8834" s="7"/>
      <c r="Y8834" s="7"/>
      <c r="Z8834" s="7"/>
    </row>
    <row r="8835" hidden="1">
      <c r="A8835" s="7"/>
      <c r="B8835" s="7"/>
      <c r="C8835" s="7"/>
      <c r="D8835" s="7"/>
      <c r="E8835" s="7"/>
      <c r="F8835" s="7"/>
      <c r="G8835" s="7"/>
      <c r="H8835" s="8"/>
      <c r="I8835" s="8"/>
      <c r="J8835" s="7"/>
      <c r="K8835" s="7"/>
      <c r="L8835" s="7"/>
      <c r="M8835" s="7"/>
      <c r="N8835" s="7"/>
      <c r="O8835" s="7"/>
      <c r="P8835" s="7"/>
      <c r="Q8835" s="7"/>
      <c r="R8835" s="7"/>
      <c r="S8835" s="7"/>
      <c r="T8835" s="7"/>
      <c r="U8835" s="7"/>
      <c r="V8835" s="7"/>
      <c r="W8835" s="7"/>
      <c r="X8835" s="7"/>
      <c r="Y8835" s="7"/>
      <c r="Z8835" s="7"/>
    </row>
    <row r="8836" hidden="1">
      <c r="A8836" s="7"/>
      <c r="B8836" s="7"/>
      <c r="C8836" s="7"/>
      <c r="D8836" s="7"/>
      <c r="E8836" s="7"/>
      <c r="F8836" s="7"/>
      <c r="G8836" s="7"/>
      <c r="H8836" s="8"/>
      <c r="I8836" s="8"/>
      <c r="J8836" s="7"/>
      <c r="K8836" s="7"/>
      <c r="L8836" s="7"/>
      <c r="M8836" s="7"/>
      <c r="N8836" s="7"/>
      <c r="O8836" s="7"/>
      <c r="P8836" s="7"/>
      <c r="Q8836" s="7"/>
      <c r="R8836" s="7"/>
      <c r="S8836" s="7"/>
      <c r="T8836" s="7"/>
      <c r="U8836" s="7"/>
      <c r="V8836" s="7"/>
      <c r="W8836" s="7"/>
      <c r="X8836" s="7"/>
      <c r="Y8836" s="7"/>
      <c r="Z8836" s="7"/>
    </row>
    <row r="8837" hidden="1">
      <c r="A8837" s="7"/>
      <c r="B8837" s="7"/>
      <c r="C8837" s="7"/>
      <c r="D8837" s="7"/>
      <c r="E8837" s="7"/>
      <c r="F8837" s="7"/>
      <c r="G8837" s="7"/>
      <c r="H8837" s="8"/>
      <c r="I8837" s="8"/>
      <c r="J8837" s="7"/>
      <c r="K8837" s="7"/>
      <c r="L8837" s="7"/>
      <c r="M8837" s="7"/>
      <c r="N8837" s="7"/>
      <c r="O8837" s="7"/>
      <c r="P8837" s="7"/>
      <c r="Q8837" s="7"/>
      <c r="R8837" s="7"/>
      <c r="S8837" s="7"/>
      <c r="T8837" s="7"/>
      <c r="U8837" s="7"/>
      <c r="V8837" s="7"/>
      <c r="W8837" s="7"/>
      <c r="X8837" s="7"/>
      <c r="Y8837" s="7"/>
      <c r="Z8837" s="7"/>
    </row>
    <row r="8838" hidden="1">
      <c r="A8838" s="7"/>
      <c r="B8838" s="7"/>
      <c r="C8838" s="7"/>
      <c r="D8838" s="7"/>
      <c r="E8838" s="7"/>
      <c r="F8838" s="7"/>
      <c r="G8838" s="7"/>
      <c r="H8838" s="8"/>
      <c r="I8838" s="8"/>
      <c r="J8838" s="7"/>
      <c r="K8838" s="7"/>
      <c r="L8838" s="7"/>
      <c r="M8838" s="7"/>
      <c r="N8838" s="7"/>
      <c r="O8838" s="7"/>
      <c r="P8838" s="7"/>
      <c r="Q8838" s="7"/>
      <c r="R8838" s="7"/>
      <c r="S8838" s="7"/>
      <c r="T8838" s="7"/>
      <c r="U8838" s="7"/>
      <c r="V8838" s="7"/>
      <c r="W8838" s="7"/>
      <c r="X8838" s="7"/>
      <c r="Y8838" s="7"/>
      <c r="Z8838" s="7"/>
    </row>
    <row r="8839" hidden="1">
      <c r="A8839" s="7"/>
      <c r="B8839" s="7"/>
      <c r="C8839" s="7"/>
      <c r="D8839" s="7"/>
      <c r="E8839" s="7"/>
      <c r="F8839" s="7"/>
      <c r="G8839" s="7"/>
      <c r="H8839" s="8"/>
      <c r="I8839" s="8"/>
      <c r="J8839" s="7"/>
      <c r="K8839" s="7"/>
      <c r="L8839" s="7"/>
      <c r="M8839" s="7"/>
      <c r="N8839" s="7"/>
      <c r="O8839" s="7"/>
      <c r="P8839" s="7"/>
      <c r="Q8839" s="7"/>
      <c r="R8839" s="7"/>
      <c r="S8839" s="7"/>
      <c r="T8839" s="7"/>
      <c r="U8839" s="7"/>
      <c r="V8839" s="7"/>
      <c r="W8839" s="7"/>
      <c r="X8839" s="7"/>
      <c r="Y8839" s="7"/>
      <c r="Z8839" s="7"/>
    </row>
    <row r="8840" hidden="1">
      <c r="A8840" s="7"/>
      <c r="B8840" s="7"/>
      <c r="C8840" s="7"/>
      <c r="D8840" s="7"/>
      <c r="E8840" s="7"/>
      <c r="F8840" s="7"/>
      <c r="G8840" s="7"/>
      <c r="H8840" s="8"/>
      <c r="I8840" s="8"/>
      <c r="J8840" s="7"/>
      <c r="K8840" s="7"/>
      <c r="L8840" s="7"/>
      <c r="M8840" s="7"/>
      <c r="N8840" s="7"/>
      <c r="O8840" s="7"/>
      <c r="P8840" s="7"/>
      <c r="Q8840" s="7"/>
      <c r="R8840" s="7"/>
      <c r="S8840" s="7"/>
      <c r="T8840" s="7"/>
      <c r="U8840" s="7"/>
      <c r="V8840" s="7"/>
      <c r="W8840" s="7"/>
      <c r="X8840" s="7"/>
      <c r="Y8840" s="7"/>
      <c r="Z8840" s="7"/>
    </row>
    <row r="8841" hidden="1">
      <c r="A8841" s="7"/>
      <c r="B8841" s="7"/>
      <c r="C8841" s="7"/>
      <c r="D8841" s="7"/>
      <c r="E8841" s="7"/>
      <c r="F8841" s="7"/>
      <c r="G8841" s="7"/>
      <c r="H8841" s="8"/>
      <c r="I8841" s="8"/>
      <c r="J8841" s="7"/>
      <c r="K8841" s="7"/>
      <c r="L8841" s="7"/>
      <c r="M8841" s="7"/>
      <c r="N8841" s="7"/>
      <c r="O8841" s="7"/>
      <c r="P8841" s="7"/>
      <c r="Q8841" s="7"/>
      <c r="R8841" s="7"/>
      <c r="S8841" s="7"/>
      <c r="T8841" s="7"/>
      <c r="U8841" s="7"/>
      <c r="V8841" s="7"/>
      <c r="W8841" s="7"/>
      <c r="X8841" s="7"/>
      <c r="Y8841" s="7"/>
      <c r="Z8841" s="7"/>
    </row>
    <row r="8842" hidden="1">
      <c r="A8842" s="7"/>
      <c r="B8842" s="7"/>
      <c r="C8842" s="7"/>
      <c r="D8842" s="7"/>
      <c r="E8842" s="7"/>
      <c r="F8842" s="7"/>
      <c r="G8842" s="7"/>
      <c r="H8842" s="8"/>
      <c r="I8842" s="8"/>
      <c r="J8842" s="7"/>
      <c r="K8842" s="7"/>
      <c r="L8842" s="7"/>
      <c r="M8842" s="7"/>
      <c r="N8842" s="7"/>
      <c r="O8842" s="7"/>
      <c r="P8842" s="7"/>
      <c r="Q8842" s="7"/>
      <c r="R8842" s="7"/>
      <c r="S8842" s="7"/>
      <c r="T8842" s="7"/>
      <c r="U8842" s="7"/>
      <c r="V8842" s="7"/>
      <c r="W8842" s="7"/>
      <c r="X8842" s="7"/>
      <c r="Y8842" s="7"/>
      <c r="Z8842" s="7"/>
    </row>
    <row r="8843" hidden="1">
      <c r="A8843" s="7"/>
      <c r="B8843" s="7"/>
      <c r="C8843" s="7"/>
      <c r="D8843" s="7"/>
      <c r="E8843" s="7"/>
      <c r="F8843" s="7"/>
      <c r="G8843" s="7"/>
      <c r="H8843" s="8"/>
      <c r="I8843" s="8"/>
      <c r="J8843" s="7"/>
      <c r="K8843" s="7"/>
      <c r="L8843" s="7"/>
      <c r="M8843" s="7"/>
      <c r="N8843" s="7"/>
      <c r="O8843" s="7"/>
      <c r="P8843" s="7"/>
      <c r="Q8843" s="7"/>
      <c r="R8843" s="7"/>
      <c r="S8843" s="7"/>
      <c r="T8843" s="7"/>
      <c r="U8843" s="7"/>
      <c r="V8843" s="7"/>
      <c r="W8843" s="7"/>
      <c r="X8843" s="7"/>
      <c r="Y8843" s="7"/>
      <c r="Z8843" s="7"/>
    </row>
    <row r="8844" hidden="1">
      <c r="A8844" s="7"/>
      <c r="B8844" s="7"/>
      <c r="C8844" s="7"/>
      <c r="D8844" s="7"/>
      <c r="E8844" s="7"/>
      <c r="F8844" s="7"/>
      <c r="G8844" s="7"/>
      <c r="H8844" s="8"/>
      <c r="I8844" s="8"/>
      <c r="J8844" s="7"/>
      <c r="K8844" s="7"/>
      <c r="L8844" s="7"/>
      <c r="M8844" s="7"/>
      <c r="N8844" s="7"/>
      <c r="O8844" s="7"/>
      <c r="P8844" s="7"/>
      <c r="Q8844" s="7"/>
      <c r="R8844" s="7"/>
      <c r="S8844" s="7"/>
      <c r="T8844" s="7"/>
      <c r="U8844" s="7"/>
      <c r="V8844" s="7"/>
      <c r="W8844" s="7"/>
      <c r="X8844" s="7"/>
      <c r="Y8844" s="7"/>
      <c r="Z8844" s="7"/>
    </row>
    <row r="8845" hidden="1">
      <c r="A8845" s="7"/>
      <c r="B8845" s="7"/>
      <c r="C8845" s="7"/>
      <c r="D8845" s="7"/>
      <c r="E8845" s="7"/>
      <c r="F8845" s="7"/>
      <c r="G8845" s="7"/>
      <c r="H8845" s="8"/>
      <c r="I8845" s="8"/>
      <c r="J8845" s="7"/>
      <c r="K8845" s="7"/>
      <c r="L8845" s="7"/>
      <c r="M8845" s="7"/>
      <c r="N8845" s="7"/>
      <c r="O8845" s="7"/>
      <c r="P8845" s="7"/>
      <c r="Q8845" s="7"/>
      <c r="R8845" s="7"/>
      <c r="S8845" s="7"/>
      <c r="T8845" s="7"/>
      <c r="U8845" s="7"/>
      <c r="V8845" s="7"/>
      <c r="W8845" s="7"/>
      <c r="X8845" s="7"/>
      <c r="Y8845" s="7"/>
      <c r="Z8845" s="7"/>
    </row>
    <row r="8846" hidden="1">
      <c r="A8846" s="7"/>
      <c r="B8846" s="7"/>
      <c r="C8846" s="7"/>
      <c r="D8846" s="7"/>
      <c r="E8846" s="7"/>
      <c r="F8846" s="7"/>
      <c r="G8846" s="7"/>
      <c r="H8846" s="8"/>
      <c r="I8846" s="8"/>
      <c r="J8846" s="7"/>
      <c r="K8846" s="7"/>
      <c r="L8846" s="7"/>
      <c r="M8846" s="7"/>
      <c r="N8846" s="7"/>
      <c r="O8846" s="7"/>
      <c r="P8846" s="7"/>
      <c r="Q8846" s="7"/>
      <c r="R8846" s="7"/>
      <c r="S8846" s="7"/>
      <c r="T8846" s="7"/>
      <c r="U8846" s="7"/>
      <c r="V8846" s="7"/>
      <c r="W8846" s="7"/>
      <c r="X8846" s="7"/>
      <c r="Y8846" s="7"/>
      <c r="Z8846" s="7"/>
    </row>
    <row r="8847" hidden="1">
      <c r="A8847" s="7"/>
      <c r="B8847" s="7"/>
      <c r="C8847" s="7"/>
      <c r="D8847" s="7"/>
      <c r="E8847" s="7"/>
      <c r="F8847" s="7"/>
      <c r="G8847" s="7"/>
      <c r="H8847" s="8"/>
      <c r="I8847" s="8"/>
      <c r="J8847" s="7"/>
      <c r="K8847" s="7"/>
      <c r="L8847" s="7"/>
      <c r="M8847" s="7"/>
      <c r="N8847" s="7"/>
      <c r="O8847" s="7"/>
      <c r="P8847" s="7"/>
      <c r="Q8847" s="7"/>
      <c r="R8847" s="7"/>
      <c r="S8847" s="7"/>
      <c r="T8847" s="7"/>
      <c r="U8847" s="7"/>
      <c r="V8847" s="7"/>
      <c r="W8847" s="7"/>
      <c r="X8847" s="7"/>
      <c r="Y8847" s="7"/>
      <c r="Z8847" s="7"/>
    </row>
    <row r="8848" hidden="1">
      <c r="A8848" s="7"/>
      <c r="B8848" s="7"/>
      <c r="C8848" s="7"/>
      <c r="D8848" s="7"/>
      <c r="E8848" s="7"/>
      <c r="F8848" s="7"/>
      <c r="G8848" s="7"/>
      <c r="H8848" s="8"/>
      <c r="I8848" s="8"/>
      <c r="J8848" s="7"/>
      <c r="K8848" s="7"/>
      <c r="L8848" s="7"/>
      <c r="M8848" s="7"/>
      <c r="N8848" s="7"/>
      <c r="O8848" s="7"/>
      <c r="P8848" s="7"/>
      <c r="Q8848" s="7"/>
      <c r="R8848" s="7"/>
      <c r="S8848" s="7"/>
      <c r="T8848" s="7"/>
      <c r="U8848" s="7"/>
      <c r="V8848" s="7"/>
      <c r="W8848" s="7"/>
      <c r="X8848" s="7"/>
      <c r="Y8848" s="7"/>
      <c r="Z8848" s="7"/>
    </row>
    <row r="8849" hidden="1">
      <c r="A8849" s="7"/>
      <c r="B8849" s="7"/>
      <c r="C8849" s="7"/>
      <c r="D8849" s="7"/>
      <c r="E8849" s="7"/>
      <c r="F8849" s="7"/>
      <c r="G8849" s="7"/>
      <c r="H8849" s="8"/>
      <c r="I8849" s="8"/>
      <c r="J8849" s="7"/>
      <c r="K8849" s="7"/>
      <c r="L8849" s="7"/>
      <c r="M8849" s="7"/>
      <c r="N8849" s="7"/>
      <c r="O8849" s="7"/>
      <c r="P8849" s="7"/>
      <c r="Q8849" s="7"/>
      <c r="R8849" s="7"/>
      <c r="S8849" s="7"/>
      <c r="T8849" s="7"/>
      <c r="U8849" s="7"/>
      <c r="V8849" s="7"/>
      <c r="W8849" s="7"/>
      <c r="X8849" s="7"/>
      <c r="Y8849" s="7"/>
      <c r="Z8849" s="7"/>
    </row>
    <row r="8850" hidden="1">
      <c r="A8850" s="7"/>
      <c r="B8850" s="7"/>
      <c r="C8850" s="7"/>
      <c r="D8850" s="7"/>
      <c r="E8850" s="7"/>
      <c r="F8850" s="7"/>
      <c r="G8850" s="7"/>
      <c r="H8850" s="8"/>
      <c r="I8850" s="8"/>
      <c r="J8850" s="7"/>
      <c r="K8850" s="7"/>
      <c r="L8850" s="7"/>
      <c r="M8850" s="7"/>
      <c r="N8850" s="7"/>
      <c r="O8850" s="7"/>
      <c r="P8850" s="7"/>
      <c r="Q8850" s="7"/>
      <c r="R8850" s="7"/>
      <c r="S8850" s="7"/>
      <c r="T8850" s="7"/>
      <c r="U8850" s="7"/>
      <c r="V8850" s="7"/>
      <c r="W8850" s="7"/>
      <c r="X8850" s="7"/>
      <c r="Y8850" s="7"/>
      <c r="Z8850" s="7"/>
    </row>
    <row r="8851" hidden="1">
      <c r="A8851" s="7"/>
      <c r="B8851" s="7"/>
      <c r="C8851" s="7"/>
      <c r="D8851" s="7"/>
      <c r="E8851" s="7"/>
      <c r="F8851" s="7"/>
      <c r="G8851" s="7"/>
      <c r="H8851" s="8"/>
      <c r="I8851" s="8"/>
      <c r="J8851" s="7"/>
      <c r="K8851" s="7"/>
      <c r="L8851" s="7"/>
      <c r="M8851" s="7"/>
      <c r="N8851" s="7"/>
      <c r="O8851" s="7"/>
      <c r="P8851" s="7"/>
      <c r="Q8851" s="7"/>
      <c r="R8851" s="7"/>
      <c r="S8851" s="7"/>
      <c r="T8851" s="7"/>
      <c r="U8851" s="7"/>
      <c r="V8851" s="7"/>
      <c r="W8851" s="7"/>
      <c r="X8851" s="7"/>
      <c r="Y8851" s="7"/>
      <c r="Z8851" s="7"/>
    </row>
    <row r="8852" hidden="1">
      <c r="A8852" s="7"/>
      <c r="B8852" s="7"/>
      <c r="C8852" s="7"/>
      <c r="D8852" s="7"/>
      <c r="E8852" s="7"/>
      <c r="F8852" s="7"/>
      <c r="G8852" s="7"/>
      <c r="H8852" s="8"/>
      <c r="I8852" s="8"/>
      <c r="J8852" s="7"/>
      <c r="K8852" s="7"/>
      <c r="L8852" s="7"/>
      <c r="M8852" s="7"/>
      <c r="N8852" s="7"/>
      <c r="O8852" s="7"/>
      <c r="P8852" s="7"/>
      <c r="Q8852" s="7"/>
      <c r="R8852" s="7"/>
      <c r="S8852" s="7"/>
      <c r="T8852" s="7"/>
      <c r="U8852" s="7"/>
      <c r="V8852" s="7"/>
      <c r="W8852" s="7"/>
      <c r="X8852" s="7"/>
      <c r="Y8852" s="7"/>
      <c r="Z8852" s="7"/>
    </row>
    <row r="8853" hidden="1">
      <c r="A8853" s="7"/>
      <c r="B8853" s="7"/>
      <c r="C8853" s="7"/>
      <c r="D8853" s="7"/>
      <c r="E8853" s="7"/>
      <c r="F8853" s="7"/>
      <c r="G8853" s="7"/>
      <c r="H8853" s="8"/>
      <c r="I8853" s="8"/>
      <c r="J8853" s="7"/>
      <c r="K8853" s="7"/>
      <c r="L8853" s="7"/>
      <c r="M8853" s="7"/>
      <c r="N8853" s="7"/>
      <c r="O8853" s="7"/>
      <c r="P8853" s="7"/>
      <c r="Q8853" s="7"/>
      <c r="R8853" s="7"/>
      <c r="S8853" s="7"/>
      <c r="T8853" s="7"/>
      <c r="U8853" s="7"/>
      <c r="V8853" s="7"/>
      <c r="W8853" s="7"/>
      <c r="X8853" s="7"/>
      <c r="Y8853" s="7"/>
      <c r="Z8853" s="7"/>
    </row>
    <row r="8854" hidden="1">
      <c r="A8854" s="7"/>
      <c r="B8854" s="7"/>
      <c r="C8854" s="7"/>
      <c r="D8854" s="7"/>
      <c r="E8854" s="7"/>
      <c r="F8854" s="7"/>
      <c r="G8854" s="7"/>
      <c r="H8854" s="8"/>
      <c r="I8854" s="8"/>
      <c r="J8854" s="7"/>
      <c r="K8854" s="7"/>
      <c r="L8854" s="7"/>
      <c r="M8854" s="7"/>
      <c r="N8854" s="7"/>
      <c r="O8854" s="7"/>
      <c r="P8854" s="7"/>
      <c r="Q8854" s="7"/>
      <c r="R8854" s="7"/>
      <c r="S8854" s="7"/>
      <c r="T8854" s="7"/>
      <c r="U8854" s="7"/>
      <c r="V8854" s="7"/>
      <c r="W8854" s="7"/>
      <c r="X8854" s="7"/>
      <c r="Y8854" s="7"/>
      <c r="Z8854" s="7"/>
    </row>
    <row r="8855" hidden="1">
      <c r="A8855" s="7"/>
      <c r="B8855" s="7"/>
      <c r="C8855" s="7"/>
      <c r="D8855" s="7"/>
      <c r="E8855" s="7"/>
      <c r="F8855" s="7"/>
      <c r="G8855" s="7"/>
      <c r="H8855" s="8"/>
      <c r="I8855" s="8"/>
      <c r="J8855" s="7"/>
      <c r="K8855" s="7"/>
      <c r="L8855" s="7"/>
      <c r="M8855" s="7"/>
      <c r="N8855" s="7"/>
      <c r="O8855" s="7"/>
      <c r="P8855" s="7"/>
      <c r="Q8855" s="7"/>
      <c r="R8855" s="7"/>
      <c r="S8855" s="7"/>
      <c r="T8855" s="7"/>
      <c r="U8855" s="7"/>
      <c r="V8855" s="7"/>
      <c r="W8855" s="7"/>
      <c r="X8855" s="7"/>
      <c r="Y8855" s="7"/>
      <c r="Z8855" s="7"/>
    </row>
    <row r="8856" hidden="1">
      <c r="A8856" s="7"/>
      <c r="B8856" s="7"/>
      <c r="C8856" s="7"/>
      <c r="D8856" s="7"/>
      <c r="E8856" s="7"/>
      <c r="F8856" s="7"/>
      <c r="G8856" s="7"/>
      <c r="H8856" s="8"/>
      <c r="I8856" s="8"/>
      <c r="J8856" s="7"/>
      <c r="K8856" s="7"/>
      <c r="L8856" s="7"/>
      <c r="M8856" s="7"/>
      <c r="N8856" s="7"/>
      <c r="O8856" s="7"/>
      <c r="P8856" s="7"/>
      <c r="Q8856" s="7"/>
      <c r="R8856" s="7"/>
      <c r="S8856" s="7"/>
      <c r="T8856" s="7"/>
      <c r="U8856" s="7"/>
      <c r="V8856" s="7"/>
      <c r="W8856" s="7"/>
      <c r="X8856" s="7"/>
      <c r="Y8856" s="7"/>
      <c r="Z8856" s="7"/>
    </row>
    <row r="8857" hidden="1">
      <c r="A8857" s="7"/>
      <c r="B8857" s="7"/>
      <c r="C8857" s="7"/>
      <c r="D8857" s="7"/>
      <c r="E8857" s="7"/>
      <c r="F8857" s="7"/>
      <c r="G8857" s="7"/>
      <c r="H8857" s="8"/>
      <c r="I8857" s="8"/>
      <c r="J8857" s="7"/>
      <c r="K8857" s="7"/>
      <c r="L8857" s="7"/>
      <c r="M8857" s="7"/>
      <c r="N8857" s="7"/>
      <c r="O8857" s="7"/>
      <c r="P8857" s="7"/>
      <c r="Q8857" s="7"/>
      <c r="R8857" s="7"/>
      <c r="S8857" s="7"/>
      <c r="T8857" s="7"/>
      <c r="U8857" s="7"/>
      <c r="V8857" s="7"/>
      <c r="W8857" s="7"/>
      <c r="X8857" s="7"/>
      <c r="Y8857" s="7"/>
      <c r="Z8857" s="7"/>
    </row>
    <row r="8858" hidden="1">
      <c r="A8858" s="7"/>
      <c r="B8858" s="7"/>
      <c r="C8858" s="7"/>
      <c r="D8858" s="7"/>
      <c r="E8858" s="7"/>
      <c r="F8858" s="7"/>
      <c r="G8858" s="7"/>
      <c r="H8858" s="8"/>
      <c r="I8858" s="8"/>
      <c r="J8858" s="7"/>
      <c r="K8858" s="7"/>
      <c r="L8858" s="7"/>
      <c r="M8858" s="7"/>
      <c r="N8858" s="7"/>
      <c r="O8858" s="7"/>
      <c r="P8858" s="7"/>
      <c r="Q8858" s="7"/>
      <c r="R8858" s="7"/>
      <c r="S8858" s="7"/>
      <c r="T8858" s="7"/>
      <c r="U8858" s="7"/>
      <c r="V8858" s="7"/>
      <c r="W8858" s="7"/>
      <c r="X8858" s="7"/>
      <c r="Y8858" s="7"/>
      <c r="Z8858" s="7"/>
    </row>
    <row r="8859" hidden="1">
      <c r="A8859" s="7"/>
      <c r="B8859" s="7"/>
      <c r="C8859" s="7"/>
      <c r="D8859" s="7"/>
      <c r="E8859" s="7"/>
      <c r="F8859" s="7"/>
      <c r="G8859" s="7"/>
      <c r="H8859" s="8"/>
      <c r="I8859" s="8"/>
      <c r="J8859" s="7"/>
      <c r="K8859" s="7"/>
      <c r="L8859" s="7"/>
      <c r="M8859" s="7"/>
      <c r="N8859" s="7"/>
      <c r="O8859" s="7"/>
      <c r="P8859" s="7"/>
      <c r="Q8859" s="7"/>
      <c r="R8859" s="7"/>
      <c r="S8859" s="7"/>
      <c r="T8859" s="7"/>
      <c r="U8859" s="7"/>
      <c r="V8859" s="7"/>
      <c r="W8859" s="7"/>
      <c r="X8859" s="7"/>
      <c r="Y8859" s="7"/>
      <c r="Z8859" s="7"/>
    </row>
    <row r="8860" hidden="1">
      <c r="A8860" s="7"/>
      <c r="B8860" s="7"/>
      <c r="C8860" s="7"/>
      <c r="D8860" s="7"/>
      <c r="E8860" s="7"/>
      <c r="F8860" s="7"/>
      <c r="G8860" s="7"/>
      <c r="H8860" s="8"/>
      <c r="I8860" s="8"/>
      <c r="J8860" s="7"/>
      <c r="K8860" s="7"/>
      <c r="L8860" s="7"/>
      <c r="M8860" s="7"/>
      <c r="N8860" s="7"/>
      <c r="O8860" s="7"/>
      <c r="P8860" s="7"/>
      <c r="Q8860" s="7"/>
      <c r="R8860" s="7"/>
      <c r="S8860" s="7"/>
      <c r="T8860" s="7"/>
      <c r="U8860" s="7"/>
      <c r="V8860" s="7"/>
      <c r="W8860" s="7"/>
      <c r="X8860" s="7"/>
      <c r="Y8860" s="7"/>
      <c r="Z8860" s="7"/>
    </row>
    <row r="8861" hidden="1">
      <c r="A8861" s="7"/>
      <c r="B8861" s="7"/>
      <c r="C8861" s="7"/>
      <c r="D8861" s="7"/>
      <c r="E8861" s="7"/>
      <c r="F8861" s="7"/>
      <c r="G8861" s="7"/>
      <c r="H8861" s="8"/>
      <c r="I8861" s="8"/>
      <c r="J8861" s="7"/>
      <c r="K8861" s="7"/>
      <c r="L8861" s="7"/>
      <c r="M8861" s="7"/>
      <c r="N8861" s="7"/>
      <c r="O8861" s="7"/>
      <c r="P8861" s="7"/>
      <c r="Q8861" s="7"/>
      <c r="R8861" s="7"/>
      <c r="S8861" s="7"/>
      <c r="T8861" s="7"/>
      <c r="U8861" s="7"/>
      <c r="V8861" s="7"/>
      <c r="W8861" s="7"/>
      <c r="X8861" s="7"/>
      <c r="Y8861" s="7"/>
      <c r="Z8861" s="7"/>
    </row>
    <row r="8862" hidden="1">
      <c r="A8862" s="7"/>
      <c r="B8862" s="7"/>
      <c r="C8862" s="7"/>
      <c r="D8862" s="7"/>
      <c r="E8862" s="7"/>
      <c r="F8862" s="7"/>
      <c r="G8862" s="7"/>
      <c r="H8862" s="8"/>
      <c r="I8862" s="8"/>
      <c r="J8862" s="7"/>
      <c r="K8862" s="7"/>
      <c r="L8862" s="7"/>
      <c r="M8862" s="7"/>
      <c r="N8862" s="7"/>
      <c r="O8862" s="7"/>
      <c r="P8862" s="7"/>
      <c r="Q8862" s="7"/>
      <c r="R8862" s="7"/>
      <c r="S8862" s="7"/>
      <c r="T8862" s="7"/>
      <c r="U8862" s="7"/>
      <c r="V8862" s="7"/>
      <c r="W8862" s="7"/>
      <c r="X8862" s="7"/>
      <c r="Y8862" s="7"/>
      <c r="Z8862" s="7"/>
    </row>
    <row r="8863" hidden="1">
      <c r="A8863" s="7"/>
      <c r="B8863" s="7"/>
      <c r="C8863" s="7"/>
      <c r="D8863" s="7"/>
      <c r="E8863" s="7"/>
      <c r="F8863" s="7"/>
      <c r="G8863" s="7"/>
      <c r="H8863" s="8"/>
      <c r="I8863" s="8"/>
      <c r="J8863" s="7"/>
      <c r="K8863" s="7"/>
      <c r="L8863" s="7"/>
      <c r="M8863" s="7"/>
      <c r="N8863" s="7"/>
      <c r="O8863" s="7"/>
      <c r="P8863" s="7"/>
      <c r="Q8863" s="7"/>
      <c r="R8863" s="7"/>
      <c r="S8863" s="7"/>
      <c r="T8863" s="7"/>
      <c r="U8863" s="7"/>
      <c r="V8863" s="7"/>
      <c r="W8863" s="7"/>
      <c r="X8863" s="7"/>
      <c r="Y8863" s="7"/>
      <c r="Z8863" s="7"/>
    </row>
    <row r="8864" hidden="1">
      <c r="A8864" s="7"/>
      <c r="B8864" s="7"/>
      <c r="C8864" s="7"/>
      <c r="D8864" s="7"/>
      <c r="E8864" s="7"/>
      <c r="F8864" s="7"/>
      <c r="G8864" s="7"/>
      <c r="H8864" s="8"/>
      <c r="I8864" s="8"/>
      <c r="J8864" s="7"/>
      <c r="K8864" s="7"/>
      <c r="L8864" s="7"/>
      <c r="M8864" s="7"/>
      <c r="N8864" s="7"/>
      <c r="O8864" s="7"/>
      <c r="P8864" s="7"/>
      <c r="Q8864" s="7"/>
      <c r="R8864" s="7"/>
      <c r="S8864" s="7"/>
      <c r="T8864" s="7"/>
      <c r="U8864" s="7"/>
      <c r="V8864" s="7"/>
      <c r="W8864" s="7"/>
      <c r="X8864" s="7"/>
      <c r="Y8864" s="7"/>
      <c r="Z8864" s="7"/>
    </row>
    <row r="8865" hidden="1">
      <c r="A8865" s="7"/>
      <c r="B8865" s="7"/>
      <c r="C8865" s="7"/>
      <c r="D8865" s="7"/>
      <c r="E8865" s="7"/>
      <c r="F8865" s="7"/>
      <c r="G8865" s="7"/>
      <c r="H8865" s="8"/>
      <c r="I8865" s="8"/>
      <c r="J8865" s="7"/>
      <c r="K8865" s="7"/>
      <c r="L8865" s="7"/>
      <c r="M8865" s="7"/>
      <c r="N8865" s="7"/>
      <c r="O8865" s="7"/>
      <c r="P8865" s="7"/>
      <c r="Q8865" s="7"/>
      <c r="R8865" s="7"/>
      <c r="S8865" s="7"/>
      <c r="T8865" s="7"/>
      <c r="U8865" s="7"/>
      <c r="V8865" s="7"/>
      <c r="W8865" s="7"/>
      <c r="X8865" s="7"/>
      <c r="Y8865" s="7"/>
      <c r="Z8865" s="7"/>
    </row>
    <row r="8866" hidden="1">
      <c r="A8866" s="7"/>
      <c r="B8866" s="7"/>
      <c r="C8866" s="7"/>
      <c r="D8866" s="7"/>
      <c r="E8866" s="7"/>
      <c r="F8866" s="7"/>
      <c r="G8866" s="7"/>
      <c r="H8866" s="8"/>
      <c r="I8866" s="8"/>
      <c r="J8866" s="7"/>
      <c r="K8866" s="7"/>
      <c r="L8866" s="7"/>
      <c r="M8866" s="7"/>
      <c r="N8866" s="7"/>
      <c r="O8866" s="7"/>
      <c r="P8866" s="7"/>
      <c r="Q8866" s="7"/>
      <c r="R8866" s="7"/>
      <c r="S8866" s="7"/>
      <c r="T8866" s="7"/>
      <c r="U8866" s="7"/>
      <c r="V8866" s="7"/>
      <c r="W8866" s="7"/>
      <c r="X8866" s="7"/>
      <c r="Y8866" s="7"/>
      <c r="Z8866" s="7"/>
    </row>
    <row r="8867" hidden="1">
      <c r="A8867" s="7"/>
      <c r="B8867" s="7"/>
      <c r="C8867" s="7"/>
      <c r="D8867" s="7"/>
      <c r="E8867" s="7"/>
      <c r="F8867" s="7"/>
      <c r="G8867" s="7"/>
      <c r="H8867" s="8"/>
      <c r="I8867" s="8"/>
      <c r="J8867" s="7"/>
      <c r="K8867" s="7"/>
      <c r="L8867" s="7"/>
      <c r="M8867" s="7"/>
      <c r="N8867" s="7"/>
      <c r="O8867" s="7"/>
      <c r="P8867" s="7"/>
      <c r="Q8867" s="7"/>
      <c r="R8867" s="7"/>
      <c r="S8867" s="7"/>
      <c r="T8867" s="7"/>
      <c r="U8867" s="7"/>
      <c r="V8867" s="7"/>
      <c r="W8867" s="7"/>
      <c r="X8867" s="7"/>
      <c r="Y8867" s="7"/>
      <c r="Z8867" s="7"/>
    </row>
    <row r="8868" hidden="1">
      <c r="A8868" s="7"/>
      <c r="B8868" s="7"/>
      <c r="C8868" s="7"/>
      <c r="D8868" s="7"/>
      <c r="E8868" s="7"/>
      <c r="F8868" s="7"/>
      <c r="G8868" s="7"/>
      <c r="H8868" s="8"/>
      <c r="I8868" s="8"/>
      <c r="J8868" s="7"/>
      <c r="K8868" s="7"/>
      <c r="L8868" s="7"/>
      <c r="M8868" s="7"/>
      <c r="N8868" s="7"/>
      <c r="O8868" s="7"/>
      <c r="P8868" s="7"/>
      <c r="Q8868" s="7"/>
      <c r="R8868" s="7"/>
      <c r="S8868" s="7"/>
      <c r="T8868" s="7"/>
      <c r="U8868" s="7"/>
      <c r="V8868" s="7"/>
      <c r="W8868" s="7"/>
      <c r="X8868" s="7"/>
      <c r="Y8868" s="7"/>
      <c r="Z8868" s="7"/>
    </row>
    <row r="8869" hidden="1">
      <c r="A8869" s="7"/>
      <c r="B8869" s="7"/>
      <c r="C8869" s="7"/>
      <c r="D8869" s="7"/>
      <c r="E8869" s="7"/>
      <c r="F8869" s="7"/>
      <c r="G8869" s="7"/>
      <c r="H8869" s="8"/>
      <c r="I8869" s="8"/>
      <c r="J8869" s="7"/>
      <c r="K8869" s="7"/>
      <c r="L8869" s="7"/>
      <c r="M8869" s="7"/>
      <c r="N8869" s="7"/>
      <c r="O8869" s="7"/>
      <c r="P8869" s="7"/>
      <c r="Q8869" s="7"/>
      <c r="R8869" s="7"/>
      <c r="S8869" s="7"/>
      <c r="T8869" s="7"/>
      <c r="U8869" s="7"/>
      <c r="V8869" s="7"/>
      <c r="W8869" s="7"/>
      <c r="X8869" s="7"/>
      <c r="Y8869" s="7"/>
      <c r="Z8869" s="7"/>
    </row>
    <row r="8870" hidden="1">
      <c r="A8870" s="7"/>
      <c r="B8870" s="7"/>
      <c r="C8870" s="7"/>
      <c r="D8870" s="7"/>
      <c r="E8870" s="7"/>
      <c r="F8870" s="7"/>
      <c r="G8870" s="7"/>
      <c r="H8870" s="8"/>
      <c r="I8870" s="8"/>
      <c r="J8870" s="7"/>
      <c r="K8870" s="7"/>
      <c r="L8870" s="7"/>
      <c r="M8870" s="7"/>
      <c r="N8870" s="7"/>
      <c r="O8870" s="7"/>
      <c r="P8870" s="7"/>
      <c r="Q8870" s="7"/>
      <c r="R8870" s="7"/>
      <c r="S8870" s="7"/>
      <c r="T8870" s="7"/>
      <c r="U8870" s="7"/>
      <c r="V8870" s="7"/>
      <c r="W8870" s="7"/>
      <c r="X8870" s="7"/>
      <c r="Y8870" s="7"/>
      <c r="Z8870" s="7"/>
    </row>
    <row r="8871" hidden="1">
      <c r="A8871" s="7"/>
      <c r="B8871" s="7"/>
      <c r="C8871" s="7"/>
      <c r="D8871" s="7"/>
      <c r="E8871" s="7"/>
      <c r="F8871" s="7"/>
      <c r="G8871" s="7"/>
      <c r="H8871" s="8"/>
      <c r="I8871" s="8"/>
      <c r="J8871" s="7"/>
      <c r="K8871" s="7"/>
      <c r="L8871" s="7"/>
      <c r="M8871" s="7"/>
      <c r="N8871" s="7"/>
      <c r="O8871" s="7"/>
      <c r="P8871" s="7"/>
      <c r="Q8871" s="7"/>
      <c r="R8871" s="7"/>
      <c r="S8871" s="7"/>
      <c r="T8871" s="7"/>
      <c r="U8871" s="7"/>
      <c r="V8871" s="7"/>
      <c r="W8871" s="7"/>
      <c r="X8871" s="7"/>
      <c r="Y8871" s="7"/>
      <c r="Z8871" s="7"/>
    </row>
    <row r="8872" hidden="1">
      <c r="A8872" s="7"/>
      <c r="B8872" s="7"/>
      <c r="C8872" s="7"/>
      <c r="D8872" s="7"/>
      <c r="E8872" s="7"/>
      <c r="F8872" s="7"/>
      <c r="G8872" s="7"/>
      <c r="H8872" s="8"/>
      <c r="I8872" s="8"/>
      <c r="J8872" s="7"/>
      <c r="K8872" s="7"/>
      <c r="L8872" s="7"/>
      <c r="M8872" s="7"/>
      <c r="N8872" s="7"/>
      <c r="O8872" s="7"/>
      <c r="P8872" s="7"/>
      <c r="Q8872" s="7"/>
      <c r="R8872" s="7"/>
      <c r="S8872" s="7"/>
      <c r="T8872" s="7"/>
      <c r="U8872" s="7"/>
      <c r="V8872" s="7"/>
      <c r="W8872" s="7"/>
      <c r="X8872" s="7"/>
      <c r="Y8872" s="7"/>
      <c r="Z8872" s="7"/>
    </row>
    <row r="8873" hidden="1">
      <c r="A8873" s="7"/>
      <c r="B8873" s="7"/>
      <c r="C8873" s="7"/>
      <c r="D8873" s="7"/>
      <c r="E8873" s="7"/>
      <c r="F8873" s="7"/>
      <c r="G8873" s="7"/>
      <c r="H8873" s="8"/>
      <c r="I8873" s="8"/>
      <c r="J8873" s="7"/>
      <c r="K8873" s="7"/>
      <c r="L8873" s="7"/>
      <c r="M8873" s="7"/>
      <c r="N8873" s="7"/>
      <c r="O8873" s="7"/>
      <c r="P8873" s="7"/>
      <c r="Q8873" s="7"/>
      <c r="R8873" s="7"/>
      <c r="S8873" s="7"/>
      <c r="T8873" s="7"/>
      <c r="U8873" s="7"/>
      <c r="V8873" s="7"/>
      <c r="W8873" s="7"/>
      <c r="X8873" s="7"/>
      <c r="Y8873" s="7"/>
      <c r="Z8873" s="7"/>
    </row>
    <row r="8874" hidden="1">
      <c r="A8874" s="7"/>
      <c r="B8874" s="7"/>
      <c r="C8874" s="7"/>
      <c r="D8874" s="7"/>
      <c r="E8874" s="7"/>
      <c r="F8874" s="7"/>
      <c r="G8874" s="7"/>
      <c r="H8874" s="8"/>
      <c r="I8874" s="8"/>
      <c r="J8874" s="7"/>
      <c r="K8874" s="7"/>
      <c r="L8874" s="7"/>
      <c r="M8874" s="7"/>
      <c r="N8874" s="7"/>
      <c r="O8874" s="7"/>
      <c r="P8874" s="7"/>
      <c r="Q8874" s="7"/>
      <c r="R8874" s="7"/>
      <c r="S8874" s="7"/>
      <c r="T8874" s="7"/>
      <c r="U8874" s="7"/>
      <c r="V8874" s="7"/>
      <c r="W8874" s="7"/>
      <c r="X8874" s="7"/>
      <c r="Y8874" s="7"/>
      <c r="Z8874" s="7"/>
    </row>
    <row r="8875" hidden="1">
      <c r="A8875" s="7"/>
      <c r="B8875" s="7"/>
      <c r="C8875" s="7"/>
      <c r="D8875" s="7"/>
      <c r="E8875" s="7"/>
      <c r="F8875" s="7"/>
      <c r="G8875" s="7"/>
      <c r="H8875" s="8"/>
      <c r="I8875" s="8"/>
      <c r="J8875" s="7"/>
      <c r="K8875" s="7"/>
      <c r="L8875" s="7"/>
      <c r="M8875" s="7"/>
      <c r="N8875" s="7"/>
      <c r="O8875" s="7"/>
      <c r="P8875" s="7"/>
      <c r="Q8875" s="7"/>
      <c r="R8875" s="7"/>
      <c r="S8875" s="7"/>
      <c r="T8875" s="7"/>
      <c r="U8875" s="7"/>
      <c r="V8875" s="7"/>
      <c r="W8875" s="7"/>
      <c r="X8875" s="7"/>
      <c r="Y8875" s="7"/>
      <c r="Z8875" s="7"/>
    </row>
    <row r="8876" hidden="1">
      <c r="A8876" s="7"/>
      <c r="B8876" s="7"/>
      <c r="C8876" s="7"/>
      <c r="D8876" s="7"/>
      <c r="E8876" s="7"/>
      <c r="F8876" s="7"/>
      <c r="G8876" s="7"/>
      <c r="H8876" s="8"/>
      <c r="I8876" s="8"/>
      <c r="J8876" s="7"/>
      <c r="K8876" s="7"/>
      <c r="L8876" s="7"/>
      <c r="M8876" s="7"/>
      <c r="N8876" s="7"/>
      <c r="O8876" s="7"/>
      <c r="P8876" s="7"/>
      <c r="Q8876" s="7"/>
      <c r="R8876" s="7"/>
      <c r="S8876" s="7"/>
      <c r="T8876" s="7"/>
      <c r="U8876" s="7"/>
      <c r="V8876" s="7"/>
      <c r="W8876" s="7"/>
      <c r="X8876" s="7"/>
      <c r="Y8876" s="7"/>
      <c r="Z8876" s="7"/>
    </row>
    <row r="8877" hidden="1">
      <c r="A8877" s="7"/>
      <c r="B8877" s="7"/>
      <c r="C8877" s="7"/>
      <c r="D8877" s="7"/>
      <c r="E8877" s="7"/>
      <c r="F8877" s="7"/>
      <c r="G8877" s="7"/>
      <c r="H8877" s="8"/>
      <c r="I8877" s="8"/>
      <c r="J8877" s="7"/>
      <c r="K8877" s="7"/>
      <c r="L8877" s="7"/>
      <c r="M8877" s="7"/>
      <c r="N8877" s="7"/>
      <c r="O8877" s="7"/>
      <c r="P8877" s="7"/>
      <c r="Q8877" s="7"/>
      <c r="R8877" s="7"/>
      <c r="S8877" s="7"/>
      <c r="T8877" s="7"/>
      <c r="U8877" s="7"/>
      <c r="V8877" s="7"/>
      <c r="W8877" s="7"/>
      <c r="X8877" s="7"/>
      <c r="Y8877" s="7"/>
      <c r="Z8877" s="7"/>
    </row>
    <row r="8878" hidden="1">
      <c r="A8878" s="7"/>
      <c r="B8878" s="7"/>
      <c r="C8878" s="7"/>
      <c r="D8878" s="7"/>
      <c r="E8878" s="7"/>
      <c r="F8878" s="7"/>
      <c r="G8878" s="7"/>
      <c r="H8878" s="8"/>
      <c r="I8878" s="8"/>
      <c r="J8878" s="7"/>
      <c r="K8878" s="7"/>
      <c r="L8878" s="7"/>
      <c r="M8878" s="7"/>
      <c r="N8878" s="7"/>
      <c r="O8878" s="7"/>
      <c r="P8878" s="7"/>
      <c r="Q8878" s="7"/>
      <c r="R8878" s="7"/>
      <c r="S8878" s="7"/>
      <c r="T8878" s="7"/>
      <c r="U8878" s="7"/>
      <c r="V8878" s="7"/>
      <c r="W8878" s="7"/>
      <c r="X8878" s="7"/>
      <c r="Y8878" s="7"/>
      <c r="Z8878" s="7"/>
    </row>
    <row r="8879" hidden="1">
      <c r="A8879" s="7"/>
      <c r="B8879" s="7"/>
      <c r="C8879" s="7"/>
      <c r="D8879" s="7"/>
      <c r="E8879" s="7"/>
      <c r="F8879" s="7"/>
      <c r="G8879" s="7"/>
      <c r="H8879" s="8"/>
      <c r="I8879" s="8"/>
      <c r="J8879" s="7"/>
      <c r="K8879" s="7"/>
      <c r="L8879" s="7"/>
      <c r="M8879" s="7"/>
      <c r="N8879" s="7"/>
      <c r="O8879" s="7"/>
      <c r="P8879" s="7"/>
      <c r="Q8879" s="7"/>
      <c r="R8879" s="7"/>
      <c r="S8879" s="7"/>
      <c r="T8879" s="7"/>
      <c r="U8879" s="7"/>
      <c r="V8879" s="7"/>
      <c r="W8879" s="7"/>
      <c r="X8879" s="7"/>
      <c r="Y8879" s="7"/>
      <c r="Z8879" s="7"/>
    </row>
    <row r="8880" hidden="1">
      <c r="A8880" s="7"/>
      <c r="B8880" s="7"/>
      <c r="C8880" s="7"/>
      <c r="D8880" s="7"/>
      <c r="E8880" s="7"/>
      <c r="F8880" s="7"/>
      <c r="G8880" s="7"/>
      <c r="H8880" s="8"/>
      <c r="I8880" s="8"/>
      <c r="J8880" s="7"/>
      <c r="K8880" s="7"/>
      <c r="L8880" s="7"/>
      <c r="M8880" s="7"/>
      <c r="N8880" s="7"/>
      <c r="O8880" s="7"/>
      <c r="P8880" s="7"/>
      <c r="Q8880" s="7"/>
      <c r="R8880" s="7"/>
      <c r="S8880" s="7"/>
      <c r="T8880" s="7"/>
      <c r="U8880" s="7"/>
      <c r="V8880" s="7"/>
      <c r="W8880" s="7"/>
      <c r="X8880" s="7"/>
      <c r="Y8880" s="7"/>
      <c r="Z8880" s="7"/>
    </row>
    <row r="8881" hidden="1">
      <c r="A8881" s="7"/>
      <c r="B8881" s="7"/>
      <c r="C8881" s="7"/>
      <c r="D8881" s="7"/>
      <c r="E8881" s="7"/>
      <c r="F8881" s="7"/>
      <c r="G8881" s="7"/>
      <c r="H8881" s="8"/>
      <c r="I8881" s="8"/>
      <c r="J8881" s="7"/>
      <c r="K8881" s="7"/>
      <c r="L8881" s="7"/>
      <c r="M8881" s="7"/>
      <c r="N8881" s="7"/>
      <c r="O8881" s="7"/>
      <c r="P8881" s="7"/>
      <c r="Q8881" s="7"/>
      <c r="R8881" s="7"/>
      <c r="S8881" s="7"/>
      <c r="T8881" s="7"/>
      <c r="U8881" s="7"/>
      <c r="V8881" s="7"/>
      <c r="W8881" s="7"/>
      <c r="X8881" s="7"/>
      <c r="Y8881" s="7"/>
      <c r="Z8881" s="7"/>
    </row>
    <row r="8882" hidden="1">
      <c r="A8882" s="7"/>
      <c r="B8882" s="7"/>
      <c r="C8882" s="7"/>
      <c r="D8882" s="7"/>
      <c r="E8882" s="7"/>
      <c r="F8882" s="7"/>
      <c r="G8882" s="7"/>
      <c r="H8882" s="8"/>
      <c r="I8882" s="8"/>
      <c r="J8882" s="7"/>
      <c r="K8882" s="7"/>
      <c r="L8882" s="7"/>
      <c r="M8882" s="7"/>
      <c r="N8882" s="7"/>
      <c r="O8882" s="7"/>
      <c r="P8882" s="7"/>
      <c r="Q8882" s="7"/>
      <c r="R8882" s="7"/>
      <c r="S8882" s="7"/>
      <c r="T8882" s="7"/>
      <c r="U8882" s="7"/>
      <c r="V8882" s="7"/>
      <c r="W8882" s="7"/>
      <c r="X8882" s="7"/>
      <c r="Y8882" s="7"/>
      <c r="Z8882" s="7"/>
    </row>
    <row r="8883" hidden="1">
      <c r="A8883" s="7"/>
      <c r="B8883" s="7"/>
      <c r="C8883" s="7"/>
      <c r="D8883" s="7"/>
      <c r="E8883" s="7"/>
      <c r="F8883" s="7"/>
      <c r="G8883" s="7"/>
      <c r="H8883" s="8"/>
      <c r="I8883" s="8"/>
      <c r="J8883" s="7"/>
      <c r="K8883" s="7"/>
      <c r="L8883" s="7"/>
      <c r="M8883" s="7"/>
      <c r="N8883" s="7"/>
      <c r="O8883" s="7"/>
      <c r="P8883" s="7"/>
      <c r="Q8883" s="7"/>
      <c r="R8883" s="7"/>
      <c r="S8883" s="7"/>
      <c r="T8883" s="7"/>
      <c r="U8883" s="7"/>
      <c r="V8883" s="7"/>
      <c r="W8883" s="7"/>
      <c r="X8883" s="7"/>
      <c r="Y8883" s="7"/>
      <c r="Z8883" s="7"/>
    </row>
    <row r="8884" hidden="1">
      <c r="A8884" s="7"/>
      <c r="B8884" s="7"/>
      <c r="C8884" s="7"/>
      <c r="D8884" s="7"/>
      <c r="E8884" s="7"/>
      <c r="F8884" s="7"/>
      <c r="G8884" s="7"/>
      <c r="H8884" s="8"/>
      <c r="I8884" s="8"/>
      <c r="J8884" s="7"/>
      <c r="K8884" s="7"/>
      <c r="L8884" s="7"/>
      <c r="M8884" s="7"/>
      <c r="N8884" s="7"/>
      <c r="O8884" s="7"/>
      <c r="P8884" s="7"/>
      <c r="Q8884" s="7"/>
      <c r="R8884" s="7"/>
      <c r="S8884" s="7"/>
      <c r="T8884" s="7"/>
      <c r="U8884" s="7"/>
      <c r="V8884" s="7"/>
      <c r="W8884" s="7"/>
      <c r="X8884" s="7"/>
      <c r="Y8884" s="7"/>
      <c r="Z8884" s="7"/>
    </row>
    <row r="8885" hidden="1">
      <c r="A8885" s="7"/>
      <c r="B8885" s="7"/>
      <c r="C8885" s="7"/>
      <c r="D8885" s="7"/>
      <c r="E8885" s="7"/>
      <c r="F8885" s="7"/>
      <c r="G8885" s="7"/>
      <c r="H8885" s="8"/>
      <c r="I8885" s="8"/>
      <c r="J8885" s="7"/>
      <c r="K8885" s="7"/>
      <c r="L8885" s="7"/>
      <c r="M8885" s="7"/>
      <c r="N8885" s="7"/>
      <c r="O8885" s="7"/>
      <c r="P8885" s="7"/>
      <c r="Q8885" s="7"/>
      <c r="R8885" s="7"/>
      <c r="S8885" s="7"/>
      <c r="T8885" s="7"/>
      <c r="U8885" s="7"/>
      <c r="V8885" s="7"/>
      <c r="W8885" s="7"/>
      <c r="X8885" s="7"/>
      <c r="Y8885" s="7"/>
      <c r="Z8885" s="7"/>
    </row>
    <row r="8886" hidden="1">
      <c r="A8886" s="7"/>
      <c r="B8886" s="7"/>
      <c r="C8886" s="7"/>
      <c r="D8886" s="7"/>
      <c r="E8886" s="7"/>
      <c r="F8886" s="7"/>
      <c r="G8886" s="7"/>
      <c r="H8886" s="8"/>
      <c r="I8886" s="8"/>
      <c r="J8886" s="7"/>
      <c r="K8886" s="7"/>
      <c r="L8886" s="7"/>
      <c r="M8886" s="7"/>
      <c r="N8886" s="7"/>
      <c r="O8886" s="7"/>
      <c r="P8886" s="7"/>
      <c r="Q8886" s="7"/>
      <c r="R8886" s="7"/>
      <c r="S8886" s="7"/>
      <c r="T8886" s="7"/>
      <c r="U8886" s="7"/>
      <c r="V8886" s="7"/>
      <c r="W8886" s="7"/>
      <c r="X8886" s="7"/>
      <c r="Y8886" s="7"/>
      <c r="Z8886" s="7"/>
    </row>
    <row r="8887" hidden="1">
      <c r="A8887" s="7"/>
      <c r="B8887" s="7"/>
      <c r="C8887" s="7"/>
      <c r="D8887" s="7"/>
      <c r="E8887" s="7"/>
      <c r="F8887" s="7"/>
      <c r="G8887" s="7"/>
      <c r="H8887" s="8"/>
      <c r="I8887" s="8"/>
      <c r="J8887" s="7"/>
      <c r="K8887" s="7"/>
      <c r="L8887" s="7"/>
      <c r="M8887" s="7"/>
      <c r="N8887" s="7"/>
      <c r="O8887" s="7"/>
      <c r="P8887" s="7"/>
      <c r="Q8887" s="7"/>
      <c r="R8887" s="7"/>
      <c r="S8887" s="7"/>
      <c r="T8887" s="7"/>
      <c r="U8887" s="7"/>
      <c r="V8887" s="7"/>
      <c r="W8887" s="7"/>
      <c r="X8887" s="7"/>
      <c r="Y8887" s="7"/>
      <c r="Z8887" s="7"/>
    </row>
    <row r="8888" hidden="1">
      <c r="A8888" s="7"/>
      <c r="B8888" s="7"/>
      <c r="C8888" s="7"/>
      <c r="D8888" s="7"/>
      <c r="E8888" s="7"/>
      <c r="F8888" s="7"/>
      <c r="G8888" s="7"/>
      <c r="H8888" s="8"/>
      <c r="I8888" s="8"/>
      <c r="J8888" s="7"/>
      <c r="K8888" s="7"/>
      <c r="L8888" s="7"/>
      <c r="M8888" s="7"/>
      <c r="N8888" s="7"/>
      <c r="O8888" s="7"/>
      <c r="P8888" s="7"/>
      <c r="Q8888" s="7"/>
      <c r="R8888" s="7"/>
      <c r="S8888" s="7"/>
      <c r="T8888" s="7"/>
      <c r="U8888" s="7"/>
      <c r="V8888" s="7"/>
      <c r="W8888" s="7"/>
      <c r="X8888" s="7"/>
      <c r="Y8888" s="7"/>
      <c r="Z8888" s="7"/>
    </row>
    <row r="8889" hidden="1">
      <c r="A8889" s="7"/>
      <c r="B8889" s="7"/>
      <c r="C8889" s="7"/>
      <c r="D8889" s="7"/>
      <c r="E8889" s="7"/>
      <c r="F8889" s="7"/>
      <c r="G8889" s="7"/>
      <c r="H8889" s="8"/>
      <c r="I8889" s="8"/>
      <c r="J8889" s="7"/>
      <c r="K8889" s="7"/>
      <c r="L8889" s="7"/>
      <c r="M8889" s="7"/>
      <c r="N8889" s="7"/>
      <c r="O8889" s="7"/>
      <c r="P8889" s="7"/>
      <c r="Q8889" s="7"/>
      <c r="R8889" s="7"/>
      <c r="S8889" s="7"/>
      <c r="T8889" s="7"/>
      <c r="U8889" s="7"/>
      <c r="V8889" s="7"/>
      <c r="W8889" s="7"/>
      <c r="X8889" s="7"/>
      <c r="Y8889" s="7"/>
      <c r="Z8889" s="7"/>
    </row>
    <row r="8890" hidden="1">
      <c r="A8890" s="7"/>
      <c r="B8890" s="7"/>
      <c r="C8890" s="7"/>
      <c r="D8890" s="7"/>
      <c r="E8890" s="7"/>
      <c r="F8890" s="7"/>
      <c r="G8890" s="7"/>
      <c r="H8890" s="8"/>
      <c r="I8890" s="8"/>
      <c r="J8890" s="7"/>
      <c r="K8890" s="7"/>
      <c r="L8890" s="7"/>
      <c r="M8890" s="7"/>
      <c r="N8890" s="7"/>
      <c r="O8890" s="7"/>
      <c r="P8890" s="7"/>
      <c r="Q8890" s="7"/>
      <c r="R8890" s="7"/>
      <c r="S8890" s="7"/>
      <c r="T8890" s="7"/>
      <c r="U8890" s="7"/>
      <c r="V8890" s="7"/>
      <c r="W8890" s="7"/>
      <c r="X8890" s="7"/>
      <c r="Y8890" s="7"/>
      <c r="Z8890" s="7"/>
    </row>
    <row r="8891" hidden="1">
      <c r="A8891" s="7"/>
      <c r="B8891" s="7"/>
      <c r="C8891" s="7"/>
      <c r="D8891" s="7"/>
      <c r="E8891" s="7"/>
      <c r="F8891" s="7"/>
      <c r="G8891" s="7"/>
      <c r="H8891" s="8"/>
      <c r="I8891" s="8"/>
      <c r="J8891" s="7"/>
      <c r="K8891" s="7"/>
      <c r="L8891" s="7"/>
      <c r="M8891" s="7"/>
      <c r="N8891" s="7"/>
      <c r="O8891" s="7"/>
      <c r="P8891" s="7"/>
      <c r="Q8891" s="7"/>
      <c r="R8891" s="7"/>
      <c r="S8891" s="7"/>
      <c r="T8891" s="7"/>
      <c r="U8891" s="7"/>
      <c r="V8891" s="7"/>
      <c r="W8891" s="7"/>
      <c r="X8891" s="7"/>
      <c r="Y8891" s="7"/>
      <c r="Z8891" s="7"/>
    </row>
    <row r="8892" hidden="1">
      <c r="A8892" s="7"/>
      <c r="B8892" s="7"/>
      <c r="C8892" s="7"/>
      <c r="D8892" s="7"/>
      <c r="E8892" s="7"/>
      <c r="F8892" s="7"/>
      <c r="G8892" s="7"/>
      <c r="H8892" s="8"/>
      <c r="I8892" s="8"/>
      <c r="J8892" s="7"/>
      <c r="K8892" s="7"/>
      <c r="L8892" s="7"/>
      <c r="M8892" s="7"/>
      <c r="N8892" s="7"/>
      <c r="O8892" s="7"/>
      <c r="P8892" s="7"/>
      <c r="Q8892" s="7"/>
      <c r="R8892" s="7"/>
      <c r="S8892" s="7"/>
      <c r="T8892" s="7"/>
      <c r="U8892" s="7"/>
      <c r="V8892" s="7"/>
      <c r="W8892" s="7"/>
      <c r="X8892" s="7"/>
      <c r="Y8892" s="7"/>
      <c r="Z8892" s="7"/>
    </row>
    <row r="8893" hidden="1">
      <c r="A8893" s="7"/>
      <c r="B8893" s="7"/>
      <c r="C8893" s="7"/>
      <c r="D8893" s="7"/>
      <c r="E8893" s="7"/>
      <c r="F8893" s="7"/>
      <c r="G8893" s="7"/>
      <c r="H8893" s="8"/>
      <c r="I8893" s="8"/>
      <c r="J8893" s="7"/>
      <c r="K8893" s="7"/>
      <c r="L8893" s="7"/>
      <c r="M8893" s="7"/>
      <c r="N8893" s="7"/>
      <c r="O8893" s="7"/>
      <c r="P8893" s="7"/>
      <c r="Q8893" s="7"/>
      <c r="R8893" s="7"/>
      <c r="S8893" s="7"/>
      <c r="T8893" s="7"/>
      <c r="U8893" s="7"/>
      <c r="V8893" s="7"/>
      <c r="W8893" s="7"/>
      <c r="X8893" s="7"/>
      <c r="Y8893" s="7"/>
      <c r="Z8893" s="7"/>
    </row>
    <row r="8894" hidden="1">
      <c r="A8894" s="7"/>
      <c r="B8894" s="7"/>
      <c r="C8894" s="7"/>
      <c r="D8894" s="7"/>
      <c r="E8894" s="7"/>
      <c r="F8894" s="7"/>
      <c r="G8894" s="7"/>
      <c r="H8894" s="8"/>
      <c r="I8894" s="8"/>
      <c r="J8894" s="7"/>
      <c r="K8894" s="7"/>
      <c r="L8894" s="7"/>
      <c r="M8894" s="7"/>
      <c r="N8894" s="7"/>
      <c r="O8894" s="7"/>
      <c r="P8894" s="7"/>
      <c r="Q8894" s="7"/>
      <c r="R8894" s="7"/>
      <c r="S8894" s="7"/>
      <c r="T8894" s="7"/>
      <c r="U8894" s="7"/>
      <c r="V8894" s="7"/>
      <c r="W8894" s="7"/>
      <c r="X8894" s="7"/>
      <c r="Y8894" s="7"/>
      <c r="Z8894" s="7"/>
    </row>
    <row r="8895" hidden="1">
      <c r="A8895" s="7"/>
      <c r="B8895" s="7"/>
      <c r="C8895" s="7"/>
      <c r="D8895" s="7"/>
      <c r="E8895" s="7"/>
      <c r="F8895" s="7"/>
      <c r="G8895" s="7"/>
      <c r="H8895" s="8"/>
      <c r="I8895" s="8"/>
      <c r="J8895" s="7"/>
      <c r="K8895" s="7"/>
      <c r="L8895" s="7"/>
      <c r="M8895" s="7"/>
      <c r="N8895" s="7"/>
      <c r="O8895" s="7"/>
      <c r="P8895" s="7"/>
      <c r="Q8895" s="7"/>
      <c r="R8895" s="7"/>
      <c r="S8895" s="7"/>
      <c r="T8895" s="7"/>
      <c r="U8895" s="7"/>
      <c r="V8895" s="7"/>
      <c r="W8895" s="7"/>
      <c r="X8895" s="7"/>
      <c r="Y8895" s="7"/>
      <c r="Z8895" s="7"/>
    </row>
    <row r="8896" hidden="1">
      <c r="A8896" s="7"/>
      <c r="B8896" s="7"/>
      <c r="C8896" s="7"/>
      <c r="D8896" s="7"/>
      <c r="E8896" s="7"/>
      <c r="F8896" s="7"/>
      <c r="G8896" s="7"/>
      <c r="H8896" s="8"/>
      <c r="I8896" s="8"/>
      <c r="J8896" s="7"/>
      <c r="K8896" s="7"/>
      <c r="L8896" s="7"/>
      <c r="M8896" s="7"/>
      <c r="N8896" s="7"/>
      <c r="O8896" s="7"/>
      <c r="P8896" s="7"/>
      <c r="Q8896" s="7"/>
      <c r="R8896" s="7"/>
      <c r="S8896" s="7"/>
      <c r="T8896" s="7"/>
      <c r="U8896" s="7"/>
      <c r="V8896" s="7"/>
      <c r="W8896" s="7"/>
      <c r="X8896" s="7"/>
      <c r="Y8896" s="7"/>
      <c r="Z8896" s="7"/>
    </row>
    <row r="8897" hidden="1">
      <c r="A8897" s="7"/>
      <c r="B8897" s="7"/>
      <c r="C8897" s="7"/>
      <c r="D8897" s="7"/>
      <c r="E8897" s="7"/>
      <c r="F8897" s="7"/>
      <c r="G8897" s="7"/>
      <c r="H8897" s="8"/>
      <c r="I8897" s="8"/>
      <c r="J8897" s="7"/>
      <c r="K8897" s="7"/>
      <c r="L8897" s="7"/>
      <c r="M8897" s="7"/>
      <c r="N8897" s="7"/>
      <c r="O8897" s="7"/>
      <c r="P8897" s="7"/>
      <c r="Q8897" s="7"/>
      <c r="R8897" s="7"/>
      <c r="S8897" s="7"/>
      <c r="T8897" s="7"/>
      <c r="U8897" s="7"/>
      <c r="V8897" s="7"/>
      <c r="W8897" s="7"/>
      <c r="X8897" s="7"/>
      <c r="Y8897" s="7"/>
      <c r="Z8897" s="7"/>
    </row>
    <row r="8898" hidden="1">
      <c r="A8898" s="7"/>
      <c r="B8898" s="7"/>
      <c r="C8898" s="7"/>
      <c r="D8898" s="7"/>
      <c r="E8898" s="7"/>
      <c r="F8898" s="7"/>
      <c r="G8898" s="7"/>
      <c r="H8898" s="8"/>
      <c r="I8898" s="8"/>
      <c r="J8898" s="7"/>
      <c r="K8898" s="7"/>
      <c r="L8898" s="7"/>
      <c r="M8898" s="7"/>
      <c r="N8898" s="7"/>
      <c r="O8898" s="7"/>
      <c r="P8898" s="7"/>
      <c r="Q8898" s="7"/>
      <c r="R8898" s="7"/>
      <c r="S8898" s="7"/>
      <c r="T8898" s="7"/>
      <c r="U8898" s="7"/>
      <c r="V8898" s="7"/>
      <c r="W8898" s="7"/>
      <c r="X8898" s="7"/>
      <c r="Y8898" s="7"/>
      <c r="Z8898" s="7"/>
    </row>
    <row r="8899" hidden="1">
      <c r="A8899" s="7"/>
      <c r="B8899" s="7"/>
      <c r="C8899" s="7"/>
      <c r="D8899" s="7"/>
      <c r="E8899" s="7"/>
      <c r="F8899" s="7"/>
      <c r="G8899" s="7"/>
      <c r="H8899" s="8"/>
      <c r="I8899" s="8"/>
      <c r="J8899" s="7"/>
      <c r="K8899" s="7"/>
      <c r="L8899" s="7"/>
      <c r="M8899" s="7"/>
      <c r="N8899" s="7"/>
      <c r="O8899" s="7"/>
      <c r="P8899" s="7"/>
      <c r="Q8899" s="7"/>
      <c r="R8899" s="7"/>
      <c r="S8899" s="7"/>
      <c r="T8899" s="7"/>
      <c r="U8899" s="7"/>
      <c r="V8899" s="7"/>
      <c r="W8899" s="7"/>
      <c r="X8899" s="7"/>
      <c r="Y8899" s="7"/>
      <c r="Z8899" s="7"/>
    </row>
    <row r="8900" hidden="1">
      <c r="A8900" s="7"/>
      <c r="B8900" s="7"/>
      <c r="C8900" s="7"/>
      <c r="D8900" s="7"/>
      <c r="E8900" s="7"/>
      <c r="F8900" s="7"/>
      <c r="G8900" s="7"/>
      <c r="H8900" s="8"/>
      <c r="I8900" s="8"/>
      <c r="J8900" s="7"/>
      <c r="K8900" s="7"/>
      <c r="L8900" s="7"/>
      <c r="M8900" s="7"/>
      <c r="N8900" s="7"/>
      <c r="O8900" s="7"/>
      <c r="P8900" s="7"/>
      <c r="Q8900" s="7"/>
      <c r="R8900" s="7"/>
      <c r="S8900" s="7"/>
      <c r="T8900" s="7"/>
      <c r="U8900" s="7"/>
      <c r="V8900" s="7"/>
      <c r="W8900" s="7"/>
      <c r="X8900" s="7"/>
      <c r="Y8900" s="7"/>
      <c r="Z8900" s="7"/>
    </row>
    <row r="8901" hidden="1">
      <c r="A8901" s="7"/>
      <c r="B8901" s="7"/>
      <c r="C8901" s="7"/>
      <c r="D8901" s="7"/>
      <c r="E8901" s="7"/>
      <c r="F8901" s="7"/>
      <c r="G8901" s="7"/>
      <c r="H8901" s="8"/>
      <c r="I8901" s="8"/>
      <c r="J8901" s="7"/>
      <c r="K8901" s="7"/>
      <c r="L8901" s="7"/>
      <c r="M8901" s="7"/>
      <c r="N8901" s="7"/>
      <c r="O8901" s="7"/>
      <c r="P8901" s="7"/>
      <c r="Q8901" s="7"/>
      <c r="R8901" s="7"/>
      <c r="S8901" s="7"/>
      <c r="T8901" s="7"/>
      <c r="U8901" s="7"/>
      <c r="V8901" s="7"/>
      <c r="W8901" s="7"/>
      <c r="X8901" s="7"/>
      <c r="Y8901" s="7"/>
      <c r="Z8901" s="7"/>
    </row>
    <row r="8902" hidden="1">
      <c r="A8902" s="7"/>
      <c r="B8902" s="7"/>
      <c r="C8902" s="7"/>
      <c r="D8902" s="7"/>
      <c r="E8902" s="7"/>
      <c r="F8902" s="7"/>
      <c r="G8902" s="7"/>
      <c r="H8902" s="8"/>
      <c r="I8902" s="8"/>
      <c r="J8902" s="7"/>
      <c r="K8902" s="7"/>
      <c r="L8902" s="7"/>
      <c r="M8902" s="7"/>
      <c r="N8902" s="7"/>
      <c r="O8902" s="7"/>
      <c r="P8902" s="7"/>
      <c r="Q8902" s="7"/>
      <c r="R8902" s="7"/>
      <c r="S8902" s="7"/>
      <c r="T8902" s="7"/>
      <c r="U8902" s="7"/>
      <c r="V8902" s="7"/>
      <c r="W8902" s="7"/>
      <c r="X8902" s="7"/>
      <c r="Y8902" s="7"/>
      <c r="Z8902" s="7"/>
    </row>
    <row r="8903" hidden="1">
      <c r="A8903" s="7"/>
      <c r="B8903" s="7"/>
      <c r="C8903" s="7"/>
      <c r="D8903" s="7"/>
      <c r="E8903" s="7"/>
      <c r="F8903" s="7"/>
      <c r="G8903" s="7"/>
      <c r="H8903" s="8"/>
      <c r="I8903" s="8"/>
      <c r="J8903" s="7"/>
      <c r="K8903" s="7"/>
      <c r="L8903" s="7"/>
      <c r="M8903" s="7"/>
      <c r="N8903" s="7"/>
      <c r="O8903" s="7"/>
      <c r="P8903" s="7"/>
      <c r="Q8903" s="7"/>
      <c r="R8903" s="7"/>
      <c r="S8903" s="7"/>
      <c r="T8903" s="7"/>
      <c r="U8903" s="7"/>
      <c r="V8903" s="7"/>
      <c r="W8903" s="7"/>
      <c r="X8903" s="7"/>
      <c r="Y8903" s="7"/>
      <c r="Z8903" s="7"/>
    </row>
    <row r="8904" hidden="1">
      <c r="A8904" s="7"/>
      <c r="B8904" s="7"/>
      <c r="C8904" s="7"/>
      <c r="D8904" s="7"/>
      <c r="E8904" s="7"/>
      <c r="F8904" s="7"/>
      <c r="G8904" s="7"/>
      <c r="H8904" s="8"/>
      <c r="I8904" s="8"/>
      <c r="J8904" s="7"/>
      <c r="K8904" s="7"/>
      <c r="L8904" s="7"/>
      <c r="M8904" s="7"/>
      <c r="N8904" s="7"/>
      <c r="O8904" s="7"/>
      <c r="P8904" s="7"/>
      <c r="Q8904" s="7"/>
      <c r="R8904" s="7"/>
      <c r="S8904" s="7"/>
      <c r="T8904" s="7"/>
      <c r="U8904" s="7"/>
      <c r="V8904" s="7"/>
      <c r="W8904" s="7"/>
      <c r="X8904" s="7"/>
      <c r="Y8904" s="7"/>
      <c r="Z8904" s="7"/>
    </row>
    <row r="8905" hidden="1">
      <c r="A8905" s="7"/>
      <c r="B8905" s="7"/>
      <c r="C8905" s="7"/>
      <c r="D8905" s="7"/>
      <c r="E8905" s="7"/>
      <c r="F8905" s="7"/>
      <c r="G8905" s="7"/>
      <c r="H8905" s="8"/>
      <c r="I8905" s="8"/>
      <c r="J8905" s="7"/>
      <c r="K8905" s="7"/>
      <c r="L8905" s="7"/>
      <c r="M8905" s="7"/>
      <c r="N8905" s="7"/>
      <c r="O8905" s="7"/>
      <c r="P8905" s="7"/>
      <c r="Q8905" s="7"/>
      <c r="R8905" s="7"/>
      <c r="S8905" s="7"/>
      <c r="T8905" s="7"/>
      <c r="U8905" s="7"/>
      <c r="V8905" s="7"/>
      <c r="W8905" s="7"/>
      <c r="X8905" s="7"/>
      <c r="Y8905" s="7"/>
      <c r="Z8905" s="7"/>
    </row>
    <row r="8906" hidden="1">
      <c r="A8906" s="7"/>
      <c r="B8906" s="7"/>
      <c r="C8906" s="7"/>
      <c r="D8906" s="7"/>
      <c r="E8906" s="7"/>
      <c r="F8906" s="7"/>
      <c r="G8906" s="7"/>
      <c r="H8906" s="8"/>
      <c r="I8906" s="8"/>
      <c r="J8906" s="7"/>
      <c r="K8906" s="7"/>
      <c r="L8906" s="7"/>
      <c r="M8906" s="7"/>
      <c r="N8906" s="7"/>
      <c r="O8906" s="7"/>
      <c r="P8906" s="7"/>
      <c r="Q8906" s="7"/>
      <c r="R8906" s="7"/>
      <c r="S8906" s="7"/>
      <c r="T8906" s="7"/>
      <c r="U8906" s="7"/>
      <c r="V8906" s="7"/>
      <c r="W8906" s="7"/>
      <c r="X8906" s="7"/>
      <c r="Y8906" s="7"/>
      <c r="Z8906" s="7"/>
    </row>
    <row r="8907" hidden="1">
      <c r="A8907" s="7"/>
      <c r="B8907" s="7"/>
      <c r="C8907" s="7"/>
      <c r="D8907" s="7"/>
      <c r="E8907" s="7"/>
      <c r="F8907" s="7"/>
      <c r="G8907" s="7"/>
      <c r="H8907" s="8"/>
      <c r="I8907" s="8"/>
      <c r="J8907" s="7"/>
      <c r="K8907" s="7"/>
      <c r="L8907" s="7"/>
      <c r="M8907" s="7"/>
      <c r="N8907" s="7"/>
      <c r="O8907" s="7"/>
      <c r="P8907" s="7"/>
      <c r="Q8907" s="7"/>
      <c r="R8907" s="7"/>
      <c r="S8907" s="7"/>
      <c r="T8907" s="7"/>
      <c r="U8907" s="7"/>
      <c r="V8907" s="7"/>
      <c r="W8907" s="7"/>
      <c r="X8907" s="7"/>
      <c r="Y8907" s="7"/>
      <c r="Z8907" s="7"/>
    </row>
    <row r="8908" hidden="1">
      <c r="A8908" s="7"/>
      <c r="B8908" s="7"/>
      <c r="C8908" s="7"/>
      <c r="D8908" s="7"/>
      <c r="E8908" s="7"/>
      <c r="F8908" s="7"/>
      <c r="G8908" s="7"/>
      <c r="H8908" s="8"/>
      <c r="I8908" s="8"/>
      <c r="J8908" s="7"/>
      <c r="K8908" s="7"/>
      <c r="L8908" s="7"/>
      <c r="M8908" s="7"/>
      <c r="N8908" s="7"/>
      <c r="O8908" s="7"/>
      <c r="P8908" s="7"/>
      <c r="Q8908" s="7"/>
      <c r="R8908" s="7"/>
      <c r="S8908" s="7"/>
      <c r="T8908" s="7"/>
      <c r="U8908" s="7"/>
      <c r="V8908" s="7"/>
      <c r="W8908" s="7"/>
      <c r="X8908" s="7"/>
      <c r="Y8908" s="7"/>
      <c r="Z8908" s="7"/>
    </row>
    <row r="8909" hidden="1">
      <c r="A8909" s="7"/>
      <c r="B8909" s="7"/>
      <c r="C8909" s="7"/>
      <c r="D8909" s="7"/>
      <c r="E8909" s="7"/>
      <c r="F8909" s="7"/>
      <c r="G8909" s="7"/>
      <c r="H8909" s="8"/>
      <c r="I8909" s="8"/>
      <c r="J8909" s="7"/>
      <c r="K8909" s="7"/>
      <c r="L8909" s="7"/>
      <c r="M8909" s="7"/>
      <c r="N8909" s="7"/>
      <c r="O8909" s="7"/>
      <c r="P8909" s="7"/>
      <c r="Q8909" s="7"/>
      <c r="R8909" s="7"/>
      <c r="S8909" s="7"/>
      <c r="T8909" s="7"/>
      <c r="U8909" s="7"/>
      <c r="V8909" s="7"/>
      <c r="W8909" s="7"/>
      <c r="X8909" s="7"/>
      <c r="Y8909" s="7"/>
      <c r="Z8909" s="7"/>
    </row>
    <row r="8910" hidden="1">
      <c r="A8910" s="7"/>
      <c r="B8910" s="7"/>
      <c r="C8910" s="7"/>
      <c r="D8910" s="7"/>
      <c r="E8910" s="7"/>
      <c r="F8910" s="7"/>
      <c r="G8910" s="7"/>
      <c r="H8910" s="8"/>
      <c r="I8910" s="8"/>
      <c r="J8910" s="7"/>
      <c r="K8910" s="7"/>
      <c r="L8910" s="7"/>
      <c r="M8910" s="7"/>
      <c r="N8910" s="7"/>
      <c r="O8910" s="7"/>
      <c r="P8910" s="7"/>
      <c r="Q8910" s="7"/>
      <c r="R8910" s="7"/>
      <c r="S8910" s="7"/>
      <c r="T8910" s="7"/>
      <c r="U8910" s="7"/>
      <c r="V8910" s="7"/>
      <c r="W8910" s="7"/>
      <c r="X8910" s="7"/>
      <c r="Y8910" s="7"/>
      <c r="Z8910" s="7"/>
    </row>
    <row r="8911" hidden="1">
      <c r="A8911" s="7"/>
      <c r="B8911" s="7"/>
      <c r="C8911" s="7"/>
      <c r="D8911" s="7"/>
      <c r="E8911" s="7"/>
      <c r="F8911" s="7"/>
      <c r="G8911" s="7"/>
      <c r="H8911" s="8"/>
      <c r="I8911" s="8"/>
      <c r="J8911" s="7"/>
      <c r="K8911" s="7"/>
      <c r="L8911" s="7"/>
      <c r="M8911" s="7"/>
      <c r="N8911" s="7"/>
      <c r="O8911" s="7"/>
      <c r="P8911" s="7"/>
      <c r="Q8911" s="7"/>
      <c r="R8911" s="7"/>
      <c r="S8911" s="7"/>
      <c r="T8911" s="7"/>
      <c r="U8911" s="7"/>
      <c r="V8911" s="7"/>
      <c r="W8911" s="7"/>
      <c r="X8911" s="7"/>
      <c r="Y8911" s="7"/>
      <c r="Z8911" s="7"/>
    </row>
    <row r="8912" hidden="1">
      <c r="A8912" s="7"/>
      <c r="B8912" s="7"/>
      <c r="C8912" s="7"/>
      <c r="D8912" s="7"/>
      <c r="E8912" s="7"/>
      <c r="F8912" s="7"/>
      <c r="G8912" s="7"/>
      <c r="H8912" s="8"/>
      <c r="I8912" s="8"/>
      <c r="J8912" s="7"/>
      <c r="K8912" s="7"/>
      <c r="L8912" s="7"/>
      <c r="M8912" s="7"/>
      <c r="N8912" s="7"/>
      <c r="O8912" s="7"/>
      <c r="P8912" s="7"/>
      <c r="Q8912" s="7"/>
      <c r="R8912" s="7"/>
      <c r="S8912" s="7"/>
      <c r="T8912" s="7"/>
      <c r="U8912" s="7"/>
      <c r="V8912" s="7"/>
      <c r="W8912" s="7"/>
      <c r="X8912" s="7"/>
      <c r="Y8912" s="7"/>
      <c r="Z8912" s="7"/>
    </row>
    <row r="8913" hidden="1">
      <c r="A8913" s="7"/>
      <c r="B8913" s="7"/>
      <c r="C8913" s="7"/>
      <c r="D8913" s="7"/>
      <c r="E8913" s="7"/>
      <c r="F8913" s="7"/>
      <c r="G8913" s="7"/>
      <c r="H8913" s="8"/>
      <c r="I8913" s="8"/>
      <c r="J8913" s="7"/>
      <c r="K8913" s="7"/>
      <c r="L8913" s="7"/>
      <c r="M8913" s="7"/>
      <c r="N8913" s="7"/>
      <c r="O8913" s="7"/>
      <c r="P8913" s="7"/>
      <c r="Q8913" s="7"/>
      <c r="R8913" s="7"/>
      <c r="S8913" s="7"/>
      <c r="T8913" s="7"/>
      <c r="U8913" s="7"/>
      <c r="V8913" s="7"/>
      <c r="W8913" s="7"/>
      <c r="X8913" s="7"/>
      <c r="Y8913" s="7"/>
      <c r="Z8913" s="7"/>
    </row>
    <row r="8914" hidden="1">
      <c r="A8914" s="7"/>
      <c r="B8914" s="7"/>
      <c r="C8914" s="7"/>
      <c r="D8914" s="7"/>
      <c r="E8914" s="7"/>
      <c r="F8914" s="7"/>
      <c r="G8914" s="7"/>
      <c r="H8914" s="8"/>
      <c r="I8914" s="8"/>
      <c r="J8914" s="7"/>
      <c r="K8914" s="7"/>
      <c r="L8914" s="7"/>
      <c r="M8914" s="7"/>
      <c r="N8914" s="7"/>
      <c r="O8914" s="7"/>
      <c r="P8914" s="7"/>
      <c r="Q8914" s="7"/>
      <c r="R8914" s="7"/>
      <c r="S8914" s="7"/>
      <c r="T8914" s="7"/>
      <c r="U8914" s="7"/>
      <c r="V8914" s="7"/>
      <c r="W8914" s="7"/>
      <c r="X8914" s="7"/>
      <c r="Y8914" s="7"/>
      <c r="Z8914" s="7"/>
    </row>
    <row r="8915" hidden="1">
      <c r="A8915" s="7"/>
      <c r="B8915" s="7"/>
      <c r="C8915" s="7"/>
      <c r="D8915" s="7"/>
      <c r="E8915" s="7"/>
      <c r="F8915" s="7"/>
      <c r="G8915" s="7"/>
      <c r="H8915" s="8"/>
      <c r="I8915" s="8"/>
      <c r="J8915" s="7"/>
      <c r="K8915" s="7"/>
      <c r="L8915" s="7"/>
      <c r="M8915" s="7"/>
      <c r="N8915" s="7"/>
      <c r="O8915" s="7"/>
      <c r="P8915" s="7"/>
      <c r="Q8915" s="7"/>
      <c r="R8915" s="7"/>
      <c r="S8915" s="7"/>
      <c r="T8915" s="7"/>
      <c r="U8915" s="7"/>
      <c r="V8915" s="7"/>
      <c r="W8915" s="7"/>
      <c r="X8915" s="7"/>
      <c r="Y8915" s="7"/>
      <c r="Z8915" s="7"/>
    </row>
    <row r="8916" hidden="1">
      <c r="A8916" s="7"/>
      <c r="B8916" s="7"/>
      <c r="C8916" s="7"/>
      <c r="D8916" s="7"/>
      <c r="E8916" s="7"/>
      <c r="F8916" s="7"/>
      <c r="G8916" s="7"/>
      <c r="H8916" s="8"/>
      <c r="I8916" s="8"/>
      <c r="J8916" s="7"/>
      <c r="K8916" s="7"/>
      <c r="L8916" s="7"/>
      <c r="M8916" s="7"/>
      <c r="N8916" s="7"/>
      <c r="O8916" s="7"/>
      <c r="P8916" s="7"/>
      <c r="Q8916" s="7"/>
      <c r="R8916" s="7"/>
      <c r="S8916" s="7"/>
      <c r="T8916" s="7"/>
      <c r="U8916" s="7"/>
      <c r="V8916" s="7"/>
      <c r="W8916" s="7"/>
      <c r="X8916" s="7"/>
      <c r="Y8916" s="7"/>
      <c r="Z8916" s="7"/>
    </row>
    <row r="8917" hidden="1">
      <c r="A8917" s="7"/>
      <c r="B8917" s="7"/>
      <c r="C8917" s="7"/>
      <c r="D8917" s="7"/>
      <c r="E8917" s="7"/>
      <c r="F8917" s="7"/>
      <c r="G8917" s="7"/>
      <c r="H8917" s="8"/>
      <c r="I8917" s="8"/>
      <c r="J8917" s="7"/>
      <c r="K8917" s="7"/>
      <c r="L8917" s="7"/>
      <c r="M8917" s="7"/>
      <c r="N8917" s="7"/>
      <c r="O8917" s="7"/>
      <c r="P8917" s="7"/>
      <c r="Q8917" s="7"/>
      <c r="R8917" s="7"/>
      <c r="S8917" s="7"/>
      <c r="T8917" s="7"/>
      <c r="U8917" s="7"/>
      <c r="V8917" s="7"/>
      <c r="W8917" s="7"/>
      <c r="X8917" s="7"/>
      <c r="Y8917" s="7"/>
      <c r="Z8917" s="7"/>
    </row>
    <row r="8918" hidden="1">
      <c r="A8918" s="7"/>
      <c r="B8918" s="7"/>
      <c r="C8918" s="7"/>
      <c r="D8918" s="7"/>
      <c r="E8918" s="7"/>
      <c r="F8918" s="7"/>
      <c r="G8918" s="7"/>
      <c r="H8918" s="8"/>
      <c r="I8918" s="8"/>
      <c r="J8918" s="7"/>
      <c r="K8918" s="7"/>
      <c r="L8918" s="7"/>
      <c r="M8918" s="7"/>
      <c r="N8918" s="7"/>
      <c r="O8918" s="7"/>
      <c r="P8918" s="7"/>
      <c r="Q8918" s="7"/>
      <c r="R8918" s="7"/>
      <c r="S8918" s="7"/>
      <c r="T8918" s="7"/>
      <c r="U8918" s="7"/>
      <c r="V8918" s="7"/>
      <c r="W8918" s="7"/>
      <c r="X8918" s="7"/>
      <c r="Y8918" s="7"/>
      <c r="Z8918" s="7"/>
    </row>
    <row r="8919" hidden="1">
      <c r="A8919" s="7"/>
      <c r="B8919" s="7"/>
      <c r="C8919" s="7"/>
      <c r="D8919" s="7"/>
      <c r="E8919" s="7"/>
      <c r="F8919" s="7"/>
      <c r="G8919" s="7"/>
      <c r="H8919" s="8"/>
      <c r="I8919" s="8"/>
      <c r="J8919" s="7"/>
      <c r="K8919" s="7"/>
      <c r="L8919" s="7"/>
      <c r="M8919" s="7"/>
      <c r="N8919" s="7"/>
      <c r="O8919" s="7"/>
      <c r="P8919" s="7"/>
      <c r="Q8919" s="7"/>
      <c r="R8919" s="7"/>
      <c r="S8919" s="7"/>
      <c r="T8919" s="7"/>
      <c r="U8919" s="7"/>
      <c r="V8919" s="7"/>
      <c r="W8919" s="7"/>
      <c r="X8919" s="7"/>
      <c r="Y8919" s="7"/>
      <c r="Z8919" s="7"/>
    </row>
    <row r="8920" hidden="1">
      <c r="A8920" s="7"/>
      <c r="B8920" s="7"/>
      <c r="C8920" s="7"/>
      <c r="D8920" s="7"/>
      <c r="E8920" s="7"/>
      <c r="F8920" s="7"/>
      <c r="G8920" s="7"/>
      <c r="H8920" s="8"/>
      <c r="I8920" s="8"/>
      <c r="J8920" s="7"/>
      <c r="K8920" s="7"/>
      <c r="L8920" s="7"/>
      <c r="M8920" s="7"/>
      <c r="N8920" s="7"/>
      <c r="O8920" s="7"/>
      <c r="P8920" s="7"/>
      <c r="Q8920" s="7"/>
      <c r="R8920" s="7"/>
      <c r="S8920" s="7"/>
      <c r="T8920" s="7"/>
      <c r="U8920" s="7"/>
      <c r="V8920" s="7"/>
      <c r="W8920" s="7"/>
      <c r="X8920" s="7"/>
      <c r="Y8920" s="7"/>
      <c r="Z8920" s="7"/>
    </row>
    <row r="8921" hidden="1">
      <c r="A8921" s="7"/>
      <c r="B8921" s="7"/>
      <c r="C8921" s="7"/>
      <c r="D8921" s="7"/>
      <c r="E8921" s="7"/>
      <c r="F8921" s="7"/>
      <c r="G8921" s="7"/>
      <c r="H8921" s="8"/>
      <c r="I8921" s="8"/>
      <c r="J8921" s="7"/>
      <c r="K8921" s="7"/>
      <c r="L8921" s="7"/>
      <c r="M8921" s="7"/>
      <c r="N8921" s="7"/>
      <c r="O8921" s="7"/>
      <c r="P8921" s="7"/>
      <c r="Q8921" s="7"/>
      <c r="R8921" s="7"/>
      <c r="S8921" s="7"/>
      <c r="T8921" s="7"/>
      <c r="U8921" s="7"/>
      <c r="V8921" s="7"/>
      <c r="W8921" s="7"/>
      <c r="X8921" s="7"/>
      <c r="Y8921" s="7"/>
      <c r="Z8921" s="7"/>
    </row>
    <row r="8922" hidden="1">
      <c r="A8922" s="7"/>
      <c r="B8922" s="7"/>
      <c r="C8922" s="7"/>
      <c r="D8922" s="7"/>
      <c r="E8922" s="7"/>
      <c r="F8922" s="7"/>
      <c r="G8922" s="7"/>
      <c r="H8922" s="8"/>
      <c r="I8922" s="8"/>
      <c r="J8922" s="7"/>
      <c r="K8922" s="7"/>
      <c r="L8922" s="7"/>
      <c r="M8922" s="7"/>
      <c r="N8922" s="7"/>
      <c r="O8922" s="7"/>
      <c r="P8922" s="7"/>
      <c r="Q8922" s="7"/>
      <c r="R8922" s="7"/>
      <c r="S8922" s="7"/>
      <c r="T8922" s="7"/>
      <c r="U8922" s="7"/>
      <c r="V8922" s="7"/>
      <c r="W8922" s="7"/>
      <c r="X8922" s="7"/>
      <c r="Y8922" s="7"/>
      <c r="Z8922" s="7"/>
    </row>
    <row r="8923" hidden="1">
      <c r="A8923" s="7"/>
      <c r="B8923" s="7"/>
      <c r="C8923" s="7"/>
      <c r="D8923" s="7"/>
      <c r="E8923" s="7"/>
      <c r="F8923" s="7"/>
      <c r="G8923" s="7"/>
      <c r="H8923" s="8"/>
      <c r="I8923" s="8"/>
      <c r="J8923" s="7"/>
      <c r="K8923" s="7"/>
      <c r="L8923" s="7"/>
      <c r="M8923" s="7"/>
      <c r="N8923" s="7"/>
      <c r="O8923" s="7"/>
      <c r="P8923" s="7"/>
      <c r="Q8923" s="7"/>
      <c r="R8923" s="7"/>
      <c r="S8923" s="7"/>
      <c r="T8923" s="7"/>
      <c r="U8923" s="7"/>
      <c r="V8923" s="7"/>
      <c r="W8923" s="7"/>
      <c r="X8923" s="7"/>
      <c r="Y8923" s="7"/>
      <c r="Z8923" s="7"/>
    </row>
    <row r="8924" hidden="1">
      <c r="A8924" s="7"/>
      <c r="B8924" s="7"/>
      <c r="C8924" s="7"/>
      <c r="D8924" s="7"/>
      <c r="E8924" s="7"/>
      <c r="F8924" s="7"/>
      <c r="G8924" s="7"/>
      <c r="H8924" s="8"/>
      <c r="I8924" s="8"/>
      <c r="J8924" s="7"/>
      <c r="K8924" s="7"/>
      <c r="L8924" s="7"/>
      <c r="M8924" s="7"/>
      <c r="N8924" s="7"/>
      <c r="O8924" s="7"/>
      <c r="P8924" s="7"/>
      <c r="Q8924" s="7"/>
      <c r="R8924" s="7"/>
      <c r="S8924" s="7"/>
      <c r="T8924" s="7"/>
      <c r="U8924" s="7"/>
      <c r="V8924" s="7"/>
      <c r="W8924" s="7"/>
      <c r="X8924" s="7"/>
      <c r="Y8924" s="7"/>
      <c r="Z8924" s="7"/>
    </row>
    <row r="8925" hidden="1">
      <c r="A8925" s="7"/>
      <c r="B8925" s="7"/>
      <c r="C8925" s="7"/>
      <c r="D8925" s="7"/>
      <c r="E8925" s="7"/>
      <c r="F8925" s="7"/>
      <c r="G8925" s="7"/>
      <c r="H8925" s="8"/>
      <c r="I8925" s="8"/>
      <c r="J8925" s="7"/>
      <c r="K8925" s="7"/>
      <c r="L8925" s="7"/>
      <c r="M8925" s="7"/>
      <c r="N8925" s="7"/>
      <c r="O8925" s="7"/>
      <c r="P8925" s="7"/>
      <c r="Q8925" s="7"/>
      <c r="R8925" s="7"/>
      <c r="S8925" s="7"/>
      <c r="T8925" s="7"/>
      <c r="U8925" s="7"/>
      <c r="V8925" s="7"/>
      <c r="W8925" s="7"/>
      <c r="X8925" s="7"/>
      <c r="Y8925" s="7"/>
      <c r="Z8925" s="7"/>
    </row>
    <row r="8926" hidden="1">
      <c r="A8926" s="7"/>
      <c r="B8926" s="7"/>
      <c r="C8926" s="7"/>
      <c r="D8926" s="7"/>
      <c r="E8926" s="7"/>
      <c r="F8926" s="7"/>
      <c r="G8926" s="7"/>
      <c r="H8926" s="8"/>
      <c r="I8926" s="8"/>
      <c r="J8926" s="7"/>
      <c r="K8926" s="7"/>
      <c r="L8926" s="7"/>
      <c r="M8926" s="7"/>
      <c r="N8926" s="7"/>
      <c r="O8926" s="7"/>
      <c r="P8926" s="7"/>
      <c r="Q8926" s="7"/>
      <c r="R8926" s="7"/>
      <c r="S8926" s="7"/>
      <c r="T8926" s="7"/>
      <c r="U8926" s="7"/>
      <c r="V8926" s="7"/>
      <c r="W8926" s="7"/>
      <c r="X8926" s="7"/>
      <c r="Y8926" s="7"/>
      <c r="Z8926" s="7"/>
    </row>
    <row r="8927" hidden="1">
      <c r="A8927" s="7"/>
      <c r="B8927" s="7"/>
      <c r="C8927" s="7"/>
      <c r="D8927" s="7"/>
      <c r="E8927" s="7"/>
      <c r="F8927" s="7"/>
      <c r="G8927" s="7"/>
      <c r="H8927" s="8"/>
      <c r="I8927" s="8"/>
      <c r="J8927" s="7"/>
      <c r="K8927" s="7"/>
      <c r="L8927" s="7"/>
      <c r="M8927" s="7"/>
      <c r="N8927" s="7"/>
      <c r="O8927" s="7"/>
      <c r="P8927" s="7"/>
      <c r="Q8927" s="7"/>
      <c r="R8927" s="7"/>
      <c r="S8927" s="7"/>
      <c r="T8927" s="7"/>
      <c r="U8927" s="7"/>
      <c r="V8927" s="7"/>
      <c r="W8927" s="7"/>
      <c r="X8927" s="7"/>
      <c r="Y8927" s="7"/>
      <c r="Z8927" s="7"/>
    </row>
    <row r="8928" hidden="1">
      <c r="A8928" s="7"/>
      <c r="B8928" s="7"/>
      <c r="C8928" s="7"/>
      <c r="D8928" s="7"/>
      <c r="E8928" s="7"/>
      <c r="F8928" s="7"/>
      <c r="G8928" s="7"/>
      <c r="H8928" s="8"/>
      <c r="I8928" s="8"/>
      <c r="J8928" s="7"/>
      <c r="K8928" s="7"/>
      <c r="L8928" s="7"/>
      <c r="M8928" s="7"/>
      <c r="N8928" s="7"/>
      <c r="O8928" s="7"/>
      <c r="P8928" s="7"/>
      <c r="Q8928" s="7"/>
      <c r="R8928" s="7"/>
      <c r="S8928" s="7"/>
      <c r="T8928" s="7"/>
      <c r="U8928" s="7"/>
      <c r="V8928" s="7"/>
      <c r="W8928" s="7"/>
      <c r="X8928" s="7"/>
      <c r="Y8928" s="7"/>
      <c r="Z8928" s="7"/>
    </row>
    <row r="8929" hidden="1">
      <c r="A8929" s="7"/>
      <c r="B8929" s="7"/>
      <c r="C8929" s="7"/>
      <c r="D8929" s="7"/>
      <c r="E8929" s="7"/>
      <c r="F8929" s="7"/>
      <c r="G8929" s="7"/>
      <c r="H8929" s="8"/>
      <c r="I8929" s="8"/>
      <c r="J8929" s="7"/>
      <c r="K8929" s="7"/>
      <c r="L8929" s="7"/>
      <c r="M8929" s="7"/>
      <c r="N8929" s="7"/>
      <c r="O8929" s="7"/>
      <c r="P8929" s="7"/>
      <c r="Q8929" s="7"/>
      <c r="R8929" s="7"/>
      <c r="S8929" s="7"/>
      <c r="T8929" s="7"/>
      <c r="U8929" s="7"/>
      <c r="V8929" s="7"/>
      <c r="W8929" s="7"/>
      <c r="X8929" s="7"/>
      <c r="Y8929" s="7"/>
      <c r="Z8929" s="7"/>
    </row>
    <row r="8930" hidden="1">
      <c r="A8930" s="7"/>
      <c r="B8930" s="7"/>
      <c r="C8930" s="7"/>
      <c r="D8930" s="7"/>
      <c r="E8930" s="7"/>
      <c r="F8930" s="7"/>
      <c r="G8930" s="7"/>
      <c r="H8930" s="8"/>
      <c r="I8930" s="8"/>
      <c r="J8930" s="7"/>
      <c r="K8930" s="7"/>
      <c r="L8930" s="7"/>
      <c r="M8930" s="7"/>
      <c r="N8930" s="7"/>
      <c r="O8930" s="7"/>
      <c r="P8930" s="7"/>
      <c r="Q8930" s="7"/>
      <c r="R8930" s="7"/>
      <c r="S8930" s="7"/>
      <c r="T8930" s="7"/>
      <c r="U8930" s="7"/>
      <c r="V8930" s="7"/>
      <c r="W8930" s="7"/>
      <c r="X8930" s="7"/>
      <c r="Y8930" s="7"/>
      <c r="Z8930" s="7"/>
    </row>
    <row r="8931" hidden="1">
      <c r="A8931" s="7"/>
      <c r="B8931" s="7"/>
      <c r="C8931" s="7"/>
      <c r="D8931" s="7"/>
      <c r="E8931" s="7"/>
      <c r="F8931" s="7"/>
      <c r="G8931" s="7"/>
      <c r="H8931" s="8"/>
      <c r="I8931" s="8"/>
      <c r="J8931" s="7"/>
      <c r="K8931" s="7"/>
      <c r="L8931" s="7"/>
      <c r="M8931" s="7"/>
      <c r="N8931" s="7"/>
      <c r="O8931" s="7"/>
      <c r="P8931" s="7"/>
      <c r="Q8931" s="7"/>
      <c r="R8931" s="7"/>
      <c r="S8931" s="7"/>
      <c r="T8931" s="7"/>
      <c r="U8931" s="7"/>
      <c r="V8931" s="7"/>
      <c r="W8931" s="7"/>
      <c r="X8931" s="7"/>
      <c r="Y8931" s="7"/>
      <c r="Z8931" s="7"/>
    </row>
    <row r="8932" hidden="1">
      <c r="A8932" s="7"/>
      <c r="B8932" s="7"/>
      <c r="C8932" s="7"/>
      <c r="D8932" s="7"/>
      <c r="E8932" s="7"/>
      <c r="F8932" s="7"/>
      <c r="G8932" s="7"/>
      <c r="H8932" s="8"/>
      <c r="I8932" s="8"/>
      <c r="J8932" s="7"/>
      <c r="K8932" s="7"/>
      <c r="L8932" s="7"/>
      <c r="M8932" s="7"/>
      <c r="N8932" s="7"/>
      <c r="O8932" s="7"/>
      <c r="P8932" s="7"/>
      <c r="Q8932" s="7"/>
      <c r="R8932" s="7"/>
      <c r="S8932" s="7"/>
      <c r="T8932" s="7"/>
      <c r="U8932" s="7"/>
      <c r="V8932" s="7"/>
      <c r="W8932" s="7"/>
      <c r="X8932" s="7"/>
      <c r="Y8932" s="7"/>
      <c r="Z8932" s="7"/>
    </row>
    <row r="8933" hidden="1">
      <c r="A8933" s="7"/>
      <c r="B8933" s="7"/>
      <c r="C8933" s="7"/>
      <c r="D8933" s="7"/>
      <c r="E8933" s="7"/>
      <c r="F8933" s="7"/>
      <c r="G8933" s="7"/>
      <c r="H8933" s="8"/>
      <c r="I8933" s="8"/>
      <c r="J8933" s="7"/>
      <c r="K8933" s="7"/>
      <c r="L8933" s="7"/>
      <c r="M8933" s="7"/>
      <c r="N8933" s="7"/>
      <c r="O8933" s="7"/>
      <c r="P8933" s="7"/>
      <c r="Q8933" s="7"/>
      <c r="R8933" s="7"/>
      <c r="S8933" s="7"/>
      <c r="T8933" s="7"/>
      <c r="U8933" s="7"/>
      <c r="V8933" s="7"/>
      <c r="W8933" s="7"/>
      <c r="X8933" s="7"/>
      <c r="Y8933" s="7"/>
      <c r="Z8933" s="7"/>
    </row>
    <row r="8934" hidden="1">
      <c r="A8934" s="7"/>
      <c r="B8934" s="7"/>
      <c r="C8934" s="7"/>
      <c r="D8934" s="7"/>
      <c r="E8934" s="7"/>
      <c r="F8934" s="7"/>
      <c r="G8934" s="7"/>
      <c r="H8934" s="8"/>
      <c r="I8934" s="8"/>
      <c r="J8934" s="7"/>
      <c r="K8934" s="7"/>
      <c r="L8934" s="7"/>
      <c r="M8934" s="7"/>
      <c r="N8934" s="7"/>
      <c r="O8934" s="7"/>
      <c r="P8934" s="7"/>
      <c r="Q8934" s="7"/>
      <c r="R8934" s="7"/>
      <c r="S8934" s="7"/>
      <c r="T8934" s="7"/>
      <c r="U8934" s="7"/>
      <c r="V8934" s="7"/>
      <c r="W8934" s="7"/>
      <c r="X8934" s="7"/>
      <c r="Y8934" s="7"/>
      <c r="Z8934" s="7"/>
    </row>
    <row r="8935" hidden="1">
      <c r="A8935" s="7"/>
      <c r="B8935" s="7"/>
      <c r="C8935" s="7"/>
      <c r="D8935" s="7"/>
      <c r="E8935" s="7"/>
      <c r="F8935" s="7"/>
      <c r="G8935" s="7"/>
      <c r="H8935" s="8"/>
      <c r="I8935" s="8"/>
      <c r="J8935" s="7"/>
      <c r="K8935" s="7"/>
      <c r="L8935" s="7"/>
      <c r="M8935" s="7"/>
      <c r="N8935" s="7"/>
      <c r="O8935" s="7"/>
      <c r="P8935" s="7"/>
      <c r="Q8935" s="7"/>
      <c r="R8935" s="7"/>
      <c r="S8935" s="7"/>
      <c r="T8935" s="7"/>
      <c r="U8935" s="7"/>
      <c r="V8935" s="7"/>
      <c r="W8935" s="7"/>
      <c r="X8935" s="7"/>
      <c r="Y8935" s="7"/>
      <c r="Z8935" s="7"/>
    </row>
    <row r="8936" hidden="1">
      <c r="A8936" s="7"/>
      <c r="B8936" s="7"/>
      <c r="C8936" s="7"/>
      <c r="D8936" s="7"/>
      <c r="E8936" s="7"/>
      <c r="F8936" s="7"/>
      <c r="G8936" s="7"/>
      <c r="H8936" s="8"/>
      <c r="I8936" s="8"/>
      <c r="J8936" s="7"/>
      <c r="K8936" s="7"/>
      <c r="L8936" s="7"/>
      <c r="M8936" s="7"/>
      <c r="N8936" s="7"/>
      <c r="O8936" s="7"/>
      <c r="P8936" s="7"/>
      <c r="Q8936" s="7"/>
      <c r="R8936" s="7"/>
      <c r="S8936" s="7"/>
      <c r="T8936" s="7"/>
      <c r="U8936" s="7"/>
      <c r="V8936" s="7"/>
      <c r="W8936" s="7"/>
      <c r="X8936" s="7"/>
      <c r="Y8936" s="7"/>
      <c r="Z8936" s="7"/>
    </row>
    <row r="8937" hidden="1">
      <c r="A8937" s="7"/>
      <c r="B8937" s="7"/>
      <c r="C8937" s="7"/>
      <c r="D8937" s="7"/>
      <c r="E8937" s="7"/>
      <c r="F8937" s="7"/>
      <c r="G8937" s="7"/>
      <c r="H8937" s="8"/>
      <c r="I8937" s="8"/>
      <c r="J8937" s="7"/>
      <c r="K8937" s="7"/>
      <c r="L8937" s="7"/>
      <c r="M8937" s="7"/>
      <c r="N8937" s="7"/>
      <c r="O8937" s="7"/>
      <c r="P8937" s="7"/>
      <c r="Q8937" s="7"/>
      <c r="R8937" s="7"/>
      <c r="S8937" s="7"/>
      <c r="T8937" s="7"/>
      <c r="U8937" s="7"/>
      <c r="V8937" s="7"/>
      <c r="W8937" s="7"/>
      <c r="X8937" s="7"/>
      <c r="Y8937" s="7"/>
      <c r="Z8937" s="7"/>
    </row>
    <row r="8938" hidden="1">
      <c r="A8938" s="7"/>
      <c r="B8938" s="7"/>
      <c r="C8938" s="7"/>
      <c r="D8938" s="7"/>
      <c r="E8938" s="7"/>
      <c r="F8938" s="7"/>
      <c r="G8938" s="7"/>
      <c r="H8938" s="8"/>
      <c r="I8938" s="8"/>
      <c r="J8938" s="7"/>
      <c r="K8938" s="7"/>
      <c r="L8938" s="7"/>
      <c r="M8938" s="7"/>
      <c r="N8938" s="7"/>
      <c r="O8938" s="7"/>
      <c r="P8938" s="7"/>
      <c r="Q8938" s="7"/>
      <c r="R8938" s="7"/>
      <c r="S8938" s="7"/>
      <c r="T8938" s="7"/>
      <c r="U8938" s="7"/>
      <c r="V8938" s="7"/>
      <c r="W8938" s="7"/>
      <c r="X8938" s="7"/>
      <c r="Y8938" s="7"/>
      <c r="Z8938" s="7"/>
    </row>
    <row r="8939" hidden="1">
      <c r="A8939" s="7"/>
      <c r="B8939" s="7"/>
      <c r="C8939" s="7"/>
      <c r="D8939" s="7"/>
      <c r="E8939" s="7"/>
      <c r="F8939" s="7"/>
      <c r="G8939" s="7"/>
      <c r="H8939" s="8"/>
      <c r="I8939" s="8"/>
      <c r="J8939" s="7"/>
      <c r="K8939" s="7"/>
      <c r="L8939" s="7"/>
      <c r="M8939" s="7"/>
      <c r="N8939" s="7"/>
      <c r="O8939" s="7"/>
      <c r="P8939" s="7"/>
      <c r="Q8939" s="7"/>
      <c r="R8939" s="7"/>
      <c r="S8939" s="7"/>
      <c r="T8939" s="7"/>
      <c r="U8939" s="7"/>
      <c r="V8939" s="7"/>
      <c r="W8939" s="7"/>
      <c r="X8939" s="7"/>
      <c r="Y8939" s="7"/>
      <c r="Z8939" s="7"/>
    </row>
    <row r="8940" hidden="1">
      <c r="A8940" s="7"/>
      <c r="B8940" s="7"/>
      <c r="C8940" s="7"/>
      <c r="D8940" s="7"/>
      <c r="E8940" s="7"/>
      <c r="F8940" s="7"/>
      <c r="G8940" s="7"/>
      <c r="H8940" s="8"/>
      <c r="I8940" s="8"/>
      <c r="J8940" s="7"/>
      <c r="K8940" s="7"/>
      <c r="L8940" s="7"/>
      <c r="M8940" s="7"/>
      <c r="N8940" s="7"/>
      <c r="O8940" s="7"/>
      <c r="P8940" s="7"/>
      <c r="Q8940" s="7"/>
      <c r="R8940" s="7"/>
      <c r="S8940" s="7"/>
      <c r="T8940" s="7"/>
      <c r="U8940" s="7"/>
      <c r="V8940" s="7"/>
      <c r="W8940" s="7"/>
      <c r="X8940" s="7"/>
      <c r="Y8940" s="7"/>
      <c r="Z8940" s="7"/>
    </row>
    <row r="8941" hidden="1">
      <c r="A8941" s="7"/>
      <c r="B8941" s="7"/>
      <c r="C8941" s="7"/>
      <c r="D8941" s="7"/>
      <c r="E8941" s="7"/>
      <c r="F8941" s="7"/>
      <c r="G8941" s="7"/>
      <c r="H8941" s="8"/>
      <c r="I8941" s="8"/>
      <c r="J8941" s="7"/>
      <c r="K8941" s="7"/>
      <c r="L8941" s="7"/>
      <c r="M8941" s="7"/>
      <c r="N8941" s="7"/>
      <c r="O8941" s="7"/>
      <c r="P8941" s="7"/>
      <c r="Q8941" s="7"/>
      <c r="R8941" s="7"/>
      <c r="S8941" s="7"/>
      <c r="T8941" s="7"/>
      <c r="U8941" s="7"/>
      <c r="V8941" s="7"/>
      <c r="W8941" s="7"/>
      <c r="X8941" s="7"/>
      <c r="Y8941" s="7"/>
      <c r="Z8941" s="7"/>
    </row>
    <row r="8942" hidden="1">
      <c r="A8942" s="7"/>
      <c r="B8942" s="7"/>
      <c r="C8942" s="7"/>
      <c r="D8942" s="7"/>
      <c r="E8942" s="7"/>
      <c r="F8942" s="7"/>
      <c r="G8942" s="7"/>
      <c r="H8942" s="8"/>
      <c r="I8942" s="8"/>
      <c r="J8942" s="7"/>
      <c r="K8942" s="7"/>
      <c r="L8942" s="7"/>
      <c r="M8942" s="7"/>
      <c r="N8942" s="7"/>
      <c r="O8942" s="7"/>
      <c r="P8942" s="7"/>
      <c r="Q8942" s="7"/>
      <c r="R8942" s="7"/>
      <c r="S8942" s="7"/>
      <c r="T8942" s="7"/>
      <c r="U8942" s="7"/>
      <c r="V8942" s="7"/>
      <c r="W8942" s="7"/>
      <c r="X8942" s="7"/>
      <c r="Y8942" s="7"/>
      <c r="Z8942" s="7"/>
    </row>
    <row r="8943" hidden="1">
      <c r="A8943" s="7"/>
      <c r="B8943" s="7"/>
      <c r="C8943" s="7"/>
      <c r="D8943" s="7"/>
      <c r="E8943" s="7"/>
      <c r="F8943" s="7"/>
      <c r="G8943" s="7"/>
      <c r="H8943" s="8"/>
      <c r="I8943" s="8"/>
      <c r="J8943" s="7"/>
      <c r="K8943" s="7"/>
      <c r="L8943" s="7"/>
      <c r="M8943" s="7"/>
      <c r="N8943" s="7"/>
      <c r="O8943" s="7"/>
      <c r="P8943" s="7"/>
      <c r="Q8943" s="7"/>
      <c r="R8943" s="7"/>
      <c r="S8943" s="7"/>
      <c r="T8943" s="7"/>
      <c r="U8943" s="7"/>
      <c r="V8943" s="7"/>
      <c r="W8943" s="7"/>
      <c r="X8943" s="7"/>
      <c r="Y8943" s="7"/>
      <c r="Z8943" s="7"/>
    </row>
    <row r="8944" hidden="1">
      <c r="A8944" s="7"/>
      <c r="B8944" s="7"/>
      <c r="C8944" s="7"/>
      <c r="D8944" s="7"/>
      <c r="E8944" s="7"/>
      <c r="F8944" s="7"/>
      <c r="G8944" s="7"/>
      <c r="H8944" s="8"/>
      <c r="I8944" s="8"/>
      <c r="J8944" s="7"/>
      <c r="K8944" s="7"/>
      <c r="L8944" s="7"/>
      <c r="M8944" s="7"/>
      <c r="N8944" s="7"/>
      <c r="O8944" s="7"/>
      <c r="P8944" s="7"/>
      <c r="Q8944" s="7"/>
      <c r="R8944" s="7"/>
      <c r="S8944" s="7"/>
      <c r="T8944" s="7"/>
      <c r="U8944" s="7"/>
      <c r="V8944" s="7"/>
      <c r="W8944" s="7"/>
      <c r="X8944" s="7"/>
      <c r="Y8944" s="7"/>
      <c r="Z8944" s="7"/>
    </row>
    <row r="8945" hidden="1">
      <c r="A8945" s="7"/>
      <c r="B8945" s="7"/>
      <c r="C8945" s="7"/>
      <c r="D8945" s="7"/>
      <c r="E8945" s="7"/>
      <c r="F8945" s="7"/>
      <c r="G8945" s="7"/>
      <c r="H8945" s="8"/>
      <c r="I8945" s="8"/>
      <c r="J8945" s="7"/>
      <c r="K8945" s="7"/>
      <c r="L8945" s="7"/>
      <c r="M8945" s="7"/>
      <c r="N8945" s="7"/>
      <c r="O8945" s="7"/>
      <c r="P8945" s="7"/>
      <c r="Q8945" s="7"/>
      <c r="R8945" s="7"/>
      <c r="S8945" s="7"/>
      <c r="T8945" s="7"/>
      <c r="U8945" s="7"/>
      <c r="V8945" s="7"/>
      <c r="W8945" s="7"/>
      <c r="X8945" s="7"/>
      <c r="Y8945" s="7"/>
      <c r="Z8945" s="7"/>
    </row>
    <row r="8946" hidden="1">
      <c r="A8946" s="7"/>
      <c r="B8946" s="7"/>
      <c r="C8946" s="7"/>
      <c r="D8946" s="7"/>
      <c r="E8946" s="7"/>
      <c r="F8946" s="7"/>
      <c r="G8946" s="7"/>
      <c r="H8946" s="8"/>
      <c r="I8946" s="8"/>
      <c r="J8946" s="7"/>
      <c r="K8946" s="7"/>
      <c r="L8946" s="7"/>
      <c r="M8946" s="7"/>
      <c r="N8946" s="7"/>
      <c r="O8946" s="7"/>
      <c r="P8946" s="7"/>
      <c r="Q8946" s="7"/>
      <c r="R8946" s="7"/>
      <c r="S8946" s="7"/>
      <c r="T8946" s="7"/>
      <c r="U8946" s="7"/>
      <c r="V8946" s="7"/>
      <c r="W8946" s="7"/>
      <c r="X8946" s="7"/>
      <c r="Y8946" s="7"/>
      <c r="Z8946" s="7"/>
    </row>
    <row r="8947" hidden="1">
      <c r="A8947" s="7"/>
      <c r="B8947" s="7"/>
      <c r="C8947" s="7"/>
      <c r="D8947" s="7"/>
      <c r="E8947" s="7"/>
      <c r="F8947" s="7"/>
      <c r="G8947" s="7"/>
      <c r="H8947" s="8"/>
      <c r="I8947" s="8"/>
      <c r="J8947" s="7"/>
      <c r="K8947" s="7"/>
      <c r="L8947" s="7"/>
      <c r="M8947" s="7"/>
      <c r="N8947" s="7"/>
      <c r="O8947" s="7"/>
      <c r="P8947" s="7"/>
      <c r="Q8947" s="7"/>
      <c r="R8947" s="7"/>
      <c r="S8947" s="7"/>
      <c r="T8947" s="7"/>
      <c r="U8947" s="7"/>
      <c r="V8947" s="7"/>
      <c r="W8947" s="7"/>
      <c r="X8947" s="7"/>
      <c r="Y8947" s="7"/>
      <c r="Z8947" s="7"/>
    </row>
    <row r="8948" hidden="1">
      <c r="A8948" s="7"/>
      <c r="B8948" s="7"/>
      <c r="C8948" s="7"/>
      <c r="D8948" s="7"/>
      <c r="E8948" s="7"/>
      <c r="F8948" s="7"/>
      <c r="G8948" s="7"/>
      <c r="H8948" s="8"/>
      <c r="I8948" s="8"/>
      <c r="J8948" s="7"/>
      <c r="K8948" s="7"/>
      <c r="L8948" s="7"/>
      <c r="M8948" s="7"/>
      <c r="N8948" s="7"/>
      <c r="O8948" s="7"/>
      <c r="P8948" s="7"/>
      <c r="Q8948" s="7"/>
      <c r="R8948" s="7"/>
      <c r="S8948" s="7"/>
      <c r="T8948" s="7"/>
      <c r="U8948" s="7"/>
      <c r="V8948" s="7"/>
      <c r="W8948" s="7"/>
      <c r="X8948" s="7"/>
      <c r="Y8948" s="7"/>
      <c r="Z8948" s="7"/>
    </row>
    <row r="8949" hidden="1">
      <c r="A8949" s="7"/>
      <c r="B8949" s="7"/>
      <c r="C8949" s="7"/>
      <c r="D8949" s="7"/>
      <c r="E8949" s="7"/>
      <c r="F8949" s="7"/>
      <c r="G8949" s="7"/>
      <c r="H8949" s="8"/>
      <c r="I8949" s="8"/>
      <c r="J8949" s="7"/>
      <c r="K8949" s="7"/>
      <c r="L8949" s="7"/>
      <c r="M8949" s="7"/>
      <c r="N8949" s="7"/>
      <c r="O8949" s="7"/>
      <c r="P8949" s="7"/>
      <c r="Q8949" s="7"/>
      <c r="R8949" s="7"/>
      <c r="S8949" s="7"/>
      <c r="T8949" s="7"/>
      <c r="U8949" s="7"/>
      <c r="V8949" s="7"/>
      <c r="W8949" s="7"/>
      <c r="X8949" s="7"/>
      <c r="Y8949" s="7"/>
      <c r="Z8949" s="7"/>
    </row>
    <row r="8950" hidden="1">
      <c r="A8950" s="7"/>
      <c r="B8950" s="7"/>
      <c r="C8950" s="7"/>
      <c r="D8950" s="7"/>
      <c r="E8950" s="7"/>
      <c r="F8950" s="7"/>
      <c r="G8950" s="7"/>
      <c r="H8950" s="8"/>
      <c r="I8950" s="8"/>
      <c r="J8950" s="7"/>
      <c r="K8950" s="7"/>
      <c r="L8950" s="7"/>
      <c r="M8950" s="7"/>
      <c r="N8950" s="7"/>
      <c r="O8950" s="7"/>
      <c r="P8950" s="7"/>
      <c r="Q8950" s="7"/>
      <c r="R8950" s="7"/>
      <c r="S8950" s="7"/>
      <c r="T8950" s="7"/>
      <c r="U8950" s="7"/>
      <c r="V8950" s="7"/>
      <c r="W8950" s="7"/>
      <c r="X8950" s="7"/>
      <c r="Y8950" s="7"/>
      <c r="Z8950" s="7"/>
    </row>
    <row r="8951" hidden="1">
      <c r="A8951" s="7"/>
      <c r="B8951" s="7"/>
      <c r="C8951" s="7"/>
      <c r="D8951" s="7"/>
      <c r="E8951" s="7"/>
      <c r="F8951" s="7"/>
      <c r="G8951" s="7"/>
      <c r="H8951" s="8"/>
      <c r="I8951" s="8"/>
      <c r="J8951" s="7"/>
      <c r="K8951" s="7"/>
      <c r="L8951" s="7"/>
      <c r="M8951" s="7"/>
      <c r="N8951" s="7"/>
      <c r="O8951" s="7"/>
      <c r="P8951" s="7"/>
      <c r="Q8951" s="7"/>
      <c r="R8951" s="7"/>
      <c r="S8951" s="7"/>
      <c r="T8951" s="7"/>
      <c r="U8951" s="7"/>
      <c r="V8951" s="7"/>
      <c r="W8951" s="7"/>
      <c r="X8951" s="7"/>
      <c r="Y8951" s="7"/>
      <c r="Z8951" s="7"/>
    </row>
    <row r="8952" hidden="1">
      <c r="A8952" s="7"/>
      <c r="B8952" s="7"/>
      <c r="C8952" s="7"/>
      <c r="D8952" s="7"/>
      <c r="E8952" s="7"/>
      <c r="F8952" s="7"/>
      <c r="G8952" s="7"/>
      <c r="H8952" s="8"/>
      <c r="I8952" s="8"/>
      <c r="J8952" s="7"/>
      <c r="K8952" s="7"/>
      <c r="L8952" s="7"/>
      <c r="M8952" s="7"/>
      <c r="N8952" s="7"/>
      <c r="O8952" s="7"/>
      <c r="P8952" s="7"/>
      <c r="Q8952" s="7"/>
      <c r="R8952" s="7"/>
      <c r="S8952" s="7"/>
      <c r="T8952" s="7"/>
      <c r="U8952" s="7"/>
      <c r="V8952" s="7"/>
      <c r="W8952" s="7"/>
      <c r="X8952" s="7"/>
      <c r="Y8952" s="7"/>
      <c r="Z8952" s="7"/>
    </row>
    <row r="8953" hidden="1">
      <c r="A8953" s="7"/>
      <c r="B8953" s="7"/>
      <c r="C8953" s="7"/>
      <c r="D8953" s="7"/>
      <c r="E8953" s="7"/>
      <c r="F8953" s="7"/>
      <c r="G8953" s="7"/>
      <c r="H8953" s="8"/>
      <c r="I8953" s="8"/>
      <c r="J8953" s="7"/>
      <c r="K8953" s="7"/>
      <c r="L8953" s="7"/>
      <c r="M8953" s="7"/>
      <c r="N8953" s="7"/>
      <c r="O8953" s="7"/>
      <c r="P8953" s="7"/>
      <c r="Q8953" s="7"/>
      <c r="R8953" s="7"/>
      <c r="S8953" s="7"/>
      <c r="T8953" s="7"/>
      <c r="U8953" s="7"/>
      <c r="V8953" s="7"/>
      <c r="W8953" s="7"/>
      <c r="X8953" s="7"/>
      <c r="Y8953" s="7"/>
      <c r="Z8953" s="7"/>
    </row>
    <row r="8954" hidden="1">
      <c r="A8954" s="7"/>
      <c r="B8954" s="7"/>
      <c r="C8954" s="7"/>
      <c r="D8954" s="7"/>
      <c r="E8954" s="7"/>
      <c r="F8954" s="7"/>
      <c r="G8954" s="7"/>
      <c r="H8954" s="8"/>
      <c r="I8954" s="8"/>
      <c r="J8954" s="7"/>
      <c r="K8954" s="7"/>
      <c r="L8954" s="7"/>
      <c r="M8954" s="7"/>
      <c r="N8954" s="7"/>
      <c r="O8954" s="7"/>
      <c r="P8954" s="7"/>
      <c r="Q8954" s="7"/>
      <c r="R8954" s="7"/>
      <c r="S8954" s="7"/>
      <c r="T8954" s="7"/>
      <c r="U8954" s="7"/>
      <c r="V8954" s="7"/>
      <c r="W8954" s="7"/>
      <c r="X8954" s="7"/>
      <c r="Y8954" s="7"/>
      <c r="Z8954" s="7"/>
    </row>
    <row r="8955" hidden="1">
      <c r="A8955" s="7"/>
      <c r="B8955" s="7"/>
      <c r="C8955" s="7"/>
      <c r="D8955" s="7"/>
      <c r="E8955" s="7"/>
      <c r="F8955" s="7"/>
      <c r="G8955" s="7"/>
      <c r="H8955" s="8"/>
      <c r="I8955" s="8"/>
      <c r="J8955" s="7"/>
      <c r="K8955" s="7"/>
      <c r="L8955" s="7"/>
      <c r="M8955" s="7"/>
      <c r="N8955" s="7"/>
      <c r="O8955" s="7"/>
      <c r="P8955" s="7"/>
      <c r="Q8955" s="7"/>
      <c r="R8955" s="7"/>
      <c r="S8955" s="7"/>
      <c r="T8955" s="7"/>
      <c r="U8955" s="7"/>
      <c r="V8955" s="7"/>
      <c r="W8955" s="7"/>
      <c r="X8955" s="7"/>
      <c r="Y8955" s="7"/>
      <c r="Z8955" s="7"/>
    </row>
    <row r="8956" hidden="1">
      <c r="A8956" s="7"/>
      <c r="B8956" s="7"/>
      <c r="C8956" s="7"/>
      <c r="D8956" s="7"/>
      <c r="E8956" s="7"/>
      <c r="F8956" s="7"/>
      <c r="G8956" s="7"/>
      <c r="H8956" s="8"/>
      <c r="I8956" s="8"/>
      <c r="J8956" s="7"/>
      <c r="K8956" s="7"/>
      <c r="L8956" s="7"/>
      <c r="M8956" s="7"/>
      <c r="N8956" s="7"/>
      <c r="O8956" s="7"/>
      <c r="P8956" s="7"/>
      <c r="Q8956" s="7"/>
      <c r="R8956" s="7"/>
      <c r="S8956" s="7"/>
      <c r="T8956" s="7"/>
      <c r="U8956" s="7"/>
      <c r="V8956" s="7"/>
      <c r="W8956" s="7"/>
      <c r="X8956" s="7"/>
      <c r="Y8956" s="7"/>
      <c r="Z8956" s="7"/>
    </row>
    <row r="8957" hidden="1">
      <c r="A8957" s="7"/>
      <c r="B8957" s="7"/>
      <c r="C8957" s="7"/>
      <c r="D8957" s="7"/>
      <c r="E8957" s="7"/>
      <c r="F8957" s="7"/>
      <c r="G8957" s="7"/>
      <c r="H8957" s="8"/>
      <c r="I8957" s="8"/>
      <c r="J8957" s="7"/>
      <c r="K8957" s="7"/>
      <c r="L8957" s="7"/>
      <c r="M8957" s="7"/>
      <c r="N8957" s="7"/>
      <c r="O8957" s="7"/>
      <c r="P8957" s="7"/>
      <c r="Q8957" s="7"/>
      <c r="R8957" s="7"/>
      <c r="S8957" s="7"/>
      <c r="T8957" s="7"/>
      <c r="U8957" s="7"/>
      <c r="V8957" s="7"/>
      <c r="W8957" s="7"/>
      <c r="X8957" s="7"/>
      <c r="Y8957" s="7"/>
      <c r="Z8957" s="7"/>
    </row>
    <row r="8958" hidden="1">
      <c r="A8958" s="7"/>
      <c r="B8958" s="7"/>
      <c r="C8958" s="7"/>
      <c r="D8958" s="7"/>
      <c r="E8958" s="7"/>
      <c r="F8958" s="7"/>
      <c r="G8958" s="7"/>
      <c r="H8958" s="8"/>
      <c r="I8958" s="8"/>
      <c r="J8958" s="7"/>
      <c r="K8958" s="7"/>
      <c r="L8958" s="7"/>
      <c r="M8958" s="7"/>
      <c r="N8958" s="7"/>
      <c r="O8958" s="7"/>
      <c r="P8958" s="7"/>
      <c r="Q8958" s="7"/>
      <c r="R8958" s="7"/>
      <c r="S8958" s="7"/>
      <c r="T8958" s="7"/>
      <c r="U8958" s="7"/>
      <c r="V8958" s="7"/>
      <c r="W8958" s="7"/>
      <c r="X8958" s="7"/>
      <c r="Y8958" s="7"/>
      <c r="Z8958" s="7"/>
    </row>
    <row r="8959" hidden="1">
      <c r="A8959" s="7"/>
      <c r="B8959" s="7"/>
      <c r="C8959" s="7"/>
      <c r="D8959" s="7"/>
      <c r="E8959" s="7"/>
      <c r="F8959" s="7"/>
      <c r="G8959" s="7"/>
      <c r="H8959" s="8"/>
      <c r="I8959" s="8"/>
      <c r="J8959" s="7"/>
      <c r="K8959" s="7"/>
      <c r="L8959" s="7"/>
      <c r="M8959" s="7"/>
      <c r="N8959" s="7"/>
      <c r="O8959" s="7"/>
      <c r="P8959" s="7"/>
      <c r="Q8959" s="7"/>
      <c r="R8959" s="7"/>
      <c r="S8959" s="7"/>
      <c r="T8959" s="7"/>
      <c r="U8959" s="7"/>
      <c r="V8959" s="7"/>
      <c r="W8959" s="7"/>
      <c r="X8959" s="7"/>
      <c r="Y8959" s="7"/>
      <c r="Z8959" s="7"/>
    </row>
    <row r="8960" hidden="1">
      <c r="A8960" s="7"/>
      <c r="B8960" s="7"/>
      <c r="C8960" s="7"/>
      <c r="D8960" s="7"/>
      <c r="E8960" s="7"/>
      <c r="F8960" s="7"/>
      <c r="G8960" s="7"/>
      <c r="H8960" s="8"/>
      <c r="I8960" s="8"/>
      <c r="J8960" s="7"/>
      <c r="K8960" s="7"/>
      <c r="L8960" s="7"/>
      <c r="M8960" s="7"/>
      <c r="N8960" s="7"/>
      <c r="O8960" s="7"/>
      <c r="P8960" s="7"/>
      <c r="Q8960" s="7"/>
      <c r="R8960" s="7"/>
      <c r="S8960" s="7"/>
      <c r="T8960" s="7"/>
      <c r="U8960" s="7"/>
      <c r="V8960" s="7"/>
      <c r="W8960" s="7"/>
      <c r="X8960" s="7"/>
      <c r="Y8960" s="7"/>
      <c r="Z8960" s="7"/>
    </row>
    <row r="8961" hidden="1">
      <c r="A8961" s="7"/>
      <c r="B8961" s="7"/>
      <c r="C8961" s="7"/>
      <c r="D8961" s="7"/>
      <c r="E8961" s="7"/>
      <c r="F8961" s="7"/>
      <c r="G8961" s="7"/>
      <c r="H8961" s="8"/>
      <c r="I8961" s="8"/>
      <c r="J8961" s="7"/>
      <c r="K8961" s="7"/>
      <c r="L8961" s="7"/>
      <c r="M8961" s="7"/>
      <c r="N8961" s="7"/>
      <c r="O8961" s="7"/>
      <c r="P8961" s="7"/>
      <c r="Q8961" s="7"/>
      <c r="R8961" s="7"/>
      <c r="S8961" s="7"/>
      <c r="T8961" s="7"/>
      <c r="U8961" s="7"/>
      <c r="V8961" s="7"/>
      <c r="W8961" s="7"/>
      <c r="X8961" s="7"/>
      <c r="Y8961" s="7"/>
      <c r="Z8961" s="7"/>
    </row>
    <row r="8962" hidden="1">
      <c r="A8962" s="7"/>
      <c r="B8962" s="7"/>
      <c r="C8962" s="7"/>
      <c r="D8962" s="7"/>
      <c r="E8962" s="7"/>
      <c r="F8962" s="7"/>
      <c r="G8962" s="7"/>
      <c r="H8962" s="8"/>
      <c r="I8962" s="8"/>
      <c r="J8962" s="7"/>
      <c r="K8962" s="7"/>
      <c r="L8962" s="7"/>
      <c r="M8962" s="7"/>
      <c r="N8962" s="7"/>
      <c r="O8962" s="7"/>
      <c r="P8962" s="7"/>
      <c r="Q8962" s="7"/>
      <c r="R8962" s="7"/>
      <c r="S8962" s="7"/>
      <c r="T8962" s="7"/>
      <c r="U8962" s="7"/>
      <c r="V8962" s="7"/>
      <c r="W8962" s="7"/>
      <c r="X8962" s="7"/>
      <c r="Y8962" s="7"/>
      <c r="Z8962" s="7"/>
    </row>
    <row r="8963" hidden="1">
      <c r="A8963" s="7"/>
      <c r="B8963" s="7"/>
      <c r="C8963" s="7"/>
      <c r="D8963" s="7"/>
      <c r="E8963" s="7"/>
      <c r="F8963" s="7"/>
      <c r="G8963" s="7"/>
      <c r="H8963" s="8"/>
      <c r="I8963" s="8"/>
      <c r="J8963" s="7"/>
      <c r="K8963" s="7"/>
      <c r="L8963" s="7"/>
      <c r="M8963" s="7"/>
      <c r="N8963" s="7"/>
      <c r="O8963" s="7"/>
      <c r="P8963" s="7"/>
      <c r="Q8963" s="7"/>
      <c r="R8963" s="7"/>
      <c r="S8963" s="7"/>
      <c r="T8963" s="7"/>
      <c r="U8963" s="7"/>
      <c r="V8963" s="7"/>
      <c r="W8963" s="7"/>
      <c r="X8963" s="7"/>
      <c r="Y8963" s="7"/>
      <c r="Z8963" s="7"/>
    </row>
    <row r="8964" hidden="1">
      <c r="A8964" s="7"/>
      <c r="B8964" s="7"/>
      <c r="C8964" s="7"/>
      <c r="D8964" s="7"/>
      <c r="E8964" s="7"/>
      <c r="F8964" s="7"/>
      <c r="G8964" s="7"/>
      <c r="H8964" s="8"/>
      <c r="I8964" s="8"/>
      <c r="J8964" s="7"/>
      <c r="K8964" s="7"/>
      <c r="L8964" s="7"/>
      <c r="M8964" s="7"/>
      <c r="N8964" s="7"/>
      <c r="O8964" s="7"/>
      <c r="P8964" s="7"/>
      <c r="Q8964" s="7"/>
      <c r="R8964" s="7"/>
      <c r="S8964" s="7"/>
      <c r="T8964" s="7"/>
      <c r="U8964" s="7"/>
      <c r="V8964" s="7"/>
      <c r="W8964" s="7"/>
      <c r="X8964" s="7"/>
      <c r="Y8964" s="7"/>
      <c r="Z8964" s="7"/>
    </row>
    <row r="8965" hidden="1">
      <c r="A8965" s="7"/>
      <c r="B8965" s="7"/>
      <c r="C8965" s="7"/>
      <c r="D8965" s="7"/>
      <c r="E8965" s="7"/>
      <c r="F8965" s="7"/>
      <c r="G8965" s="7"/>
      <c r="H8965" s="8"/>
      <c r="I8965" s="8"/>
      <c r="J8965" s="7"/>
      <c r="K8965" s="7"/>
      <c r="L8965" s="7"/>
      <c r="M8965" s="7"/>
      <c r="N8965" s="7"/>
      <c r="O8965" s="7"/>
      <c r="P8965" s="7"/>
      <c r="Q8965" s="7"/>
      <c r="R8965" s="7"/>
      <c r="S8965" s="7"/>
      <c r="T8965" s="7"/>
      <c r="U8965" s="7"/>
      <c r="V8965" s="7"/>
      <c r="W8965" s="7"/>
      <c r="X8965" s="7"/>
      <c r="Y8965" s="7"/>
      <c r="Z8965" s="7"/>
    </row>
    <row r="8966" hidden="1">
      <c r="A8966" s="7"/>
      <c r="B8966" s="7"/>
      <c r="C8966" s="7"/>
      <c r="D8966" s="7"/>
      <c r="E8966" s="7"/>
      <c r="F8966" s="7"/>
      <c r="G8966" s="7"/>
      <c r="H8966" s="8"/>
      <c r="I8966" s="8"/>
      <c r="J8966" s="7"/>
      <c r="K8966" s="7"/>
      <c r="L8966" s="7"/>
      <c r="M8966" s="7"/>
      <c r="N8966" s="7"/>
      <c r="O8966" s="7"/>
      <c r="P8966" s="7"/>
      <c r="Q8966" s="7"/>
      <c r="R8966" s="7"/>
      <c r="S8966" s="7"/>
      <c r="T8966" s="7"/>
      <c r="U8966" s="7"/>
      <c r="V8966" s="7"/>
      <c r="W8966" s="7"/>
      <c r="X8966" s="7"/>
      <c r="Y8966" s="7"/>
      <c r="Z8966" s="7"/>
    </row>
    <row r="8967" hidden="1">
      <c r="A8967" s="7"/>
      <c r="B8967" s="7"/>
      <c r="C8967" s="7"/>
      <c r="D8967" s="7"/>
      <c r="E8967" s="7"/>
      <c r="F8967" s="7"/>
      <c r="G8967" s="7"/>
      <c r="H8967" s="8"/>
      <c r="I8967" s="8"/>
      <c r="J8967" s="7"/>
      <c r="K8967" s="7"/>
      <c r="L8967" s="7"/>
      <c r="M8967" s="7"/>
      <c r="N8967" s="7"/>
      <c r="O8967" s="7"/>
      <c r="P8967" s="7"/>
      <c r="Q8967" s="7"/>
      <c r="R8967" s="7"/>
      <c r="S8967" s="7"/>
      <c r="T8967" s="7"/>
      <c r="U8967" s="7"/>
      <c r="V8967" s="7"/>
      <c r="W8967" s="7"/>
      <c r="X8967" s="7"/>
      <c r="Y8967" s="7"/>
      <c r="Z8967" s="7"/>
    </row>
    <row r="8968" hidden="1">
      <c r="A8968" s="7"/>
      <c r="B8968" s="7"/>
      <c r="C8968" s="7"/>
      <c r="D8968" s="7"/>
      <c r="E8968" s="7"/>
      <c r="F8968" s="7"/>
      <c r="G8968" s="7"/>
      <c r="H8968" s="8"/>
      <c r="I8968" s="8"/>
      <c r="J8968" s="7"/>
      <c r="K8968" s="7"/>
      <c r="L8968" s="7"/>
      <c r="M8968" s="7"/>
      <c r="N8968" s="7"/>
      <c r="O8968" s="7"/>
      <c r="P8968" s="7"/>
      <c r="Q8968" s="7"/>
      <c r="R8968" s="7"/>
      <c r="S8968" s="7"/>
      <c r="T8968" s="7"/>
      <c r="U8968" s="7"/>
      <c r="V8968" s="7"/>
      <c r="W8968" s="7"/>
      <c r="X8968" s="7"/>
      <c r="Y8968" s="7"/>
      <c r="Z8968" s="7"/>
    </row>
    <row r="8969" hidden="1">
      <c r="A8969" s="7"/>
      <c r="B8969" s="7"/>
      <c r="C8969" s="7"/>
      <c r="D8969" s="7"/>
      <c r="E8969" s="7"/>
      <c r="F8969" s="7"/>
      <c r="G8969" s="7"/>
      <c r="H8969" s="8"/>
      <c r="I8969" s="8"/>
      <c r="J8969" s="7"/>
      <c r="K8969" s="7"/>
      <c r="L8969" s="7"/>
      <c r="M8969" s="7"/>
      <c r="N8969" s="7"/>
      <c r="O8969" s="7"/>
      <c r="P8969" s="7"/>
      <c r="Q8969" s="7"/>
      <c r="R8969" s="7"/>
      <c r="S8969" s="7"/>
      <c r="T8969" s="7"/>
      <c r="U8969" s="7"/>
      <c r="V8969" s="7"/>
      <c r="W8969" s="7"/>
      <c r="X8969" s="7"/>
      <c r="Y8969" s="7"/>
      <c r="Z8969" s="7"/>
    </row>
    <row r="8970" hidden="1">
      <c r="A8970" s="7"/>
      <c r="B8970" s="7"/>
      <c r="C8970" s="7"/>
      <c r="D8970" s="7"/>
      <c r="E8970" s="7"/>
      <c r="F8970" s="7"/>
      <c r="G8970" s="7"/>
      <c r="H8970" s="8"/>
      <c r="I8970" s="8"/>
      <c r="J8970" s="7"/>
      <c r="K8970" s="7"/>
      <c r="L8970" s="7"/>
      <c r="M8970" s="7"/>
      <c r="N8970" s="7"/>
      <c r="O8970" s="7"/>
      <c r="P8970" s="7"/>
      <c r="Q8970" s="7"/>
      <c r="R8970" s="7"/>
      <c r="S8970" s="7"/>
      <c r="T8970" s="7"/>
      <c r="U8970" s="7"/>
      <c r="V8970" s="7"/>
      <c r="W8970" s="7"/>
      <c r="X8970" s="7"/>
      <c r="Y8970" s="7"/>
      <c r="Z8970" s="7"/>
    </row>
    <row r="8971" hidden="1">
      <c r="A8971" s="7"/>
      <c r="B8971" s="7"/>
      <c r="C8971" s="7"/>
      <c r="D8971" s="7"/>
      <c r="E8971" s="7"/>
      <c r="F8971" s="7"/>
      <c r="G8971" s="7"/>
      <c r="H8971" s="8"/>
      <c r="I8971" s="8"/>
      <c r="J8971" s="7"/>
      <c r="K8971" s="7"/>
      <c r="L8971" s="7"/>
      <c r="M8971" s="7"/>
      <c r="N8971" s="7"/>
      <c r="O8971" s="7"/>
      <c r="P8971" s="7"/>
      <c r="Q8971" s="7"/>
      <c r="R8971" s="7"/>
      <c r="S8971" s="7"/>
      <c r="T8971" s="7"/>
      <c r="U8971" s="7"/>
      <c r="V8971" s="7"/>
      <c r="W8971" s="7"/>
      <c r="X8971" s="7"/>
      <c r="Y8971" s="7"/>
      <c r="Z8971" s="7"/>
    </row>
    <row r="8972" hidden="1">
      <c r="A8972" s="7"/>
      <c r="B8972" s="7"/>
      <c r="C8972" s="7"/>
      <c r="D8972" s="7"/>
      <c r="E8972" s="7"/>
      <c r="F8972" s="7"/>
      <c r="G8972" s="7"/>
      <c r="H8972" s="8"/>
      <c r="I8972" s="8"/>
      <c r="J8972" s="7"/>
      <c r="K8972" s="7"/>
      <c r="L8972" s="7"/>
      <c r="M8972" s="7"/>
      <c r="N8972" s="7"/>
      <c r="O8972" s="7"/>
      <c r="P8972" s="7"/>
      <c r="Q8972" s="7"/>
      <c r="R8972" s="7"/>
      <c r="S8972" s="7"/>
      <c r="T8972" s="7"/>
      <c r="U8972" s="7"/>
      <c r="V8972" s="7"/>
      <c r="W8972" s="7"/>
      <c r="X8972" s="7"/>
      <c r="Y8972" s="7"/>
      <c r="Z8972" s="7"/>
    </row>
    <row r="8973" hidden="1">
      <c r="A8973" s="7"/>
      <c r="B8973" s="7"/>
      <c r="C8973" s="7"/>
      <c r="D8973" s="7"/>
      <c r="E8973" s="7"/>
      <c r="F8973" s="7"/>
      <c r="G8973" s="7"/>
      <c r="H8973" s="8"/>
      <c r="I8973" s="8"/>
      <c r="J8973" s="7"/>
      <c r="K8973" s="7"/>
      <c r="L8973" s="7"/>
      <c r="M8973" s="7"/>
      <c r="N8973" s="7"/>
      <c r="O8973" s="7"/>
      <c r="P8973" s="7"/>
      <c r="Q8973" s="7"/>
      <c r="R8973" s="7"/>
      <c r="S8973" s="7"/>
      <c r="T8973" s="7"/>
      <c r="U8973" s="7"/>
      <c r="V8973" s="7"/>
      <c r="W8973" s="7"/>
      <c r="X8973" s="7"/>
      <c r="Y8973" s="7"/>
      <c r="Z8973" s="7"/>
    </row>
    <row r="8974" hidden="1">
      <c r="A8974" s="7"/>
      <c r="B8974" s="7"/>
      <c r="C8974" s="7"/>
      <c r="D8974" s="7"/>
      <c r="E8974" s="7"/>
      <c r="F8974" s="7"/>
      <c r="G8974" s="7"/>
      <c r="H8974" s="8"/>
      <c r="I8974" s="8"/>
      <c r="J8974" s="7"/>
      <c r="K8974" s="7"/>
      <c r="L8974" s="7"/>
      <c r="M8974" s="7"/>
      <c r="N8974" s="7"/>
      <c r="O8974" s="7"/>
      <c r="P8974" s="7"/>
      <c r="Q8974" s="7"/>
      <c r="R8974" s="7"/>
      <c r="S8974" s="7"/>
      <c r="T8974" s="7"/>
      <c r="U8974" s="7"/>
      <c r="V8974" s="7"/>
      <c r="W8974" s="7"/>
      <c r="X8974" s="7"/>
      <c r="Y8974" s="7"/>
      <c r="Z8974" s="7"/>
    </row>
    <row r="8975" hidden="1">
      <c r="A8975" s="7"/>
      <c r="B8975" s="7"/>
      <c r="C8975" s="7"/>
      <c r="D8975" s="7"/>
      <c r="E8975" s="7"/>
      <c r="F8975" s="7"/>
      <c r="G8975" s="7"/>
      <c r="H8975" s="8"/>
      <c r="I8975" s="8"/>
      <c r="J8975" s="7"/>
      <c r="K8975" s="7"/>
      <c r="L8975" s="7"/>
      <c r="M8975" s="7"/>
      <c r="N8975" s="7"/>
      <c r="O8975" s="7"/>
      <c r="P8975" s="7"/>
      <c r="Q8975" s="7"/>
      <c r="R8975" s="7"/>
      <c r="S8975" s="7"/>
      <c r="T8975" s="7"/>
      <c r="U8975" s="7"/>
      <c r="V8975" s="7"/>
      <c r="W8975" s="7"/>
      <c r="X8975" s="7"/>
      <c r="Y8975" s="7"/>
      <c r="Z8975" s="7"/>
    </row>
    <row r="8976" hidden="1">
      <c r="A8976" s="7"/>
      <c r="B8976" s="7"/>
      <c r="C8976" s="7"/>
      <c r="D8976" s="7"/>
      <c r="E8976" s="7"/>
      <c r="F8976" s="7"/>
      <c r="G8976" s="7"/>
      <c r="H8976" s="8"/>
      <c r="I8976" s="8"/>
      <c r="J8976" s="7"/>
      <c r="K8976" s="7"/>
      <c r="L8976" s="7"/>
      <c r="M8976" s="7"/>
      <c r="N8976" s="7"/>
      <c r="O8976" s="7"/>
      <c r="P8976" s="7"/>
      <c r="Q8976" s="7"/>
      <c r="R8976" s="7"/>
      <c r="S8976" s="7"/>
      <c r="T8976" s="7"/>
      <c r="U8976" s="7"/>
      <c r="V8976" s="7"/>
      <c r="W8976" s="7"/>
      <c r="X8976" s="7"/>
      <c r="Y8976" s="7"/>
      <c r="Z8976" s="7"/>
    </row>
    <row r="8977" hidden="1">
      <c r="A8977" s="7"/>
      <c r="B8977" s="7"/>
      <c r="C8977" s="7"/>
      <c r="D8977" s="7"/>
      <c r="E8977" s="7"/>
      <c r="F8977" s="7"/>
      <c r="G8977" s="7"/>
      <c r="H8977" s="8"/>
      <c r="I8977" s="8"/>
      <c r="J8977" s="7"/>
      <c r="K8977" s="7"/>
      <c r="L8977" s="7"/>
      <c r="M8977" s="7"/>
      <c r="N8977" s="7"/>
      <c r="O8977" s="7"/>
      <c r="P8977" s="7"/>
      <c r="Q8977" s="7"/>
      <c r="R8977" s="7"/>
      <c r="S8977" s="7"/>
      <c r="T8977" s="7"/>
      <c r="U8977" s="7"/>
      <c r="V8977" s="7"/>
      <c r="W8977" s="7"/>
      <c r="X8977" s="7"/>
      <c r="Y8977" s="7"/>
      <c r="Z8977" s="7"/>
    </row>
    <row r="8978" hidden="1">
      <c r="A8978" s="7"/>
      <c r="B8978" s="7"/>
      <c r="C8978" s="7"/>
      <c r="D8978" s="7"/>
      <c r="E8978" s="7"/>
      <c r="F8978" s="7"/>
      <c r="G8978" s="7"/>
      <c r="H8978" s="8"/>
      <c r="I8978" s="8"/>
      <c r="J8978" s="7"/>
      <c r="K8978" s="7"/>
      <c r="L8978" s="7"/>
      <c r="M8978" s="7"/>
      <c r="N8978" s="7"/>
      <c r="O8978" s="7"/>
      <c r="P8978" s="7"/>
      <c r="Q8978" s="7"/>
      <c r="R8978" s="7"/>
      <c r="S8978" s="7"/>
      <c r="T8978" s="7"/>
      <c r="U8978" s="7"/>
      <c r="V8978" s="7"/>
      <c r="W8978" s="7"/>
      <c r="X8978" s="7"/>
      <c r="Y8978" s="7"/>
      <c r="Z8978" s="7"/>
    </row>
    <row r="8979" hidden="1">
      <c r="A8979" s="7"/>
      <c r="B8979" s="7"/>
      <c r="C8979" s="7"/>
      <c r="D8979" s="7"/>
      <c r="E8979" s="7"/>
      <c r="F8979" s="7"/>
      <c r="G8979" s="7"/>
      <c r="H8979" s="8"/>
      <c r="I8979" s="8"/>
      <c r="J8979" s="7"/>
      <c r="K8979" s="7"/>
      <c r="L8979" s="7"/>
      <c r="M8979" s="7"/>
      <c r="N8979" s="7"/>
      <c r="O8979" s="7"/>
      <c r="P8979" s="7"/>
      <c r="Q8979" s="7"/>
      <c r="R8979" s="7"/>
      <c r="S8979" s="7"/>
      <c r="T8979" s="7"/>
      <c r="U8979" s="7"/>
      <c r="V8979" s="7"/>
      <c r="W8979" s="7"/>
      <c r="X8979" s="7"/>
      <c r="Y8979" s="7"/>
      <c r="Z8979" s="7"/>
    </row>
    <row r="8980" hidden="1">
      <c r="A8980" s="7"/>
      <c r="B8980" s="7"/>
      <c r="C8980" s="7"/>
      <c r="D8980" s="7"/>
      <c r="E8980" s="7"/>
      <c r="F8980" s="7"/>
      <c r="G8980" s="7"/>
      <c r="H8980" s="8"/>
      <c r="I8980" s="8"/>
      <c r="J8980" s="7"/>
      <c r="K8980" s="7"/>
      <c r="L8980" s="7"/>
      <c r="M8980" s="7"/>
      <c r="N8980" s="7"/>
      <c r="O8980" s="7"/>
      <c r="P8980" s="7"/>
      <c r="Q8980" s="7"/>
      <c r="R8980" s="7"/>
      <c r="S8980" s="7"/>
      <c r="T8980" s="7"/>
      <c r="U8980" s="7"/>
      <c r="V8980" s="7"/>
      <c r="W8980" s="7"/>
      <c r="X8980" s="7"/>
      <c r="Y8980" s="7"/>
      <c r="Z8980" s="7"/>
    </row>
    <row r="8981" hidden="1">
      <c r="A8981" s="7"/>
      <c r="B8981" s="7"/>
      <c r="C8981" s="7"/>
      <c r="D8981" s="7"/>
      <c r="E8981" s="7"/>
      <c r="F8981" s="7"/>
      <c r="G8981" s="7"/>
      <c r="H8981" s="8"/>
      <c r="I8981" s="8"/>
      <c r="J8981" s="7"/>
      <c r="K8981" s="7"/>
      <c r="L8981" s="7"/>
      <c r="M8981" s="7"/>
      <c r="N8981" s="7"/>
      <c r="O8981" s="7"/>
      <c r="P8981" s="7"/>
      <c r="Q8981" s="7"/>
      <c r="R8981" s="7"/>
      <c r="S8981" s="7"/>
      <c r="T8981" s="7"/>
      <c r="U8981" s="7"/>
      <c r="V8981" s="7"/>
      <c r="W8981" s="7"/>
      <c r="X8981" s="7"/>
      <c r="Y8981" s="7"/>
      <c r="Z8981" s="7"/>
    </row>
    <row r="8982" hidden="1">
      <c r="A8982" s="7"/>
      <c r="B8982" s="7"/>
      <c r="C8982" s="7"/>
      <c r="D8982" s="7"/>
      <c r="E8982" s="7"/>
      <c r="F8982" s="7"/>
      <c r="G8982" s="7"/>
      <c r="H8982" s="8"/>
      <c r="I8982" s="8"/>
      <c r="J8982" s="7"/>
      <c r="K8982" s="7"/>
      <c r="L8982" s="7"/>
      <c r="M8982" s="7"/>
      <c r="N8982" s="7"/>
      <c r="O8982" s="7"/>
      <c r="P8982" s="7"/>
      <c r="Q8982" s="7"/>
      <c r="R8982" s="7"/>
      <c r="S8982" s="7"/>
      <c r="T8982" s="7"/>
      <c r="U8982" s="7"/>
      <c r="V8982" s="7"/>
      <c r="W8982" s="7"/>
      <c r="X8982" s="7"/>
      <c r="Y8982" s="7"/>
      <c r="Z8982" s="7"/>
    </row>
    <row r="8983" hidden="1">
      <c r="A8983" s="7"/>
      <c r="B8983" s="7"/>
      <c r="C8983" s="7"/>
      <c r="D8983" s="7"/>
      <c r="E8983" s="7"/>
      <c r="F8983" s="7"/>
      <c r="G8983" s="7"/>
      <c r="H8983" s="8"/>
      <c r="I8983" s="8"/>
      <c r="J8983" s="7"/>
      <c r="K8983" s="7"/>
      <c r="L8983" s="7"/>
      <c r="M8983" s="7"/>
      <c r="N8983" s="7"/>
      <c r="O8983" s="7"/>
      <c r="P8983" s="7"/>
      <c r="Q8983" s="7"/>
      <c r="R8983" s="7"/>
      <c r="S8983" s="7"/>
      <c r="T8983" s="7"/>
      <c r="U8983" s="7"/>
      <c r="V8983" s="7"/>
      <c r="W8983" s="7"/>
      <c r="X8983" s="7"/>
      <c r="Y8983" s="7"/>
      <c r="Z8983" s="7"/>
    </row>
    <row r="8984" hidden="1">
      <c r="A8984" s="7"/>
      <c r="B8984" s="7"/>
      <c r="C8984" s="7"/>
      <c r="D8984" s="7"/>
      <c r="E8984" s="7"/>
      <c r="F8984" s="7"/>
      <c r="G8984" s="7"/>
      <c r="H8984" s="8"/>
      <c r="I8984" s="8"/>
      <c r="J8984" s="7"/>
      <c r="K8984" s="7"/>
      <c r="L8984" s="7"/>
      <c r="M8984" s="7"/>
      <c r="N8984" s="7"/>
      <c r="O8984" s="7"/>
      <c r="P8984" s="7"/>
      <c r="Q8984" s="7"/>
      <c r="R8984" s="7"/>
      <c r="S8984" s="7"/>
      <c r="T8984" s="7"/>
      <c r="U8984" s="7"/>
      <c r="V8984" s="7"/>
      <c r="W8984" s="7"/>
      <c r="X8984" s="7"/>
      <c r="Y8984" s="7"/>
      <c r="Z8984" s="7"/>
    </row>
    <row r="8985" hidden="1">
      <c r="A8985" s="7"/>
      <c r="B8985" s="7"/>
      <c r="C8985" s="7"/>
      <c r="D8985" s="7"/>
      <c r="E8985" s="7"/>
      <c r="F8985" s="7"/>
      <c r="G8985" s="7"/>
      <c r="H8985" s="8"/>
      <c r="I8985" s="8"/>
      <c r="J8985" s="7"/>
      <c r="K8985" s="7"/>
      <c r="L8985" s="7"/>
      <c r="M8985" s="7"/>
      <c r="N8985" s="7"/>
      <c r="O8985" s="7"/>
      <c r="P8985" s="7"/>
      <c r="Q8985" s="7"/>
      <c r="R8985" s="7"/>
      <c r="S8985" s="7"/>
      <c r="T8985" s="7"/>
      <c r="U8985" s="7"/>
      <c r="V8985" s="7"/>
      <c r="W8985" s="7"/>
      <c r="X8985" s="7"/>
      <c r="Y8985" s="7"/>
      <c r="Z8985" s="7"/>
    </row>
    <row r="8986" hidden="1">
      <c r="A8986" s="7"/>
      <c r="B8986" s="7"/>
      <c r="C8986" s="7"/>
      <c r="D8986" s="7"/>
      <c r="E8986" s="7"/>
      <c r="F8986" s="7"/>
      <c r="G8986" s="7"/>
      <c r="H8986" s="8"/>
      <c r="I8986" s="8"/>
      <c r="J8986" s="7"/>
      <c r="K8986" s="7"/>
      <c r="L8986" s="7"/>
      <c r="M8986" s="7"/>
      <c r="N8986" s="7"/>
      <c r="O8986" s="7"/>
      <c r="P8986" s="7"/>
      <c r="Q8986" s="7"/>
      <c r="R8986" s="7"/>
      <c r="S8986" s="7"/>
      <c r="T8986" s="7"/>
      <c r="U8986" s="7"/>
      <c r="V8986" s="7"/>
      <c r="W8986" s="7"/>
      <c r="X8986" s="7"/>
      <c r="Y8986" s="7"/>
      <c r="Z8986" s="7"/>
    </row>
    <row r="8987" hidden="1">
      <c r="A8987" s="7"/>
      <c r="B8987" s="7"/>
      <c r="C8987" s="7"/>
      <c r="D8987" s="7"/>
      <c r="E8987" s="7"/>
      <c r="F8987" s="7"/>
      <c r="G8987" s="7"/>
      <c r="H8987" s="8"/>
      <c r="I8987" s="8"/>
      <c r="J8987" s="7"/>
      <c r="K8987" s="7"/>
      <c r="L8987" s="7"/>
      <c r="M8987" s="7"/>
      <c r="N8987" s="7"/>
      <c r="O8987" s="7"/>
      <c r="P8987" s="7"/>
      <c r="Q8987" s="7"/>
      <c r="R8987" s="7"/>
      <c r="S8987" s="7"/>
      <c r="T8987" s="7"/>
      <c r="U8987" s="7"/>
      <c r="V8987" s="7"/>
      <c r="W8987" s="7"/>
      <c r="X8987" s="7"/>
      <c r="Y8987" s="7"/>
      <c r="Z8987" s="7"/>
    </row>
    <row r="8988" hidden="1">
      <c r="A8988" s="7"/>
      <c r="B8988" s="7"/>
      <c r="C8988" s="7"/>
      <c r="D8988" s="7"/>
      <c r="E8988" s="7"/>
      <c r="F8988" s="7"/>
      <c r="G8988" s="7"/>
      <c r="H8988" s="8"/>
      <c r="I8988" s="8"/>
      <c r="J8988" s="7"/>
      <c r="K8988" s="7"/>
      <c r="L8988" s="7"/>
      <c r="M8988" s="7"/>
      <c r="N8988" s="7"/>
      <c r="O8988" s="7"/>
      <c r="P8988" s="7"/>
      <c r="Q8988" s="7"/>
      <c r="R8988" s="7"/>
      <c r="S8988" s="7"/>
      <c r="T8988" s="7"/>
      <c r="U8988" s="7"/>
      <c r="V8988" s="7"/>
      <c r="W8988" s="7"/>
      <c r="X8988" s="7"/>
      <c r="Y8988" s="7"/>
      <c r="Z8988" s="7"/>
    </row>
    <row r="8989" hidden="1">
      <c r="A8989" s="7"/>
      <c r="B8989" s="7"/>
      <c r="C8989" s="7"/>
      <c r="D8989" s="7"/>
      <c r="E8989" s="7"/>
      <c r="F8989" s="7"/>
      <c r="G8989" s="7"/>
      <c r="H8989" s="8"/>
      <c r="I8989" s="8"/>
      <c r="J8989" s="7"/>
      <c r="K8989" s="7"/>
      <c r="L8989" s="7"/>
      <c r="M8989" s="7"/>
      <c r="N8989" s="7"/>
      <c r="O8989" s="7"/>
      <c r="P8989" s="7"/>
      <c r="Q8989" s="7"/>
      <c r="R8989" s="7"/>
      <c r="S8989" s="7"/>
      <c r="T8989" s="7"/>
      <c r="U8989" s="7"/>
      <c r="V8989" s="7"/>
      <c r="W8989" s="7"/>
      <c r="X8989" s="7"/>
      <c r="Y8989" s="7"/>
      <c r="Z8989" s="7"/>
    </row>
    <row r="8990" hidden="1">
      <c r="A8990" s="7"/>
      <c r="B8990" s="7"/>
      <c r="C8990" s="7"/>
      <c r="D8990" s="7"/>
      <c r="E8990" s="7"/>
      <c r="F8990" s="7"/>
      <c r="G8990" s="7"/>
      <c r="H8990" s="8"/>
      <c r="I8990" s="8"/>
      <c r="J8990" s="7"/>
      <c r="K8990" s="7"/>
      <c r="L8990" s="7"/>
      <c r="M8990" s="7"/>
      <c r="N8990" s="7"/>
      <c r="O8990" s="7"/>
      <c r="P8990" s="7"/>
      <c r="Q8990" s="7"/>
      <c r="R8990" s="7"/>
      <c r="S8990" s="7"/>
      <c r="T8990" s="7"/>
      <c r="U8990" s="7"/>
      <c r="V8990" s="7"/>
      <c r="W8990" s="7"/>
      <c r="X8990" s="7"/>
      <c r="Y8990" s="7"/>
      <c r="Z8990" s="7"/>
    </row>
    <row r="8991" hidden="1">
      <c r="A8991" s="7"/>
      <c r="B8991" s="7"/>
      <c r="C8991" s="7"/>
      <c r="D8991" s="7"/>
      <c r="E8991" s="7"/>
      <c r="F8991" s="7"/>
      <c r="G8991" s="7"/>
      <c r="H8991" s="8"/>
      <c r="I8991" s="8"/>
      <c r="J8991" s="7"/>
      <c r="K8991" s="7"/>
      <c r="L8991" s="7"/>
      <c r="M8991" s="7"/>
      <c r="N8991" s="7"/>
      <c r="O8991" s="7"/>
      <c r="P8991" s="7"/>
      <c r="Q8991" s="7"/>
      <c r="R8991" s="7"/>
      <c r="S8991" s="7"/>
      <c r="T8991" s="7"/>
      <c r="U8991" s="7"/>
      <c r="V8991" s="7"/>
      <c r="W8991" s="7"/>
      <c r="X8991" s="7"/>
      <c r="Y8991" s="7"/>
      <c r="Z8991" s="7"/>
    </row>
    <row r="8992" hidden="1">
      <c r="A8992" s="7"/>
      <c r="B8992" s="7"/>
      <c r="C8992" s="7"/>
      <c r="D8992" s="7"/>
      <c r="E8992" s="7"/>
      <c r="F8992" s="7"/>
      <c r="G8992" s="7"/>
      <c r="H8992" s="8"/>
      <c r="I8992" s="8"/>
      <c r="J8992" s="7"/>
      <c r="K8992" s="7"/>
      <c r="L8992" s="7"/>
      <c r="M8992" s="7"/>
      <c r="N8992" s="7"/>
      <c r="O8992" s="7"/>
      <c r="P8992" s="7"/>
      <c r="Q8992" s="7"/>
      <c r="R8992" s="7"/>
      <c r="S8992" s="7"/>
      <c r="T8992" s="7"/>
      <c r="U8992" s="7"/>
      <c r="V8992" s="7"/>
      <c r="W8992" s="7"/>
      <c r="X8992" s="7"/>
      <c r="Y8992" s="7"/>
      <c r="Z8992" s="7"/>
    </row>
    <row r="8993" hidden="1">
      <c r="A8993" s="7"/>
      <c r="B8993" s="7"/>
      <c r="C8993" s="7"/>
      <c r="D8993" s="7"/>
      <c r="E8993" s="7"/>
      <c r="F8993" s="7"/>
      <c r="G8993" s="7"/>
      <c r="H8993" s="8"/>
      <c r="I8993" s="8"/>
      <c r="J8993" s="7"/>
      <c r="K8993" s="7"/>
      <c r="L8993" s="7"/>
      <c r="M8993" s="7"/>
      <c r="N8993" s="7"/>
      <c r="O8993" s="7"/>
      <c r="P8993" s="7"/>
      <c r="Q8993" s="7"/>
      <c r="R8993" s="7"/>
      <c r="S8993" s="7"/>
      <c r="T8993" s="7"/>
      <c r="U8993" s="7"/>
      <c r="V8993" s="7"/>
      <c r="W8993" s="7"/>
      <c r="X8993" s="7"/>
      <c r="Y8993" s="7"/>
      <c r="Z8993" s="7"/>
    </row>
    <row r="8994" hidden="1">
      <c r="A8994" s="7"/>
      <c r="B8994" s="7"/>
      <c r="C8994" s="7"/>
      <c r="D8994" s="7"/>
      <c r="E8994" s="7"/>
      <c r="F8994" s="7"/>
      <c r="G8994" s="7"/>
      <c r="H8994" s="8"/>
      <c r="I8994" s="8"/>
      <c r="J8994" s="7"/>
      <c r="K8994" s="7"/>
      <c r="L8994" s="7"/>
      <c r="M8994" s="7"/>
      <c r="N8994" s="7"/>
      <c r="O8994" s="7"/>
      <c r="P8994" s="7"/>
      <c r="Q8994" s="7"/>
      <c r="R8994" s="7"/>
      <c r="S8994" s="7"/>
      <c r="T8994" s="7"/>
      <c r="U8994" s="7"/>
      <c r="V8994" s="7"/>
      <c r="W8994" s="7"/>
      <c r="X8994" s="7"/>
      <c r="Y8994" s="7"/>
      <c r="Z8994" s="7"/>
    </row>
    <row r="8995" hidden="1">
      <c r="A8995" s="7"/>
      <c r="B8995" s="7"/>
      <c r="C8995" s="7"/>
      <c r="D8995" s="7"/>
      <c r="E8995" s="7"/>
      <c r="F8995" s="7"/>
      <c r="G8995" s="7"/>
      <c r="H8995" s="8"/>
      <c r="I8995" s="8"/>
      <c r="J8995" s="7"/>
      <c r="K8995" s="7"/>
      <c r="L8995" s="7"/>
      <c r="M8995" s="7"/>
      <c r="N8995" s="7"/>
      <c r="O8995" s="7"/>
      <c r="P8995" s="7"/>
      <c r="Q8995" s="7"/>
      <c r="R8995" s="7"/>
      <c r="S8995" s="7"/>
      <c r="T8995" s="7"/>
      <c r="U8995" s="7"/>
      <c r="V8995" s="7"/>
      <c r="W8995" s="7"/>
      <c r="X8995" s="7"/>
      <c r="Y8995" s="7"/>
      <c r="Z8995" s="7"/>
    </row>
    <row r="8996" hidden="1">
      <c r="A8996" s="7"/>
      <c r="B8996" s="7"/>
      <c r="C8996" s="7"/>
      <c r="D8996" s="7"/>
      <c r="E8996" s="7"/>
      <c r="F8996" s="7"/>
      <c r="G8996" s="7"/>
      <c r="H8996" s="8"/>
      <c r="I8996" s="8"/>
      <c r="J8996" s="7"/>
      <c r="K8996" s="7"/>
      <c r="L8996" s="7"/>
      <c r="M8996" s="7"/>
      <c r="N8996" s="7"/>
      <c r="O8996" s="7"/>
      <c r="P8996" s="7"/>
      <c r="Q8996" s="7"/>
      <c r="R8996" s="7"/>
      <c r="S8996" s="7"/>
      <c r="T8996" s="7"/>
      <c r="U8996" s="7"/>
      <c r="V8996" s="7"/>
      <c r="W8996" s="7"/>
      <c r="X8996" s="7"/>
      <c r="Y8996" s="7"/>
      <c r="Z8996" s="7"/>
    </row>
    <row r="8997" hidden="1">
      <c r="A8997" s="7"/>
      <c r="B8997" s="7"/>
      <c r="C8997" s="7"/>
      <c r="D8997" s="7"/>
      <c r="E8997" s="7"/>
      <c r="F8997" s="7"/>
      <c r="G8997" s="7"/>
      <c r="H8997" s="8"/>
      <c r="I8997" s="8"/>
      <c r="J8997" s="7"/>
      <c r="K8997" s="7"/>
      <c r="L8997" s="7"/>
      <c r="M8997" s="7"/>
      <c r="N8997" s="7"/>
      <c r="O8997" s="7"/>
      <c r="P8997" s="7"/>
      <c r="Q8997" s="7"/>
      <c r="R8997" s="7"/>
      <c r="S8997" s="7"/>
      <c r="T8997" s="7"/>
      <c r="U8997" s="7"/>
      <c r="V8997" s="7"/>
      <c r="W8997" s="7"/>
      <c r="X8997" s="7"/>
      <c r="Y8997" s="7"/>
      <c r="Z8997" s="7"/>
    </row>
    <row r="8998" hidden="1">
      <c r="A8998" s="7"/>
      <c r="B8998" s="7"/>
      <c r="C8998" s="7"/>
      <c r="D8998" s="7"/>
      <c r="E8998" s="7"/>
      <c r="F8998" s="7"/>
      <c r="G8998" s="7"/>
      <c r="H8998" s="8"/>
      <c r="I8998" s="8"/>
      <c r="J8998" s="7"/>
      <c r="K8998" s="7"/>
      <c r="L8998" s="7"/>
      <c r="M8998" s="7"/>
      <c r="N8998" s="7"/>
      <c r="O8998" s="7"/>
      <c r="P8998" s="7"/>
      <c r="Q8998" s="7"/>
      <c r="R8998" s="7"/>
      <c r="S8998" s="7"/>
      <c r="T8998" s="7"/>
      <c r="U8998" s="7"/>
      <c r="V8998" s="7"/>
      <c r="W8998" s="7"/>
      <c r="X8998" s="7"/>
      <c r="Y8998" s="7"/>
      <c r="Z8998" s="7"/>
    </row>
    <row r="8999" hidden="1">
      <c r="A8999" s="7"/>
      <c r="B8999" s="7"/>
      <c r="C8999" s="7"/>
      <c r="D8999" s="7"/>
      <c r="E8999" s="7"/>
      <c r="F8999" s="7"/>
      <c r="G8999" s="7"/>
      <c r="H8999" s="8"/>
      <c r="I8999" s="8"/>
      <c r="J8999" s="7"/>
      <c r="K8999" s="7"/>
      <c r="L8999" s="7"/>
      <c r="M8999" s="7"/>
      <c r="N8999" s="7"/>
      <c r="O8999" s="7"/>
      <c r="P8999" s="7"/>
      <c r="Q8999" s="7"/>
      <c r="R8999" s="7"/>
      <c r="S8999" s="7"/>
      <c r="T8999" s="7"/>
      <c r="U8999" s="7"/>
      <c r="V8999" s="7"/>
      <c r="W8999" s="7"/>
      <c r="X8999" s="7"/>
      <c r="Y8999" s="7"/>
      <c r="Z8999" s="7"/>
    </row>
    <row r="9000" hidden="1">
      <c r="A9000" s="7"/>
      <c r="B9000" s="7"/>
      <c r="C9000" s="7"/>
      <c r="D9000" s="7"/>
      <c r="E9000" s="7"/>
      <c r="F9000" s="7"/>
      <c r="G9000" s="7"/>
      <c r="H9000" s="8"/>
      <c r="I9000" s="8"/>
      <c r="J9000" s="7"/>
      <c r="K9000" s="7"/>
      <c r="L9000" s="7"/>
      <c r="M9000" s="7"/>
      <c r="N9000" s="7"/>
      <c r="O9000" s="7"/>
      <c r="P9000" s="7"/>
      <c r="Q9000" s="7"/>
      <c r="R9000" s="7"/>
      <c r="S9000" s="7"/>
      <c r="T9000" s="7"/>
      <c r="U9000" s="7"/>
      <c r="V9000" s="7"/>
      <c r="W9000" s="7"/>
      <c r="X9000" s="7"/>
      <c r="Y9000" s="7"/>
      <c r="Z9000" s="7"/>
    </row>
    <row r="9001" hidden="1">
      <c r="A9001" s="7"/>
      <c r="B9001" s="7"/>
      <c r="C9001" s="7"/>
      <c r="D9001" s="7"/>
      <c r="E9001" s="7"/>
      <c r="F9001" s="7"/>
      <c r="G9001" s="7"/>
      <c r="H9001" s="8"/>
      <c r="I9001" s="8"/>
      <c r="J9001" s="7"/>
      <c r="K9001" s="7"/>
      <c r="L9001" s="7"/>
      <c r="M9001" s="7"/>
      <c r="N9001" s="7"/>
      <c r="O9001" s="7"/>
      <c r="P9001" s="7"/>
      <c r="Q9001" s="7"/>
      <c r="R9001" s="7"/>
      <c r="S9001" s="7"/>
      <c r="T9001" s="7"/>
      <c r="U9001" s="7"/>
      <c r="V9001" s="7"/>
      <c r="W9001" s="7"/>
      <c r="X9001" s="7"/>
      <c r="Y9001" s="7"/>
      <c r="Z9001" s="7"/>
    </row>
    <row r="9002" hidden="1">
      <c r="A9002" s="7"/>
      <c r="B9002" s="7"/>
      <c r="C9002" s="7"/>
      <c r="D9002" s="7"/>
      <c r="E9002" s="7"/>
      <c r="F9002" s="7"/>
      <c r="G9002" s="7"/>
      <c r="H9002" s="8"/>
      <c r="I9002" s="8"/>
      <c r="J9002" s="7"/>
      <c r="K9002" s="7"/>
      <c r="L9002" s="7"/>
      <c r="M9002" s="7"/>
      <c r="N9002" s="7"/>
      <c r="O9002" s="7"/>
      <c r="P9002" s="7"/>
      <c r="Q9002" s="7"/>
      <c r="R9002" s="7"/>
      <c r="S9002" s="7"/>
      <c r="T9002" s="7"/>
      <c r="U9002" s="7"/>
      <c r="V9002" s="7"/>
      <c r="W9002" s="7"/>
      <c r="X9002" s="7"/>
      <c r="Y9002" s="7"/>
      <c r="Z9002" s="7"/>
    </row>
    <row r="9003" hidden="1">
      <c r="A9003" s="7"/>
      <c r="B9003" s="7"/>
      <c r="C9003" s="7"/>
      <c r="D9003" s="7"/>
      <c r="E9003" s="7"/>
      <c r="F9003" s="7"/>
      <c r="G9003" s="7"/>
      <c r="H9003" s="8"/>
      <c r="I9003" s="8"/>
      <c r="J9003" s="7"/>
      <c r="K9003" s="7"/>
      <c r="L9003" s="7"/>
      <c r="M9003" s="7"/>
      <c r="N9003" s="7"/>
      <c r="O9003" s="7"/>
      <c r="P9003" s="7"/>
      <c r="Q9003" s="7"/>
      <c r="R9003" s="7"/>
      <c r="S9003" s="7"/>
      <c r="T9003" s="7"/>
      <c r="U9003" s="7"/>
      <c r="V9003" s="7"/>
      <c r="W9003" s="7"/>
      <c r="X9003" s="7"/>
      <c r="Y9003" s="7"/>
      <c r="Z9003" s="7"/>
    </row>
    <row r="9004" hidden="1">
      <c r="A9004" s="7"/>
      <c r="B9004" s="7"/>
      <c r="C9004" s="7"/>
      <c r="D9004" s="7"/>
      <c r="E9004" s="7"/>
      <c r="F9004" s="7"/>
      <c r="G9004" s="7"/>
      <c r="H9004" s="8"/>
      <c r="I9004" s="8"/>
      <c r="J9004" s="7"/>
      <c r="K9004" s="7"/>
      <c r="L9004" s="7"/>
      <c r="M9004" s="7"/>
      <c r="N9004" s="7"/>
      <c r="O9004" s="7"/>
      <c r="P9004" s="7"/>
      <c r="Q9004" s="7"/>
      <c r="R9004" s="7"/>
      <c r="S9004" s="7"/>
      <c r="T9004" s="7"/>
      <c r="U9004" s="7"/>
      <c r="V9004" s="7"/>
      <c r="W9004" s="7"/>
      <c r="X9004" s="7"/>
      <c r="Y9004" s="7"/>
      <c r="Z9004" s="7"/>
    </row>
    <row r="9005" hidden="1">
      <c r="A9005" s="7"/>
      <c r="B9005" s="7"/>
      <c r="C9005" s="7"/>
      <c r="D9005" s="7"/>
      <c r="E9005" s="7"/>
      <c r="F9005" s="7"/>
      <c r="G9005" s="7"/>
      <c r="H9005" s="8"/>
      <c r="I9005" s="8"/>
      <c r="J9005" s="7"/>
      <c r="K9005" s="7"/>
      <c r="L9005" s="7"/>
      <c r="M9005" s="7"/>
      <c r="N9005" s="7"/>
      <c r="O9005" s="7"/>
      <c r="P9005" s="7"/>
      <c r="Q9005" s="7"/>
      <c r="R9005" s="7"/>
      <c r="S9005" s="7"/>
      <c r="T9005" s="7"/>
      <c r="U9005" s="7"/>
      <c r="V9005" s="7"/>
      <c r="W9005" s="7"/>
      <c r="X9005" s="7"/>
      <c r="Y9005" s="7"/>
      <c r="Z9005" s="7"/>
    </row>
    <row r="9006" hidden="1">
      <c r="A9006" s="7"/>
      <c r="B9006" s="7"/>
      <c r="C9006" s="7"/>
      <c r="D9006" s="7"/>
      <c r="E9006" s="7"/>
      <c r="F9006" s="7"/>
      <c r="G9006" s="7"/>
      <c r="H9006" s="8"/>
      <c r="I9006" s="8"/>
      <c r="J9006" s="7"/>
      <c r="K9006" s="7"/>
      <c r="L9006" s="7"/>
      <c r="M9006" s="7"/>
      <c r="N9006" s="7"/>
      <c r="O9006" s="7"/>
      <c r="P9006" s="7"/>
      <c r="Q9006" s="7"/>
      <c r="R9006" s="7"/>
      <c r="S9006" s="7"/>
      <c r="T9006" s="7"/>
      <c r="U9006" s="7"/>
      <c r="V9006" s="7"/>
      <c r="W9006" s="7"/>
      <c r="X9006" s="7"/>
      <c r="Y9006" s="7"/>
      <c r="Z9006" s="7"/>
    </row>
    <row r="9007" hidden="1">
      <c r="A9007" s="7"/>
      <c r="B9007" s="7"/>
      <c r="C9007" s="7"/>
      <c r="D9007" s="7"/>
      <c r="E9007" s="7"/>
      <c r="F9007" s="7"/>
      <c r="G9007" s="7"/>
      <c r="H9007" s="8"/>
      <c r="I9007" s="8"/>
      <c r="J9007" s="7"/>
      <c r="K9007" s="7"/>
      <c r="L9007" s="7"/>
      <c r="M9007" s="7"/>
      <c r="N9007" s="7"/>
      <c r="O9007" s="7"/>
      <c r="P9007" s="7"/>
      <c r="Q9007" s="7"/>
      <c r="R9007" s="7"/>
      <c r="S9007" s="7"/>
      <c r="T9007" s="7"/>
      <c r="U9007" s="7"/>
      <c r="V9007" s="7"/>
      <c r="W9007" s="7"/>
      <c r="X9007" s="7"/>
      <c r="Y9007" s="7"/>
      <c r="Z9007" s="7"/>
    </row>
    <row r="9008" hidden="1">
      <c r="A9008" s="7"/>
      <c r="B9008" s="7"/>
      <c r="C9008" s="7"/>
      <c r="D9008" s="7"/>
      <c r="E9008" s="7"/>
      <c r="F9008" s="7"/>
      <c r="G9008" s="7"/>
      <c r="H9008" s="8"/>
      <c r="I9008" s="8"/>
      <c r="J9008" s="7"/>
      <c r="K9008" s="7"/>
      <c r="L9008" s="7"/>
      <c r="M9008" s="7"/>
      <c r="N9008" s="7"/>
      <c r="O9008" s="7"/>
      <c r="P9008" s="7"/>
      <c r="Q9008" s="7"/>
      <c r="R9008" s="7"/>
      <c r="S9008" s="7"/>
      <c r="T9008" s="7"/>
      <c r="U9008" s="7"/>
      <c r="V9008" s="7"/>
      <c r="W9008" s="7"/>
      <c r="X9008" s="7"/>
      <c r="Y9008" s="7"/>
      <c r="Z9008" s="7"/>
    </row>
    <row r="9009" hidden="1">
      <c r="A9009" s="7"/>
      <c r="B9009" s="7"/>
      <c r="C9009" s="7"/>
      <c r="D9009" s="7"/>
      <c r="E9009" s="7"/>
      <c r="F9009" s="7"/>
      <c r="G9009" s="7"/>
      <c r="H9009" s="8"/>
      <c r="I9009" s="8"/>
      <c r="J9009" s="7"/>
      <c r="K9009" s="7"/>
      <c r="L9009" s="7"/>
      <c r="M9009" s="7"/>
      <c r="N9009" s="7"/>
      <c r="O9009" s="7"/>
      <c r="P9009" s="7"/>
      <c r="Q9009" s="7"/>
      <c r="R9009" s="7"/>
      <c r="S9009" s="7"/>
      <c r="T9009" s="7"/>
      <c r="U9009" s="7"/>
      <c r="V9009" s="7"/>
      <c r="W9009" s="7"/>
      <c r="X9009" s="7"/>
      <c r="Y9009" s="7"/>
      <c r="Z9009" s="7"/>
    </row>
    <row r="9010" hidden="1">
      <c r="A9010" s="7"/>
      <c r="B9010" s="7"/>
      <c r="C9010" s="7"/>
      <c r="D9010" s="7"/>
      <c r="E9010" s="7"/>
      <c r="F9010" s="7"/>
      <c r="G9010" s="7"/>
      <c r="H9010" s="8"/>
      <c r="I9010" s="8"/>
      <c r="J9010" s="7"/>
      <c r="K9010" s="7"/>
      <c r="L9010" s="7"/>
      <c r="M9010" s="7"/>
      <c r="N9010" s="7"/>
      <c r="O9010" s="7"/>
      <c r="P9010" s="7"/>
      <c r="Q9010" s="7"/>
      <c r="R9010" s="7"/>
      <c r="S9010" s="7"/>
      <c r="T9010" s="7"/>
      <c r="U9010" s="7"/>
      <c r="V9010" s="7"/>
      <c r="W9010" s="7"/>
      <c r="X9010" s="7"/>
      <c r="Y9010" s="7"/>
      <c r="Z9010" s="7"/>
    </row>
    <row r="9011" hidden="1">
      <c r="A9011" s="7"/>
      <c r="B9011" s="7"/>
      <c r="C9011" s="7"/>
      <c r="D9011" s="7"/>
      <c r="E9011" s="7"/>
      <c r="F9011" s="7"/>
      <c r="G9011" s="7"/>
      <c r="H9011" s="8"/>
      <c r="I9011" s="8"/>
      <c r="J9011" s="7"/>
      <c r="K9011" s="7"/>
      <c r="L9011" s="7"/>
      <c r="M9011" s="7"/>
      <c r="N9011" s="7"/>
      <c r="O9011" s="7"/>
      <c r="P9011" s="7"/>
      <c r="Q9011" s="7"/>
      <c r="R9011" s="7"/>
      <c r="S9011" s="7"/>
      <c r="T9011" s="7"/>
      <c r="U9011" s="7"/>
      <c r="V9011" s="7"/>
      <c r="W9011" s="7"/>
      <c r="X9011" s="7"/>
      <c r="Y9011" s="7"/>
      <c r="Z9011" s="7"/>
    </row>
    <row r="9012" hidden="1">
      <c r="A9012" s="7"/>
      <c r="B9012" s="7"/>
      <c r="C9012" s="7"/>
      <c r="D9012" s="7"/>
      <c r="E9012" s="7"/>
      <c r="F9012" s="7"/>
      <c r="G9012" s="7"/>
      <c r="H9012" s="8"/>
      <c r="I9012" s="8"/>
      <c r="J9012" s="7"/>
      <c r="K9012" s="7"/>
      <c r="L9012" s="7"/>
      <c r="M9012" s="7"/>
      <c r="N9012" s="7"/>
      <c r="O9012" s="7"/>
      <c r="P9012" s="7"/>
      <c r="Q9012" s="7"/>
      <c r="R9012" s="7"/>
      <c r="S9012" s="7"/>
      <c r="T9012" s="7"/>
      <c r="U9012" s="7"/>
      <c r="V9012" s="7"/>
      <c r="W9012" s="7"/>
      <c r="X9012" s="7"/>
      <c r="Y9012" s="7"/>
      <c r="Z9012" s="7"/>
    </row>
    <row r="9013" hidden="1">
      <c r="A9013" s="7"/>
      <c r="B9013" s="7"/>
      <c r="C9013" s="7"/>
      <c r="D9013" s="7"/>
      <c r="E9013" s="7"/>
      <c r="F9013" s="7"/>
      <c r="G9013" s="7"/>
      <c r="H9013" s="8"/>
      <c r="I9013" s="8"/>
      <c r="J9013" s="7"/>
      <c r="K9013" s="7"/>
      <c r="L9013" s="7"/>
      <c r="M9013" s="7"/>
      <c r="N9013" s="7"/>
      <c r="O9013" s="7"/>
      <c r="P9013" s="7"/>
      <c r="Q9013" s="7"/>
      <c r="R9013" s="7"/>
      <c r="S9013" s="7"/>
      <c r="T9013" s="7"/>
      <c r="U9013" s="7"/>
      <c r="V9013" s="7"/>
      <c r="W9013" s="7"/>
      <c r="X9013" s="7"/>
      <c r="Y9013" s="7"/>
      <c r="Z9013" s="7"/>
    </row>
    <row r="9014" hidden="1">
      <c r="A9014" s="7"/>
      <c r="B9014" s="7"/>
      <c r="C9014" s="7"/>
      <c r="D9014" s="7"/>
      <c r="E9014" s="7"/>
      <c r="F9014" s="7"/>
      <c r="G9014" s="7"/>
      <c r="H9014" s="8"/>
      <c r="I9014" s="8"/>
      <c r="J9014" s="7"/>
      <c r="K9014" s="7"/>
      <c r="L9014" s="7"/>
      <c r="M9014" s="7"/>
      <c r="N9014" s="7"/>
      <c r="O9014" s="7"/>
      <c r="P9014" s="7"/>
      <c r="Q9014" s="7"/>
      <c r="R9014" s="7"/>
      <c r="S9014" s="7"/>
      <c r="T9014" s="7"/>
      <c r="U9014" s="7"/>
      <c r="V9014" s="7"/>
      <c r="W9014" s="7"/>
      <c r="X9014" s="7"/>
      <c r="Y9014" s="7"/>
      <c r="Z9014" s="7"/>
    </row>
    <row r="9015" hidden="1">
      <c r="A9015" s="7"/>
      <c r="B9015" s="7"/>
      <c r="C9015" s="7"/>
      <c r="D9015" s="7"/>
      <c r="E9015" s="7"/>
      <c r="F9015" s="7"/>
      <c r="G9015" s="7"/>
      <c r="H9015" s="8"/>
      <c r="I9015" s="8"/>
      <c r="J9015" s="7"/>
      <c r="K9015" s="7"/>
      <c r="L9015" s="7"/>
      <c r="M9015" s="7"/>
      <c r="N9015" s="7"/>
      <c r="O9015" s="7"/>
      <c r="P9015" s="7"/>
      <c r="Q9015" s="7"/>
      <c r="R9015" s="7"/>
      <c r="S9015" s="7"/>
      <c r="T9015" s="7"/>
      <c r="U9015" s="7"/>
      <c r="V9015" s="7"/>
      <c r="W9015" s="7"/>
      <c r="X9015" s="7"/>
      <c r="Y9015" s="7"/>
      <c r="Z9015" s="7"/>
    </row>
    <row r="9016" hidden="1">
      <c r="A9016" s="7"/>
      <c r="B9016" s="7"/>
      <c r="C9016" s="7"/>
      <c r="D9016" s="7"/>
      <c r="E9016" s="7"/>
      <c r="F9016" s="7"/>
      <c r="G9016" s="7"/>
      <c r="H9016" s="8"/>
      <c r="I9016" s="8"/>
      <c r="J9016" s="7"/>
      <c r="K9016" s="7"/>
      <c r="L9016" s="7"/>
      <c r="M9016" s="7"/>
      <c r="N9016" s="7"/>
      <c r="O9016" s="7"/>
      <c r="P9016" s="7"/>
      <c r="Q9016" s="7"/>
      <c r="R9016" s="7"/>
      <c r="S9016" s="7"/>
      <c r="T9016" s="7"/>
      <c r="U9016" s="7"/>
      <c r="V9016" s="7"/>
      <c r="W9016" s="7"/>
      <c r="X9016" s="7"/>
      <c r="Y9016" s="7"/>
      <c r="Z9016" s="7"/>
    </row>
    <row r="9017" hidden="1">
      <c r="A9017" s="7"/>
      <c r="B9017" s="7"/>
      <c r="C9017" s="7"/>
      <c r="D9017" s="7"/>
      <c r="E9017" s="7"/>
      <c r="F9017" s="7"/>
      <c r="G9017" s="7"/>
      <c r="H9017" s="8"/>
      <c r="I9017" s="8"/>
      <c r="J9017" s="7"/>
      <c r="K9017" s="7"/>
      <c r="L9017" s="7"/>
      <c r="M9017" s="7"/>
      <c r="N9017" s="7"/>
      <c r="O9017" s="7"/>
      <c r="P9017" s="7"/>
      <c r="Q9017" s="7"/>
      <c r="R9017" s="7"/>
      <c r="S9017" s="7"/>
      <c r="T9017" s="7"/>
      <c r="U9017" s="7"/>
      <c r="V9017" s="7"/>
      <c r="W9017" s="7"/>
      <c r="X9017" s="7"/>
      <c r="Y9017" s="7"/>
      <c r="Z9017" s="7"/>
    </row>
    <row r="9018" hidden="1">
      <c r="A9018" s="7"/>
      <c r="B9018" s="7"/>
      <c r="C9018" s="7"/>
      <c r="D9018" s="7"/>
      <c r="E9018" s="7"/>
      <c r="F9018" s="7"/>
      <c r="G9018" s="7"/>
      <c r="H9018" s="8"/>
      <c r="I9018" s="8"/>
      <c r="J9018" s="7"/>
      <c r="K9018" s="7"/>
      <c r="L9018" s="7"/>
      <c r="M9018" s="7"/>
      <c r="N9018" s="7"/>
      <c r="O9018" s="7"/>
      <c r="P9018" s="7"/>
      <c r="Q9018" s="7"/>
      <c r="R9018" s="7"/>
      <c r="S9018" s="7"/>
      <c r="T9018" s="7"/>
      <c r="U9018" s="7"/>
      <c r="V9018" s="7"/>
      <c r="W9018" s="7"/>
      <c r="X9018" s="7"/>
      <c r="Y9018" s="7"/>
      <c r="Z9018" s="7"/>
    </row>
    <row r="9019" hidden="1">
      <c r="A9019" s="7"/>
      <c r="B9019" s="7"/>
      <c r="C9019" s="7"/>
      <c r="D9019" s="7"/>
      <c r="E9019" s="7"/>
      <c r="F9019" s="7"/>
      <c r="G9019" s="7"/>
      <c r="H9019" s="8"/>
      <c r="I9019" s="8"/>
      <c r="J9019" s="7"/>
      <c r="K9019" s="7"/>
      <c r="L9019" s="7"/>
      <c r="M9019" s="7"/>
      <c r="N9019" s="7"/>
      <c r="O9019" s="7"/>
      <c r="P9019" s="7"/>
      <c r="Q9019" s="7"/>
      <c r="R9019" s="7"/>
      <c r="S9019" s="7"/>
      <c r="T9019" s="7"/>
      <c r="U9019" s="7"/>
      <c r="V9019" s="7"/>
      <c r="W9019" s="7"/>
      <c r="X9019" s="7"/>
      <c r="Y9019" s="7"/>
      <c r="Z9019" s="7"/>
    </row>
    <row r="9020" hidden="1">
      <c r="A9020" s="7"/>
      <c r="B9020" s="7"/>
      <c r="C9020" s="7"/>
      <c r="D9020" s="7"/>
      <c r="E9020" s="7"/>
      <c r="F9020" s="7"/>
      <c r="G9020" s="7"/>
      <c r="H9020" s="8"/>
      <c r="I9020" s="8"/>
      <c r="J9020" s="7"/>
      <c r="K9020" s="7"/>
      <c r="L9020" s="7"/>
      <c r="M9020" s="7"/>
      <c r="N9020" s="7"/>
      <c r="O9020" s="7"/>
      <c r="P9020" s="7"/>
      <c r="Q9020" s="7"/>
      <c r="R9020" s="7"/>
      <c r="S9020" s="7"/>
      <c r="T9020" s="7"/>
      <c r="U9020" s="7"/>
      <c r="V9020" s="7"/>
      <c r="W9020" s="7"/>
      <c r="X9020" s="7"/>
      <c r="Y9020" s="7"/>
      <c r="Z9020" s="7"/>
    </row>
    <row r="9021" hidden="1">
      <c r="A9021" s="7"/>
      <c r="B9021" s="7"/>
      <c r="C9021" s="7"/>
      <c r="D9021" s="7"/>
      <c r="E9021" s="7"/>
      <c r="F9021" s="7"/>
      <c r="G9021" s="7"/>
      <c r="H9021" s="8"/>
      <c r="I9021" s="8"/>
      <c r="J9021" s="7"/>
      <c r="K9021" s="7"/>
      <c r="L9021" s="7"/>
      <c r="M9021" s="7"/>
      <c r="N9021" s="7"/>
      <c r="O9021" s="7"/>
      <c r="P9021" s="7"/>
      <c r="Q9021" s="7"/>
      <c r="R9021" s="7"/>
      <c r="S9021" s="7"/>
      <c r="T9021" s="7"/>
      <c r="U9021" s="7"/>
      <c r="V9021" s="7"/>
      <c r="W9021" s="7"/>
      <c r="X9021" s="7"/>
      <c r="Y9021" s="7"/>
      <c r="Z9021" s="7"/>
    </row>
    <row r="9022" hidden="1">
      <c r="A9022" s="7"/>
      <c r="B9022" s="7"/>
      <c r="C9022" s="7"/>
      <c r="D9022" s="7"/>
      <c r="E9022" s="7"/>
      <c r="F9022" s="7"/>
      <c r="G9022" s="7"/>
      <c r="H9022" s="8"/>
      <c r="I9022" s="8"/>
      <c r="J9022" s="7"/>
      <c r="K9022" s="7"/>
      <c r="L9022" s="7"/>
      <c r="M9022" s="7"/>
      <c r="N9022" s="7"/>
      <c r="O9022" s="7"/>
      <c r="P9022" s="7"/>
      <c r="Q9022" s="7"/>
      <c r="R9022" s="7"/>
      <c r="S9022" s="7"/>
      <c r="T9022" s="7"/>
      <c r="U9022" s="7"/>
      <c r="V9022" s="7"/>
      <c r="W9022" s="7"/>
      <c r="X9022" s="7"/>
      <c r="Y9022" s="7"/>
      <c r="Z9022" s="7"/>
    </row>
    <row r="9023" hidden="1">
      <c r="A9023" s="7"/>
      <c r="B9023" s="7"/>
      <c r="C9023" s="7"/>
      <c r="D9023" s="7"/>
      <c r="E9023" s="7"/>
      <c r="F9023" s="7"/>
      <c r="G9023" s="7"/>
      <c r="H9023" s="8"/>
      <c r="I9023" s="8"/>
      <c r="J9023" s="7"/>
      <c r="K9023" s="7"/>
      <c r="L9023" s="7"/>
      <c r="M9023" s="7"/>
      <c r="N9023" s="7"/>
      <c r="O9023" s="7"/>
      <c r="P9023" s="7"/>
      <c r="Q9023" s="7"/>
      <c r="R9023" s="7"/>
      <c r="S9023" s="7"/>
      <c r="T9023" s="7"/>
      <c r="U9023" s="7"/>
      <c r="V9023" s="7"/>
      <c r="W9023" s="7"/>
      <c r="X9023" s="7"/>
      <c r="Y9023" s="7"/>
      <c r="Z9023" s="7"/>
    </row>
    <row r="9024" hidden="1">
      <c r="A9024" s="7"/>
      <c r="B9024" s="7"/>
      <c r="C9024" s="7"/>
      <c r="D9024" s="7"/>
      <c r="E9024" s="7"/>
      <c r="F9024" s="7"/>
      <c r="G9024" s="7"/>
      <c r="H9024" s="8"/>
      <c r="I9024" s="8"/>
      <c r="J9024" s="7"/>
      <c r="K9024" s="7"/>
      <c r="L9024" s="7"/>
      <c r="M9024" s="7"/>
      <c r="N9024" s="7"/>
      <c r="O9024" s="7"/>
      <c r="P9024" s="7"/>
      <c r="Q9024" s="7"/>
      <c r="R9024" s="7"/>
      <c r="S9024" s="7"/>
      <c r="T9024" s="7"/>
      <c r="U9024" s="7"/>
      <c r="V9024" s="7"/>
      <c r="W9024" s="7"/>
      <c r="X9024" s="7"/>
      <c r="Y9024" s="7"/>
      <c r="Z9024" s="7"/>
    </row>
    <row r="9025" hidden="1">
      <c r="A9025" s="7"/>
      <c r="B9025" s="7"/>
      <c r="C9025" s="7"/>
      <c r="D9025" s="7"/>
      <c r="E9025" s="7"/>
      <c r="F9025" s="7"/>
      <c r="G9025" s="7"/>
      <c r="H9025" s="8"/>
      <c r="I9025" s="8"/>
      <c r="J9025" s="7"/>
      <c r="K9025" s="7"/>
      <c r="L9025" s="7"/>
      <c r="M9025" s="7"/>
      <c r="N9025" s="7"/>
      <c r="O9025" s="7"/>
      <c r="P9025" s="7"/>
      <c r="Q9025" s="7"/>
      <c r="R9025" s="7"/>
      <c r="S9025" s="7"/>
      <c r="T9025" s="7"/>
      <c r="U9025" s="7"/>
      <c r="V9025" s="7"/>
      <c r="W9025" s="7"/>
      <c r="X9025" s="7"/>
      <c r="Y9025" s="7"/>
      <c r="Z9025" s="7"/>
    </row>
    <row r="9026" hidden="1">
      <c r="A9026" s="7"/>
      <c r="B9026" s="7"/>
      <c r="C9026" s="7"/>
      <c r="D9026" s="7"/>
      <c r="E9026" s="7"/>
      <c r="F9026" s="7"/>
      <c r="G9026" s="7"/>
      <c r="H9026" s="8"/>
      <c r="I9026" s="8"/>
      <c r="J9026" s="7"/>
      <c r="K9026" s="7"/>
      <c r="L9026" s="7"/>
      <c r="M9026" s="7"/>
      <c r="N9026" s="7"/>
      <c r="O9026" s="7"/>
      <c r="P9026" s="7"/>
      <c r="Q9026" s="7"/>
      <c r="R9026" s="7"/>
      <c r="S9026" s="7"/>
      <c r="T9026" s="7"/>
      <c r="U9026" s="7"/>
      <c r="V9026" s="7"/>
      <c r="W9026" s="7"/>
      <c r="X9026" s="7"/>
      <c r="Y9026" s="7"/>
      <c r="Z9026" s="7"/>
    </row>
    <row r="9027" hidden="1">
      <c r="A9027" s="7"/>
      <c r="B9027" s="7"/>
      <c r="C9027" s="7"/>
      <c r="D9027" s="7"/>
      <c r="E9027" s="7"/>
      <c r="F9027" s="7"/>
      <c r="G9027" s="7"/>
      <c r="H9027" s="8"/>
      <c r="I9027" s="8"/>
      <c r="J9027" s="7"/>
      <c r="K9027" s="7"/>
      <c r="L9027" s="7"/>
      <c r="M9027" s="7"/>
      <c r="N9027" s="7"/>
      <c r="O9027" s="7"/>
      <c r="P9027" s="7"/>
      <c r="Q9027" s="7"/>
      <c r="R9027" s="7"/>
      <c r="S9027" s="7"/>
      <c r="T9027" s="7"/>
      <c r="U9027" s="7"/>
      <c r="V9027" s="7"/>
      <c r="W9027" s="7"/>
      <c r="X9027" s="7"/>
      <c r="Y9027" s="7"/>
      <c r="Z9027" s="7"/>
    </row>
    <row r="9028" hidden="1">
      <c r="A9028" s="7"/>
      <c r="B9028" s="7"/>
      <c r="C9028" s="7"/>
      <c r="D9028" s="7"/>
      <c r="E9028" s="7"/>
      <c r="F9028" s="7"/>
      <c r="G9028" s="7"/>
      <c r="H9028" s="8"/>
      <c r="I9028" s="8"/>
      <c r="J9028" s="7"/>
      <c r="K9028" s="7"/>
      <c r="L9028" s="7"/>
      <c r="M9028" s="7"/>
      <c r="N9028" s="7"/>
      <c r="O9028" s="7"/>
      <c r="P9028" s="7"/>
      <c r="Q9028" s="7"/>
      <c r="R9028" s="7"/>
      <c r="S9028" s="7"/>
      <c r="T9028" s="7"/>
      <c r="U9028" s="7"/>
      <c r="V9028" s="7"/>
      <c r="W9028" s="7"/>
      <c r="X9028" s="7"/>
      <c r="Y9028" s="7"/>
      <c r="Z9028" s="7"/>
    </row>
    <row r="9029" hidden="1">
      <c r="A9029" s="7"/>
      <c r="B9029" s="7"/>
      <c r="C9029" s="7"/>
      <c r="D9029" s="7"/>
      <c r="E9029" s="7"/>
      <c r="F9029" s="7"/>
      <c r="G9029" s="7"/>
      <c r="H9029" s="8"/>
      <c r="I9029" s="8"/>
      <c r="J9029" s="7"/>
      <c r="K9029" s="7"/>
      <c r="L9029" s="7"/>
      <c r="M9029" s="7"/>
      <c r="N9029" s="7"/>
      <c r="O9029" s="7"/>
      <c r="P9029" s="7"/>
      <c r="Q9029" s="7"/>
      <c r="R9029" s="7"/>
      <c r="S9029" s="7"/>
      <c r="T9029" s="7"/>
      <c r="U9029" s="7"/>
      <c r="V9029" s="7"/>
      <c r="W9029" s="7"/>
      <c r="X9029" s="7"/>
      <c r="Y9029" s="7"/>
      <c r="Z9029" s="7"/>
    </row>
    <row r="9030" hidden="1">
      <c r="A9030" s="7"/>
      <c r="B9030" s="7"/>
      <c r="C9030" s="7"/>
      <c r="D9030" s="7"/>
      <c r="E9030" s="7"/>
      <c r="F9030" s="7"/>
      <c r="G9030" s="7"/>
      <c r="H9030" s="8"/>
      <c r="I9030" s="8"/>
      <c r="J9030" s="7"/>
      <c r="K9030" s="7"/>
      <c r="L9030" s="7"/>
      <c r="M9030" s="7"/>
      <c r="N9030" s="7"/>
      <c r="O9030" s="7"/>
      <c r="P9030" s="7"/>
      <c r="Q9030" s="7"/>
      <c r="R9030" s="7"/>
      <c r="S9030" s="7"/>
      <c r="T9030" s="7"/>
      <c r="U9030" s="7"/>
      <c r="V9030" s="7"/>
      <c r="W9030" s="7"/>
      <c r="X9030" s="7"/>
      <c r="Y9030" s="7"/>
      <c r="Z9030" s="7"/>
    </row>
    <row r="9031" hidden="1">
      <c r="A9031" s="7"/>
      <c r="B9031" s="7"/>
      <c r="C9031" s="7"/>
      <c r="D9031" s="7"/>
      <c r="E9031" s="7"/>
      <c r="F9031" s="7"/>
      <c r="G9031" s="7"/>
      <c r="H9031" s="8"/>
      <c r="I9031" s="8"/>
      <c r="J9031" s="7"/>
      <c r="K9031" s="7"/>
      <c r="L9031" s="7"/>
      <c r="M9031" s="7"/>
      <c r="N9031" s="7"/>
      <c r="O9031" s="7"/>
      <c r="P9031" s="7"/>
      <c r="Q9031" s="7"/>
      <c r="R9031" s="7"/>
      <c r="S9031" s="7"/>
      <c r="T9031" s="7"/>
      <c r="U9031" s="7"/>
      <c r="V9031" s="7"/>
      <c r="W9031" s="7"/>
      <c r="X9031" s="7"/>
      <c r="Y9031" s="7"/>
      <c r="Z9031" s="7"/>
    </row>
    <row r="9032" hidden="1">
      <c r="A9032" s="7"/>
      <c r="B9032" s="7"/>
      <c r="C9032" s="7"/>
      <c r="D9032" s="7"/>
      <c r="E9032" s="7"/>
      <c r="F9032" s="7"/>
      <c r="G9032" s="7"/>
      <c r="H9032" s="8"/>
      <c r="I9032" s="8"/>
      <c r="J9032" s="7"/>
      <c r="K9032" s="7"/>
      <c r="L9032" s="7"/>
      <c r="M9032" s="7"/>
      <c r="N9032" s="7"/>
      <c r="O9032" s="7"/>
      <c r="P9032" s="7"/>
      <c r="Q9032" s="7"/>
      <c r="R9032" s="7"/>
      <c r="S9032" s="7"/>
      <c r="T9032" s="7"/>
      <c r="U9032" s="7"/>
      <c r="V9032" s="7"/>
      <c r="W9032" s="7"/>
      <c r="X9032" s="7"/>
      <c r="Y9032" s="7"/>
      <c r="Z9032" s="7"/>
    </row>
    <row r="9033" hidden="1">
      <c r="A9033" s="7"/>
      <c r="B9033" s="7"/>
      <c r="C9033" s="7"/>
      <c r="D9033" s="7"/>
      <c r="E9033" s="7"/>
      <c r="F9033" s="7"/>
      <c r="G9033" s="7"/>
      <c r="H9033" s="8"/>
      <c r="I9033" s="8"/>
      <c r="J9033" s="7"/>
      <c r="K9033" s="7"/>
      <c r="L9033" s="7"/>
      <c r="M9033" s="7"/>
      <c r="N9033" s="7"/>
      <c r="O9033" s="7"/>
      <c r="P9033" s="7"/>
      <c r="Q9033" s="7"/>
      <c r="R9033" s="7"/>
      <c r="S9033" s="7"/>
      <c r="T9033" s="7"/>
      <c r="U9033" s="7"/>
      <c r="V9033" s="7"/>
      <c r="W9033" s="7"/>
      <c r="X9033" s="7"/>
      <c r="Y9033" s="7"/>
      <c r="Z9033" s="7"/>
    </row>
    <row r="9034" hidden="1">
      <c r="A9034" s="7"/>
      <c r="B9034" s="7"/>
      <c r="C9034" s="7"/>
      <c r="D9034" s="7"/>
      <c r="E9034" s="7"/>
      <c r="F9034" s="7"/>
      <c r="G9034" s="7"/>
      <c r="H9034" s="8"/>
      <c r="I9034" s="8"/>
      <c r="J9034" s="7"/>
      <c r="K9034" s="7"/>
      <c r="L9034" s="7"/>
      <c r="M9034" s="7"/>
      <c r="N9034" s="7"/>
      <c r="O9034" s="7"/>
      <c r="P9034" s="7"/>
      <c r="Q9034" s="7"/>
      <c r="R9034" s="7"/>
      <c r="S9034" s="7"/>
      <c r="T9034" s="7"/>
      <c r="U9034" s="7"/>
      <c r="V9034" s="7"/>
      <c r="W9034" s="7"/>
      <c r="X9034" s="7"/>
      <c r="Y9034" s="7"/>
      <c r="Z9034" s="7"/>
    </row>
    <row r="9035" hidden="1">
      <c r="A9035" s="7"/>
      <c r="B9035" s="7"/>
      <c r="C9035" s="7"/>
      <c r="D9035" s="7"/>
      <c r="E9035" s="7"/>
      <c r="F9035" s="7"/>
      <c r="G9035" s="7"/>
      <c r="H9035" s="8"/>
      <c r="I9035" s="8"/>
      <c r="J9035" s="7"/>
      <c r="K9035" s="7"/>
      <c r="L9035" s="7"/>
      <c r="M9035" s="7"/>
      <c r="N9035" s="7"/>
      <c r="O9035" s="7"/>
      <c r="P9035" s="7"/>
      <c r="Q9035" s="7"/>
      <c r="R9035" s="7"/>
      <c r="S9035" s="7"/>
      <c r="T9035" s="7"/>
      <c r="U9035" s="7"/>
      <c r="V9035" s="7"/>
      <c r="W9035" s="7"/>
      <c r="X9035" s="7"/>
      <c r="Y9035" s="7"/>
      <c r="Z9035" s="7"/>
    </row>
    <row r="9036" hidden="1">
      <c r="A9036" s="7"/>
      <c r="B9036" s="7"/>
      <c r="C9036" s="7"/>
      <c r="D9036" s="7"/>
      <c r="E9036" s="7"/>
      <c r="F9036" s="7"/>
      <c r="G9036" s="7"/>
      <c r="H9036" s="8"/>
      <c r="I9036" s="8"/>
      <c r="J9036" s="7"/>
      <c r="K9036" s="7"/>
      <c r="L9036" s="7"/>
      <c r="M9036" s="7"/>
      <c r="N9036" s="7"/>
      <c r="O9036" s="7"/>
      <c r="P9036" s="7"/>
      <c r="Q9036" s="7"/>
      <c r="R9036" s="7"/>
      <c r="S9036" s="7"/>
      <c r="T9036" s="7"/>
      <c r="U9036" s="7"/>
      <c r="V9036" s="7"/>
      <c r="W9036" s="7"/>
      <c r="X9036" s="7"/>
      <c r="Y9036" s="7"/>
      <c r="Z9036" s="7"/>
    </row>
    <row r="9037" hidden="1">
      <c r="A9037" s="7"/>
      <c r="B9037" s="7"/>
      <c r="C9037" s="7"/>
      <c r="D9037" s="7"/>
      <c r="E9037" s="7"/>
      <c r="F9037" s="7"/>
      <c r="G9037" s="7"/>
      <c r="H9037" s="8"/>
      <c r="I9037" s="8"/>
      <c r="J9037" s="7"/>
      <c r="K9037" s="7"/>
      <c r="L9037" s="7"/>
      <c r="M9037" s="7"/>
      <c r="N9037" s="7"/>
      <c r="O9037" s="7"/>
      <c r="P9037" s="7"/>
      <c r="Q9037" s="7"/>
      <c r="R9037" s="7"/>
      <c r="S9037" s="7"/>
      <c r="T9037" s="7"/>
      <c r="U9037" s="7"/>
      <c r="V9037" s="7"/>
      <c r="W9037" s="7"/>
      <c r="X9037" s="7"/>
      <c r="Y9037" s="7"/>
      <c r="Z9037" s="7"/>
    </row>
    <row r="9038" hidden="1">
      <c r="A9038" s="7"/>
      <c r="B9038" s="7"/>
      <c r="C9038" s="7"/>
      <c r="D9038" s="7"/>
      <c r="E9038" s="7"/>
      <c r="F9038" s="7"/>
      <c r="G9038" s="7"/>
      <c r="H9038" s="8"/>
      <c r="I9038" s="8"/>
      <c r="J9038" s="7"/>
      <c r="K9038" s="7"/>
      <c r="L9038" s="7"/>
      <c r="M9038" s="7"/>
      <c r="N9038" s="7"/>
      <c r="O9038" s="7"/>
      <c r="P9038" s="7"/>
      <c r="Q9038" s="7"/>
      <c r="R9038" s="7"/>
      <c r="S9038" s="7"/>
      <c r="T9038" s="7"/>
      <c r="U9038" s="7"/>
      <c r="V9038" s="7"/>
      <c r="W9038" s="7"/>
      <c r="X9038" s="7"/>
      <c r="Y9038" s="7"/>
      <c r="Z9038" s="7"/>
    </row>
    <row r="9039" hidden="1">
      <c r="A9039" s="7"/>
      <c r="B9039" s="7"/>
      <c r="C9039" s="7"/>
      <c r="D9039" s="7"/>
      <c r="E9039" s="7"/>
      <c r="F9039" s="7"/>
      <c r="G9039" s="7"/>
      <c r="H9039" s="8"/>
      <c r="I9039" s="8"/>
      <c r="J9039" s="7"/>
      <c r="K9039" s="7"/>
      <c r="L9039" s="7"/>
      <c r="M9039" s="7"/>
      <c r="N9039" s="7"/>
      <c r="O9039" s="7"/>
      <c r="P9039" s="7"/>
      <c r="Q9039" s="7"/>
      <c r="R9039" s="7"/>
      <c r="S9039" s="7"/>
      <c r="T9039" s="7"/>
      <c r="U9039" s="7"/>
      <c r="V9039" s="7"/>
      <c r="W9039" s="7"/>
      <c r="X9039" s="7"/>
      <c r="Y9039" s="7"/>
      <c r="Z9039" s="7"/>
    </row>
    <row r="9040" hidden="1">
      <c r="A9040" s="7"/>
      <c r="B9040" s="7"/>
      <c r="C9040" s="7"/>
      <c r="D9040" s="7"/>
      <c r="E9040" s="7"/>
      <c r="F9040" s="7"/>
      <c r="G9040" s="7"/>
      <c r="H9040" s="8"/>
      <c r="I9040" s="8"/>
      <c r="J9040" s="7"/>
      <c r="K9040" s="7"/>
      <c r="L9040" s="7"/>
      <c r="M9040" s="7"/>
      <c r="N9040" s="7"/>
      <c r="O9040" s="7"/>
      <c r="P9040" s="7"/>
      <c r="Q9040" s="7"/>
      <c r="R9040" s="7"/>
      <c r="S9040" s="7"/>
      <c r="T9040" s="7"/>
      <c r="U9040" s="7"/>
      <c r="V9040" s="7"/>
      <c r="W9040" s="7"/>
      <c r="X9040" s="7"/>
      <c r="Y9040" s="7"/>
      <c r="Z9040" s="7"/>
    </row>
    <row r="9041" hidden="1">
      <c r="A9041" s="7"/>
      <c r="B9041" s="7"/>
      <c r="C9041" s="7"/>
      <c r="D9041" s="7"/>
      <c r="E9041" s="7"/>
      <c r="F9041" s="7"/>
      <c r="G9041" s="7"/>
      <c r="H9041" s="8"/>
      <c r="I9041" s="8"/>
      <c r="J9041" s="7"/>
      <c r="K9041" s="7"/>
      <c r="L9041" s="7"/>
      <c r="M9041" s="7"/>
      <c r="N9041" s="7"/>
      <c r="O9041" s="7"/>
      <c r="P9041" s="7"/>
      <c r="Q9041" s="7"/>
      <c r="R9041" s="7"/>
      <c r="S9041" s="7"/>
      <c r="T9041" s="7"/>
      <c r="U9041" s="7"/>
      <c r="V9041" s="7"/>
      <c r="W9041" s="7"/>
      <c r="X9041" s="7"/>
      <c r="Y9041" s="7"/>
      <c r="Z9041" s="7"/>
    </row>
    <row r="9042" hidden="1">
      <c r="A9042" s="7"/>
      <c r="B9042" s="7"/>
      <c r="C9042" s="7"/>
      <c r="D9042" s="7"/>
      <c r="E9042" s="7"/>
      <c r="F9042" s="7"/>
      <c r="G9042" s="7"/>
      <c r="H9042" s="8"/>
      <c r="I9042" s="8"/>
      <c r="J9042" s="7"/>
      <c r="K9042" s="7"/>
      <c r="L9042" s="7"/>
      <c r="M9042" s="7"/>
      <c r="N9042" s="7"/>
      <c r="O9042" s="7"/>
      <c r="P9042" s="7"/>
      <c r="Q9042" s="7"/>
      <c r="R9042" s="7"/>
      <c r="S9042" s="7"/>
      <c r="T9042" s="7"/>
      <c r="U9042" s="7"/>
      <c r="V9042" s="7"/>
      <c r="W9042" s="7"/>
      <c r="X9042" s="7"/>
      <c r="Y9042" s="7"/>
      <c r="Z9042" s="7"/>
    </row>
    <row r="9043" hidden="1">
      <c r="A9043" s="7"/>
      <c r="B9043" s="7"/>
      <c r="C9043" s="7"/>
      <c r="D9043" s="7"/>
      <c r="E9043" s="7"/>
      <c r="F9043" s="7"/>
      <c r="G9043" s="7"/>
      <c r="H9043" s="8"/>
      <c r="I9043" s="8"/>
      <c r="J9043" s="7"/>
      <c r="K9043" s="7"/>
      <c r="L9043" s="7"/>
      <c r="M9043" s="7"/>
      <c r="N9043" s="7"/>
      <c r="O9043" s="7"/>
      <c r="P9043" s="7"/>
      <c r="Q9043" s="7"/>
      <c r="R9043" s="7"/>
      <c r="S9043" s="7"/>
      <c r="T9043" s="7"/>
      <c r="U9043" s="7"/>
      <c r="V9043" s="7"/>
      <c r="W9043" s="7"/>
      <c r="X9043" s="7"/>
      <c r="Y9043" s="7"/>
      <c r="Z9043" s="7"/>
    </row>
    <row r="9044" hidden="1">
      <c r="A9044" s="7"/>
      <c r="B9044" s="7"/>
      <c r="C9044" s="7"/>
      <c r="D9044" s="7"/>
      <c r="E9044" s="7"/>
      <c r="F9044" s="7"/>
      <c r="G9044" s="7"/>
      <c r="H9044" s="8"/>
      <c r="I9044" s="8"/>
      <c r="J9044" s="7"/>
      <c r="K9044" s="7"/>
      <c r="L9044" s="7"/>
      <c r="M9044" s="7"/>
      <c r="N9044" s="7"/>
      <c r="O9044" s="7"/>
      <c r="P9044" s="7"/>
      <c r="Q9044" s="7"/>
      <c r="R9044" s="7"/>
      <c r="S9044" s="7"/>
      <c r="T9044" s="7"/>
      <c r="U9044" s="7"/>
      <c r="V9044" s="7"/>
      <c r="W9044" s="7"/>
      <c r="X9044" s="7"/>
      <c r="Y9044" s="7"/>
      <c r="Z9044" s="7"/>
    </row>
    <row r="9045" hidden="1">
      <c r="A9045" s="7"/>
      <c r="B9045" s="7"/>
      <c r="C9045" s="7"/>
      <c r="D9045" s="7"/>
      <c r="E9045" s="7"/>
      <c r="F9045" s="7"/>
      <c r="G9045" s="7"/>
      <c r="H9045" s="8"/>
      <c r="I9045" s="8"/>
      <c r="J9045" s="7"/>
      <c r="K9045" s="7"/>
      <c r="L9045" s="7"/>
      <c r="M9045" s="7"/>
      <c r="N9045" s="7"/>
      <c r="O9045" s="7"/>
      <c r="P9045" s="7"/>
      <c r="Q9045" s="7"/>
      <c r="R9045" s="7"/>
      <c r="S9045" s="7"/>
      <c r="T9045" s="7"/>
      <c r="U9045" s="7"/>
      <c r="V9045" s="7"/>
      <c r="W9045" s="7"/>
      <c r="X9045" s="7"/>
      <c r="Y9045" s="7"/>
      <c r="Z9045" s="7"/>
    </row>
    <row r="9046" hidden="1">
      <c r="A9046" s="7"/>
      <c r="B9046" s="7"/>
      <c r="C9046" s="7"/>
      <c r="D9046" s="7"/>
      <c r="E9046" s="7"/>
      <c r="F9046" s="7"/>
      <c r="G9046" s="7"/>
      <c r="H9046" s="8"/>
      <c r="I9046" s="8"/>
      <c r="J9046" s="7"/>
      <c r="K9046" s="7"/>
      <c r="L9046" s="7"/>
      <c r="M9046" s="7"/>
      <c r="N9046" s="7"/>
      <c r="O9046" s="7"/>
      <c r="P9046" s="7"/>
      <c r="Q9046" s="7"/>
      <c r="R9046" s="7"/>
      <c r="S9046" s="7"/>
      <c r="T9046" s="7"/>
      <c r="U9046" s="7"/>
      <c r="V9046" s="7"/>
      <c r="W9046" s="7"/>
      <c r="X9046" s="7"/>
      <c r="Y9046" s="7"/>
      <c r="Z9046" s="7"/>
    </row>
    <row r="9047" hidden="1">
      <c r="A9047" s="7"/>
      <c r="B9047" s="7"/>
      <c r="C9047" s="7"/>
      <c r="D9047" s="7"/>
      <c r="E9047" s="7"/>
      <c r="F9047" s="7"/>
      <c r="G9047" s="7"/>
      <c r="H9047" s="8"/>
      <c r="I9047" s="8"/>
      <c r="J9047" s="7"/>
      <c r="K9047" s="7"/>
      <c r="L9047" s="7"/>
      <c r="M9047" s="7"/>
      <c r="N9047" s="7"/>
      <c r="O9047" s="7"/>
      <c r="P9047" s="7"/>
      <c r="Q9047" s="7"/>
      <c r="R9047" s="7"/>
      <c r="S9047" s="7"/>
      <c r="T9047" s="7"/>
      <c r="U9047" s="7"/>
      <c r="V9047" s="7"/>
      <c r="W9047" s="7"/>
      <c r="X9047" s="7"/>
      <c r="Y9047" s="7"/>
      <c r="Z9047" s="7"/>
    </row>
    <row r="9048" hidden="1">
      <c r="A9048" s="7"/>
      <c r="B9048" s="7"/>
      <c r="C9048" s="7"/>
      <c r="D9048" s="7"/>
      <c r="E9048" s="7"/>
      <c r="F9048" s="7"/>
      <c r="G9048" s="7"/>
      <c r="H9048" s="8"/>
      <c r="I9048" s="8"/>
      <c r="J9048" s="7"/>
      <c r="K9048" s="7"/>
      <c r="L9048" s="7"/>
      <c r="M9048" s="7"/>
      <c r="N9048" s="7"/>
      <c r="O9048" s="7"/>
      <c r="P9048" s="7"/>
      <c r="Q9048" s="7"/>
      <c r="R9048" s="7"/>
      <c r="S9048" s="7"/>
      <c r="T9048" s="7"/>
      <c r="U9048" s="7"/>
      <c r="V9048" s="7"/>
      <c r="W9048" s="7"/>
      <c r="X9048" s="7"/>
      <c r="Y9048" s="7"/>
      <c r="Z9048" s="7"/>
    </row>
    <row r="9049" hidden="1">
      <c r="A9049" s="7"/>
      <c r="B9049" s="7"/>
      <c r="C9049" s="7"/>
      <c r="D9049" s="7"/>
      <c r="E9049" s="7"/>
      <c r="F9049" s="7"/>
      <c r="G9049" s="7"/>
      <c r="H9049" s="8"/>
      <c r="I9049" s="8"/>
      <c r="J9049" s="7"/>
      <c r="K9049" s="7"/>
      <c r="L9049" s="7"/>
      <c r="M9049" s="7"/>
      <c r="N9049" s="7"/>
      <c r="O9049" s="7"/>
      <c r="P9049" s="7"/>
      <c r="Q9049" s="7"/>
      <c r="R9049" s="7"/>
      <c r="S9049" s="7"/>
      <c r="T9049" s="7"/>
      <c r="U9049" s="7"/>
      <c r="V9049" s="7"/>
      <c r="W9049" s="7"/>
      <c r="X9049" s="7"/>
      <c r="Y9049" s="7"/>
      <c r="Z9049" s="7"/>
    </row>
    <row r="9050" hidden="1">
      <c r="A9050" s="7"/>
      <c r="B9050" s="7"/>
      <c r="C9050" s="7"/>
      <c r="D9050" s="7"/>
      <c r="E9050" s="7"/>
      <c r="F9050" s="7"/>
      <c r="G9050" s="7"/>
      <c r="H9050" s="8"/>
      <c r="I9050" s="8"/>
      <c r="J9050" s="7"/>
      <c r="K9050" s="7"/>
      <c r="L9050" s="7"/>
      <c r="M9050" s="7"/>
      <c r="N9050" s="7"/>
      <c r="O9050" s="7"/>
      <c r="P9050" s="7"/>
      <c r="Q9050" s="7"/>
      <c r="R9050" s="7"/>
      <c r="S9050" s="7"/>
      <c r="T9050" s="7"/>
      <c r="U9050" s="7"/>
      <c r="V9050" s="7"/>
      <c r="W9050" s="7"/>
      <c r="X9050" s="7"/>
      <c r="Y9050" s="7"/>
      <c r="Z9050" s="7"/>
    </row>
    <row r="9051" hidden="1">
      <c r="A9051" s="7"/>
      <c r="B9051" s="7"/>
      <c r="C9051" s="7"/>
      <c r="D9051" s="7"/>
      <c r="E9051" s="7"/>
      <c r="F9051" s="7"/>
      <c r="G9051" s="7"/>
      <c r="H9051" s="8"/>
      <c r="I9051" s="8"/>
      <c r="J9051" s="7"/>
      <c r="K9051" s="7"/>
      <c r="L9051" s="7"/>
      <c r="M9051" s="7"/>
      <c r="N9051" s="7"/>
      <c r="O9051" s="7"/>
      <c r="P9051" s="7"/>
      <c r="Q9051" s="7"/>
      <c r="R9051" s="7"/>
      <c r="S9051" s="7"/>
      <c r="T9051" s="7"/>
      <c r="U9051" s="7"/>
      <c r="V9051" s="7"/>
      <c r="W9051" s="7"/>
      <c r="X9051" s="7"/>
      <c r="Y9051" s="7"/>
      <c r="Z9051" s="7"/>
    </row>
    <row r="9052" hidden="1">
      <c r="A9052" s="7"/>
      <c r="B9052" s="7"/>
      <c r="C9052" s="7"/>
      <c r="D9052" s="7"/>
      <c r="E9052" s="7"/>
      <c r="F9052" s="7"/>
      <c r="G9052" s="7"/>
      <c r="H9052" s="8"/>
      <c r="I9052" s="8"/>
      <c r="J9052" s="7"/>
      <c r="K9052" s="7"/>
      <c r="L9052" s="7"/>
      <c r="M9052" s="7"/>
      <c r="N9052" s="7"/>
      <c r="O9052" s="7"/>
      <c r="P9052" s="7"/>
      <c r="Q9052" s="7"/>
      <c r="R9052" s="7"/>
      <c r="S9052" s="7"/>
      <c r="T9052" s="7"/>
      <c r="U9052" s="7"/>
      <c r="V9052" s="7"/>
      <c r="W9052" s="7"/>
      <c r="X9052" s="7"/>
      <c r="Y9052" s="7"/>
      <c r="Z9052" s="7"/>
    </row>
    <row r="9053" hidden="1">
      <c r="A9053" s="7"/>
      <c r="B9053" s="7"/>
      <c r="C9053" s="7"/>
      <c r="D9053" s="7"/>
      <c r="E9053" s="7"/>
      <c r="F9053" s="7"/>
      <c r="G9053" s="7"/>
      <c r="H9053" s="8"/>
      <c r="I9053" s="8"/>
      <c r="J9053" s="7"/>
      <c r="K9053" s="7"/>
      <c r="L9053" s="7"/>
      <c r="M9053" s="7"/>
      <c r="N9053" s="7"/>
      <c r="O9053" s="7"/>
      <c r="P9053" s="7"/>
      <c r="Q9053" s="7"/>
      <c r="R9053" s="7"/>
      <c r="S9053" s="7"/>
      <c r="T9053" s="7"/>
      <c r="U9053" s="7"/>
      <c r="V9053" s="7"/>
      <c r="W9053" s="7"/>
      <c r="X9053" s="7"/>
      <c r="Y9053" s="7"/>
      <c r="Z9053" s="7"/>
    </row>
    <row r="9054" hidden="1">
      <c r="A9054" s="7"/>
      <c r="B9054" s="7"/>
      <c r="C9054" s="7"/>
      <c r="D9054" s="7"/>
      <c r="E9054" s="7"/>
      <c r="F9054" s="7"/>
      <c r="G9054" s="7"/>
      <c r="H9054" s="8"/>
      <c r="I9054" s="8"/>
      <c r="J9054" s="7"/>
      <c r="K9054" s="7"/>
      <c r="L9054" s="7"/>
      <c r="M9054" s="7"/>
      <c r="N9054" s="7"/>
      <c r="O9054" s="7"/>
      <c r="P9054" s="7"/>
      <c r="Q9054" s="7"/>
      <c r="R9054" s="7"/>
      <c r="S9054" s="7"/>
      <c r="T9054" s="7"/>
      <c r="U9054" s="7"/>
      <c r="V9054" s="7"/>
      <c r="W9054" s="7"/>
      <c r="X9054" s="7"/>
      <c r="Y9054" s="7"/>
      <c r="Z9054" s="7"/>
    </row>
    <row r="9055" hidden="1">
      <c r="A9055" s="7"/>
      <c r="B9055" s="7"/>
      <c r="C9055" s="7"/>
      <c r="D9055" s="7"/>
      <c r="E9055" s="7"/>
      <c r="F9055" s="7"/>
      <c r="G9055" s="7"/>
      <c r="H9055" s="8"/>
      <c r="I9055" s="8"/>
      <c r="J9055" s="7"/>
      <c r="K9055" s="7"/>
      <c r="L9055" s="7"/>
      <c r="M9055" s="7"/>
      <c r="N9055" s="7"/>
      <c r="O9055" s="7"/>
      <c r="P9055" s="7"/>
      <c r="Q9055" s="7"/>
      <c r="R9055" s="7"/>
      <c r="S9055" s="7"/>
      <c r="T9055" s="7"/>
      <c r="U9055" s="7"/>
      <c r="V9055" s="7"/>
      <c r="W9055" s="7"/>
      <c r="X9055" s="7"/>
      <c r="Y9055" s="7"/>
      <c r="Z9055" s="7"/>
    </row>
    <row r="9056" hidden="1">
      <c r="A9056" s="7"/>
      <c r="B9056" s="7"/>
      <c r="C9056" s="7"/>
      <c r="D9056" s="7"/>
      <c r="E9056" s="7"/>
      <c r="F9056" s="7"/>
      <c r="G9056" s="7"/>
      <c r="H9056" s="8"/>
      <c r="I9056" s="8"/>
      <c r="J9056" s="7"/>
      <c r="K9056" s="7"/>
      <c r="L9056" s="7"/>
      <c r="M9056" s="7"/>
      <c r="N9056" s="7"/>
      <c r="O9056" s="7"/>
      <c r="P9056" s="7"/>
      <c r="Q9056" s="7"/>
      <c r="R9056" s="7"/>
      <c r="S9056" s="7"/>
      <c r="T9056" s="7"/>
      <c r="U9056" s="7"/>
      <c r="V9056" s="7"/>
      <c r="W9056" s="7"/>
      <c r="X9056" s="7"/>
      <c r="Y9056" s="7"/>
      <c r="Z9056" s="7"/>
    </row>
    <row r="9057" hidden="1">
      <c r="A9057" s="7"/>
      <c r="B9057" s="7"/>
      <c r="C9057" s="7"/>
      <c r="D9057" s="7"/>
      <c r="E9057" s="7"/>
      <c r="F9057" s="7"/>
      <c r="G9057" s="7"/>
      <c r="H9057" s="8"/>
      <c r="I9057" s="8"/>
      <c r="J9057" s="7"/>
      <c r="K9057" s="7"/>
      <c r="L9057" s="7"/>
      <c r="M9057" s="7"/>
      <c r="N9057" s="7"/>
      <c r="O9057" s="7"/>
      <c r="P9057" s="7"/>
      <c r="Q9057" s="7"/>
      <c r="R9057" s="7"/>
      <c r="S9057" s="7"/>
      <c r="T9057" s="7"/>
      <c r="U9057" s="7"/>
      <c r="V9057" s="7"/>
      <c r="W9057" s="7"/>
      <c r="X9057" s="7"/>
      <c r="Y9057" s="7"/>
      <c r="Z9057" s="7"/>
    </row>
    <row r="9058" hidden="1">
      <c r="A9058" s="7"/>
      <c r="B9058" s="7"/>
      <c r="C9058" s="7"/>
      <c r="D9058" s="7"/>
      <c r="E9058" s="7"/>
      <c r="F9058" s="7"/>
      <c r="G9058" s="7"/>
      <c r="H9058" s="8"/>
      <c r="I9058" s="8"/>
      <c r="J9058" s="7"/>
      <c r="K9058" s="7"/>
      <c r="L9058" s="7"/>
      <c r="M9058" s="7"/>
      <c r="N9058" s="7"/>
      <c r="O9058" s="7"/>
      <c r="P9058" s="7"/>
      <c r="Q9058" s="7"/>
      <c r="R9058" s="7"/>
      <c r="S9058" s="7"/>
      <c r="T9058" s="7"/>
      <c r="U9058" s="7"/>
      <c r="V9058" s="7"/>
      <c r="W9058" s="7"/>
      <c r="X9058" s="7"/>
      <c r="Y9058" s="7"/>
      <c r="Z9058" s="7"/>
    </row>
    <row r="9059" hidden="1">
      <c r="A9059" s="7"/>
      <c r="B9059" s="7"/>
      <c r="C9059" s="7"/>
      <c r="D9059" s="7"/>
      <c r="E9059" s="7"/>
      <c r="F9059" s="7"/>
      <c r="G9059" s="7"/>
      <c r="H9059" s="8"/>
      <c r="I9059" s="8"/>
      <c r="J9059" s="7"/>
      <c r="K9059" s="7"/>
      <c r="L9059" s="7"/>
      <c r="M9059" s="7"/>
      <c r="N9059" s="7"/>
      <c r="O9059" s="7"/>
      <c r="P9059" s="7"/>
      <c r="Q9059" s="7"/>
      <c r="R9059" s="7"/>
      <c r="S9059" s="7"/>
      <c r="T9059" s="7"/>
      <c r="U9059" s="7"/>
      <c r="V9059" s="7"/>
      <c r="W9059" s="7"/>
      <c r="X9059" s="7"/>
      <c r="Y9059" s="7"/>
      <c r="Z9059" s="7"/>
    </row>
    <row r="9060" hidden="1">
      <c r="A9060" s="7"/>
      <c r="B9060" s="7"/>
      <c r="C9060" s="7"/>
      <c r="D9060" s="7"/>
      <c r="E9060" s="7"/>
      <c r="F9060" s="7"/>
      <c r="G9060" s="7"/>
      <c r="H9060" s="8"/>
      <c r="I9060" s="8"/>
      <c r="J9060" s="7"/>
      <c r="K9060" s="7"/>
      <c r="L9060" s="7"/>
      <c r="M9060" s="7"/>
      <c r="N9060" s="7"/>
      <c r="O9060" s="7"/>
      <c r="P9060" s="7"/>
      <c r="Q9060" s="7"/>
      <c r="R9060" s="7"/>
      <c r="S9060" s="7"/>
      <c r="T9060" s="7"/>
      <c r="U9060" s="7"/>
      <c r="V9060" s="7"/>
      <c r="W9060" s="7"/>
      <c r="X9060" s="7"/>
      <c r="Y9060" s="7"/>
      <c r="Z9060" s="7"/>
    </row>
    <row r="9061" hidden="1">
      <c r="A9061" s="7"/>
      <c r="B9061" s="7"/>
      <c r="C9061" s="7"/>
      <c r="D9061" s="7"/>
      <c r="E9061" s="7"/>
      <c r="F9061" s="7"/>
      <c r="G9061" s="7"/>
      <c r="H9061" s="8"/>
      <c r="I9061" s="8"/>
      <c r="J9061" s="7"/>
      <c r="K9061" s="7"/>
      <c r="L9061" s="7"/>
      <c r="M9061" s="7"/>
      <c r="N9061" s="7"/>
      <c r="O9061" s="7"/>
      <c r="P9061" s="7"/>
      <c r="Q9061" s="7"/>
      <c r="R9061" s="7"/>
      <c r="S9061" s="7"/>
      <c r="T9061" s="7"/>
      <c r="U9061" s="7"/>
      <c r="V9061" s="7"/>
      <c r="W9061" s="7"/>
      <c r="X9061" s="7"/>
      <c r="Y9061" s="7"/>
      <c r="Z9061" s="7"/>
    </row>
    <row r="9062" hidden="1">
      <c r="A9062" s="7"/>
      <c r="B9062" s="7"/>
      <c r="C9062" s="7"/>
      <c r="D9062" s="7"/>
      <c r="E9062" s="7"/>
      <c r="F9062" s="7"/>
      <c r="G9062" s="7"/>
      <c r="H9062" s="8"/>
      <c r="I9062" s="8"/>
      <c r="J9062" s="7"/>
      <c r="K9062" s="7"/>
      <c r="L9062" s="7"/>
      <c r="M9062" s="7"/>
      <c r="N9062" s="7"/>
      <c r="O9062" s="7"/>
      <c r="P9062" s="7"/>
      <c r="Q9062" s="7"/>
      <c r="R9062" s="7"/>
      <c r="S9062" s="7"/>
      <c r="T9062" s="7"/>
      <c r="U9062" s="7"/>
      <c r="V9062" s="7"/>
      <c r="W9062" s="7"/>
      <c r="X9062" s="7"/>
      <c r="Y9062" s="7"/>
      <c r="Z9062" s="7"/>
    </row>
    <row r="9063" hidden="1">
      <c r="A9063" s="7"/>
      <c r="B9063" s="7"/>
      <c r="C9063" s="7"/>
      <c r="D9063" s="7"/>
      <c r="E9063" s="7"/>
      <c r="F9063" s="7"/>
      <c r="G9063" s="7"/>
      <c r="H9063" s="8"/>
      <c r="I9063" s="8"/>
      <c r="J9063" s="7"/>
      <c r="K9063" s="7"/>
      <c r="L9063" s="7"/>
      <c r="M9063" s="7"/>
      <c r="N9063" s="7"/>
      <c r="O9063" s="7"/>
      <c r="P9063" s="7"/>
      <c r="Q9063" s="7"/>
      <c r="R9063" s="7"/>
      <c r="S9063" s="7"/>
      <c r="T9063" s="7"/>
      <c r="U9063" s="7"/>
      <c r="V9063" s="7"/>
      <c r="W9063" s="7"/>
      <c r="X9063" s="7"/>
      <c r="Y9063" s="7"/>
      <c r="Z9063" s="7"/>
    </row>
    <row r="9064" hidden="1">
      <c r="A9064" s="7"/>
      <c r="B9064" s="7"/>
      <c r="C9064" s="7"/>
      <c r="D9064" s="7"/>
      <c r="E9064" s="7"/>
      <c r="F9064" s="7"/>
      <c r="G9064" s="7"/>
      <c r="H9064" s="8"/>
      <c r="I9064" s="8"/>
      <c r="J9064" s="7"/>
      <c r="K9064" s="7"/>
      <c r="L9064" s="7"/>
      <c r="M9064" s="7"/>
      <c r="N9064" s="7"/>
      <c r="O9064" s="7"/>
      <c r="P9064" s="7"/>
      <c r="Q9064" s="7"/>
      <c r="R9064" s="7"/>
      <c r="S9064" s="7"/>
      <c r="T9064" s="7"/>
      <c r="U9064" s="7"/>
      <c r="V9064" s="7"/>
      <c r="W9064" s="7"/>
      <c r="X9064" s="7"/>
      <c r="Y9064" s="7"/>
      <c r="Z9064" s="7"/>
    </row>
    <row r="9065" hidden="1">
      <c r="A9065" s="7"/>
      <c r="B9065" s="7"/>
      <c r="C9065" s="7"/>
      <c r="D9065" s="7"/>
      <c r="E9065" s="7"/>
      <c r="F9065" s="7"/>
      <c r="G9065" s="7"/>
      <c r="H9065" s="8"/>
      <c r="I9065" s="8"/>
      <c r="J9065" s="7"/>
      <c r="K9065" s="7"/>
      <c r="L9065" s="7"/>
      <c r="M9065" s="7"/>
      <c r="N9065" s="7"/>
      <c r="O9065" s="7"/>
      <c r="P9065" s="7"/>
      <c r="Q9065" s="7"/>
      <c r="R9065" s="7"/>
      <c r="S9065" s="7"/>
      <c r="T9065" s="7"/>
      <c r="U9065" s="7"/>
      <c r="V9065" s="7"/>
      <c r="W9065" s="7"/>
      <c r="X9065" s="7"/>
      <c r="Y9065" s="7"/>
      <c r="Z9065" s="7"/>
    </row>
    <row r="9066" hidden="1">
      <c r="A9066" s="7"/>
      <c r="B9066" s="7"/>
      <c r="C9066" s="7"/>
      <c r="D9066" s="7"/>
      <c r="E9066" s="7"/>
      <c r="F9066" s="7"/>
      <c r="G9066" s="7"/>
      <c r="H9066" s="8"/>
      <c r="I9066" s="8"/>
      <c r="J9066" s="7"/>
      <c r="K9066" s="7"/>
      <c r="L9066" s="7"/>
      <c r="M9066" s="7"/>
      <c r="N9066" s="7"/>
      <c r="O9066" s="7"/>
      <c r="P9066" s="7"/>
      <c r="Q9066" s="7"/>
      <c r="R9066" s="7"/>
      <c r="S9066" s="7"/>
      <c r="T9066" s="7"/>
      <c r="U9066" s="7"/>
      <c r="V9066" s="7"/>
      <c r="W9066" s="7"/>
      <c r="X9066" s="7"/>
      <c r="Y9066" s="7"/>
      <c r="Z9066" s="7"/>
    </row>
    <row r="9067" hidden="1">
      <c r="A9067" s="7"/>
      <c r="B9067" s="7"/>
      <c r="C9067" s="7"/>
      <c r="D9067" s="7"/>
      <c r="E9067" s="7"/>
      <c r="F9067" s="7"/>
      <c r="G9067" s="7"/>
      <c r="H9067" s="8"/>
      <c r="I9067" s="8"/>
      <c r="J9067" s="7"/>
      <c r="K9067" s="7"/>
      <c r="L9067" s="7"/>
      <c r="M9067" s="7"/>
      <c r="N9067" s="7"/>
      <c r="O9067" s="7"/>
      <c r="P9067" s="7"/>
      <c r="Q9067" s="7"/>
      <c r="R9067" s="7"/>
      <c r="S9067" s="7"/>
      <c r="T9067" s="7"/>
      <c r="U9067" s="7"/>
      <c r="V9067" s="7"/>
      <c r="W9067" s="7"/>
      <c r="X9067" s="7"/>
      <c r="Y9067" s="7"/>
      <c r="Z9067" s="7"/>
    </row>
    <row r="9068" hidden="1">
      <c r="A9068" s="7"/>
      <c r="B9068" s="7"/>
      <c r="C9068" s="7"/>
      <c r="D9068" s="7"/>
      <c r="E9068" s="7"/>
      <c r="F9068" s="7"/>
      <c r="G9068" s="7"/>
      <c r="H9068" s="8"/>
      <c r="I9068" s="8"/>
      <c r="J9068" s="7"/>
      <c r="K9068" s="7"/>
      <c r="L9068" s="7"/>
      <c r="M9068" s="7"/>
      <c r="N9068" s="7"/>
      <c r="O9068" s="7"/>
      <c r="P9068" s="7"/>
      <c r="Q9068" s="7"/>
      <c r="R9068" s="7"/>
      <c r="S9068" s="7"/>
      <c r="T9068" s="7"/>
      <c r="U9068" s="7"/>
      <c r="V9068" s="7"/>
      <c r="W9068" s="7"/>
      <c r="X9068" s="7"/>
      <c r="Y9068" s="7"/>
      <c r="Z9068" s="7"/>
    </row>
    <row r="9069" hidden="1">
      <c r="A9069" s="7"/>
      <c r="B9069" s="7"/>
      <c r="C9069" s="7"/>
      <c r="D9069" s="7"/>
      <c r="E9069" s="7"/>
      <c r="F9069" s="7"/>
      <c r="G9069" s="7"/>
      <c r="H9069" s="8"/>
      <c r="I9069" s="8"/>
      <c r="J9069" s="7"/>
      <c r="K9069" s="7"/>
      <c r="L9069" s="7"/>
      <c r="M9069" s="7"/>
      <c r="N9069" s="7"/>
      <c r="O9069" s="7"/>
      <c r="P9069" s="7"/>
      <c r="Q9069" s="7"/>
      <c r="R9069" s="7"/>
      <c r="S9069" s="7"/>
      <c r="T9069" s="7"/>
      <c r="U9069" s="7"/>
      <c r="V9069" s="7"/>
      <c r="W9069" s="7"/>
      <c r="X9069" s="7"/>
      <c r="Y9069" s="7"/>
      <c r="Z9069" s="7"/>
    </row>
    <row r="9070" hidden="1">
      <c r="A9070" s="7"/>
      <c r="B9070" s="7"/>
      <c r="C9070" s="7"/>
      <c r="D9070" s="7"/>
      <c r="E9070" s="7"/>
      <c r="F9070" s="7"/>
      <c r="G9070" s="7"/>
      <c r="H9070" s="8"/>
      <c r="I9070" s="8"/>
      <c r="J9070" s="7"/>
      <c r="K9070" s="7"/>
      <c r="L9070" s="7"/>
      <c r="M9070" s="7"/>
      <c r="N9070" s="7"/>
      <c r="O9070" s="7"/>
      <c r="P9070" s="7"/>
      <c r="Q9070" s="7"/>
      <c r="R9070" s="7"/>
      <c r="S9070" s="7"/>
      <c r="T9070" s="7"/>
      <c r="U9070" s="7"/>
      <c r="V9070" s="7"/>
      <c r="W9070" s="7"/>
      <c r="X9070" s="7"/>
      <c r="Y9070" s="7"/>
      <c r="Z9070" s="7"/>
    </row>
    <row r="9071" hidden="1">
      <c r="A9071" s="7"/>
      <c r="B9071" s="7"/>
      <c r="C9071" s="7"/>
      <c r="D9071" s="7"/>
      <c r="E9071" s="7"/>
      <c r="F9071" s="7"/>
      <c r="G9071" s="7"/>
      <c r="H9071" s="8"/>
      <c r="I9071" s="8"/>
      <c r="J9071" s="7"/>
      <c r="K9071" s="7"/>
      <c r="L9071" s="7"/>
      <c r="M9071" s="7"/>
      <c r="N9071" s="7"/>
      <c r="O9071" s="7"/>
      <c r="P9071" s="7"/>
      <c r="Q9071" s="7"/>
      <c r="R9071" s="7"/>
      <c r="S9071" s="7"/>
      <c r="T9071" s="7"/>
      <c r="U9071" s="7"/>
      <c r="V9071" s="7"/>
      <c r="W9071" s="7"/>
      <c r="X9071" s="7"/>
      <c r="Y9071" s="7"/>
      <c r="Z9071" s="7"/>
    </row>
    <row r="9072" hidden="1">
      <c r="A9072" s="7"/>
      <c r="B9072" s="7"/>
      <c r="C9072" s="7"/>
      <c r="D9072" s="7"/>
      <c r="E9072" s="7"/>
      <c r="F9072" s="7"/>
      <c r="G9072" s="7"/>
      <c r="H9072" s="8"/>
      <c r="I9072" s="8"/>
      <c r="J9072" s="7"/>
      <c r="K9072" s="7"/>
      <c r="L9072" s="7"/>
      <c r="M9072" s="7"/>
      <c r="N9072" s="7"/>
      <c r="O9072" s="7"/>
      <c r="P9072" s="7"/>
      <c r="Q9072" s="7"/>
      <c r="R9072" s="7"/>
      <c r="S9072" s="7"/>
      <c r="T9072" s="7"/>
      <c r="U9072" s="7"/>
      <c r="V9072" s="7"/>
      <c r="W9072" s="7"/>
      <c r="X9072" s="7"/>
      <c r="Y9072" s="7"/>
      <c r="Z9072" s="7"/>
    </row>
    <row r="9073" hidden="1">
      <c r="A9073" s="7"/>
      <c r="B9073" s="7"/>
      <c r="C9073" s="7"/>
      <c r="D9073" s="7"/>
      <c r="E9073" s="7"/>
      <c r="F9073" s="7"/>
      <c r="G9073" s="7"/>
      <c r="H9073" s="8"/>
      <c r="I9073" s="8"/>
      <c r="J9073" s="7"/>
      <c r="K9073" s="7"/>
      <c r="L9073" s="7"/>
      <c r="M9073" s="7"/>
      <c r="N9073" s="7"/>
      <c r="O9073" s="7"/>
      <c r="P9073" s="7"/>
      <c r="Q9073" s="7"/>
      <c r="R9073" s="7"/>
      <c r="S9073" s="7"/>
      <c r="T9073" s="7"/>
      <c r="U9073" s="7"/>
      <c r="V9073" s="7"/>
      <c r="W9073" s="7"/>
      <c r="X9073" s="7"/>
      <c r="Y9073" s="7"/>
      <c r="Z9073" s="7"/>
    </row>
    <row r="9074" hidden="1">
      <c r="A9074" s="7"/>
      <c r="B9074" s="7"/>
      <c r="C9074" s="7"/>
      <c r="D9074" s="7"/>
      <c r="E9074" s="7"/>
      <c r="F9074" s="7"/>
      <c r="G9074" s="7"/>
      <c r="H9074" s="8"/>
      <c r="I9074" s="8"/>
      <c r="J9074" s="7"/>
      <c r="K9074" s="7"/>
      <c r="L9074" s="7"/>
      <c r="M9074" s="7"/>
      <c r="N9074" s="7"/>
      <c r="O9074" s="7"/>
      <c r="P9074" s="7"/>
      <c r="Q9074" s="7"/>
      <c r="R9074" s="7"/>
      <c r="S9074" s="7"/>
      <c r="T9074" s="7"/>
      <c r="U9074" s="7"/>
      <c r="V9074" s="7"/>
      <c r="W9074" s="7"/>
      <c r="X9074" s="7"/>
      <c r="Y9074" s="7"/>
      <c r="Z9074" s="7"/>
    </row>
    <row r="9075" hidden="1">
      <c r="A9075" s="7"/>
      <c r="B9075" s="7"/>
      <c r="C9075" s="7"/>
      <c r="D9075" s="7"/>
      <c r="E9075" s="7"/>
      <c r="F9075" s="7"/>
      <c r="G9075" s="7"/>
      <c r="H9075" s="8"/>
      <c r="I9075" s="8"/>
      <c r="J9075" s="7"/>
      <c r="K9075" s="7"/>
      <c r="L9075" s="7"/>
      <c r="M9075" s="7"/>
      <c r="N9075" s="7"/>
      <c r="O9075" s="7"/>
      <c r="P9075" s="7"/>
      <c r="Q9075" s="7"/>
      <c r="R9075" s="7"/>
      <c r="S9075" s="7"/>
      <c r="T9075" s="7"/>
      <c r="U9075" s="7"/>
      <c r="V9075" s="7"/>
      <c r="W9075" s="7"/>
      <c r="X9075" s="7"/>
      <c r="Y9075" s="7"/>
      <c r="Z9075" s="7"/>
    </row>
    <row r="9076" hidden="1">
      <c r="A9076" s="7"/>
      <c r="B9076" s="7"/>
      <c r="C9076" s="7"/>
      <c r="D9076" s="7"/>
      <c r="E9076" s="7"/>
      <c r="F9076" s="7"/>
      <c r="G9076" s="7"/>
      <c r="H9076" s="8"/>
      <c r="I9076" s="8"/>
      <c r="J9076" s="7"/>
      <c r="K9076" s="7"/>
      <c r="L9076" s="7"/>
      <c r="M9076" s="7"/>
      <c r="N9076" s="7"/>
      <c r="O9076" s="7"/>
      <c r="P9076" s="7"/>
      <c r="Q9076" s="7"/>
      <c r="R9076" s="7"/>
      <c r="S9076" s="7"/>
      <c r="T9076" s="7"/>
      <c r="U9076" s="7"/>
      <c r="V9076" s="7"/>
      <c r="W9076" s="7"/>
      <c r="X9076" s="7"/>
      <c r="Y9076" s="7"/>
      <c r="Z9076" s="7"/>
    </row>
    <row r="9077" hidden="1">
      <c r="A9077" s="7"/>
      <c r="B9077" s="7"/>
      <c r="C9077" s="7"/>
      <c r="D9077" s="7"/>
      <c r="E9077" s="7"/>
      <c r="F9077" s="7"/>
      <c r="G9077" s="7"/>
      <c r="H9077" s="8"/>
      <c r="I9077" s="8"/>
      <c r="J9077" s="7"/>
      <c r="K9077" s="7"/>
      <c r="L9077" s="7"/>
      <c r="M9077" s="7"/>
      <c r="N9077" s="7"/>
      <c r="O9077" s="7"/>
      <c r="P9077" s="7"/>
      <c r="Q9077" s="7"/>
      <c r="R9077" s="7"/>
      <c r="S9077" s="7"/>
      <c r="T9077" s="7"/>
      <c r="U9077" s="7"/>
      <c r="V9077" s="7"/>
      <c r="W9077" s="7"/>
      <c r="X9077" s="7"/>
      <c r="Y9077" s="7"/>
      <c r="Z9077" s="7"/>
    </row>
    <row r="9078" hidden="1">
      <c r="A9078" s="7"/>
      <c r="B9078" s="7"/>
      <c r="C9078" s="7"/>
      <c r="D9078" s="7"/>
      <c r="E9078" s="7"/>
      <c r="F9078" s="7"/>
      <c r="G9078" s="7"/>
      <c r="H9078" s="8"/>
      <c r="I9078" s="8"/>
      <c r="J9078" s="7"/>
      <c r="K9078" s="7"/>
      <c r="L9078" s="7"/>
      <c r="M9078" s="7"/>
      <c r="N9078" s="7"/>
      <c r="O9078" s="7"/>
      <c r="P9078" s="7"/>
      <c r="Q9078" s="7"/>
      <c r="R9078" s="7"/>
      <c r="S9078" s="7"/>
      <c r="T9078" s="7"/>
      <c r="U9078" s="7"/>
      <c r="V9078" s="7"/>
      <c r="W9078" s="7"/>
      <c r="X9078" s="7"/>
      <c r="Y9078" s="7"/>
      <c r="Z9078" s="7"/>
    </row>
    <row r="9079" hidden="1">
      <c r="A9079" s="7"/>
      <c r="B9079" s="7"/>
      <c r="C9079" s="7"/>
      <c r="D9079" s="7"/>
      <c r="E9079" s="7"/>
      <c r="F9079" s="7"/>
      <c r="G9079" s="7"/>
      <c r="H9079" s="8"/>
      <c r="I9079" s="8"/>
      <c r="J9079" s="7"/>
      <c r="K9079" s="7"/>
      <c r="L9079" s="7"/>
      <c r="M9079" s="7"/>
      <c r="N9079" s="7"/>
      <c r="O9079" s="7"/>
      <c r="P9079" s="7"/>
      <c r="Q9079" s="7"/>
      <c r="R9079" s="7"/>
      <c r="S9079" s="7"/>
      <c r="T9079" s="7"/>
      <c r="U9079" s="7"/>
      <c r="V9079" s="7"/>
      <c r="W9079" s="7"/>
      <c r="X9079" s="7"/>
      <c r="Y9079" s="7"/>
      <c r="Z9079" s="7"/>
    </row>
    <row r="9080" hidden="1">
      <c r="A9080" s="7"/>
      <c r="B9080" s="7"/>
      <c r="C9080" s="7"/>
      <c r="D9080" s="7"/>
      <c r="E9080" s="7"/>
      <c r="F9080" s="7"/>
      <c r="G9080" s="7"/>
      <c r="H9080" s="8"/>
      <c r="I9080" s="8"/>
      <c r="J9080" s="7"/>
      <c r="K9080" s="7"/>
      <c r="L9080" s="7"/>
      <c r="M9080" s="7"/>
      <c r="N9080" s="7"/>
      <c r="O9080" s="7"/>
      <c r="P9080" s="7"/>
      <c r="Q9080" s="7"/>
      <c r="R9080" s="7"/>
      <c r="S9080" s="7"/>
      <c r="T9080" s="7"/>
      <c r="U9080" s="7"/>
      <c r="V9080" s="7"/>
      <c r="W9080" s="7"/>
      <c r="X9080" s="7"/>
      <c r="Y9080" s="7"/>
      <c r="Z9080" s="7"/>
    </row>
    <row r="9081" hidden="1">
      <c r="A9081" s="7"/>
      <c r="B9081" s="7"/>
      <c r="C9081" s="7"/>
      <c r="D9081" s="7"/>
      <c r="E9081" s="7"/>
      <c r="F9081" s="7"/>
      <c r="G9081" s="7"/>
      <c r="H9081" s="8"/>
      <c r="I9081" s="8"/>
      <c r="J9081" s="7"/>
      <c r="K9081" s="7"/>
      <c r="L9081" s="7"/>
      <c r="M9081" s="7"/>
      <c r="N9081" s="7"/>
      <c r="O9081" s="7"/>
      <c r="P9081" s="7"/>
      <c r="Q9081" s="7"/>
      <c r="R9081" s="7"/>
      <c r="S9081" s="7"/>
      <c r="T9081" s="7"/>
      <c r="U9081" s="7"/>
      <c r="V9081" s="7"/>
      <c r="W9081" s="7"/>
      <c r="X9081" s="7"/>
      <c r="Y9081" s="7"/>
      <c r="Z9081" s="7"/>
    </row>
    <row r="9082" hidden="1">
      <c r="A9082" s="7"/>
      <c r="B9082" s="7"/>
      <c r="C9082" s="7"/>
      <c r="D9082" s="7"/>
      <c r="E9082" s="7"/>
      <c r="F9082" s="7"/>
      <c r="G9082" s="7"/>
      <c r="H9082" s="8"/>
      <c r="I9082" s="8"/>
      <c r="J9082" s="7"/>
      <c r="K9082" s="7"/>
      <c r="L9082" s="7"/>
      <c r="M9082" s="7"/>
      <c r="N9082" s="7"/>
      <c r="O9082" s="7"/>
      <c r="P9082" s="7"/>
      <c r="Q9082" s="7"/>
      <c r="R9082" s="7"/>
      <c r="S9082" s="7"/>
      <c r="T9082" s="7"/>
      <c r="U9082" s="7"/>
      <c r="V9082" s="7"/>
      <c r="W9082" s="7"/>
      <c r="X9082" s="7"/>
      <c r="Y9082" s="7"/>
      <c r="Z9082" s="7"/>
    </row>
    <row r="9083" hidden="1">
      <c r="A9083" s="7"/>
      <c r="B9083" s="7"/>
      <c r="C9083" s="7"/>
      <c r="D9083" s="7"/>
      <c r="E9083" s="7"/>
      <c r="F9083" s="7"/>
      <c r="G9083" s="7"/>
      <c r="H9083" s="8"/>
      <c r="I9083" s="8"/>
      <c r="J9083" s="7"/>
      <c r="K9083" s="7"/>
      <c r="L9083" s="7"/>
      <c r="M9083" s="7"/>
      <c r="N9083" s="7"/>
      <c r="O9083" s="7"/>
      <c r="P9083" s="7"/>
      <c r="Q9083" s="7"/>
      <c r="R9083" s="7"/>
      <c r="S9083" s="7"/>
      <c r="T9083" s="7"/>
      <c r="U9083" s="7"/>
      <c r="V9083" s="7"/>
      <c r="W9083" s="7"/>
      <c r="X9083" s="7"/>
      <c r="Y9083" s="7"/>
      <c r="Z9083" s="7"/>
    </row>
    <row r="9084" hidden="1">
      <c r="A9084" s="7"/>
      <c r="B9084" s="7"/>
      <c r="C9084" s="7"/>
      <c r="D9084" s="7"/>
      <c r="E9084" s="7"/>
      <c r="F9084" s="7"/>
      <c r="G9084" s="7"/>
      <c r="H9084" s="8"/>
      <c r="I9084" s="8"/>
      <c r="J9084" s="7"/>
      <c r="K9084" s="7"/>
      <c r="L9084" s="7"/>
      <c r="M9084" s="7"/>
      <c r="N9084" s="7"/>
      <c r="O9084" s="7"/>
      <c r="P9084" s="7"/>
      <c r="Q9084" s="7"/>
      <c r="R9084" s="7"/>
      <c r="S9084" s="7"/>
      <c r="T9084" s="7"/>
      <c r="U9084" s="7"/>
      <c r="V9084" s="7"/>
      <c r="W9084" s="7"/>
      <c r="X9084" s="7"/>
      <c r="Y9084" s="7"/>
      <c r="Z9084" s="7"/>
    </row>
    <row r="9085" hidden="1">
      <c r="A9085" s="7"/>
      <c r="B9085" s="7"/>
      <c r="C9085" s="7"/>
      <c r="D9085" s="7"/>
      <c r="E9085" s="7"/>
      <c r="F9085" s="7"/>
      <c r="G9085" s="7"/>
      <c r="H9085" s="8"/>
      <c r="I9085" s="8"/>
      <c r="J9085" s="7"/>
      <c r="K9085" s="7"/>
      <c r="L9085" s="7"/>
      <c r="M9085" s="7"/>
      <c r="N9085" s="7"/>
      <c r="O9085" s="7"/>
      <c r="P9085" s="7"/>
      <c r="Q9085" s="7"/>
      <c r="R9085" s="7"/>
      <c r="S9085" s="7"/>
      <c r="T9085" s="7"/>
      <c r="U9085" s="7"/>
      <c r="V9085" s="7"/>
      <c r="W9085" s="7"/>
      <c r="X9085" s="7"/>
      <c r="Y9085" s="7"/>
      <c r="Z9085" s="7"/>
    </row>
    <row r="9086" hidden="1">
      <c r="A9086" s="7"/>
      <c r="B9086" s="7"/>
      <c r="C9086" s="7"/>
      <c r="D9086" s="7"/>
      <c r="E9086" s="7"/>
      <c r="F9086" s="7"/>
      <c r="G9086" s="7"/>
      <c r="H9086" s="8"/>
      <c r="I9086" s="8"/>
      <c r="J9086" s="7"/>
      <c r="K9086" s="7"/>
      <c r="L9086" s="7"/>
      <c r="M9086" s="7"/>
      <c r="N9086" s="7"/>
      <c r="O9086" s="7"/>
      <c r="P9086" s="7"/>
      <c r="Q9086" s="7"/>
      <c r="R9086" s="7"/>
      <c r="S9086" s="7"/>
      <c r="T9086" s="7"/>
      <c r="U9086" s="7"/>
      <c r="V9086" s="7"/>
      <c r="W9086" s="7"/>
      <c r="X9086" s="7"/>
      <c r="Y9086" s="7"/>
      <c r="Z9086" s="7"/>
    </row>
    <row r="9087" hidden="1">
      <c r="A9087" s="7"/>
      <c r="B9087" s="7"/>
      <c r="C9087" s="7"/>
      <c r="D9087" s="7"/>
      <c r="E9087" s="7"/>
      <c r="F9087" s="7"/>
      <c r="G9087" s="7"/>
      <c r="H9087" s="8"/>
      <c r="I9087" s="8"/>
      <c r="J9087" s="7"/>
      <c r="K9087" s="7"/>
      <c r="L9087" s="7"/>
      <c r="M9087" s="7"/>
      <c r="N9087" s="7"/>
      <c r="O9087" s="7"/>
      <c r="P9087" s="7"/>
      <c r="Q9087" s="7"/>
      <c r="R9087" s="7"/>
      <c r="S9087" s="7"/>
      <c r="T9087" s="7"/>
      <c r="U9087" s="7"/>
      <c r="V9087" s="7"/>
      <c r="W9087" s="7"/>
      <c r="X9087" s="7"/>
      <c r="Y9087" s="7"/>
      <c r="Z9087" s="7"/>
    </row>
    <row r="9088" hidden="1">
      <c r="A9088" s="7"/>
      <c r="B9088" s="7"/>
      <c r="C9088" s="7"/>
      <c r="D9088" s="7"/>
      <c r="E9088" s="7"/>
      <c r="F9088" s="7"/>
      <c r="G9088" s="7"/>
      <c r="H9088" s="8"/>
      <c r="I9088" s="8"/>
      <c r="J9088" s="7"/>
      <c r="K9088" s="7"/>
      <c r="L9088" s="7"/>
      <c r="M9088" s="7"/>
      <c r="N9088" s="7"/>
      <c r="O9088" s="7"/>
      <c r="P9088" s="7"/>
      <c r="Q9088" s="7"/>
      <c r="R9088" s="7"/>
      <c r="S9088" s="7"/>
      <c r="T9088" s="7"/>
      <c r="U9088" s="7"/>
      <c r="V9088" s="7"/>
      <c r="W9088" s="7"/>
      <c r="X9088" s="7"/>
      <c r="Y9088" s="7"/>
      <c r="Z9088" s="7"/>
    </row>
    <row r="9089" hidden="1">
      <c r="A9089" s="7"/>
      <c r="B9089" s="7"/>
      <c r="C9089" s="7"/>
      <c r="D9089" s="7"/>
      <c r="E9089" s="7"/>
      <c r="F9089" s="7"/>
      <c r="G9089" s="7"/>
      <c r="H9089" s="8"/>
      <c r="I9089" s="8"/>
      <c r="J9089" s="7"/>
      <c r="K9089" s="7"/>
      <c r="L9089" s="7"/>
      <c r="M9089" s="7"/>
      <c r="N9089" s="7"/>
      <c r="O9089" s="7"/>
      <c r="P9089" s="7"/>
      <c r="Q9089" s="7"/>
      <c r="R9089" s="7"/>
      <c r="S9089" s="7"/>
      <c r="T9089" s="7"/>
      <c r="U9089" s="7"/>
      <c r="V9089" s="7"/>
      <c r="W9089" s="7"/>
      <c r="X9089" s="7"/>
      <c r="Y9089" s="7"/>
      <c r="Z9089" s="7"/>
    </row>
    <row r="9090" hidden="1">
      <c r="A9090" s="7"/>
      <c r="B9090" s="7"/>
      <c r="C9090" s="7"/>
      <c r="D9090" s="7"/>
      <c r="E9090" s="7"/>
      <c r="F9090" s="7"/>
      <c r="G9090" s="7"/>
      <c r="H9090" s="8"/>
      <c r="I9090" s="8"/>
      <c r="J9090" s="7"/>
      <c r="K9090" s="7"/>
      <c r="L9090" s="7"/>
      <c r="M9090" s="7"/>
      <c r="N9090" s="7"/>
      <c r="O9090" s="7"/>
      <c r="P9090" s="7"/>
      <c r="Q9090" s="7"/>
      <c r="R9090" s="7"/>
      <c r="S9090" s="7"/>
      <c r="T9090" s="7"/>
      <c r="U9090" s="7"/>
      <c r="V9090" s="7"/>
      <c r="W9090" s="7"/>
      <c r="X9090" s="7"/>
      <c r="Y9090" s="7"/>
      <c r="Z9090" s="7"/>
    </row>
    <row r="9091" hidden="1">
      <c r="A9091" s="7"/>
      <c r="B9091" s="7"/>
      <c r="C9091" s="7"/>
      <c r="D9091" s="7"/>
      <c r="E9091" s="7"/>
      <c r="F9091" s="7"/>
      <c r="G9091" s="7"/>
      <c r="H9091" s="8"/>
      <c r="I9091" s="8"/>
      <c r="J9091" s="7"/>
      <c r="K9091" s="7"/>
      <c r="L9091" s="7"/>
      <c r="M9091" s="7"/>
      <c r="N9091" s="7"/>
      <c r="O9091" s="7"/>
      <c r="P9091" s="7"/>
      <c r="Q9091" s="7"/>
      <c r="R9091" s="7"/>
      <c r="S9091" s="7"/>
      <c r="T9091" s="7"/>
      <c r="U9091" s="7"/>
      <c r="V9091" s="7"/>
      <c r="W9091" s="7"/>
      <c r="X9091" s="7"/>
      <c r="Y9091" s="7"/>
      <c r="Z9091" s="7"/>
    </row>
    <row r="9092" hidden="1">
      <c r="A9092" s="7"/>
      <c r="B9092" s="7"/>
      <c r="C9092" s="7"/>
      <c r="D9092" s="7"/>
      <c r="E9092" s="7"/>
      <c r="F9092" s="7"/>
      <c r="G9092" s="7"/>
      <c r="H9092" s="8"/>
      <c r="I9092" s="8"/>
      <c r="J9092" s="7"/>
      <c r="K9092" s="7"/>
      <c r="L9092" s="7"/>
      <c r="M9092" s="7"/>
      <c r="N9092" s="7"/>
      <c r="O9092" s="7"/>
      <c r="P9092" s="7"/>
      <c r="Q9092" s="7"/>
      <c r="R9092" s="7"/>
      <c r="S9092" s="7"/>
      <c r="T9092" s="7"/>
      <c r="U9092" s="7"/>
      <c r="V9092" s="7"/>
      <c r="W9092" s="7"/>
      <c r="X9092" s="7"/>
      <c r="Y9092" s="7"/>
      <c r="Z9092" s="7"/>
    </row>
    <row r="9093" hidden="1">
      <c r="A9093" s="7"/>
      <c r="B9093" s="7"/>
      <c r="C9093" s="7"/>
      <c r="D9093" s="7"/>
      <c r="E9093" s="7"/>
      <c r="F9093" s="7"/>
      <c r="G9093" s="7"/>
      <c r="H9093" s="8"/>
      <c r="I9093" s="8"/>
      <c r="J9093" s="7"/>
      <c r="K9093" s="7"/>
      <c r="L9093" s="7"/>
      <c r="M9093" s="7"/>
      <c r="N9093" s="7"/>
      <c r="O9093" s="7"/>
      <c r="P9093" s="7"/>
      <c r="Q9093" s="7"/>
      <c r="R9093" s="7"/>
      <c r="S9093" s="7"/>
      <c r="T9093" s="7"/>
      <c r="U9093" s="7"/>
      <c r="V9093" s="7"/>
      <c r="W9093" s="7"/>
      <c r="X9093" s="7"/>
      <c r="Y9093" s="7"/>
      <c r="Z9093" s="7"/>
    </row>
    <row r="9094" hidden="1">
      <c r="A9094" s="7"/>
      <c r="B9094" s="7"/>
      <c r="C9094" s="7"/>
      <c r="D9094" s="7"/>
      <c r="E9094" s="7"/>
      <c r="F9094" s="7"/>
      <c r="G9094" s="7"/>
      <c r="H9094" s="8"/>
      <c r="I9094" s="8"/>
      <c r="J9094" s="7"/>
      <c r="K9094" s="7"/>
      <c r="L9094" s="7"/>
      <c r="M9094" s="7"/>
      <c r="N9094" s="7"/>
      <c r="O9094" s="7"/>
      <c r="P9094" s="7"/>
      <c r="Q9094" s="7"/>
      <c r="R9094" s="7"/>
      <c r="S9094" s="7"/>
      <c r="T9094" s="7"/>
      <c r="U9094" s="7"/>
      <c r="V9094" s="7"/>
      <c r="W9094" s="7"/>
      <c r="X9094" s="7"/>
      <c r="Y9094" s="7"/>
      <c r="Z9094" s="7"/>
    </row>
    <row r="9095" hidden="1">
      <c r="A9095" s="7"/>
      <c r="B9095" s="7"/>
      <c r="C9095" s="7"/>
      <c r="D9095" s="7"/>
      <c r="E9095" s="7"/>
      <c r="F9095" s="7"/>
      <c r="G9095" s="7"/>
      <c r="H9095" s="8"/>
      <c r="I9095" s="8"/>
      <c r="J9095" s="7"/>
      <c r="K9095" s="7"/>
      <c r="L9095" s="7"/>
      <c r="M9095" s="7"/>
      <c r="N9095" s="7"/>
      <c r="O9095" s="7"/>
      <c r="P9095" s="7"/>
      <c r="Q9095" s="7"/>
      <c r="R9095" s="7"/>
      <c r="S9095" s="7"/>
      <c r="T9095" s="7"/>
      <c r="U9095" s="7"/>
      <c r="V9095" s="7"/>
      <c r="W9095" s="7"/>
      <c r="X9095" s="7"/>
      <c r="Y9095" s="7"/>
      <c r="Z9095" s="7"/>
    </row>
    <row r="9096" hidden="1">
      <c r="A9096" s="7"/>
      <c r="B9096" s="7"/>
      <c r="C9096" s="7"/>
      <c r="D9096" s="7"/>
      <c r="E9096" s="7"/>
      <c r="F9096" s="7"/>
      <c r="G9096" s="7"/>
      <c r="H9096" s="8"/>
      <c r="I9096" s="8"/>
      <c r="J9096" s="7"/>
      <c r="K9096" s="7"/>
      <c r="L9096" s="7"/>
      <c r="M9096" s="7"/>
      <c r="N9096" s="7"/>
      <c r="O9096" s="7"/>
      <c r="P9096" s="7"/>
      <c r="Q9096" s="7"/>
      <c r="R9096" s="7"/>
      <c r="S9096" s="7"/>
      <c r="T9096" s="7"/>
      <c r="U9096" s="7"/>
      <c r="V9096" s="7"/>
      <c r="W9096" s="7"/>
      <c r="X9096" s="7"/>
      <c r="Y9096" s="7"/>
      <c r="Z9096" s="7"/>
    </row>
    <row r="9097" hidden="1">
      <c r="A9097" s="7"/>
      <c r="B9097" s="7"/>
      <c r="C9097" s="7"/>
      <c r="D9097" s="7"/>
      <c r="E9097" s="7"/>
      <c r="F9097" s="7"/>
      <c r="G9097" s="7"/>
      <c r="H9097" s="8"/>
      <c r="I9097" s="8"/>
      <c r="J9097" s="7"/>
      <c r="K9097" s="7"/>
      <c r="L9097" s="7"/>
      <c r="M9097" s="7"/>
      <c r="N9097" s="7"/>
      <c r="O9097" s="7"/>
      <c r="P9097" s="7"/>
      <c r="Q9097" s="7"/>
      <c r="R9097" s="7"/>
      <c r="S9097" s="7"/>
      <c r="T9097" s="7"/>
      <c r="U9097" s="7"/>
      <c r="V9097" s="7"/>
      <c r="W9097" s="7"/>
      <c r="X9097" s="7"/>
      <c r="Y9097" s="7"/>
      <c r="Z9097" s="7"/>
    </row>
    <row r="9098" hidden="1">
      <c r="A9098" s="7"/>
      <c r="B9098" s="7"/>
      <c r="C9098" s="7"/>
      <c r="D9098" s="7"/>
      <c r="E9098" s="7"/>
      <c r="F9098" s="7"/>
      <c r="G9098" s="7"/>
      <c r="H9098" s="8"/>
      <c r="I9098" s="8"/>
      <c r="J9098" s="7"/>
      <c r="K9098" s="7"/>
      <c r="L9098" s="7"/>
      <c r="M9098" s="7"/>
      <c r="N9098" s="7"/>
      <c r="O9098" s="7"/>
      <c r="P9098" s="7"/>
      <c r="Q9098" s="7"/>
      <c r="R9098" s="7"/>
      <c r="S9098" s="7"/>
      <c r="T9098" s="7"/>
      <c r="U9098" s="7"/>
      <c r="V9098" s="7"/>
      <c r="W9098" s="7"/>
      <c r="X9098" s="7"/>
      <c r="Y9098" s="7"/>
      <c r="Z9098" s="7"/>
    </row>
    <row r="9099" hidden="1">
      <c r="A9099" s="7"/>
      <c r="B9099" s="7"/>
      <c r="C9099" s="7"/>
      <c r="D9099" s="7"/>
      <c r="E9099" s="7"/>
      <c r="F9099" s="7"/>
      <c r="G9099" s="7"/>
      <c r="H9099" s="8"/>
      <c r="I9099" s="8"/>
      <c r="J9099" s="7"/>
      <c r="K9099" s="7"/>
      <c r="L9099" s="7"/>
      <c r="M9099" s="7"/>
      <c r="N9099" s="7"/>
      <c r="O9099" s="7"/>
      <c r="P9099" s="7"/>
      <c r="Q9099" s="7"/>
      <c r="R9099" s="7"/>
      <c r="S9099" s="7"/>
      <c r="T9099" s="7"/>
      <c r="U9099" s="7"/>
      <c r="V9099" s="7"/>
      <c r="W9099" s="7"/>
      <c r="X9099" s="7"/>
      <c r="Y9099" s="7"/>
      <c r="Z9099" s="7"/>
    </row>
    <row r="9100" hidden="1">
      <c r="A9100" s="7"/>
      <c r="B9100" s="7"/>
      <c r="C9100" s="7"/>
      <c r="D9100" s="7"/>
      <c r="E9100" s="7"/>
      <c r="F9100" s="7"/>
      <c r="G9100" s="7"/>
      <c r="H9100" s="8"/>
      <c r="I9100" s="8"/>
      <c r="J9100" s="7"/>
      <c r="K9100" s="7"/>
      <c r="L9100" s="7"/>
      <c r="M9100" s="7"/>
      <c r="N9100" s="7"/>
      <c r="O9100" s="7"/>
      <c r="P9100" s="7"/>
      <c r="Q9100" s="7"/>
      <c r="R9100" s="7"/>
      <c r="S9100" s="7"/>
      <c r="T9100" s="7"/>
      <c r="U9100" s="7"/>
      <c r="V9100" s="7"/>
      <c r="W9100" s="7"/>
      <c r="X9100" s="7"/>
      <c r="Y9100" s="7"/>
      <c r="Z9100" s="7"/>
    </row>
    <row r="9101" hidden="1">
      <c r="A9101" s="7"/>
      <c r="B9101" s="7"/>
      <c r="C9101" s="7"/>
      <c r="D9101" s="7"/>
      <c r="E9101" s="7"/>
      <c r="F9101" s="7"/>
      <c r="G9101" s="7"/>
      <c r="H9101" s="8"/>
      <c r="I9101" s="8"/>
      <c r="J9101" s="7"/>
      <c r="K9101" s="7"/>
      <c r="L9101" s="7"/>
      <c r="M9101" s="7"/>
      <c r="N9101" s="7"/>
      <c r="O9101" s="7"/>
      <c r="P9101" s="7"/>
      <c r="Q9101" s="7"/>
      <c r="R9101" s="7"/>
      <c r="S9101" s="7"/>
      <c r="T9101" s="7"/>
      <c r="U9101" s="7"/>
      <c r="V9101" s="7"/>
      <c r="W9101" s="7"/>
      <c r="X9101" s="7"/>
      <c r="Y9101" s="7"/>
      <c r="Z9101" s="7"/>
    </row>
    <row r="9102" hidden="1">
      <c r="A9102" s="7"/>
      <c r="B9102" s="7"/>
      <c r="C9102" s="7"/>
      <c r="D9102" s="7"/>
      <c r="E9102" s="7"/>
      <c r="F9102" s="7"/>
      <c r="G9102" s="7"/>
      <c r="H9102" s="8"/>
      <c r="I9102" s="8"/>
      <c r="J9102" s="7"/>
      <c r="K9102" s="7"/>
      <c r="L9102" s="7"/>
      <c r="M9102" s="7"/>
      <c r="N9102" s="7"/>
      <c r="O9102" s="7"/>
      <c r="P9102" s="7"/>
      <c r="Q9102" s="7"/>
      <c r="R9102" s="7"/>
      <c r="S9102" s="7"/>
      <c r="T9102" s="7"/>
      <c r="U9102" s="7"/>
      <c r="V9102" s="7"/>
      <c r="W9102" s="7"/>
      <c r="X9102" s="7"/>
      <c r="Y9102" s="7"/>
      <c r="Z9102" s="7"/>
    </row>
    <row r="9103" hidden="1">
      <c r="A9103" s="7"/>
      <c r="B9103" s="7"/>
      <c r="C9103" s="7"/>
      <c r="D9103" s="7"/>
      <c r="E9103" s="7"/>
      <c r="F9103" s="7"/>
      <c r="G9103" s="7"/>
      <c r="H9103" s="8"/>
      <c r="I9103" s="8"/>
      <c r="J9103" s="7"/>
      <c r="K9103" s="7"/>
      <c r="L9103" s="7"/>
      <c r="M9103" s="7"/>
      <c r="N9103" s="7"/>
      <c r="O9103" s="7"/>
      <c r="P9103" s="7"/>
      <c r="Q9103" s="7"/>
      <c r="R9103" s="7"/>
      <c r="S9103" s="7"/>
      <c r="T9103" s="7"/>
      <c r="U9103" s="7"/>
      <c r="V9103" s="7"/>
      <c r="W9103" s="7"/>
      <c r="X9103" s="7"/>
      <c r="Y9103" s="7"/>
      <c r="Z9103" s="7"/>
    </row>
    <row r="9104" hidden="1">
      <c r="A9104" s="7"/>
      <c r="B9104" s="7"/>
      <c r="C9104" s="7"/>
      <c r="D9104" s="7"/>
      <c r="E9104" s="7"/>
      <c r="F9104" s="7"/>
      <c r="G9104" s="7"/>
      <c r="H9104" s="8"/>
      <c r="I9104" s="8"/>
      <c r="J9104" s="7"/>
      <c r="K9104" s="7"/>
      <c r="L9104" s="7"/>
      <c r="M9104" s="7"/>
      <c r="N9104" s="7"/>
      <c r="O9104" s="7"/>
      <c r="P9104" s="7"/>
      <c r="Q9104" s="7"/>
      <c r="R9104" s="7"/>
      <c r="S9104" s="7"/>
      <c r="T9104" s="7"/>
      <c r="U9104" s="7"/>
      <c r="V9104" s="7"/>
      <c r="W9104" s="7"/>
      <c r="X9104" s="7"/>
      <c r="Y9104" s="7"/>
      <c r="Z9104" s="7"/>
    </row>
    <row r="9105" hidden="1">
      <c r="A9105" s="7"/>
      <c r="B9105" s="7"/>
      <c r="C9105" s="7"/>
      <c r="D9105" s="7"/>
      <c r="E9105" s="7"/>
      <c r="F9105" s="7"/>
      <c r="G9105" s="7"/>
      <c r="H9105" s="8"/>
      <c r="I9105" s="8"/>
      <c r="J9105" s="7"/>
      <c r="K9105" s="7"/>
      <c r="L9105" s="7"/>
      <c r="M9105" s="7"/>
      <c r="N9105" s="7"/>
      <c r="O9105" s="7"/>
      <c r="P9105" s="7"/>
      <c r="Q9105" s="7"/>
      <c r="R9105" s="7"/>
      <c r="S9105" s="7"/>
      <c r="T9105" s="7"/>
      <c r="U9105" s="7"/>
      <c r="V9105" s="7"/>
      <c r="W9105" s="7"/>
      <c r="X9105" s="7"/>
      <c r="Y9105" s="7"/>
      <c r="Z9105" s="7"/>
    </row>
    <row r="9106" hidden="1">
      <c r="A9106" s="7"/>
      <c r="B9106" s="7"/>
      <c r="C9106" s="7"/>
      <c r="D9106" s="7"/>
      <c r="E9106" s="7"/>
      <c r="F9106" s="7"/>
      <c r="G9106" s="7"/>
      <c r="H9106" s="8"/>
      <c r="I9106" s="8"/>
      <c r="J9106" s="7"/>
      <c r="K9106" s="7"/>
      <c r="L9106" s="7"/>
      <c r="M9106" s="7"/>
      <c r="N9106" s="7"/>
      <c r="O9106" s="7"/>
      <c r="P9106" s="7"/>
      <c r="Q9106" s="7"/>
      <c r="R9106" s="7"/>
      <c r="S9106" s="7"/>
      <c r="T9106" s="7"/>
      <c r="U9106" s="7"/>
      <c r="V9106" s="7"/>
      <c r="W9106" s="7"/>
      <c r="X9106" s="7"/>
      <c r="Y9106" s="7"/>
      <c r="Z9106" s="7"/>
    </row>
    <row r="9107" hidden="1">
      <c r="A9107" s="7"/>
      <c r="B9107" s="7"/>
      <c r="C9107" s="7"/>
      <c r="D9107" s="7"/>
      <c r="E9107" s="7"/>
      <c r="F9107" s="7"/>
      <c r="G9107" s="7"/>
      <c r="H9107" s="8"/>
      <c r="I9107" s="8"/>
      <c r="J9107" s="7"/>
      <c r="K9107" s="7"/>
      <c r="L9107" s="7"/>
      <c r="M9107" s="7"/>
      <c r="N9107" s="7"/>
      <c r="O9107" s="7"/>
      <c r="P9107" s="7"/>
      <c r="Q9107" s="7"/>
      <c r="R9107" s="7"/>
      <c r="S9107" s="7"/>
      <c r="T9107" s="7"/>
      <c r="U9107" s="7"/>
      <c r="V9107" s="7"/>
      <c r="W9107" s="7"/>
      <c r="X9107" s="7"/>
      <c r="Y9107" s="7"/>
      <c r="Z9107" s="7"/>
    </row>
    <row r="9108" hidden="1">
      <c r="A9108" s="7"/>
      <c r="B9108" s="7"/>
      <c r="C9108" s="7"/>
      <c r="D9108" s="7"/>
      <c r="E9108" s="7"/>
      <c r="F9108" s="7"/>
      <c r="G9108" s="7"/>
      <c r="H9108" s="8"/>
      <c r="I9108" s="8"/>
      <c r="J9108" s="7"/>
      <c r="K9108" s="7"/>
      <c r="L9108" s="7"/>
      <c r="M9108" s="7"/>
      <c r="N9108" s="7"/>
      <c r="O9108" s="7"/>
      <c r="P9108" s="7"/>
      <c r="Q9108" s="7"/>
      <c r="R9108" s="7"/>
      <c r="S9108" s="7"/>
      <c r="T9108" s="7"/>
      <c r="U9108" s="7"/>
      <c r="V9108" s="7"/>
      <c r="W9108" s="7"/>
      <c r="X9108" s="7"/>
      <c r="Y9108" s="7"/>
      <c r="Z9108" s="7"/>
    </row>
    <row r="9109" hidden="1">
      <c r="A9109" s="7"/>
      <c r="B9109" s="7"/>
      <c r="C9109" s="7"/>
      <c r="D9109" s="7"/>
      <c r="E9109" s="7"/>
      <c r="F9109" s="7"/>
      <c r="G9109" s="7"/>
      <c r="H9109" s="8"/>
      <c r="I9109" s="8"/>
      <c r="J9109" s="7"/>
      <c r="K9109" s="7"/>
      <c r="L9109" s="7"/>
      <c r="M9109" s="7"/>
      <c r="N9109" s="7"/>
      <c r="O9109" s="7"/>
      <c r="P9109" s="7"/>
      <c r="Q9109" s="7"/>
      <c r="R9109" s="7"/>
      <c r="S9109" s="7"/>
      <c r="T9109" s="7"/>
      <c r="U9109" s="7"/>
      <c r="V9109" s="7"/>
      <c r="W9109" s="7"/>
      <c r="X9109" s="7"/>
      <c r="Y9109" s="7"/>
      <c r="Z9109" s="7"/>
    </row>
    <row r="9110" hidden="1">
      <c r="A9110" s="7"/>
      <c r="B9110" s="7"/>
      <c r="C9110" s="7"/>
      <c r="D9110" s="7"/>
      <c r="E9110" s="7"/>
      <c r="F9110" s="7"/>
      <c r="G9110" s="7"/>
      <c r="H9110" s="8"/>
      <c r="I9110" s="8"/>
      <c r="J9110" s="7"/>
      <c r="K9110" s="7"/>
      <c r="L9110" s="7"/>
      <c r="M9110" s="7"/>
      <c r="N9110" s="7"/>
      <c r="O9110" s="7"/>
      <c r="P9110" s="7"/>
      <c r="Q9110" s="7"/>
      <c r="R9110" s="7"/>
      <c r="S9110" s="7"/>
      <c r="T9110" s="7"/>
      <c r="U9110" s="7"/>
      <c r="V9110" s="7"/>
      <c r="W9110" s="7"/>
      <c r="X9110" s="7"/>
      <c r="Y9110" s="7"/>
      <c r="Z9110" s="7"/>
    </row>
    <row r="9111" hidden="1">
      <c r="A9111" s="7"/>
      <c r="B9111" s="7"/>
      <c r="C9111" s="7"/>
      <c r="D9111" s="7"/>
      <c r="E9111" s="7"/>
      <c r="F9111" s="7"/>
      <c r="G9111" s="7"/>
      <c r="H9111" s="8"/>
      <c r="I9111" s="8"/>
      <c r="J9111" s="7"/>
      <c r="K9111" s="7"/>
      <c r="L9111" s="7"/>
      <c r="M9111" s="7"/>
      <c r="N9111" s="7"/>
      <c r="O9111" s="7"/>
      <c r="P9111" s="7"/>
      <c r="Q9111" s="7"/>
      <c r="R9111" s="7"/>
      <c r="S9111" s="7"/>
      <c r="T9111" s="7"/>
      <c r="U9111" s="7"/>
      <c r="V9111" s="7"/>
      <c r="W9111" s="7"/>
      <c r="X9111" s="7"/>
      <c r="Y9111" s="7"/>
      <c r="Z9111" s="7"/>
    </row>
    <row r="9112" hidden="1">
      <c r="A9112" s="7"/>
      <c r="B9112" s="7"/>
      <c r="C9112" s="7"/>
      <c r="D9112" s="7"/>
      <c r="E9112" s="7"/>
      <c r="F9112" s="7"/>
      <c r="G9112" s="7"/>
      <c r="H9112" s="8"/>
      <c r="I9112" s="8"/>
      <c r="J9112" s="7"/>
      <c r="K9112" s="7"/>
      <c r="L9112" s="7"/>
      <c r="M9112" s="7"/>
      <c r="N9112" s="7"/>
      <c r="O9112" s="7"/>
      <c r="P9112" s="7"/>
      <c r="Q9112" s="7"/>
      <c r="R9112" s="7"/>
      <c r="S9112" s="7"/>
      <c r="T9112" s="7"/>
      <c r="U9112" s="7"/>
      <c r="V9112" s="7"/>
      <c r="W9112" s="7"/>
      <c r="X9112" s="7"/>
      <c r="Y9112" s="7"/>
      <c r="Z9112" s="7"/>
    </row>
    <row r="9113" hidden="1">
      <c r="A9113" s="7"/>
      <c r="B9113" s="7"/>
      <c r="C9113" s="7"/>
      <c r="D9113" s="7"/>
      <c r="E9113" s="7"/>
      <c r="F9113" s="7"/>
      <c r="G9113" s="7"/>
      <c r="H9113" s="8"/>
      <c r="I9113" s="8"/>
      <c r="J9113" s="7"/>
      <c r="K9113" s="7"/>
      <c r="L9113" s="7"/>
      <c r="M9113" s="7"/>
      <c r="N9113" s="7"/>
      <c r="O9113" s="7"/>
      <c r="P9113" s="7"/>
      <c r="Q9113" s="7"/>
      <c r="R9113" s="7"/>
      <c r="S9113" s="7"/>
      <c r="T9113" s="7"/>
      <c r="U9113" s="7"/>
      <c r="V9113" s="7"/>
      <c r="W9113" s="7"/>
      <c r="X9113" s="7"/>
      <c r="Y9113" s="7"/>
      <c r="Z9113" s="7"/>
    </row>
    <row r="9114" hidden="1">
      <c r="A9114" s="7"/>
      <c r="B9114" s="7"/>
      <c r="C9114" s="7"/>
      <c r="D9114" s="7"/>
      <c r="E9114" s="7"/>
      <c r="F9114" s="7"/>
      <c r="G9114" s="7"/>
      <c r="H9114" s="8"/>
      <c r="I9114" s="8"/>
      <c r="J9114" s="7"/>
      <c r="K9114" s="7"/>
      <c r="L9114" s="7"/>
      <c r="M9114" s="7"/>
      <c r="N9114" s="7"/>
      <c r="O9114" s="7"/>
      <c r="P9114" s="7"/>
      <c r="Q9114" s="7"/>
      <c r="R9114" s="7"/>
      <c r="S9114" s="7"/>
      <c r="T9114" s="7"/>
      <c r="U9114" s="7"/>
      <c r="V9114" s="7"/>
      <c r="W9114" s="7"/>
      <c r="X9114" s="7"/>
      <c r="Y9114" s="7"/>
      <c r="Z9114" s="7"/>
    </row>
    <row r="9115" hidden="1">
      <c r="A9115" s="7"/>
      <c r="B9115" s="7"/>
      <c r="C9115" s="7"/>
      <c r="D9115" s="7"/>
      <c r="E9115" s="7"/>
      <c r="F9115" s="7"/>
      <c r="G9115" s="7"/>
      <c r="H9115" s="8"/>
      <c r="I9115" s="8"/>
      <c r="J9115" s="7"/>
      <c r="K9115" s="7"/>
      <c r="L9115" s="7"/>
      <c r="M9115" s="7"/>
      <c r="N9115" s="7"/>
      <c r="O9115" s="7"/>
      <c r="P9115" s="7"/>
      <c r="Q9115" s="7"/>
      <c r="R9115" s="7"/>
      <c r="S9115" s="7"/>
      <c r="T9115" s="7"/>
      <c r="U9115" s="7"/>
      <c r="V9115" s="7"/>
      <c r="W9115" s="7"/>
      <c r="X9115" s="7"/>
      <c r="Y9115" s="7"/>
      <c r="Z9115" s="7"/>
    </row>
    <row r="9116" hidden="1">
      <c r="A9116" s="7"/>
      <c r="B9116" s="7"/>
      <c r="C9116" s="7"/>
      <c r="D9116" s="7"/>
      <c r="E9116" s="7"/>
      <c r="F9116" s="7"/>
      <c r="G9116" s="7"/>
      <c r="H9116" s="8"/>
      <c r="I9116" s="8"/>
      <c r="J9116" s="7"/>
      <c r="K9116" s="7"/>
      <c r="L9116" s="7"/>
      <c r="M9116" s="7"/>
      <c r="N9116" s="7"/>
      <c r="O9116" s="7"/>
      <c r="P9116" s="7"/>
      <c r="Q9116" s="7"/>
      <c r="R9116" s="7"/>
      <c r="S9116" s="7"/>
      <c r="T9116" s="7"/>
      <c r="U9116" s="7"/>
      <c r="V9116" s="7"/>
      <c r="W9116" s="7"/>
      <c r="X9116" s="7"/>
      <c r="Y9116" s="7"/>
      <c r="Z9116" s="7"/>
    </row>
    <row r="9117" hidden="1">
      <c r="A9117" s="7"/>
      <c r="B9117" s="7"/>
      <c r="C9117" s="7"/>
      <c r="D9117" s="7"/>
      <c r="E9117" s="7"/>
      <c r="F9117" s="7"/>
      <c r="G9117" s="7"/>
      <c r="H9117" s="8"/>
      <c r="I9117" s="8"/>
      <c r="J9117" s="7"/>
      <c r="K9117" s="7"/>
      <c r="L9117" s="7"/>
      <c r="M9117" s="7"/>
      <c r="N9117" s="7"/>
      <c r="O9117" s="7"/>
      <c r="P9117" s="7"/>
      <c r="Q9117" s="7"/>
      <c r="R9117" s="7"/>
      <c r="S9117" s="7"/>
      <c r="T9117" s="7"/>
      <c r="U9117" s="7"/>
      <c r="V9117" s="7"/>
      <c r="W9117" s="7"/>
      <c r="X9117" s="7"/>
      <c r="Y9117" s="7"/>
      <c r="Z9117" s="7"/>
    </row>
    <row r="9118" hidden="1">
      <c r="A9118" s="7"/>
      <c r="B9118" s="7"/>
      <c r="C9118" s="7"/>
      <c r="D9118" s="7"/>
      <c r="E9118" s="7"/>
      <c r="F9118" s="7"/>
      <c r="G9118" s="7"/>
      <c r="H9118" s="8"/>
      <c r="I9118" s="8"/>
      <c r="J9118" s="7"/>
      <c r="K9118" s="7"/>
      <c r="L9118" s="7"/>
      <c r="M9118" s="7"/>
      <c r="N9118" s="7"/>
      <c r="O9118" s="7"/>
      <c r="P9118" s="7"/>
      <c r="Q9118" s="7"/>
      <c r="R9118" s="7"/>
      <c r="S9118" s="7"/>
      <c r="T9118" s="7"/>
      <c r="U9118" s="7"/>
      <c r="V9118" s="7"/>
      <c r="W9118" s="7"/>
      <c r="X9118" s="7"/>
      <c r="Y9118" s="7"/>
      <c r="Z9118" s="7"/>
    </row>
    <row r="9119" hidden="1">
      <c r="A9119" s="7"/>
      <c r="B9119" s="7"/>
      <c r="C9119" s="7"/>
      <c r="D9119" s="7"/>
      <c r="E9119" s="7"/>
      <c r="F9119" s="7"/>
      <c r="G9119" s="7"/>
      <c r="H9119" s="8"/>
      <c r="I9119" s="8"/>
      <c r="J9119" s="7"/>
      <c r="K9119" s="7"/>
      <c r="L9119" s="7"/>
      <c r="M9119" s="7"/>
      <c r="N9119" s="7"/>
      <c r="O9119" s="7"/>
      <c r="P9119" s="7"/>
      <c r="Q9119" s="7"/>
      <c r="R9119" s="7"/>
      <c r="S9119" s="7"/>
      <c r="T9119" s="7"/>
      <c r="U9119" s="7"/>
      <c r="V9119" s="7"/>
      <c r="W9119" s="7"/>
      <c r="X9119" s="7"/>
      <c r="Y9119" s="7"/>
      <c r="Z9119" s="7"/>
    </row>
    <row r="9120" hidden="1">
      <c r="A9120" s="7"/>
      <c r="B9120" s="7"/>
      <c r="C9120" s="7"/>
      <c r="D9120" s="7"/>
      <c r="E9120" s="7"/>
      <c r="F9120" s="7"/>
      <c r="G9120" s="7"/>
      <c r="H9120" s="8"/>
      <c r="I9120" s="8"/>
      <c r="J9120" s="7"/>
      <c r="K9120" s="7"/>
      <c r="L9120" s="7"/>
      <c r="M9120" s="7"/>
      <c r="N9120" s="7"/>
      <c r="O9120" s="7"/>
      <c r="P9120" s="7"/>
      <c r="Q9120" s="7"/>
      <c r="R9120" s="7"/>
      <c r="S9120" s="7"/>
      <c r="T9120" s="7"/>
      <c r="U9120" s="7"/>
      <c r="V9120" s="7"/>
      <c r="W9120" s="7"/>
      <c r="X9120" s="7"/>
      <c r="Y9120" s="7"/>
      <c r="Z9120" s="7"/>
    </row>
    <row r="9121" hidden="1">
      <c r="A9121" s="7"/>
      <c r="B9121" s="7"/>
      <c r="C9121" s="7"/>
      <c r="D9121" s="7"/>
      <c r="E9121" s="7"/>
      <c r="F9121" s="7"/>
      <c r="G9121" s="7"/>
      <c r="H9121" s="8"/>
      <c r="I9121" s="8"/>
      <c r="J9121" s="7"/>
      <c r="K9121" s="7"/>
      <c r="L9121" s="7"/>
      <c r="M9121" s="7"/>
      <c r="N9121" s="7"/>
      <c r="O9121" s="7"/>
      <c r="P9121" s="7"/>
      <c r="Q9121" s="7"/>
      <c r="R9121" s="7"/>
      <c r="S9121" s="7"/>
      <c r="T9121" s="7"/>
      <c r="U9121" s="7"/>
      <c r="V9121" s="7"/>
      <c r="W9121" s="7"/>
      <c r="X9121" s="7"/>
      <c r="Y9121" s="7"/>
      <c r="Z9121" s="7"/>
    </row>
    <row r="9122" hidden="1">
      <c r="A9122" s="7"/>
      <c r="B9122" s="7"/>
      <c r="C9122" s="7"/>
      <c r="D9122" s="7"/>
      <c r="E9122" s="7"/>
      <c r="F9122" s="7"/>
      <c r="G9122" s="7"/>
      <c r="H9122" s="8"/>
      <c r="I9122" s="8"/>
      <c r="J9122" s="7"/>
      <c r="K9122" s="7"/>
      <c r="L9122" s="7"/>
      <c r="M9122" s="7"/>
      <c r="N9122" s="7"/>
      <c r="O9122" s="7"/>
      <c r="P9122" s="7"/>
      <c r="Q9122" s="7"/>
      <c r="R9122" s="7"/>
      <c r="S9122" s="7"/>
      <c r="T9122" s="7"/>
      <c r="U9122" s="7"/>
      <c r="V9122" s="7"/>
      <c r="W9122" s="7"/>
      <c r="X9122" s="7"/>
      <c r="Y9122" s="7"/>
      <c r="Z9122" s="7"/>
    </row>
    <row r="9123" hidden="1">
      <c r="A9123" s="7"/>
      <c r="B9123" s="7"/>
      <c r="C9123" s="7"/>
      <c r="D9123" s="7"/>
      <c r="E9123" s="7"/>
      <c r="F9123" s="7"/>
      <c r="G9123" s="7"/>
      <c r="H9123" s="8"/>
      <c r="I9123" s="8"/>
      <c r="J9123" s="7"/>
      <c r="K9123" s="7"/>
      <c r="L9123" s="7"/>
      <c r="M9123" s="7"/>
      <c r="N9123" s="7"/>
      <c r="O9123" s="7"/>
      <c r="P9123" s="7"/>
      <c r="Q9123" s="7"/>
      <c r="R9123" s="7"/>
      <c r="S9123" s="7"/>
      <c r="T9123" s="7"/>
      <c r="U9123" s="7"/>
      <c r="V9123" s="7"/>
      <c r="W9123" s="7"/>
      <c r="X9123" s="7"/>
      <c r="Y9123" s="7"/>
      <c r="Z9123" s="7"/>
    </row>
    <row r="9124" hidden="1">
      <c r="A9124" s="7"/>
      <c r="B9124" s="7"/>
      <c r="C9124" s="7"/>
      <c r="D9124" s="7"/>
      <c r="E9124" s="7"/>
      <c r="F9124" s="7"/>
      <c r="G9124" s="7"/>
      <c r="H9124" s="8"/>
      <c r="I9124" s="8"/>
      <c r="J9124" s="7"/>
      <c r="K9124" s="7"/>
      <c r="L9124" s="7"/>
      <c r="M9124" s="7"/>
      <c r="N9124" s="7"/>
      <c r="O9124" s="7"/>
      <c r="P9124" s="7"/>
      <c r="Q9124" s="7"/>
      <c r="R9124" s="7"/>
      <c r="S9124" s="7"/>
      <c r="T9124" s="7"/>
      <c r="U9124" s="7"/>
      <c r="V9124" s="7"/>
      <c r="W9124" s="7"/>
      <c r="X9124" s="7"/>
      <c r="Y9124" s="7"/>
      <c r="Z9124" s="7"/>
    </row>
    <row r="9125" hidden="1">
      <c r="A9125" s="7"/>
      <c r="B9125" s="7"/>
      <c r="C9125" s="7"/>
      <c r="D9125" s="7"/>
      <c r="E9125" s="7"/>
      <c r="F9125" s="7"/>
      <c r="G9125" s="7"/>
      <c r="H9125" s="8"/>
      <c r="I9125" s="8"/>
      <c r="J9125" s="7"/>
      <c r="K9125" s="7"/>
      <c r="L9125" s="7"/>
      <c r="M9125" s="7"/>
      <c r="N9125" s="7"/>
      <c r="O9125" s="7"/>
      <c r="P9125" s="7"/>
      <c r="Q9125" s="7"/>
      <c r="R9125" s="7"/>
      <c r="S9125" s="7"/>
      <c r="T9125" s="7"/>
      <c r="U9125" s="7"/>
      <c r="V9125" s="7"/>
      <c r="W9125" s="7"/>
      <c r="X9125" s="7"/>
      <c r="Y9125" s="7"/>
      <c r="Z9125" s="7"/>
    </row>
    <row r="9126" hidden="1">
      <c r="A9126" s="7"/>
      <c r="B9126" s="7"/>
      <c r="C9126" s="7"/>
      <c r="D9126" s="7"/>
      <c r="E9126" s="7"/>
      <c r="F9126" s="7"/>
      <c r="G9126" s="7"/>
      <c r="H9126" s="8"/>
      <c r="I9126" s="8"/>
      <c r="J9126" s="7"/>
      <c r="K9126" s="7"/>
      <c r="L9126" s="7"/>
      <c r="M9126" s="7"/>
      <c r="N9126" s="7"/>
      <c r="O9126" s="7"/>
      <c r="P9126" s="7"/>
      <c r="Q9126" s="7"/>
      <c r="R9126" s="7"/>
      <c r="S9126" s="7"/>
      <c r="T9126" s="7"/>
      <c r="U9126" s="7"/>
      <c r="V9126" s="7"/>
      <c r="W9126" s="7"/>
      <c r="X9126" s="7"/>
      <c r="Y9126" s="7"/>
      <c r="Z9126" s="7"/>
    </row>
    <row r="9127" hidden="1">
      <c r="A9127" s="7"/>
      <c r="B9127" s="7"/>
      <c r="C9127" s="7"/>
      <c r="D9127" s="7"/>
      <c r="E9127" s="7"/>
      <c r="F9127" s="7"/>
      <c r="G9127" s="7"/>
      <c r="H9127" s="8"/>
      <c r="I9127" s="8"/>
      <c r="J9127" s="7"/>
      <c r="K9127" s="7"/>
      <c r="L9127" s="7"/>
      <c r="M9127" s="7"/>
      <c r="N9127" s="7"/>
      <c r="O9127" s="7"/>
      <c r="P9127" s="7"/>
      <c r="Q9127" s="7"/>
      <c r="R9127" s="7"/>
      <c r="S9127" s="7"/>
      <c r="T9127" s="7"/>
      <c r="U9127" s="7"/>
      <c r="V9127" s="7"/>
      <c r="W9127" s="7"/>
      <c r="X9127" s="7"/>
      <c r="Y9127" s="7"/>
      <c r="Z9127" s="7"/>
    </row>
    <row r="9128" hidden="1">
      <c r="A9128" s="7"/>
      <c r="B9128" s="7"/>
      <c r="C9128" s="7"/>
      <c r="D9128" s="7"/>
      <c r="E9128" s="7"/>
      <c r="F9128" s="7"/>
      <c r="G9128" s="7"/>
      <c r="H9128" s="8"/>
      <c r="I9128" s="8"/>
      <c r="J9128" s="7"/>
      <c r="K9128" s="7"/>
      <c r="L9128" s="7"/>
      <c r="M9128" s="7"/>
      <c r="N9128" s="7"/>
      <c r="O9128" s="7"/>
      <c r="P9128" s="7"/>
      <c r="Q9128" s="7"/>
      <c r="R9128" s="7"/>
      <c r="S9128" s="7"/>
      <c r="T9128" s="7"/>
      <c r="U9128" s="7"/>
      <c r="V9128" s="7"/>
      <c r="W9128" s="7"/>
      <c r="X9128" s="7"/>
      <c r="Y9128" s="7"/>
      <c r="Z9128" s="7"/>
    </row>
    <row r="9129" hidden="1">
      <c r="A9129" s="7"/>
      <c r="B9129" s="7"/>
      <c r="C9129" s="7"/>
      <c r="D9129" s="7"/>
      <c r="E9129" s="7"/>
      <c r="F9129" s="7"/>
      <c r="G9129" s="7"/>
      <c r="H9129" s="8"/>
      <c r="I9129" s="8"/>
      <c r="J9129" s="7"/>
      <c r="K9129" s="7"/>
      <c r="L9129" s="7"/>
      <c r="M9129" s="7"/>
      <c r="N9129" s="7"/>
      <c r="O9129" s="7"/>
      <c r="P9129" s="7"/>
      <c r="Q9129" s="7"/>
      <c r="R9129" s="7"/>
      <c r="S9129" s="7"/>
      <c r="T9129" s="7"/>
      <c r="U9129" s="7"/>
      <c r="V9129" s="7"/>
      <c r="W9129" s="7"/>
      <c r="X9129" s="7"/>
      <c r="Y9129" s="7"/>
      <c r="Z9129" s="7"/>
    </row>
    <row r="9130" hidden="1">
      <c r="A9130" s="7"/>
      <c r="B9130" s="7"/>
      <c r="C9130" s="7"/>
      <c r="D9130" s="7"/>
      <c r="E9130" s="7"/>
      <c r="F9130" s="7"/>
      <c r="G9130" s="7"/>
      <c r="H9130" s="8"/>
      <c r="I9130" s="8"/>
      <c r="J9130" s="7"/>
      <c r="K9130" s="7"/>
      <c r="L9130" s="7"/>
      <c r="M9130" s="7"/>
      <c r="N9130" s="7"/>
      <c r="O9130" s="7"/>
      <c r="P9130" s="7"/>
      <c r="Q9130" s="7"/>
      <c r="R9130" s="7"/>
      <c r="S9130" s="7"/>
      <c r="T9130" s="7"/>
      <c r="U9130" s="7"/>
      <c r="V9130" s="7"/>
      <c r="W9130" s="7"/>
      <c r="X9130" s="7"/>
      <c r="Y9130" s="7"/>
      <c r="Z9130" s="7"/>
    </row>
    <row r="9131" hidden="1">
      <c r="A9131" s="7"/>
      <c r="B9131" s="7"/>
      <c r="C9131" s="7"/>
      <c r="D9131" s="7"/>
      <c r="E9131" s="7"/>
      <c r="F9131" s="7"/>
      <c r="G9131" s="7"/>
      <c r="H9131" s="8"/>
      <c r="I9131" s="8"/>
      <c r="J9131" s="7"/>
      <c r="K9131" s="7"/>
      <c r="L9131" s="7"/>
      <c r="M9131" s="7"/>
      <c r="N9131" s="7"/>
      <c r="O9131" s="7"/>
      <c r="P9131" s="7"/>
      <c r="Q9131" s="7"/>
      <c r="R9131" s="7"/>
      <c r="S9131" s="7"/>
      <c r="T9131" s="7"/>
      <c r="U9131" s="7"/>
      <c r="V9131" s="7"/>
      <c r="W9131" s="7"/>
      <c r="X9131" s="7"/>
      <c r="Y9131" s="7"/>
      <c r="Z9131" s="7"/>
    </row>
    <row r="9132" hidden="1">
      <c r="A9132" s="7"/>
      <c r="B9132" s="7"/>
      <c r="C9132" s="7"/>
      <c r="D9132" s="7"/>
      <c r="E9132" s="7"/>
      <c r="F9132" s="7"/>
      <c r="G9132" s="7"/>
      <c r="H9132" s="8"/>
      <c r="I9132" s="8"/>
      <c r="J9132" s="7"/>
      <c r="K9132" s="7"/>
      <c r="L9132" s="7"/>
      <c r="M9132" s="7"/>
      <c r="N9132" s="7"/>
      <c r="O9132" s="7"/>
      <c r="P9132" s="7"/>
      <c r="Q9132" s="7"/>
      <c r="R9132" s="7"/>
      <c r="S9132" s="7"/>
      <c r="T9132" s="7"/>
      <c r="U9132" s="7"/>
      <c r="V9132" s="7"/>
      <c r="W9132" s="7"/>
      <c r="X9132" s="7"/>
      <c r="Y9132" s="7"/>
      <c r="Z9132" s="7"/>
    </row>
    <row r="9133" hidden="1">
      <c r="A9133" s="7"/>
      <c r="B9133" s="7"/>
      <c r="C9133" s="7"/>
      <c r="D9133" s="7"/>
      <c r="E9133" s="7"/>
      <c r="F9133" s="7"/>
      <c r="G9133" s="7"/>
      <c r="H9133" s="8"/>
      <c r="I9133" s="8"/>
      <c r="J9133" s="7"/>
      <c r="K9133" s="7"/>
      <c r="L9133" s="7"/>
      <c r="M9133" s="7"/>
      <c r="N9133" s="7"/>
      <c r="O9133" s="7"/>
      <c r="P9133" s="7"/>
      <c r="Q9133" s="7"/>
      <c r="R9133" s="7"/>
      <c r="S9133" s="7"/>
      <c r="T9133" s="7"/>
      <c r="U9133" s="7"/>
      <c r="V9133" s="7"/>
      <c r="W9133" s="7"/>
      <c r="X9133" s="7"/>
      <c r="Y9133" s="7"/>
      <c r="Z9133" s="7"/>
    </row>
    <row r="9134" hidden="1">
      <c r="A9134" s="7"/>
      <c r="B9134" s="7"/>
      <c r="C9134" s="7"/>
      <c r="D9134" s="7"/>
      <c r="E9134" s="7"/>
      <c r="F9134" s="7"/>
      <c r="G9134" s="7"/>
      <c r="H9134" s="8"/>
      <c r="I9134" s="8"/>
      <c r="J9134" s="7"/>
      <c r="K9134" s="7"/>
      <c r="L9134" s="7"/>
      <c r="M9134" s="7"/>
      <c r="N9134" s="7"/>
      <c r="O9134" s="7"/>
      <c r="P9134" s="7"/>
      <c r="Q9134" s="7"/>
      <c r="R9134" s="7"/>
      <c r="S9134" s="7"/>
      <c r="T9134" s="7"/>
      <c r="U9134" s="7"/>
      <c r="V9134" s="7"/>
      <c r="W9134" s="7"/>
      <c r="X9134" s="7"/>
      <c r="Y9134" s="7"/>
      <c r="Z9134" s="7"/>
    </row>
    <row r="9135" hidden="1">
      <c r="A9135" s="7"/>
      <c r="B9135" s="7"/>
      <c r="C9135" s="7"/>
      <c r="D9135" s="7"/>
      <c r="E9135" s="7"/>
      <c r="F9135" s="7"/>
      <c r="G9135" s="7"/>
      <c r="H9135" s="8"/>
      <c r="I9135" s="8"/>
      <c r="J9135" s="7"/>
      <c r="K9135" s="7"/>
      <c r="L9135" s="7"/>
      <c r="M9135" s="7"/>
      <c r="N9135" s="7"/>
      <c r="O9135" s="7"/>
      <c r="P9135" s="7"/>
      <c r="Q9135" s="7"/>
      <c r="R9135" s="7"/>
      <c r="S9135" s="7"/>
      <c r="T9135" s="7"/>
      <c r="U9135" s="7"/>
      <c r="V9135" s="7"/>
      <c r="W9135" s="7"/>
      <c r="X9135" s="7"/>
      <c r="Y9135" s="7"/>
      <c r="Z9135" s="7"/>
    </row>
    <row r="9136" hidden="1">
      <c r="A9136" s="7"/>
      <c r="B9136" s="7"/>
      <c r="C9136" s="7"/>
      <c r="D9136" s="7"/>
      <c r="E9136" s="7"/>
      <c r="F9136" s="7"/>
      <c r="G9136" s="7"/>
      <c r="H9136" s="8"/>
      <c r="I9136" s="8"/>
      <c r="J9136" s="7"/>
      <c r="K9136" s="7"/>
      <c r="L9136" s="7"/>
      <c r="M9136" s="7"/>
      <c r="N9136" s="7"/>
      <c r="O9136" s="7"/>
      <c r="P9136" s="7"/>
      <c r="Q9136" s="7"/>
      <c r="R9136" s="7"/>
      <c r="S9136" s="7"/>
      <c r="T9136" s="7"/>
      <c r="U9136" s="7"/>
      <c r="V9136" s="7"/>
      <c r="W9136" s="7"/>
      <c r="X9136" s="7"/>
      <c r="Y9136" s="7"/>
      <c r="Z9136" s="7"/>
    </row>
    <row r="9137" hidden="1">
      <c r="A9137" s="7"/>
      <c r="B9137" s="7"/>
      <c r="C9137" s="7"/>
      <c r="D9137" s="7"/>
      <c r="E9137" s="7"/>
      <c r="F9137" s="7"/>
      <c r="G9137" s="7"/>
      <c r="H9137" s="8"/>
      <c r="I9137" s="8"/>
      <c r="J9137" s="7"/>
      <c r="K9137" s="7"/>
      <c r="L9137" s="7"/>
      <c r="M9137" s="7"/>
      <c r="N9137" s="7"/>
      <c r="O9137" s="7"/>
      <c r="P9137" s="7"/>
      <c r="Q9137" s="7"/>
      <c r="R9137" s="7"/>
      <c r="S9137" s="7"/>
      <c r="T9137" s="7"/>
      <c r="U9137" s="7"/>
      <c r="V9137" s="7"/>
      <c r="W9137" s="7"/>
      <c r="X9137" s="7"/>
      <c r="Y9137" s="7"/>
      <c r="Z9137" s="7"/>
    </row>
    <row r="9138" hidden="1">
      <c r="A9138" s="7"/>
      <c r="B9138" s="7"/>
      <c r="C9138" s="7"/>
      <c r="D9138" s="7"/>
      <c r="E9138" s="7"/>
      <c r="F9138" s="7"/>
      <c r="G9138" s="7"/>
      <c r="H9138" s="8"/>
      <c r="I9138" s="8"/>
      <c r="J9138" s="7"/>
      <c r="K9138" s="7"/>
      <c r="L9138" s="7"/>
      <c r="M9138" s="7"/>
      <c r="N9138" s="7"/>
      <c r="O9138" s="7"/>
      <c r="P9138" s="7"/>
      <c r="Q9138" s="7"/>
      <c r="R9138" s="7"/>
      <c r="S9138" s="7"/>
      <c r="T9138" s="7"/>
      <c r="U9138" s="7"/>
      <c r="V9138" s="7"/>
      <c r="W9138" s="7"/>
      <c r="X9138" s="7"/>
      <c r="Y9138" s="7"/>
      <c r="Z9138" s="7"/>
    </row>
    <row r="9139" hidden="1">
      <c r="A9139" s="7"/>
      <c r="B9139" s="7"/>
      <c r="C9139" s="7"/>
      <c r="D9139" s="7"/>
      <c r="E9139" s="7"/>
      <c r="F9139" s="7"/>
      <c r="G9139" s="7"/>
      <c r="H9139" s="8"/>
      <c r="I9139" s="8"/>
      <c r="J9139" s="7"/>
      <c r="K9139" s="7"/>
      <c r="L9139" s="7"/>
      <c r="M9139" s="7"/>
      <c r="N9139" s="7"/>
      <c r="O9139" s="7"/>
      <c r="P9139" s="7"/>
      <c r="Q9139" s="7"/>
      <c r="R9139" s="7"/>
      <c r="S9139" s="7"/>
      <c r="T9139" s="7"/>
      <c r="U9139" s="7"/>
      <c r="V9139" s="7"/>
      <c r="W9139" s="7"/>
      <c r="X9139" s="7"/>
      <c r="Y9139" s="7"/>
      <c r="Z9139" s="7"/>
    </row>
    <row r="9140" hidden="1">
      <c r="A9140" s="7"/>
      <c r="B9140" s="7"/>
      <c r="C9140" s="7"/>
      <c r="D9140" s="7"/>
      <c r="E9140" s="7"/>
      <c r="F9140" s="7"/>
      <c r="G9140" s="7"/>
      <c r="H9140" s="8"/>
      <c r="I9140" s="8"/>
      <c r="J9140" s="7"/>
      <c r="K9140" s="7"/>
      <c r="L9140" s="7"/>
      <c r="M9140" s="7"/>
      <c r="N9140" s="7"/>
      <c r="O9140" s="7"/>
      <c r="P9140" s="7"/>
      <c r="Q9140" s="7"/>
      <c r="R9140" s="7"/>
      <c r="S9140" s="7"/>
      <c r="T9140" s="7"/>
      <c r="U9140" s="7"/>
      <c r="V9140" s="7"/>
      <c r="W9140" s="7"/>
      <c r="X9140" s="7"/>
      <c r="Y9140" s="7"/>
      <c r="Z9140" s="7"/>
    </row>
    <row r="9141" hidden="1">
      <c r="A9141" s="7"/>
      <c r="B9141" s="7"/>
      <c r="C9141" s="7"/>
      <c r="D9141" s="7"/>
      <c r="E9141" s="7"/>
      <c r="F9141" s="7"/>
      <c r="G9141" s="7"/>
      <c r="H9141" s="8"/>
      <c r="I9141" s="8"/>
      <c r="J9141" s="7"/>
      <c r="K9141" s="7"/>
      <c r="L9141" s="7"/>
      <c r="M9141" s="7"/>
      <c r="N9141" s="7"/>
      <c r="O9141" s="7"/>
      <c r="P9141" s="7"/>
      <c r="Q9141" s="7"/>
      <c r="R9141" s="7"/>
      <c r="S9141" s="7"/>
      <c r="T9141" s="7"/>
      <c r="U9141" s="7"/>
      <c r="V9141" s="7"/>
      <c r="W9141" s="7"/>
      <c r="X9141" s="7"/>
      <c r="Y9141" s="7"/>
      <c r="Z9141" s="7"/>
    </row>
    <row r="9142" hidden="1">
      <c r="A9142" s="7"/>
      <c r="B9142" s="7"/>
      <c r="C9142" s="7"/>
      <c r="D9142" s="7"/>
      <c r="E9142" s="7"/>
      <c r="F9142" s="7"/>
      <c r="G9142" s="7"/>
      <c r="H9142" s="8"/>
      <c r="I9142" s="8"/>
      <c r="J9142" s="7"/>
      <c r="K9142" s="7"/>
      <c r="L9142" s="7"/>
      <c r="M9142" s="7"/>
      <c r="N9142" s="7"/>
      <c r="O9142" s="7"/>
      <c r="P9142" s="7"/>
      <c r="Q9142" s="7"/>
      <c r="R9142" s="7"/>
      <c r="S9142" s="7"/>
      <c r="T9142" s="7"/>
      <c r="U9142" s="7"/>
      <c r="V9142" s="7"/>
      <c r="W9142" s="7"/>
      <c r="X9142" s="7"/>
      <c r="Y9142" s="7"/>
      <c r="Z9142" s="7"/>
    </row>
    <row r="9143" hidden="1">
      <c r="A9143" s="7"/>
      <c r="B9143" s="7"/>
      <c r="C9143" s="7"/>
      <c r="D9143" s="7"/>
      <c r="E9143" s="7"/>
      <c r="F9143" s="7"/>
      <c r="G9143" s="7"/>
      <c r="H9143" s="8"/>
      <c r="I9143" s="8"/>
      <c r="J9143" s="7"/>
      <c r="K9143" s="7"/>
      <c r="L9143" s="7"/>
      <c r="M9143" s="7"/>
      <c r="N9143" s="7"/>
      <c r="O9143" s="7"/>
      <c r="P9143" s="7"/>
      <c r="Q9143" s="7"/>
      <c r="R9143" s="7"/>
      <c r="S9143" s="7"/>
      <c r="T9143" s="7"/>
      <c r="U9143" s="7"/>
      <c r="V9143" s="7"/>
      <c r="W9143" s="7"/>
      <c r="X9143" s="7"/>
      <c r="Y9143" s="7"/>
      <c r="Z9143" s="7"/>
    </row>
    <row r="9144" hidden="1">
      <c r="A9144" s="7"/>
      <c r="B9144" s="7"/>
      <c r="C9144" s="7"/>
      <c r="D9144" s="7"/>
      <c r="E9144" s="7"/>
      <c r="F9144" s="7"/>
      <c r="G9144" s="7"/>
      <c r="H9144" s="8"/>
      <c r="I9144" s="8"/>
      <c r="J9144" s="7"/>
      <c r="K9144" s="7"/>
      <c r="L9144" s="7"/>
      <c r="M9144" s="7"/>
      <c r="N9144" s="7"/>
      <c r="O9144" s="7"/>
      <c r="P9144" s="7"/>
      <c r="Q9144" s="7"/>
      <c r="R9144" s="7"/>
      <c r="S9144" s="7"/>
      <c r="T9144" s="7"/>
      <c r="U9144" s="7"/>
      <c r="V9144" s="7"/>
      <c r="W9144" s="7"/>
      <c r="X9144" s="7"/>
      <c r="Y9144" s="7"/>
      <c r="Z9144" s="7"/>
    </row>
    <row r="9145" hidden="1">
      <c r="A9145" s="7"/>
      <c r="B9145" s="7"/>
      <c r="C9145" s="7"/>
      <c r="D9145" s="7"/>
      <c r="E9145" s="7"/>
      <c r="F9145" s="7"/>
      <c r="G9145" s="7"/>
      <c r="H9145" s="8"/>
      <c r="I9145" s="8"/>
      <c r="J9145" s="7"/>
      <c r="K9145" s="7"/>
      <c r="L9145" s="7"/>
      <c r="M9145" s="7"/>
      <c r="N9145" s="7"/>
      <c r="O9145" s="7"/>
      <c r="P9145" s="7"/>
      <c r="Q9145" s="7"/>
      <c r="R9145" s="7"/>
      <c r="S9145" s="7"/>
      <c r="T9145" s="7"/>
      <c r="U9145" s="7"/>
      <c r="V9145" s="7"/>
      <c r="W9145" s="7"/>
      <c r="X9145" s="7"/>
      <c r="Y9145" s="7"/>
      <c r="Z9145" s="7"/>
    </row>
    <row r="9146" hidden="1">
      <c r="A9146" s="7"/>
      <c r="B9146" s="7"/>
      <c r="C9146" s="7"/>
      <c r="D9146" s="7"/>
      <c r="E9146" s="7"/>
      <c r="F9146" s="7"/>
      <c r="G9146" s="7"/>
      <c r="H9146" s="8"/>
      <c r="I9146" s="8"/>
      <c r="J9146" s="7"/>
      <c r="K9146" s="7"/>
      <c r="L9146" s="7"/>
      <c r="M9146" s="7"/>
      <c r="N9146" s="7"/>
      <c r="O9146" s="7"/>
      <c r="P9146" s="7"/>
      <c r="Q9146" s="7"/>
      <c r="R9146" s="7"/>
      <c r="S9146" s="7"/>
      <c r="T9146" s="7"/>
      <c r="U9146" s="7"/>
      <c r="V9146" s="7"/>
      <c r="W9146" s="7"/>
      <c r="X9146" s="7"/>
      <c r="Y9146" s="7"/>
      <c r="Z9146" s="7"/>
    </row>
    <row r="9147" hidden="1">
      <c r="A9147" s="7"/>
      <c r="B9147" s="7"/>
      <c r="C9147" s="7"/>
      <c r="D9147" s="7"/>
      <c r="E9147" s="7"/>
      <c r="F9147" s="7"/>
      <c r="G9147" s="7"/>
      <c r="H9147" s="8"/>
      <c r="I9147" s="8"/>
      <c r="J9147" s="7"/>
      <c r="K9147" s="7"/>
      <c r="L9147" s="7"/>
      <c r="M9147" s="7"/>
      <c r="N9147" s="7"/>
      <c r="O9147" s="7"/>
      <c r="P9147" s="7"/>
      <c r="Q9147" s="7"/>
      <c r="R9147" s="7"/>
      <c r="S9147" s="7"/>
      <c r="T9147" s="7"/>
      <c r="U9147" s="7"/>
      <c r="V9147" s="7"/>
      <c r="W9147" s="7"/>
      <c r="X9147" s="7"/>
      <c r="Y9147" s="7"/>
      <c r="Z9147" s="7"/>
    </row>
    <row r="9148" hidden="1">
      <c r="A9148" s="7"/>
      <c r="B9148" s="7"/>
      <c r="C9148" s="7"/>
      <c r="D9148" s="7"/>
      <c r="E9148" s="7"/>
      <c r="F9148" s="7"/>
      <c r="G9148" s="7"/>
      <c r="H9148" s="8"/>
      <c r="I9148" s="8"/>
      <c r="J9148" s="7"/>
      <c r="K9148" s="7"/>
      <c r="L9148" s="7"/>
      <c r="M9148" s="7"/>
      <c r="N9148" s="7"/>
      <c r="O9148" s="7"/>
      <c r="P9148" s="7"/>
      <c r="Q9148" s="7"/>
      <c r="R9148" s="7"/>
      <c r="S9148" s="7"/>
      <c r="T9148" s="7"/>
      <c r="U9148" s="7"/>
      <c r="V9148" s="7"/>
      <c r="W9148" s="7"/>
      <c r="X9148" s="7"/>
      <c r="Y9148" s="7"/>
      <c r="Z9148" s="7"/>
    </row>
    <row r="9149" hidden="1">
      <c r="A9149" s="7"/>
      <c r="B9149" s="7"/>
      <c r="C9149" s="7"/>
      <c r="D9149" s="7"/>
      <c r="E9149" s="7"/>
      <c r="F9149" s="7"/>
      <c r="G9149" s="7"/>
      <c r="H9149" s="8"/>
      <c r="I9149" s="8"/>
      <c r="J9149" s="7"/>
      <c r="K9149" s="7"/>
      <c r="L9149" s="7"/>
      <c r="M9149" s="7"/>
      <c r="N9149" s="7"/>
      <c r="O9149" s="7"/>
      <c r="P9149" s="7"/>
      <c r="Q9149" s="7"/>
      <c r="R9149" s="7"/>
      <c r="S9149" s="7"/>
      <c r="T9149" s="7"/>
      <c r="U9149" s="7"/>
      <c r="V9149" s="7"/>
      <c r="W9149" s="7"/>
      <c r="X9149" s="7"/>
      <c r="Y9149" s="7"/>
      <c r="Z9149" s="7"/>
    </row>
    <row r="9150" hidden="1">
      <c r="A9150" s="7"/>
      <c r="B9150" s="7"/>
      <c r="C9150" s="7"/>
      <c r="D9150" s="7"/>
      <c r="E9150" s="7"/>
      <c r="F9150" s="7"/>
      <c r="G9150" s="7"/>
      <c r="H9150" s="8"/>
      <c r="I9150" s="8"/>
      <c r="J9150" s="7"/>
      <c r="K9150" s="7"/>
      <c r="L9150" s="7"/>
      <c r="M9150" s="7"/>
      <c r="N9150" s="7"/>
      <c r="O9150" s="7"/>
      <c r="P9150" s="7"/>
      <c r="Q9150" s="7"/>
      <c r="R9150" s="7"/>
      <c r="S9150" s="7"/>
      <c r="T9150" s="7"/>
      <c r="U9150" s="7"/>
      <c r="V9150" s="7"/>
      <c r="W9150" s="7"/>
      <c r="X9150" s="7"/>
      <c r="Y9150" s="7"/>
      <c r="Z9150" s="7"/>
    </row>
    <row r="9151" hidden="1">
      <c r="A9151" s="7"/>
      <c r="B9151" s="7"/>
      <c r="C9151" s="7"/>
      <c r="D9151" s="7"/>
      <c r="E9151" s="7"/>
      <c r="F9151" s="7"/>
      <c r="G9151" s="7"/>
      <c r="H9151" s="8"/>
      <c r="I9151" s="8"/>
      <c r="J9151" s="7"/>
      <c r="K9151" s="7"/>
      <c r="L9151" s="7"/>
      <c r="M9151" s="7"/>
      <c r="N9151" s="7"/>
      <c r="O9151" s="7"/>
      <c r="P9151" s="7"/>
      <c r="Q9151" s="7"/>
      <c r="R9151" s="7"/>
      <c r="S9151" s="7"/>
      <c r="T9151" s="7"/>
      <c r="U9151" s="7"/>
      <c r="V9151" s="7"/>
      <c r="W9151" s="7"/>
      <c r="X9151" s="7"/>
      <c r="Y9151" s="7"/>
      <c r="Z9151" s="7"/>
    </row>
    <row r="9152" hidden="1">
      <c r="A9152" s="7"/>
      <c r="B9152" s="7"/>
      <c r="C9152" s="7"/>
      <c r="D9152" s="7"/>
      <c r="E9152" s="7"/>
      <c r="F9152" s="7"/>
      <c r="G9152" s="7"/>
      <c r="H9152" s="8"/>
      <c r="I9152" s="8"/>
      <c r="J9152" s="7"/>
      <c r="K9152" s="7"/>
      <c r="L9152" s="7"/>
      <c r="M9152" s="7"/>
      <c r="N9152" s="7"/>
      <c r="O9152" s="7"/>
      <c r="P9152" s="7"/>
      <c r="Q9152" s="7"/>
      <c r="R9152" s="7"/>
      <c r="S9152" s="7"/>
      <c r="T9152" s="7"/>
      <c r="U9152" s="7"/>
      <c r="V9152" s="7"/>
      <c r="W9152" s="7"/>
      <c r="X9152" s="7"/>
      <c r="Y9152" s="7"/>
      <c r="Z9152" s="7"/>
    </row>
    <row r="9153" hidden="1">
      <c r="A9153" s="7"/>
      <c r="B9153" s="7"/>
      <c r="C9153" s="7"/>
      <c r="D9153" s="7"/>
      <c r="E9153" s="7"/>
      <c r="F9153" s="7"/>
      <c r="G9153" s="7"/>
      <c r="H9153" s="8"/>
      <c r="I9153" s="8"/>
      <c r="J9153" s="7"/>
      <c r="K9153" s="7"/>
      <c r="L9153" s="7"/>
      <c r="M9153" s="7"/>
      <c r="N9153" s="7"/>
      <c r="O9153" s="7"/>
      <c r="P9153" s="7"/>
      <c r="Q9153" s="7"/>
      <c r="R9153" s="7"/>
      <c r="S9153" s="7"/>
      <c r="T9153" s="7"/>
      <c r="U9153" s="7"/>
      <c r="V9153" s="7"/>
      <c r="W9153" s="7"/>
      <c r="X9153" s="7"/>
      <c r="Y9153" s="7"/>
      <c r="Z9153" s="7"/>
    </row>
    <row r="9154" hidden="1">
      <c r="A9154" s="7"/>
      <c r="B9154" s="7"/>
      <c r="C9154" s="7"/>
      <c r="D9154" s="7"/>
      <c r="E9154" s="7"/>
      <c r="F9154" s="7"/>
      <c r="G9154" s="7"/>
      <c r="H9154" s="8"/>
      <c r="I9154" s="8"/>
      <c r="J9154" s="7"/>
      <c r="K9154" s="7"/>
      <c r="L9154" s="7"/>
      <c r="M9154" s="7"/>
      <c r="N9154" s="7"/>
      <c r="O9154" s="7"/>
      <c r="P9154" s="7"/>
      <c r="Q9154" s="7"/>
      <c r="R9154" s="7"/>
      <c r="S9154" s="7"/>
      <c r="T9154" s="7"/>
      <c r="U9154" s="7"/>
      <c r="V9154" s="7"/>
      <c r="W9154" s="7"/>
      <c r="X9154" s="7"/>
      <c r="Y9154" s="7"/>
      <c r="Z9154" s="7"/>
    </row>
    <row r="9155" hidden="1">
      <c r="A9155" s="7"/>
      <c r="B9155" s="7"/>
      <c r="C9155" s="7"/>
      <c r="D9155" s="7"/>
      <c r="E9155" s="7"/>
      <c r="F9155" s="7"/>
      <c r="G9155" s="7"/>
      <c r="H9155" s="8"/>
      <c r="I9155" s="8"/>
      <c r="J9155" s="7"/>
      <c r="K9155" s="7"/>
      <c r="L9155" s="7"/>
      <c r="M9155" s="7"/>
      <c r="N9155" s="7"/>
      <c r="O9155" s="7"/>
      <c r="P9155" s="7"/>
      <c r="Q9155" s="7"/>
      <c r="R9155" s="7"/>
      <c r="S9155" s="7"/>
      <c r="T9155" s="7"/>
      <c r="U9155" s="7"/>
      <c r="V9155" s="7"/>
      <c r="W9155" s="7"/>
      <c r="X9155" s="7"/>
      <c r="Y9155" s="7"/>
      <c r="Z9155" s="7"/>
    </row>
    <row r="9156" hidden="1">
      <c r="A9156" s="7"/>
      <c r="B9156" s="7"/>
      <c r="C9156" s="7"/>
      <c r="D9156" s="7"/>
      <c r="E9156" s="7"/>
      <c r="F9156" s="7"/>
      <c r="G9156" s="7"/>
      <c r="H9156" s="8"/>
      <c r="I9156" s="8"/>
      <c r="J9156" s="7"/>
      <c r="K9156" s="7"/>
      <c r="L9156" s="7"/>
      <c r="M9156" s="7"/>
      <c r="N9156" s="7"/>
      <c r="O9156" s="7"/>
      <c r="P9156" s="7"/>
      <c r="Q9156" s="7"/>
      <c r="R9156" s="7"/>
      <c r="S9156" s="7"/>
      <c r="T9156" s="7"/>
      <c r="U9156" s="7"/>
      <c r="V9156" s="7"/>
      <c r="W9156" s="7"/>
      <c r="X9156" s="7"/>
      <c r="Y9156" s="7"/>
      <c r="Z9156" s="7"/>
    </row>
    <row r="9157" hidden="1">
      <c r="A9157" s="7"/>
      <c r="B9157" s="7"/>
      <c r="C9157" s="7"/>
      <c r="D9157" s="7"/>
      <c r="E9157" s="7"/>
      <c r="F9157" s="7"/>
      <c r="G9157" s="7"/>
      <c r="H9157" s="8"/>
      <c r="I9157" s="8"/>
      <c r="J9157" s="7"/>
      <c r="K9157" s="7"/>
      <c r="L9157" s="7"/>
      <c r="M9157" s="7"/>
      <c r="N9157" s="7"/>
      <c r="O9157" s="7"/>
      <c r="P9157" s="7"/>
      <c r="Q9157" s="7"/>
      <c r="R9157" s="7"/>
      <c r="S9157" s="7"/>
      <c r="T9157" s="7"/>
      <c r="U9157" s="7"/>
      <c r="V9157" s="7"/>
      <c r="W9157" s="7"/>
      <c r="X9157" s="7"/>
      <c r="Y9157" s="7"/>
      <c r="Z9157" s="7"/>
    </row>
    <row r="9158" hidden="1">
      <c r="A9158" s="7"/>
      <c r="B9158" s="7"/>
      <c r="C9158" s="7"/>
      <c r="D9158" s="7"/>
      <c r="E9158" s="7"/>
      <c r="F9158" s="7"/>
      <c r="G9158" s="7"/>
      <c r="H9158" s="8"/>
      <c r="I9158" s="8"/>
      <c r="J9158" s="7"/>
      <c r="K9158" s="7"/>
      <c r="L9158" s="7"/>
      <c r="M9158" s="7"/>
      <c r="N9158" s="7"/>
      <c r="O9158" s="7"/>
      <c r="P9158" s="7"/>
      <c r="Q9158" s="7"/>
      <c r="R9158" s="7"/>
      <c r="S9158" s="7"/>
      <c r="T9158" s="7"/>
      <c r="U9158" s="7"/>
      <c r="V9158" s="7"/>
      <c r="W9158" s="7"/>
      <c r="X9158" s="7"/>
      <c r="Y9158" s="7"/>
      <c r="Z9158" s="7"/>
    </row>
    <row r="9159" hidden="1">
      <c r="A9159" s="7"/>
      <c r="B9159" s="7"/>
      <c r="C9159" s="7"/>
      <c r="D9159" s="7"/>
      <c r="E9159" s="7"/>
      <c r="F9159" s="7"/>
      <c r="G9159" s="7"/>
      <c r="H9159" s="8"/>
      <c r="I9159" s="8"/>
      <c r="J9159" s="7"/>
      <c r="K9159" s="7"/>
      <c r="L9159" s="7"/>
      <c r="M9159" s="7"/>
      <c r="N9159" s="7"/>
      <c r="O9159" s="7"/>
      <c r="P9159" s="7"/>
      <c r="Q9159" s="7"/>
      <c r="R9159" s="7"/>
      <c r="S9159" s="7"/>
      <c r="T9159" s="7"/>
      <c r="U9159" s="7"/>
      <c r="V9159" s="7"/>
      <c r="W9159" s="7"/>
      <c r="X9159" s="7"/>
      <c r="Y9159" s="7"/>
      <c r="Z9159" s="7"/>
    </row>
    <row r="9160" hidden="1">
      <c r="A9160" s="7"/>
      <c r="B9160" s="7"/>
      <c r="C9160" s="7"/>
      <c r="D9160" s="7"/>
      <c r="E9160" s="7"/>
      <c r="F9160" s="7"/>
      <c r="G9160" s="7"/>
      <c r="H9160" s="8"/>
      <c r="I9160" s="8"/>
      <c r="J9160" s="7"/>
      <c r="K9160" s="7"/>
      <c r="L9160" s="7"/>
      <c r="M9160" s="7"/>
      <c r="N9160" s="7"/>
      <c r="O9160" s="7"/>
      <c r="P9160" s="7"/>
      <c r="Q9160" s="7"/>
      <c r="R9160" s="7"/>
      <c r="S9160" s="7"/>
      <c r="T9160" s="7"/>
      <c r="U9160" s="7"/>
      <c r="V9160" s="7"/>
      <c r="W9160" s="7"/>
      <c r="X9160" s="7"/>
      <c r="Y9160" s="7"/>
      <c r="Z9160" s="7"/>
    </row>
    <row r="9161" hidden="1">
      <c r="A9161" s="7"/>
      <c r="B9161" s="7"/>
      <c r="C9161" s="7"/>
      <c r="D9161" s="7"/>
      <c r="E9161" s="7"/>
      <c r="F9161" s="7"/>
      <c r="G9161" s="7"/>
      <c r="H9161" s="8"/>
      <c r="I9161" s="8"/>
      <c r="J9161" s="7"/>
      <c r="K9161" s="7"/>
      <c r="L9161" s="7"/>
      <c r="M9161" s="7"/>
      <c r="N9161" s="7"/>
      <c r="O9161" s="7"/>
      <c r="P9161" s="7"/>
      <c r="Q9161" s="7"/>
      <c r="R9161" s="7"/>
      <c r="S9161" s="7"/>
      <c r="T9161" s="7"/>
      <c r="U9161" s="7"/>
      <c r="V9161" s="7"/>
      <c r="W9161" s="7"/>
      <c r="X9161" s="7"/>
      <c r="Y9161" s="7"/>
      <c r="Z9161" s="7"/>
    </row>
    <row r="9162" hidden="1">
      <c r="A9162" s="7"/>
      <c r="B9162" s="7"/>
      <c r="C9162" s="7"/>
      <c r="D9162" s="7"/>
      <c r="E9162" s="7"/>
      <c r="F9162" s="7"/>
      <c r="G9162" s="7"/>
      <c r="H9162" s="8"/>
      <c r="I9162" s="8"/>
      <c r="J9162" s="7"/>
      <c r="K9162" s="7"/>
      <c r="L9162" s="7"/>
      <c r="M9162" s="7"/>
      <c r="N9162" s="7"/>
      <c r="O9162" s="7"/>
      <c r="P9162" s="7"/>
      <c r="Q9162" s="7"/>
      <c r="R9162" s="7"/>
      <c r="S9162" s="7"/>
      <c r="T9162" s="7"/>
      <c r="U9162" s="7"/>
      <c r="V9162" s="7"/>
      <c r="W9162" s="7"/>
      <c r="X9162" s="7"/>
      <c r="Y9162" s="7"/>
      <c r="Z9162" s="7"/>
    </row>
    <row r="9163" hidden="1">
      <c r="A9163" s="7"/>
      <c r="B9163" s="7"/>
      <c r="C9163" s="7"/>
      <c r="D9163" s="7"/>
      <c r="E9163" s="7"/>
      <c r="F9163" s="7"/>
      <c r="G9163" s="7"/>
      <c r="H9163" s="8"/>
      <c r="I9163" s="8"/>
      <c r="J9163" s="7"/>
      <c r="K9163" s="7"/>
      <c r="L9163" s="7"/>
      <c r="M9163" s="7"/>
      <c r="N9163" s="7"/>
      <c r="O9163" s="7"/>
      <c r="P9163" s="7"/>
      <c r="Q9163" s="7"/>
      <c r="R9163" s="7"/>
      <c r="S9163" s="7"/>
      <c r="T9163" s="7"/>
      <c r="U9163" s="7"/>
      <c r="V9163" s="7"/>
      <c r="W9163" s="7"/>
      <c r="X9163" s="7"/>
      <c r="Y9163" s="7"/>
      <c r="Z9163" s="7"/>
    </row>
    <row r="9164" hidden="1">
      <c r="A9164" s="7"/>
      <c r="B9164" s="7"/>
      <c r="C9164" s="7"/>
      <c r="D9164" s="7"/>
      <c r="E9164" s="7"/>
      <c r="F9164" s="7"/>
      <c r="G9164" s="7"/>
      <c r="H9164" s="8"/>
      <c r="I9164" s="8"/>
      <c r="J9164" s="7"/>
      <c r="K9164" s="7"/>
      <c r="L9164" s="7"/>
      <c r="M9164" s="7"/>
      <c r="N9164" s="7"/>
      <c r="O9164" s="7"/>
      <c r="P9164" s="7"/>
      <c r="Q9164" s="7"/>
      <c r="R9164" s="7"/>
      <c r="S9164" s="7"/>
      <c r="T9164" s="7"/>
      <c r="U9164" s="7"/>
      <c r="V9164" s="7"/>
      <c r="W9164" s="7"/>
      <c r="X9164" s="7"/>
      <c r="Y9164" s="7"/>
      <c r="Z9164" s="7"/>
    </row>
    <row r="9165" hidden="1">
      <c r="A9165" s="7"/>
      <c r="B9165" s="7"/>
      <c r="C9165" s="7"/>
      <c r="D9165" s="7"/>
      <c r="E9165" s="7"/>
      <c r="F9165" s="7"/>
      <c r="G9165" s="7"/>
      <c r="H9165" s="8"/>
      <c r="I9165" s="8"/>
      <c r="J9165" s="7"/>
      <c r="K9165" s="7"/>
      <c r="L9165" s="7"/>
      <c r="M9165" s="7"/>
      <c r="N9165" s="7"/>
      <c r="O9165" s="7"/>
      <c r="P9165" s="7"/>
      <c r="Q9165" s="7"/>
      <c r="R9165" s="7"/>
      <c r="S9165" s="7"/>
      <c r="T9165" s="7"/>
      <c r="U9165" s="7"/>
      <c r="V9165" s="7"/>
      <c r="W9165" s="7"/>
      <c r="X9165" s="7"/>
      <c r="Y9165" s="7"/>
      <c r="Z9165" s="7"/>
    </row>
    <row r="9166" hidden="1">
      <c r="A9166" s="7"/>
      <c r="B9166" s="7"/>
      <c r="C9166" s="7"/>
      <c r="D9166" s="7"/>
      <c r="E9166" s="7"/>
      <c r="F9166" s="7"/>
      <c r="G9166" s="7"/>
      <c r="H9166" s="8"/>
      <c r="I9166" s="8"/>
      <c r="J9166" s="7"/>
      <c r="K9166" s="7"/>
      <c r="L9166" s="7"/>
      <c r="M9166" s="7"/>
      <c r="N9166" s="7"/>
      <c r="O9166" s="7"/>
      <c r="P9166" s="7"/>
      <c r="Q9166" s="7"/>
      <c r="R9166" s="7"/>
      <c r="S9166" s="7"/>
      <c r="T9166" s="7"/>
      <c r="U9166" s="7"/>
      <c r="V9166" s="7"/>
      <c r="W9166" s="7"/>
      <c r="X9166" s="7"/>
      <c r="Y9166" s="7"/>
      <c r="Z9166" s="7"/>
    </row>
    <row r="9167" hidden="1">
      <c r="A9167" s="7"/>
      <c r="B9167" s="7"/>
      <c r="C9167" s="7"/>
      <c r="D9167" s="7"/>
      <c r="E9167" s="7"/>
      <c r="F9167" s="7"/>
      <c r="G9167" s="7"/>
      <c r="H9167" s="8"/>
      <c r="I9167" s="8"/>
      <c r="J9167" s="7"/>
      <c r="K9167" s="7"/>
      <c r="L9167" s="7"/>
      <c r="M9167" s="7"/>
      <c r="N9167" s="7"/>
      <c r="O9167" s="7"/>
      <c r="P9167" s="7"/>
      <c r="Q9167" s="7"/>
      <c r="R9167" s="7"/>
      <c r="S9167" s="7"/>
      <c r="T9167" s="7"/>
      <c r="U9167" s="7"/>
      <c r="V9167" s="7"/>
      <c r="W9167" s="7"/>
      <c r="X9167" s="7"/>
      <c r="Y9167" s="7"/>
      <c r="Z9167" s="7"/>
    </row>
    <row r="9168" hidden="1">
      <c r="A9168" s="7"/>
      <c r="B9168" s="7"/>
      <c r="C9168" s="7"/>
      <c r="D9168" s="7"/>
      <c r="E9168" s="7"/>
      <c r="F9168" s="7"/>
      <c r="G9168" s="7"/>
      <c r="H9168" s="8"/>
      <c r="I9168" s="8"/>
      <c r="J9168" s="7"/>
      <c r="K9168" s="7"/>
      <c r="L9168" s="7"/>
      <c r="M9168" s="7"/>
      <c r="N9168" s="7"/>
      <c r="O9168" s="7"/>
      <c r="P9168" s="7"/>
      <c r="Q9168" s="7"/>
      <c r="R9168" s="7"/>
      <c r="S9168" s="7"/>
      <c r="T9168" s="7"/>
      <c r="U9168" s="7"/>
      <c r="V9168" s="7"/>
      <c r="W9168" s="7"/>
      <c r="X9168" s="7"/>
      <c r="Y9168" s="7"/>
      <c r="Z9168" s="7"/>
    </row>
    <row r="9169" hidden="1">
      <c r="A9169" s="7"/>
      <c r="B9169" s="7"/>
      <c r="C9169" s="7"/>
      <c r="D9169" s="7"/>
      <c r="E9169" s="7"/>
      <c r="F9169" s="7"/>
      <c r="G9169" s="7"/>
      <c r="H9169" s="8"/>
      <c r="I9169" s="8"/>
      <c r="J9169" s="7"/>
      <c r="K9169" s="7"/>
      <c r="L9169" s="7"/>
      <c r="M9169" s="7"/>
      <c r="N9169" s="7"/>
      <c r="O9169" s="7"/>
      <c r="P9169" s="7"/>
      <c r="Q9169" s="7"/>
      <c r="R9169" s="7"/>
      <c r="S9169" s="7"/>
      <c r="T9169" s="7"/>
      <c r="U9169" s="7"/>
      <c r="V9169" s="7"/>
      <c r="W9169" s="7"/>
      <c r="X9169" s="7"/>
      <c r="Y9169" s="7"/>
      <c r="Z9169" s="7"/>
    </row>
    <row r="9170" hidden="1">
      <c r="A9170" s="7"/>
      <c r="B9170" s="7"/>
      <c r="C9170" s="7"/>
      <c r="D9170" s="7"/>
      <c r="E9170" s="7"/>
      <c r="F9170" s="7"/>
      <c r="G9170" s="7"/>
      <c r="H9170" s="8"/>
      <c r="I9170" s="8"/>
      <c r="J9170" s="7"/>
      <c r="K9170" s="7"/>
      <c r="L9170" s="7"/>
      <c r="M9170" s="7"/>
      <c r="N9170" s="7"/>
      <c r="O9170" s="7"/>
      <c r="P9170" s="7"/>
      <c r="Q9170" s="7"/>
      <c r="R9170" s="7"/>
      <c r="S9170" s="7"/>
      <c r="T9170" s="7"/>
      <c r="U9170" s="7"/>
      <c r="V9170" s="7"/>
      <c r="W9170" s="7"/>
      <c r="X9170" s="7"/>
      <c r="Y9170" s="7"/>
      <c r="Z9170" s="7"/>
    </row>
    <row r="9171" hidden="1">
      <c r="A9171" s="7"/>
      <c r="B9171" s="7"/>
      <c r="C9171" s="7"/>
      <c r="D9171" s="7"/>
      <c r="E9171" s="7"/>
      <c r="F9171" s="7"/>
      <c r="G9171" s="7"/>
      <c r="H9171" s="8"/>
      <c r="I9171" s="8"/>
      <c r="J9171" s="7"/>
      <c r="K9171" s="7"/>
      <c r="L9171" s="7"/>
      <c r="M9171" s="7"/>
      <c r="N9171" s="7"/>
      <c r="O9171" s="7"/>
      <c r="P9171" s="7"/>
      <c r="Q9171" s="7"/>
      <c r="R9171" s="7"/>
      <c r="S9171" s="7"/>
      <c r="T9171" s="7"/>
      <c r="U9171" s="7"/>
      <c r="V9171" s="7"/>
      <c r="W9171" s="7"/>
      <c r="X9171" s="7"/>
      <c r="Y9171" s="7"/>
      <c r="Z9171" s="7"/>
    </row>
    <row r="9172" hidden="1">
      <c r="A9172" s="7"/>
      <c r="B9172" s="7"/>
      <c r="C9172" s="7"/>
      <c r="D9172" s="7"/>
      <c r="E9172" s="7"/>
      <c r="F9172" s="7"/>
      <c r="G9172" s="7"/>
      <c r="H9172" s="8"/>
      <c r="I9172" s="8"/>
      <c r="J9172" s="7"/>
      <c r="K9172" s="7"/>
      <c r="L9172" s="7"/>
      <c r="M9172" s="7"/>
      <c r="N9172" s="7"/>
      <c r="O9172" s="7"/>
      <c r="P9172" s="7"/>
      <c r="Q9172" s="7"/>
      <c r="R9172" s="7"/>
      <c r="S9172" s="7"/>
      <c r="T9172" s="7"/>
      <c r="U9172" s="7"/>
      <c r="V9172" s="7"/>
      <c r="W9172" s="7"/>
      <c r="X9172" s="7"/>
      <c r="Y9172" s="7"/>
      <c r="Z9172" s="7"/>
    </row>
    <row r="9173" hidden="1">
      <c r="A9173" s="7"/>
      <c r="B9173" s="7"/>
      <c r="C9173" s="7"/>
      <c r="D9173" s="7"/>
      <c r="E9173" s="7"/>
      <c r="F9173" s="7"/>
      <c r="G9173" s="7"/>
      <c r="H9173" s="8"/>
      <c r="I9173" s="8"/>
      <c r="J9173" s="7"/>
      <c r="K9173" s="7"/>
      <c r="L9173" s="7"/>
      <c r="M9173" s="7"/>
      <c r="N9173" s="7"/>
      <c r="O9173" s="7"/>
      <c r="P9173" s="7"/>
      <c r="Q9173" s="7"/>
      <c r="R9173" s="7"/>
      <c r="S9173" s="7"/>
      <c r="T9173" s="7"/>
      <c r="U9173" s="7"/>
      <c r="V9173" s="7"/>
      <c r="W9173" s="7"/>
      <c r="X9173" s="7"/>
      <c r="Y9173" s="7"/>
      <c r="Z9173" s="7"/>
    </row>
    <row r="9174" hidden="1">
      <c r="A9174" s="7"/>
      <c r="B9174" s="7"/>
      <c r="C9174" s="7"/>
      <c r="D9174" s="7"/>
      <c r="E9174" s="7"/>
      <c r="F9174" s="7"/>
      <c r="G9174" s="7"/>
      <c r="H9174" s="8"/>
      <c r="I9174" s="8"/>
      <c r="J9174" s="7"/>
      <c r="K9174" s="7"/>
      <c r="L9174" s="7"/>
      <c r="M9174" s="7"/>
      <c r="N9174" s="7"/>
      <c r="O9174" s="7"/>
      <c r="P9174" s="7"/>
      <c r="Q9174" s="7"/>
      <c r="R9174" s="7"/>
      <c r="S9174" s="7"/>
      <c r="T9174" s="7"/>
      <c r="U9174" s="7"/>
      <c r="V9174" s="7"/>
      <c r="W9174" s="7"/>
      <c r="X9174" s="7"/>
      <c r="Y9174" s="7"/>
      <c r="Z9174" s="7"/>
    </row>
    <row r="9175" hidden="1">
      <c r="A9175" s="7"/>
      <c r="B9175" s="7"/>
      <c r="C9175" s="7"/>
      <c r="D9175" s="7"/>
      <c r="E9175" s="7"/>
      <c r="F9175" s="7"/>
      <c r="G9175" s="7"/>
      <c r="H9175" s="8"/>
      <c r="I9175" s="8"/>
      <c r="J9175" s="7"/>
      <c r="K9175" s="7"/>
      <c r="L9175" s="7"/>
      <c r="M9175" s="7"/>
      <c r="N9175" s="7"/>
      <c r="O9175" s="7"/>
      <c r="P9175" s="7"/>
      <c r="Q9175" s="7"/>
      <c r="R9175" s="7"/>
      <c r="S9175" s="7"/>
      <c r="T9175" s="7"/>
      <c r="U9175" s="7"/>
      <c r="V9175" s="7"/>
      <c r="W9175" s="7"/>
      <c r="X9175" s="7"/>
      <c r="Y9175" s="7"/>
      <c r="Z9175" s="7"/>
    </row>
    <row r="9176" hidden="1">
      <c r="A9176" s="7"/>
      <c r="B9176" s="7"/>
      <c r="C9176" s="7"/>
      <c r="D9176" s="7"/>
      <c r="E9176" s="7"/>
      <c r="F9176" s="7"/>
      <c r="G9176" s="7"/>
      <c r="H9176" s="8"/>
      <c r="I9176" s="8"/>
      <c r="J9176" s="7"/>
      <c r="K9176" s="7"/>
      <c r="L9176" s="7"/>
      <c r="M9176" s="7"/>
      <c r="N9176" s="7"/>
      <c r="O9176" s="7"/>
      <c r="P9176" s="7"/>
      <c r="Q9176" s="7"/>
      <c r="R9176" s="7"/>
      <c r="S9176" s="7"/>
      <c r="T9176" s="7"/>
      <c r="U9176" s="7"/>
      <c r="V9176" s="7"/>
      <c r="W9176" s="7"/>
      <c r="X9176" s="7"/>
      <c r="Y9176" s="7"/>
      <c r="Z9176" s="7"/>
    </row>
    <row r="9177" hidden="1">
      <c r="A9177" s="7"/>
      <c r="B9177" s="7"/>
      <c r="C9177" s="7"/>
      <c r="D9177" s="7"/>
      <c r="E9177" s="7"/>
      <c r="F9177" s="7"/>
      <c r="G9177" s="7"/>
      <c r="H9177" s="8"/>
      <c r="I9177" s="8"/>
      <c r="J9177" s="7"/>
      <c r="K9177" s="7"/>
      <c r="L9177" s="7"/>
      <c r="M9177" s="7"/>
      <c r="N9177" s="7"/>
      <c r="O9177" s="7"/>
      <c r="P9177" s="7"/>
      <c r="Q9177" s="7"/>
      <c r="R9177" s="7"/>
      <c r="S9177" s="7"/>
      <c r="T9177" s="7"/>
      <c r="U9177" s="7"/>
      <c r="V9177" s="7"/>
      <c r="W9177" s="7"/>
      <c r="X9177" s="7"/>
      <c r="Y9177" s="7"/>
      <c r="Z9177" s="7"/>
    </row>
    <row r="9178" hidden="1">
      <c r="A9178" s="7"/>
      <c r="B9178" s="7"/>
      <c r="C9178" s="7"/>
      <c r="D9178" s="7"/>
      <c r="E9178" s="7"/>
      <c r="F9178" s="7"/>
      <c r="G9178" s="7"/>
      <c r="H9178" s="8"/>
      <c r="I9178" s="8"/>
      <c r="J9178" s="7"/>
      <c r="K9178" s="7"/>
      <c r="L9178" s="7"/>
      <c r="M9178" s="7"/>
      <c r="N9178" s="7"/>
      <c r="O9178" s="7"/>
      <c r="P9178" s="7"/>
      <c r="Q9178" s="7"/>
      <c r="R9178" s="7"/>
      <c r="S9178" s="7"/>
      <c r="T9178" s="7"/>
      <c r="U9178" s="7"/>
      <c r="V9178" s="7"/>
      <c r="W9178" s="7"/>
      <c r="X9178" s="7"/>
      <c r="Y9178" s="7"/>
      <c r="Z9178" s="7"/>
    </row>
    <row r="9179" hidden="1">
      <c r="A9179" s="7"/>
      <c r="B9179" s="7"/>
      <c r="C9179" s="7"/>
      <c r="D9179" s="7"/>
      <c r="E9179" s="7"/>
      <c r="F9179" s="7"/>
      <c r="G9179" s="7"/>
      <c r="H9179" s="8"/>
      <c r="I9179" s="8"/>
      <c r="J9179" s="7"/>
      <c r="K9179" s="7"/>
      <c r="L9179" s="7"/>
      <c r="M9179" s="7"/>
      <c r="N9179" s="7"/>
      <c r="O9179" s="7"/>
      <c r="P9179" s="7"/>
      <c r="Q9179" s="7"/>
      <c r="R9179" s="7"/>
      <c r="S9179" s="7"/>
      <c r="T9179" s="7"/>
      <c r="U9179" s="7"/>
      <c r="V9179" s="7"/>
      <c r="W9179" s="7"/>
      <c r="X9179" s="7"/>
      <c r="Y9179" s="7"/>
      <c r="Z9179" s="7"/>
    </row>
    <row r="9180" hidden="1">
      <c r="A9180" s="7"/>
      <c r="B9180" s="7"/>
      <c r="C9180" s="7"/>
      <c r="D9180" s="7"/>
      <c r="E9180" s="7"/>
      <c r="F9180" s="7"/>
      <c r="G9180" s="7"/>
      <c r="H9180" s="8"/>
      <c r="I9180" s="8"/>
      <c r="J9180" s="7"/>
      <c r="K9180" s="7"/>
      <c r="L9180" s="7"/>
      <c r="M9180" s="7"/>
      <c r="N9180" s="7"/>
      <c r="O9180" s="7"/>
      <c r="P9180" s="7"/>
      <c r="Q9180" s="7"/>
      <c r="R9180" s="7"/>
      <c r="S9180" s="7"/>
      <c r="T9180" s="7"/>
      <c r="U9180" s="7"/>
      <c r="V9180" s="7"/>
      <c r="W9180" s="7"/>
      <c r="X9180" s="7"/>
      <c r="Y9180" s="7"/>
      <c r="Z9180" s="7"/>
    </row>
    <row r="9181" hidden="1">
      <c r="A9181" s="7"/>
      <c r="B9181" s="7"/>
      <c r="C9181" s="7"/>
      <c r="D9181" s="7"/>
      <c r="E9181" s="7"/>
      <c r="F9181" s="7"/>
      <c r="G9181" s="7"/>
      <c r="H9181" s="8"/>
      <c r="I9181" s="8"/>
      <c r="J9181" s="7"/>
      <c r="K9181" s="7"/>
      <c r="L9181" s="7"/>
      <c r="M9181" s="7"/>
      <c r="N9181" s="7"/>
      <c r="O9181" s="7"/>
      <c r="P9181" s="7"/>
      <c r="Q9181" s="7"/>
      <c r="R9181" s="7"/>
      <c r="S9181" s="7"/>
      <c r="T9181" s="7"/>
      <c r="U9181" s="7"/>
      <c r="V9181" s="7"/>
      <c r="W9181" s="7"/>
      <c r="X9181" s="7"/>
      <c r="Y9181" s="7"/>
      <c r="Z9181" s="7"/>
    </row>
    <row r="9182" hidden="1">
      <c r="A9182" s="7"/>
      <c r="B9182" s="7"/>
      <c r="C9182" s="7"/>
      <c r="D9182" s="7"/>
      <c r="E9182" s="7"/>
      <c r="F9182" s="7"/>
      <c r="G9182" s="7"/>
      <c r="H9182" s="8"/>
      <c r="I9182" s="8"/>
      <c r="J9182" s="7"/>
      <c r="K9182" s="7"/>
      <c r="L9182" s="7"/>
      <c r="M9182" s="7"/>
      <c r="N9182" s="7"/>
      <c r="O9182" s="7"/>
      <c r="P9182" s="7"/>
      <c r="Q9182" s="7"/>
      <c r="R9182" s="7"/>
      <c r="S9182" s="7"/>
      <c r="T9182" s="7"/>
      <c r="U9182" s="7"/>
      <c r="V9182" s="7"/>
      <c r="W9182" s="7"/>
      <c r="X9182" s="7"/>
      <c r="Y9182" s="7"/>
      <c r="Z9182" s="7"/>
    </row>
    <row r="9183" hidden="1">
      <c r="A9183" s="7"/>
      <c r="B9183" s="7"/>
      <c r="C9183" s="7"/>
      <c r="D9183" s="7"/>
      <c r="E9183" s="7"/>
      <c r="F9183" s="7"/>
      <c r="G9183" s="7"/>
      <c r="H9183" s="8"/>
      <c r="I9183" s="8"/>
      <c r="J9183" s="7"/>
      <c r="K9183" s="7"/>
      <c r="L9183" s="7"/>
      <c r="M9183" s="7"/>
      <c r="N9183" s="7"/>
      <c r="O9183" s="7"/>
      <c r="P9183" s="7"/>
      <c r="Q9183" s="7"/>
      <c r="R9183" s="7"/>
      <c r="S9183" s="7"/>
      <c r="T9183" s="7"/>
      <c r="U9183" s="7"/>
      <c r="V9183" s="7"/>
      <c r="W9183" s="7"/>
      <c r="X9183" s="7"/>
      <c r="Y9183" s="7"/>
      <c r="Z9183" s="7"/>
    </row>
    <row r="9184" hidden="1">
      <c r="A9184" s="7"/>
      <c r="B9184" s="7"/>
      <c r="C9184" s="7"/>
      <c r="D9184" s="7"/>
      <c r="E9184" s="7"/>
      <c r="F9184" s="7"/>
      <c r="G9184" s="7"/>
      <c r="H9184" s="8"/>
      <c r="I9184" s="8"/>
      <c r="J9184" s="7"/>
      <c r="K9184" s="7"/>
      <c r="L9184" s="7"/>
      <c r="M9184" s="7"/>
      <c r="N9184" s="7"/>
      <c r="O9184" s="7"/>
      <c r="P9184" s="7"/>
      <c r="Q9184" s="7"/>
      <c r="R9184" s="7"/>
      <c r="S9184" s="7"/>
      <c r="T9184" s="7"/>
      <c r="U9184" s="7"/>
      <c r="V9184" s="7"/>
      <c r="W9184" s="7"/>
      <c r="X9184" s="7"/>
      <c r="Y9184" s="7"/>
      <c r="Z9184" s="7"/>
    </row>
    <row r="9185" hidden="1">
      <c r="A9185" s="7"/>
      <c r="B9185" s="7"/>
      <c r="C9185" s="7"/>
      <c r="D9185" s="7"/>
      <c r="E9185" s="7"/>
      <c r="F9185" s="7"/>
      <c r="G9185" s="7"/>
      <c r="H9185" s="8"/>
      <c r="I9185" s="8"/>
      <c r="J9185" s="7"/>
      <c r="K9185" s="7"/>
      <c r="L9185" s="7"/>
      <c r="M9185" s="7"/>
      <c r="N9185" s="7"/>
      <c r="O9185" s="7"/>
      <c r="P9185" s="7"/>
      <c r="Q9185" s="7"/>
      <c r="R9185" s="7"/>
      <c r="S9185" s="7"/>
      <c r="T9185" s="7"/>
      <c r="U9185" s="7"/>
      <c r="V9185" s="7"/>
      <c r="W9185" s="7"/>
      <c r="X9185" s="7"/>
      <c r="Y9185" s="7"/>
      <c r="Z9185" s="7"/>
    </row>
    <row r="9186" hidden="1">
      <c r="A9186" s="7"/>
      <c r="B9186" s="7"/>
      <c r="C9186" s="7"/>
      <c r="D9186" s="7"/>
      <c r="E9186" s="7"/>
      <c r="F9186" s="7"/>
      <c r="G9186" s="7"/>
      <c r="H9186" s="8"/>
      <c r="I9186" s="8"/>
      <c r="J9186" s="7"/>
      <c r="K9186" s="7"/>
      <c r="L9186" s="7"/>
      <c r="M9186" s="7"/>
      <c r="N9186" s="7"/>
      <c r="O9186" s="7"/>
      <c r="P9186" s="7"/>
      <c r="Q9186" s="7"/>
      <c r="R9186" s="7"/>
      <c r="S9186" s="7"/>
      <c r="T9186" s="7"/>
      <c r="U9186" s="7"/>
      <c r="V9186" s="7"/>
      <c r="W9186" s="7"/>
      <c r="X9186" s="7"/>
      <c r="Y9186" s="7"/>
      <c r="Z9186" s="7"/>
    </row>
    <row r="9187" hidden="1">
      <c r="A9187" s="7"/>
      <c r="B9187" s="7"/>
      <c r="C9187" s="7"/>
      <c r="D9187" s="7"/>
      <c r="E9187" s="7"/>
      <c r="F9187" s="7"/>
      <c r="G9187" s="7"/>
      <c r="H9187" s="8"/>
      <c r="I9187" s="8"/>
      <c r="J9187" s="7"/>
      <c r="K9187" s="7"/>
      <c r="L9187" s="7"/>
      <c r="M9187" s="7"/>
      <c r="N9187" s="7"/>
      <c r="O9187" s="7"/>
      <c r="P9187" s="7"/>
      <c r="Q9187" s="7"/>
      <c r="R9187" s="7"/>
      <c r="S9187" s="7"/>
      <c r="T9187" s="7"/>
      <c r="U9187" s="7"/>
      <c r="V9187" s="7"/>
      <c r="W9187" s="7"/>
      <c r="X9187" s="7"/>
      <c r="Y9187" s="7"/>
      <c r="Z9187" s="7"/>
    </row>
    <row r="9188" hidden="1">
      <c r="A9188" s="7"/>
      <c r="B9188" s="7"/>
      <c r="C9188" s="7"/>
      <c r="D9188" s="7"/>
      <c r="E9188" s="7"/>
      <c r="F9188" s="7"/>
      <c r="G9188" s="7"/>
      <c r="H9188" s="8"/>
      <c r="I9188" s="8"/>
      <c r="J9188" s="7"/>
      <c r="K9188" s="7"/>
      <c r="L9188" s="7"/>
      <c r="M9188" s="7"/>
      <c r="N9188" s="7"/>
      <c r="O9188" s="7"/>
      <c r="P9188" s="7"/>
      <c r="Q9188" s="7"/>
      <c r="R9188" s="7"/>
      <c r="S9188" s="7"/>
      <c r="T9188" s="7"/>
      <c r="U9188" s="7"/>
      <c r="V9188" s="7"/>
      <c r="W9188" s="7"/>
      <c r="X9188" s="7"/>
      <c r="Y9188" s="7"/>
      <c r="Z9188" s="7"/>
    </row>
    <row r="9189" hidden="1">
      <c r="A9189" s="7"/>
      <c r="B9189" s="7"/>
      <c r="C9189" s="7"/>
      <c r="D9189" s="7"/>
      <c r="E9189" s="7"/>
      <c r="F9189" s="7"/>
      <c r="G9189" s="7"/>
      <c r="H9189" s="8"/>
      <c r="I9189" s="8"/>
      <c r="J9189" s="7"/>
      <c r="K9189" s="7"/>
      <c r="L9189" s="7"/>
      <c r="M9189" s="7"/>
      <c r="N9189" s="7"/>
      <c r="O9189" s="7"/>
      <c r="P9189" s="7"/>
      <c r="Q9189" s="7"/>
      <c r="R9189" s="7"/>
      <c r="S9189" s="7"/>
      <c r="T9189" s="7"/>
      <c r="U9189" s="7"/>
      <c r="V9189" s="7"/>
      <c r="W9189" s="7"/>
      <c r="X9189" s="7"/>
      <c r="Y9189" s="7"/>
      <c r="Z9189" s="7"/>
    </row>
    <row r="9190" hidden="1">
      <c r="A9190" s="7"/>
      <c r="B9190" s="7"/>
      <c r="C9190" s="7"/>
      <c r="D9190" s="7"/>
      <c r="E9190" s="7"/>
      <c r="F9190" s="7"/>
      <c r="G9190" s="7"/>
      <c r="H9190" s="8"/>
      <c r="I9190" s="8"/>
      <c r="J9190" s="7"/>
      <c r="K9190" s="7"/>
      <c r="L9190" s="7"/>
      <c r="M9190" s="7"/>
      <c r="N9190" s="7"/>
      <c r="O9190" s="7"/>
      <c r="P9190" s="7"/>
      <c r="Q9190" s="7"/>
      <c r="R9190" s="7"/>
      <c r="S9190" s="7"/>
      <c r="T9190" s="7"/>
      <c r="U9190" s="7"/>
      <c r="V9190" s="7"/>
      <c r="W9190" s="7"/>
      <c r="X9190" s="7"/>
      <c r="Y9190" s="7"/>
      <c r="Z9190" s="7"/>
    </row>
    <row r="9191" hidden="1">
      <c r="A9191" s="7"/>
      <c r="B9191" s="7"/>
      <c r="C9191" s="7"/>
      <c r="D9191" s="7"/>
      <c r="E9191" s="7"/>
      <c r="F9191" s="7"/>
      <c r="G9191" s="7"/>
      <c r="H9191" s="8"/>
      <c r="I9191" s="8"/>
      <c r="J9191" s="7"/>
      <c r="K9191" s="7"/>
      <c r="L9191" s="7"/>
      <c r="M9191" s="7"/>
      <c r="N9191" s="7"/>
      <c r="O9191" s="7"/>
      <c r="P9191" s="7"/>
      <c r="Q9191" s="7"/>
      <c r="R9191" s="7"/>
      <c r="S9191" s="7"/>
      <c r="T9191" s="7"/>
      <c r="U9191" s="7"/>
      <c r="V9191" s="7"/>
      <c r="W9191" s="7"/>
      <c r="X9191" s="7"/>
      <c r="Y9191" s="7"/>
      <c r="Z9191" s="7"/>
    </row>
    <row r="9192" hidden="1">
      <c r="A9192" s="7"/>
      <c r="B9192" s="7"/>
      <c r="C9192" s="7"/>
      <c r="D9192" s="7"/>
      <c r="E9192" s="7"/>
      <c r="F9192" s="7"/>
      <c r="G9192" s="7"/>
      <c r="H9192" s="8"/>
      <c r="I9192" s="8"/>
      <c r="J9192" s="7"/>
      <c r="K9192" s="7"/>
      <c r="L9192" s="7"/>
      <c r="M9192" s="7"/>
      <c r="N9192" s="7"/>
      <c r="O9192" s="7"/>
      <c r="P9192" s="7"/>
      <c r="Q9192" s="7"/>
      <c r="R9192" s="7"/>
      <c r="S9192" s="7"/>
      <c r="T9192" s="7"/>
      <c r="U9192" s="7"/>
      <c r="V9192" s="7"/>
      <c r="W9192" s="7"/>
      <c r="X9192" s="7"/>
      <c r="Y9192" s="7"/>
      <c r="Z9192" s="7"/>
    </row>
    <row r="9193" hidden="1">
      <c r="A9193" s="7"/>
      <c r="B9193" s="7"/>
      <c r="C9193" s="7"/>
      <c r="D9193" s="7"/>
      <c r="E9193" s="7"/>
      <c r="F9193" s="7"/>
      <c r="G9193" s="7"/>
      <c r="H9193" s="8"/>
      <c r="I9193" s="8"/>
      <c r="J9193" s="7"/>
      <c r="K9193" s="7"/>
      <c r="L9193" s="7"/>
      <c r="M9193" s="7"/>
      <c r="N9193" s="7"/>
      <c r="O9193" s="7"/>
      <c r="P9193" s="7"/>
      <c r="Q9193" s="7"/>
      <c r="R9193" s="7"/>
      <c r="S9193" s="7"/>
      <c r="T9193" s="7"/>
      <c r="U9193" s="7"/>
      <c r="V9193" s="7"/>
      <c r="W9193" s="7"/>
      <c r="X9193" s="7"/>
      <c r="Y9193" s="7"/>
      <c r="Z9193" s="7"/>
    </row>
    <row r="9194" hidden="1">
      <c r="A9194" s="7"/>
      <c r="B9194" s="7"/>
      <c r="C9194" s="7"/>
      <c r="D9194" s="7"/>
      <c r="E9194" s="7"/>
      <c r="F9194" s="7"/>
      <c r="G9194" s="7"/>
      <c r="H9194" s="8"/>
      <c r="I9194" s="8"/>
      <c r="J9194" s="7"/>
      <c r="K9194" s="7"/>
      <c r="L9194" s="7"/>
      <c r="M9194" s="7"/>
      <c r="N9194" s="7"/>
      <c r="O9194" s="7"/>
      <c r="P9194" s="7"/>
      <c r="Q9194" s="7"/>
      <c r="R9194" s="7"/>
      <c r="S9194" s="7"/>
      <c r="T9194" s="7"/>
      <c r="U9194" s="7"/>
      <c r="V9194" s="7"/>
      <c r="W9194" s="7"/>
      <c r="X9194" s="7"/>
      <c r="Y9194" s="7"/>
      <c r="Z9194" s="7"/>
    </row>
    <row r="9195" hidden="1">
      <c r="A9195" s="7"/>
      <c r="B9195" s="7"/>
      <c r="C9195" s="7"/>
      <c r="D9195" s="7"/>
      <c r="E9195" s="7"/>
      <c r="F9195" s="7"/>
      <c r="G9195" s="7"/>
      <c r="H9195" s="8"/>
      <c r="I9195" s="8"/>
      <c r="J9195" s="7"/>
      <c r="K9195" s="7"/>
      <c r="L9195" s="7"/>
      <c r="M9195" s="7"/>
      <c r="N9195" s="7"/>
      <c r="O9195" s="7"/>
      <c r="P9195" s="7"/>
      <c r="Q9195" s="7"/>
      <c r="R9195" s="7"/>
      <c r="S9195" s="7"/>
      <c r="T9195" s="7"/>
      <c r="U9195" s="7"/>
      <c r="V9195" s="7"/>
      <c r="W9195" s="7"/>
      <c r="X9195" s="7"/>
      <c r="Y9195" s="7"/>
      <c r="Z9195" s="7"/>
    </row>
    <row r="9196" hidden="1">
      <c r="A9196" s="7"/>
      <c r="B9196" s="7"/>
      <c r="C9196" s="7"/>
      <c r="D9196" s="7"/>
      <c r="E9196" s="7"/>
      <c r="F9196" s="7"/>
      <c r="G9196" s="7"/>
      <c r="H9196" s="8"/>
      <c r="I9196" s="8"/>
      <c r="J9196" s="7"/>
      <c r="K9196" s="7"/>
      <c r="L9196" s="7"/>
      <c r="M9196" s="7"/>
      <c r="N9196" s="7"/>
      <c r="O9196" s="7"/>
      <c r="P9196" s="7"/>
      <c r="Q9196" s="7"/>
      <c r="R9196" s="7"/>
      <c r="S9196" s="7"/>
      <c r="T9196" s="7"/>
      <c r="U9196" s="7"/>
      <c r="V9196" s="7"/>
      <c r="W9196" s="7"/>
      <c r="X9196" s="7"/>
      <c r="Y9196" s="7"/>
      <c r="Z9196" s="7"/>
    </row>
    <row r="9197" hidden="1">
      <c r="A9197" s="7"/>
      <c r="B9197" s="7"/>
      <c r="C9197" s="7"/>
      <c r="D9197" s="7"/>
      <c r="E9197" s="7"/>
      <c r="F9197" s="7"/>
      <c r="G9197" s="7"/>
      <c r="H9197" s="8"/>
      <c r="I9197" s="8"/>
      <c r="J9197" s="7"/>
      <c r="K9197" s="7"/>
      <c r="L9197" s="7"/>
      <c r="M9197" s="7"/>
      <c r="N9197" s="7"/>
      <c r="O9197" s="7"/>
      <c r="P9197" s="7"/>
      <c r="Q9197" s="7"/>
      <c r="R9197" s="7"/>
      <c r="S9197" s="7"/>
      <c r="T9197" s="7"/>
      <c r="U9197" s="7"/>
      <c r="V9197" s="7"/>
      <c r="W9197" s="7"/>
      <c r="X9197" s="7"/>
      <c r="Y9197" s="7"/>
      <c r="Z9197" s="7"/>
    </row>
    <row r="9198" hidden="1">
      <c r="A9198" s="7"/>
      <c r="B9198" s="7"/>
      <c r="C9198" s="7"/>
      <c r="D9198" s="7"/>
      <c r="E9198" s="7"/>
      <c r="F9198" s="7"/>
      <c r="G9198" s="7"/>
      <c r="H9198" s="8"/>
      <c r="I9198" s="8"/>
      <c r="J9198" s="7"/>
      <c r="K9198" s="7"/>
      <c r="L9198" s="7"/>
      <c r="M9198" s="7"/>
      <c r="N9198" s="7"/>
      <c r="O9198" s="7"/>
      <c r="P9198" s="7"/>
      <c r="Q9198" s="7"/>
      <c r="R9198" s="7"/>
      <c r="S9198" s="7"/>
      <c r="T9198" s="7"/>
      <c r="U9198" s="7"/>
      <c r="V9198" s="7"/>
      <c r="W9198" s="7"/>
      <c r="X9198" s="7"/>
      <c r="Y9198" s="7"/>
      <c r="Z9198" s="7"/>
    </row>
    <row r="9199" hidden="1">
      <c r="A9199" s="7"/>
      <c r="B9199" s="7"/>
      <c r="C9199" s="7"/>
      <c r="D9199" s="7"/>
      <c r="E9199" s="7"/>
      <c r="F9199" s="7"/>
      <c r="G9199" s="7"/>
      <c r="H9199" s="8"/>
      <c r="I9199" s="8"/>
      <c r="J9199" s="7"/>
      <c r="K9199" s="7"/>
      <c r="L9199" s="7"/>
      <c r="M9199" s="7"/>
      <c r="N9199" s="7"/>
      <c r="O9199" s="7"/>
      <c r="P9199" s="7"/>
      <c r="Q9199" s="7"/>
      <c r="R9199" s="7"/>
      <c r="S9199" s="7"/>
      <c r="T9199" s="7"/>
      <c r="U9199" s="7"/>
      <c r="V9199" s="7"/>
      <c r="W9199" s="7"/>
      <c r="X9199" s="7"/>
      <c r="Y9199" s="7"/>
      <c r="Z9199" s="7"/>
    </row>
    <row r="9200" hidden="1">
      <c r="A9200" s="7"/>
      <c r="B9200" s="7"/>
      <c r="C9200" s="7"/>
      <c r="D9200" s="7"/>
      <c r="E9200" s="7"/>
      <c r="F9200" s="7"/>
      <c r="G9200" s="7"/>
      <c r="H9200" s="8"/>
      <c r="I9200" s="8"/>
      <c r="J9200" s="7"/>
      <c r="K9200" s="7"/>
      <c r="L9200" s="7"/>
      <c r="M9200" s="7"/>
      <c r="N9200" s="7"/>
      <c r="O9200" s="7"/>
      <c r="P9200" s="7"/>
      <c r="Q9200" s="7"/>
      <c r="R9200" s="7"/>
      <c r="S9200" s="7"/>
      <c r="T9200" s="7"/>
      <c r="U9200" s="7"/>
      <c r="V9200" s="7"/>
      <c r="W9200" s="7"/>
      <c r="X9200" s="7"/>
      <c r="Y9200" s="7"/>
      <c r="Z9200" s="7"/>
    </row>
    <row r="9201" hidden="1">
      <c r="A9201" s="7"/>
      <c r="B9201" s="7"/>
      <c r="C9201" s="7"/>
      <c r="D9201" s="7"/>
      <c r="E9201" s="7"/>
      <c r="F9201" s="7"/>
      <c r="G9201" s="7"/>
      <c r="H9201" s="8"/>
      <c r="I9201" s="8"/>
      <c r="J9201" s="7"/>
      <c r="K9201" s="7"/>
      <c r="L9201" s="7"/>
      <c r="M9201" s="7"/>
      <c r="N9201" s="7"/>
      <c r="O9201" s="7"/>
      <c r="P9201" s="7"/>
      <c r="Q9201" s="7"/>
      <c r="R9201" s="7"/>
      <c r="S9201" s="7"/>
      <c r="T9201" s="7"/>
      <c r="U9201" s="7"/>
      <c r="V9201" s="7"/>
      <c r="W9201" s="7"/>
      <c r="X9201" s="7"/>
      <c r="Y9201" s="7"/>
      <c r="Z9201" s="7"/>
    </row>
    <row r="9202" hidden="1">
      <c r="A9202" s="7"/>
      <c r="B9202" s="7"/>
      <c r="C9202" s="7"/>
      <c r="D9202" s="7"/>
      <c r="E9202" s="7"/>
      <c r="F9202" s="7"/>
      <c r="G9202" s="7"/>
      <c r="H9202" s="8"/>
      <c r="I9202" s="8"/>
      <c r="J9202" s="7"/>
      <c r="K9202" s="7"/>
      <c r="L9202" s="7"/>
      <c r="M9202" s="7"/>
      <c r="N9202" s="7"/>
      <c r="O9202" s="7"/>
      <c r="P9202" s="7"/>
      <c r="Q9202" s="7"/>
      <c r="R9202" s="7"/>
      <c r="S9202" s="7"/>
      <c r="T9202" s="7"/>
      <c r="U9202" s="7"/>
      <c r="V9202" s="7"/>
      <c r="W9202" s="7"/>
      <c r="X9202" s="7"/>
      <c r="Y9202" s="7"/>
      <c r="Z9202" s="7"/>
    </row>
    <row r="9203" hidden="1">
      <c r="A9203" s="7"/>
      <c r="B9203" s="7"/>
      <c r="C9203" s="7"/>
      <c r="D9203" s="7"/>
      <c r="E9203" s="7"/>
      <c r="F9203" s="7"/>
      <c r="G9203" s="7"/>
      <c r="H9203" s="8"/>
      <c r="I9203" s="8"/>
      <c r="J9203" s="7"/>
      <c r="K9203" s="7"/>
      <c r="L9203" s="7"/>
      <c r="M9203" s="7"/>
      <c r="N9203" s="7"/>
      <c r="O9203" s="7"/>
      <c r="P9203" s="7"/>
      <c r="Q9203" s="7"/>
      <c r="R9203" s="7"/>
      <c r="S9203" s="7"/>
      <c r="T9203" s="7"/>
      <c r="U9203" s="7"/>
      <c r="V9203" s="7"/>
      <c r="W9203" s="7"/>
      <c r="X9203" s="7"/>
      <c r="Y9203" s="7"/>
      <c r="Z9203" s="7"/>
    </row>
    <row r="9204" hidden="1">
      <c r="A9204" s="7"/>
      <c r="B9204" s="7"/>
      <c r="C9204" s="7"/>
      <c r="D9204" s="7"/>
      <c r="E9204" s="7"/>
      <c r="F9204" s="7"/>
      <c r="G9204" s="7"/>
      <c r="H9204" s="8"/>
      <c r="I9204" s="8"/>
      <c r="J9204" s="7"/>
      <c r="K9204" s="7"/>
      <c r="L9204" s="7"/>
      <c r="M9204" s="7"/>
      <c r="N9204" s="7"/>
      <c r="O9204" s="7"/>
      <c r="P9204" s="7"/>
      <c r="Q9204" s="7"/>
      <c r="R9204" s="7"/>
      <c r="S9204" s="7"/>
      <c r="T9204" s="7"/>
      <c r="U9204" s="7"/>
      <c r="V9204" s="7"/>
      <c r="W9204" s="7"/>
      <c r="X9204" s="7"/>
      <c r="Y9204" s="7"/>
      <c r="Z9204" s="7"/>
    </row>
    <row r="9205" hidden="1">
      <c r="A9205" s="7"/>
      <c r="B9205" s="7"/>
      <c r="C9205" s="7"/>
      <c r="D9205" s="7"/>
      <c r="E9205" s="7"/>
      <c r="F9205" s="7"/>
      <c r="G9205" s="7"/>
      <c r="H9205" s="8"/>
      <c r="I9205" s="8"/>
      <c r="J9205" s="7"/>
      <c r="K9205" s="7"/>
      <c r="L9205" s="7"/>
      <c r="M9205" s="7"/>
      <c r="N9205" s="7"/>
      <c r="O9205" s="7"/>
      <c r="P9205" s="7"/>
      <c r="Q9205" s="7"/>
      <c r="R9205" s="7"/>
      <c r="S9205" s="7"/>
      <c r="T9205" s="7"/>
      <c r="U9205" s="7"/>
      <c r="V9205" s="7"/>
      <c r="W9205" s="7"/>
      <c r="X9205" s="7"/>
      <c r="Y9205" s="7"/>
      <c r="Z9205" s="7"/>
    </row>
    <row r="9206" hidden="1">
      <c r="A9206" s="7"/>
      <c r="B9206" s="7"/>
      <c r="C9206" s="7"/>
      <c r="D9206" s="7"/>
      <c r="E9206" s="7"/>
      <c r="F9206" s="7"/>
      <c r="G9206" s="7"/>
      <c r="H9206" s="8"/>
      <c r="I9206" s="8"/>
      <c r="J9206" s="7"/>
      <c r="K9206" s="7"/>
      <c r="L9206" s="7"/>
      <c r="M9206" s="7"/>
      <c r="N9206" s="7"/>
      <c r="O9206" s="7"/>
      <c r="P9206" s="7"/>
      <c r="Q9206" s="7"/>
      <c r="R9206" s="7"/>
      <c r="S9206" s="7"/>
      <c r="T9206" s="7"/>
      <c r="U9206" s="7"/>
      <c r="V9206" s="7"/>
      <c r="W9206" s="7"/>
      <c r="X9206" s="7"/>
      <c r="Y9206" s="7"/>
      <c r="Z9206" s="7"/>
    </row>
    <row r="9207" hidden="1">
      <c r="A9207" s="7"/>
      <c r="B9207" s="7"/>
      <c r="C9207" s="7"/>
      <c r="D9207" s="7"/>
      <c r="E9207" s="7"/>
      <c r="F9207" s="7"/>
      <c r="G9207" s="7"/>
      <c r="H9207" s="8"/>
      <c r="I9207" s="8"/>
      <c r="J9207" s="7"/>
      <c r="K9207" s="7"/>
      <c r="L9207" s="7"/>
      <c r="M9207" s="7"/>
      <c r="N9207" s="7"/>
      <c r="O9207" s="7"/>
      <c r="P9207" s="7"/>
      <c r="Q9207" s="7"/>
      <c r="R9207" s="7"/>
      <c r="S9207" s="7"/>
      <c r="T9207" s="7"/>
      <c r="U9207" s="7"/>
      <c r="V9207" s="7"/>
      <c r="W9207" s="7"/>
      <c r="X9207" s="7"/>
      <c r="Y9207" s="7"/>
      <c r="Z9207" s="7"/>
    </row>
    <row r="9208" hidden="1">
      <c r="A9208" s="7"/>
      <c r="B9208" s="7"/>
      <c r="C9208" s="7"/>
      <c r="D9208" s="7"/>
      <c r="E9208" s="7"/>
      <c r="F9208" s="7"/>
      <c r="G9208" s="7"/>
      <c r="H9208" s="8"/>
      <c r="I9208" s="8"/>
      <c r="J9208" s="7"/>
      <c r="K9208" s="7"/>
      <c r="L9208" s="7"/>
      <c r="M9208" s="7"/>
      <c r="N9208" s="7"/>
      <c r="O9208" s="7"/>
      <c r="P9208" s="7"/>
      <c r="Q9208" s="7"/>
      <c r="R9208" s="7"/>
      <c r="S9208" s="7"/>
      <c r="T9208" s="7"/>
      <c r="U9208" s="7"/>
      <c r="V9208" s="7"/>
      <c r="W9208" s="7"/>
      <c r="X9208" s="7"/>
      <c r="Y9208" s="7"/>
      <c r="Z9208" s="7"/>
    </row>
    <row r="9209" hidden="1">
      <c r="A9209" s="7"/>
      <c r="B9209" s="7"/>
      <c r="C9209" s="7"/>
      <c r="D9209" s="7"/>
      <c r="E9209" s="7"/>
      <c r="F9209" s="7"/>
      <c r="G9209" s="7"/>
      <c r="H9209" s="8"/>
      <c r="I9209" s="8"/>
      <c r="J9209" s="7"/>
      <c r="K9209" s="7"/>
      <c r="L9209" s="7"/>
      <c r="M9209" s="7"/>
      <c r="N9209" s="7"/>
      <c r="O9209" s="7"/>
      <c r="P9209" s="7"/>
      <c r="Q9209" s="7"/>
      <c r="R9209" s="7"/>
      <c r="S9209" s="7"/>
      <c r="T9209" s="7"/>
      <c r="U9209" s="7"/>
      <c r="V9209" s="7"/>
      <c r="W9209" s="7"/>
      <c r="X9209" s="7"/>
      <c r="Y9209" s="7"/>
      <c r="Z9209" s="7"/>
    </row>
    <row r="9210" hidden="1">
      <c r="A9210" s="7"/>
      <c r="B9210" s="7"/>
      <c r="C9210" s="7"/>
      <c r="D9210" s="7"/>
      <c r="E9210" s="7"/>
      <c r="F9210" s="7"/>
      <c r="G9210" s="7"/>
      <c r="H9210" s="8"/>
      <c r="I9210" s="8"/>
      <c r="J9210" s="7"/>
      <c r="K9210" s="7"/>
      <c r="L9210" s="7"/>
      <c r="M9210" s="7"/>
      <c r="N9210" s="7"/>
      <c r="O9210" s="7"/>
      <c r="P9210" s="7"/>
      <c r="Q9210" s="7"/>
      <c r="R9210" s="7"/>
      <c r="S9210" s="7"/>
      <c r="T9210" s="7"/>
      <c r="U9210" s="7"/>
      <c r="V9210" s="7"/>
      <c r="W9210" s="7"/>
      <c r="X9210" s="7"/>
      <c r="Y9210" s="7"/>
      <c r="Z9210" s="7"/>
    </row>
    <row r="9211" hidden="1">
      <c r="A9211" s="7"/>
      <c r="B9211" s="7"/>
      <c r="C9211" s="7"/>
      <c r="D9211" s="7"/>
      <c r="E9211" s="7"/>
      <c r="F9211" s="7"/>
      <c r="G9211" s="7"/>
      <c r="H9211" s="8"/>
      <c r="I9211" s="8"/>
      <c r="J9211" s="7"/>
      <c r="K9211" s="7"/>
      <c r="L9211" s="7"/>
      <c r="M9211" s="7"/>
      <c r="N9211" s="7"/>
      <c r="O9211" s="7"/>
      <c r="P9211" s="7"/>
      <c r="Q9211" s="7"/>
      <c r="R9211" s="7"/>
      <c r="S9211" s="7"/>
      <c r="T9211" s="7"/>
      <c r="U9211" s="7"/>
      <c r="V9211" s="7"/>
      <c r="W9211" s="7"/>
      <c r="X9211" s="7"/>
      <c r="Y9211" s="7"/>
      <c r="Z9211" s="7"/>
    </row>
    <row r="9212" hidden="1">
      <c r="A9212" s="7"/>
      <c r="B9212" s="7"/>
      <c r="C9212" s="7"/>
      <c r="D9212" s="7"/>
      <c r="E9212" s="7"/>
      <c r="F9212" s="7"/>
      <c r="G9212" s="7"/>
      <c r="H9212" s="8"/>
      <c r="I9212" s="8"/>
      <c r="J9212" s="7"/>
      <c r="K9212" s="7"/>
      <c r="L9212" s="7"/>
      <c r="M9212" s="7"/>
      <c r="N9212" s="7"/>
      <c r="O9212" s="7"/>
      <c r="P9212" s="7"/>
      <c r="Q9212" s="7"/>
      <c r="R9212" s="7"/>
      <c r="S9212" s="7"/>
      <c r="T9212" s="7"/>
      <c r="U9212" s="7"/>
      <c r="V9212" s="7"/>
      <c r="W9212" s="7"/>
      <c r="X9212" s="7"/>
      <c r="Y9212" s="7"/>
      <c r="Z9212" s="7"/>
    </row>
    <row r="9213" hidden="1">
      <c r="A9213" s="7"/>
      <c r="B9213" s="7"/>
      <c r="C9213" s="7"/>
      <c r="D9213" s="7"/>
      <c r="E9213" s="7"/>
      <c r="F9213" s="7"/>
      <c r="G9213" s="7"/>
      <c r="H9213" s="8"/>
      <c r="I9213" s="8"/>
      <c r="J9213" s="7"/>
      <c r="K9213" s="7"/>
      <c r="L9213" s="7"/>
      <c r="M9213" s="7"/>
      <c r="N9213" s="7"/>
      <c r="O9213" s="7"/>
      <c r="P9213" s="7"/>
      <c r="Q9213" s="7"/>
      <c r="R9213" s="7"/>
      <c r="S9213" s="7"/>
      <c r="T9213" s="7"/>
      <c r="U9213" s="7"/>
      <c r="V9213" s="7"/>
      <c r="W9213" s="7"/>
      <c r="X9213" s="7"/>
      <c r="Y9213" s="7"/>
      <c r="Z9213" s="7"/>
    </row>
    <row r="9214" hidden="1">
      <c r="A9214" s="7"/>
      <c r="B9214" s="7"/>
      <c r="C9214" s="7"/>
      <c r="D9214" s="7"/>
      <c r="E9214" s="7"/>
      <c r="F9214" s="7"/>
      <c r="G9214" s="7"/>
      <c r="H9214" s="8"/>
      <c r="I9214" s="8"/>
      <c r="J9214" s="7"/>
      <c r="K9214" s="7"/>
      <c r="L9214" s="7"/>
      <c r="M9214" s="7"/>
      <c r="N9214" s="7"/>
      <c r="O9214" s="7"/>
      <c r="P9214" s="7"/>
      <c r="Q9214" s="7"/>
      <c r="R9214" s="7"/>
      <c r="S9214" s="7"/>
      <c r="T9214" s="7"/>
      <c r="U9214" s="7"/>
      <c r="V9214" s="7"/>
      <c r="W9214" s="7"/>
      <c r="X9214" s="7"/>
      <c r="Y9214" s="7"/>
      <c r="Z9214" s="7"/>
    </row>
    <row r="9215" hidden="1">
      <c r="A9215" s="7"/>
      <c r="B9215" s="7"/>
      <c r="C9215" s="7"/>
      <c r="D9215" s="7"/>
      <c r="E9215" s="7"/>
      <c r="F9215" s="7"/>
      <c r="G9215" s="7"/>
      <c r="H9215" s="8"/>
      <c r="I9215" s="8"/>
      <c r="J9215" s="7"/>
      <c r="K9215" s="7"/>
      <c r="L9215" s="7"/>
      <c r="M9215" s="7"/>
      <c r="N9215" s="7"/>
      <c r="O9215" s="7"/>
      <c r="P9215" s="7"/>
      <c r="Q9215" s="7"/>
      <c r="R9215" s="7"/>
      <c r="S9215" s="7"/>
      <c r="T9215" s="7"/>
      <c r="U9215" s="7"/>
      <c r="V9215" s="7"/>
      <c r="W9215" s="7"/>
      <c r="X9215" s="7"/>
      <c r="Y9215" s="7"/>
      <c r="Z9215" s="7"/>
    </row>
    <row r="9216" hidden="1">
      <c r="A9216" s="7"/>
      <c r="B9216" s="7"/>
      <c r="C9216" s="7"/>
      <c r="D9216" s="7"/>
      <c r="E9216" s="7"/>
      <c r="F9216" s="7"/>
      <c r="G9216" s="7"/>
      <c r="H9216" s="8"/>
      <c r="I9216" s="8"/>
      <c r="J9216" s="7"/>
      <c r="K9216" s="7"/>
      <c r="L9216" s="7"/>
      <c r="M9216" s="7"/>
      <c r="N9216" s="7"/>
      <c r="O9216" s="7"/>
      <c r="P9216" s="7"/>
      <c r="Q9216" s="7"/>
      <c r="R9216" s="7"/>
      <c r="S9216" s="7"/>
      <c r="T9216" s="7"/>
      <c r="U9216" s="7"/>
      <c r="V9216" s="7"/>
      <c r="W9216" s="7"/>
      <c r="X9216" s="7"/>
      <c r="Y9216" s="7"/>
      <c r="Z9216" s="7"/>
    </row>
    <row r="9217" hidden="1">
      <c r="A9217" s="7"/>
      <c r="B9217" s="7"/>
      <c r="C9217" s="7"/>
      <c r="D9217" s="7"/>
      <c r="E9217" s="7"/>
      <c r="F9217" s="7"/>
      <c r="G9217" s="7"/>
      <c r="H9217" s="8"/>
      <c r="I9217" s="8"/>
      <c r="J9217" s="7"/>
      <c r="K9217" s="7"/>
      <c r="L9217" s="7"/>
      <c r="M9217" s="7"/>
      <c r="N9217" s="7"/>
      <c r="O9217" s="7"/>
      <c r="P9217" s="7"/>
      <c r="Q9217" s="7"/>
      <c r="R9217" s="7"/>
      <c r="S9217" s="7"/>
      <c r="T9217" s="7"/>
      <c r="U9217" s="7"/>
      <c r="V9217" s="7"/>
      <c r="W9217" s="7"/>
      <c r="X9217" s="7"/>
      <c r="Y9217" s="7"/>
      <c r="Z9217" s="7"/>
    </row>
    <row r="9218" hidden="1">
      <c r="A9218" s="7"/>
      <c r="B9218" s="7"/>
      <c r="C9218" s="7"/>
      <c r="D9218" s="7"/>
      <c r="E9218" s="7"/>
      <c r="F9218" s="7"/>
      <c r="G9218" s="7"/>
      <c r="H9218" s="8"/>
      <c r="I9218" s="8"/>
      <c r="J9218" s="7"/>
      <c r="K9218" s="7"/>
      <c r="L9218" s="7"/>
      <c r="M9218" s="7"/>
      <c r="N9218" s="7"/>
      <c r="O9218" s="7"/>
      <c r="P9218" s="7"/>
      <c r="Q9218" s="7"/>
      <c r="R9218" s="7"/>
      <c r="S9218" s="7"/>
      <c r="T9218" s="7"/>
      <c r="U9218" s="7"/>
      <c r="V9218" s="7"/>
      <c r="W9218" s="7"/>
      <c r="X9218" s="7"/>
      <c r="Y9218" s="7"/>
      <c r="Z9218" s="7"/>
    </row>
    <row r="9219" hidden="1">
      <c r="A9219" s="7"/>
      <c r="B9219" s="7"/>
      <c r="C9219" s="7"/>
      <c r="D9219" s="7"/>
      <c r="E9219" s="7"/>
      <c r="F9219" s="7"/>
      <c r="G9219" s="7"/>
      <c r="H9219" s="8"/>
      <c r="I9219" s="8"/>
      <c r="J9219" s="7"/>
      <c r="K9219" s="7"/>
      <c r="L9219" s="7"/>
      <c r="M9219" s="7"/>
      <c r="N9219" s="7"/>
      <c r="O9219" s="7"/>
      <c r="P9219" s="7"/>
      <c r="Q9219" s="7"/>
      <c r="R9219" s="7"/>
      <c r="S9219" s="7"/>
      <c r="T9219" s="7"/>
      <c r="U9219" s="7"/>
      <c r="V9219" s="7"/>
      <c r="W9219" s="7"/>
      <c r="X9219" s="7"/>
      <c r="Y9219" s="7"/>
      <c r="Z9219" s="7"/>
    </row>
    <row r="9220" hidden="1">
      <c r="A9220" s="7"/>
      <c r="B9220" s="7"/>
      <c r="C9220" s="7"/>
      <c r="D9220" s="7"/>
      <c r="E9220" s="7"/>
      <c r="F9220" s="7"/>
      <c r="G9220" s="7"/>
      <c r="H9220" s="8"/>
      <c r="I9220" s="8"/>
      <c r="J9220" s="7"/>
      <c r="K9220" s="7"/>
      <c r="L9220" s="7"/>
      <c r="M9220" s="7"/>
      <c r="N9220" s="7"/>
      <c r="O9220" s="7"/>
      <c r="P9220" s="7"/>
      <c r="Q9220" s="7"/>
      <c r="R9220" s="7"/>
      <c r="S9220" s="7"/>
      <c r="T9220" s="7"/>
      <c r="U9220" s="7"/>
      <c r="V9220" s="7"/>
      <c r="W9220" s="7"/>
      <c r="X9220" s="7"/>
      <c r="Y9220" s="7"/>
      <c r="Z9220" s="7"/>
    </row>
    <row r="9221" hidden="1">
      <c r="A9221" s="7"/>
      <c r="B9221" s="7"/>
      <c r="C9221" s="7"/>
      <c r="D9221" s="7"/>
      <c r="E9221" s="7"/>
      <c r="F9221" s="7"/>
      <c r="G9221" s="7"/>
      <c r="H9221" s="8"/>
      <c r="I9221" s="8"/>
      <c r="J9221" s="7"/>
      <c r="K9221" s="7"/>
      <c r="L9221" s="7"/>
      <c r="M9221" s="7"/>
      <c r="N9221" s="7"/>
      <c r="O9221" s="7"/>
      <c r="P9221" s="7"/>
      <c r="Q9221" s="7"/>
      <c r="R9221" s="7"/>
      <c r="S9221" s="7"/>
      <c r="T9221" s="7"/>
      <c r="U9221" s="7"/>
      <c r="V9221" s="7"/>
      <c r="W9221" s="7"/>
      <c r="X9221" s="7"/>
      <c r="Y9221" s="7"/>
      <c r="Z9221" s="7"/>
    </row>
    <row r="9222" hidden="1">
      <c r="A9222" s="7"/>
      <c r="B9222" s="7"/>
      <c r="C9222" s="7"/>
      <c r="D9222" s="7"/>
      <c r="E9222" s="7"/>
      <c r="F9222" s="7"/>
      <c r="G9222" s="7"/>
      <c r="H9222" s="8"/>
      <c r="I9222" s="8"/>
      <c r="J9222" s="7"/>
      <c r="K9222" s="7"/>
      <c r="L9222" s="7"/>
      <c r="M9222" s="7"/>
      <c r="N9222" s="7"/>
      <c r="O9222" s="7"/>
      <c r="P9222" s="7"/>
      <c r="Q9222" s="7"/>
      <c r="R9222" s="7"/>
      <c r="S9222" s="7"/>
      <c r="T9222" s="7"/>
      <c r="U9222" s="7"/>
      <c r="V9222" s="7"/>
      <c r="W9222" s="7"/>
      <c r="X9222" s="7"/>
      <c r="Y9222" s="7"/>
      <c r="Z9222" s="7"/>
    </row>
    <row r="9223" hidden="1">
      <c r="A9223" s="7"/>
      <c r="B9223" s="7"/>
      <c r="C9223" s="7"/>
      <c r="D9223" s="7"/>
      <c r="E9223" s="7"/>
      <c r="F9223" s="7"/>
      <c r="G9223" s="7"/>
      <c r="H9223" s="8"/>
      <c r="I9223" s="8"/>
      <c r="J9223" s="7"/>
      <c r="K9223" s="7"/>
      <c r="L9223" s="7"/>
      <c r="M9223" s="7"/>
      <c r="N9223" s="7"/>
      <c r="O9223" s="7"/>
      <c r="P9223" s="7"/>
      <c r="Q9223" s="7"/>
      <c r="R9223" s="7"/>
      <c r="S9223" s="7"/>
      <c r="T9223" s="7"/>
      <c r="U9223" s="7"/>
      <c r="V9223" s="7"/>
      <c r="W9223" s="7"/>
      <c r="X9223" s="7"/>
      <c r="Y9223" s="7"/>
      <c r="Z9223" s="7"/>
    </row>
    <row r="9224" hidden="1">
      <c r="A9224" s="7"/>
      <c r="B9224" s="7"/>
      <c r="C9224" s="7"/>
      <c r="D9224" s="7"/>
      <c r="E9224" s="7"/>
      <c r="F9224" s="7"/>
      <c r="G9224" s="7"/>
      <c r="H9224" s="8"/>
      <c r="I9224" s="8"/>
      <c r="J9224" s="7"/>
      <c r="K9224" s="7"/>
      <c r="L9224" s="7"/>
      <c r="M9224" s="7"/>
      <c r="N9224" s="7"/>
      <c r="O9224" s="7"/>
      <c r="P9224" s="7"/>
      <c r="Q9224" s="7"/>
      <c r="R9224" s="7"/>
      <c r="S9224" s="7"/>
      <c r="T9224" s="7"/>
      <c r="U9224" s="7"/>
      <c r="V9224" s="7"/>
      <c r="W9224" s="7"/>
      <c r="X9224" s="7"/>
      <c r="Y9224" s="7"/>
      <c r="Z9224" s="7"/>
    </row>
    <row r="9225" hidden="1">
      <c r="A9225" s="7"/>
      <c r="B9225" s="7"/>
      <c r="C9225" s="7"/>
      <c r="D9225" s="7"/>
      <c r="E9225" s="7"/>
      <c r="F9225" s="7"/>
      <c r="G9225" s="7"/>
      <c r="H9225" s="8"/>
      <c r="I9225" s="8"/>
      <c r="J9225" s="7"/>
      <c r="K9225" s="7"/>
      <c r="L9225" s="7"/>
      <c r="M9225" s="7"/>
      <c r="N9225" s="7"/>
      <c r="O9225" s="7"/>
      <c r="P9225" s="7"/>
      <c r="Q9225" s="7"/>
      <c r="R9225" s="7"/>
      <c r="S9225" s="7"/>
      <c r="T9225" s="7"/>
      <c r="U9225" s="7"/>
      <c r="V9225" s="7"/>
      <c r="W9225" s="7"/>
      <c r="X9225" s="7"/>
      <c r="Y9225" s="7"/>
      <c r="Z9225" s="7"/>
    </row>
    <row r="9226" hidden="1">
      <c r="A9226" s="7"/>
      <c r="B9226" s="7"/>
      <c r="C9226" s="7"/>
      <c r="D9226" s="7"/>
      <c r="E9226" s="7"/>
      <c r="F9226" s="7"/>
      <c r="G9226" s="7"/>
      <c r="H9226" s="8"/>
      <c r="I9226" s="8"/>
      <c r="J9226" s="7"/>
      <c r="K9226" s="7"/>
      <c r="L9226" s="7"/>
      <c r="M9226" s="7"/>
      <c r="N9226" s="7"/>
      <c r="O9226" s="7"/>
      <c r="P9226" s="7"/>
      <c r="Q9226" s="7"/>
      <c r="R9226" s="7"/>
      <c r="S9226" s="7"/>
      <c r="T9226" s="7"/>
      <c r="U9226" s="7"/>
      <c r="V9226" s="7"/>
      <c r="W9226" s="7"/>
      <c r="X9226" s="7"/>
      <c r="Y9226" s="7"/>
      <c r="Z9226" s="7"/>
    </row>
    <row r="9227" hidden="1">
      <c r="A9227" s="7"/>
      <c r="B9227" s="7"/>
      <c r="C9227" s="7"/>
      <c r="D9227" s="7"/>
      <c r="E9227" s="7"/>
      <c r="F9227" s="7"/>
      <c r="G9227" s="7"/>
      <c r="H9227" s="8"/>
      <c r="I9227" s="8"/>
      <c r="J9227" s="7"/>
      <c r="K9227" s="7"/>
      <c r="L9227" s="7"/>
      <c r="M9227" s="7"/>
      <c r="N9227" s="7"/>
      <c r="O9227" s="7"/>
      <c r="P9227" s="7"/>
      <c r="Q9227" s="7"/>
      <c r="R9227" s="7"/>
      <c r="S9227" s="7"/>
      <c r="T9227" s="7"/>
      <c r="U9227" s="7"/>
      <c r="V9227" s="7"/>
      <c r="W9227" s="7"/>
      <c r="X9227" s="7"/>
      <c r="Y9227" s="7"/>
      <c r="Z9227" s="7"/>
    </row>
    <row r="9228" hidden="1">
      <c r="A9228" s="7"/>
      <c r="B9228" s="7"/>
      <c r="C9228" s="7"/>
      <c r="D9228" s="7"/>
      <c r="E9228" s="7"/>
      <c r="F9228" s="7"/>
      <c r="G9228" s="7"/>
      <c r="H9228" s="8"/>
      <c r="I9228" s="8"/>
      <c r="J9228" s="7"/>
      <c r="K9228" s="7"/>
      <c r="L9228" s="7"/>
      <c r="M9228" s="7"/>
      <c r="N9228" s="7"/>
      <c r="O9228" s="7"/>
      <c r="P9228" s="7"/>
      <c r="Q9228" s="7"/>
      <c r="R9228" s="7"/>
      <c r="S9228" s="7"/>
      <c r="T9228" s="7"/>
      <c r="U9228" s="7"/>
      <c r="V9228" s="7"/>
      <c r="W9228" s="7"/>
      <c r="X9228" s="7"/>
      <c r="Y9228" s="7"/>
      <c r="Z9228" s="7"/>
    </row>
    <row r="9229" hidden="1">
      <c r="A9229" s="7"/>
      <c r="B9229" s="7"/>
      <c r="C9229" s="7"/>
      <c r="D9229" s="7"/>
      <c r="E9229" s="7"/>
      <c r="F9229" s="7"/>
      <c r="G9229" s="7"/>
      <c r="H9229" s="8"/>
      <c r="I9229" s="8"/>
      <c r="J9229" s="7"/>
      <c r="K9229" s="7"/>
      <c r="L9229" s="7"/>
      <c r="M9229" s="7"/>
      <c r="N9229" s="7"/>
      <c r="O9229" s="7"/>
      <c r="P9229" s="7"/>
      <c r="Q9229" s="7"/>
      <c r="R9229" s="7"/>
      <c r="S9229" s="7"/>
      <c r="T9229" s="7"/>
      <c r="U9229" s="7"/>
      <c r="V9229" s="7"/>
      <c r="W9229" s="7"/>
      <c r="X9229" s="7"/>
      <c r="Y9229" s="7"/>
      <c r="Z9229" s="7"/>
    </row>
    <row r="9230" hidden="1">
      <c r="A9230" s="7"/>
      <c r="B9230" s="7"/>
      <c r="C9230" s="7"/>
      <c r="D9230" s="7"/>
      <c r="E9230" s="7"/>
      <c r="F9230" s="7"/>
      <c r="G9230" s="7"/>
      <c r="H9230" s="8"/>
      <c r="I9230" s="8"/>
      <c r="J9230" s="7"/>
      <c r="K9230" s="7"/>
      <c r="L9230" s="7"/>
      <c r="M9230" s="7"/>
      <c r="N9230" s="7"/>
      <c r="O9230" s="7"/>
      <c r="P9230" s="7"/>
      <c r="Q9230" s="7"/>
      <c r="R9230" s="7"/>
      <c r="S9230" s="7"/>
      <c r="T9230" s="7"/>
      <c r="U9230" s="7"/>
      <c r="V9230" s="7"/>
      <c r="W9230" s="7"/>
      <c r="X9230" s="7"/>
      <c r="Y9230" s="7"/>
      <c r="Z9230" s="7"/>
    </row>
    <row r="9231" hidden="1">
      <c r="A9231" s="7"/>
      <c r="B9231" s="7"/>
      <c r="C9231" s="7"/>
      <c r="D9231" s="7"/>
      <c r="E9231" s="7"/>
      <c r="F9231" s="7"/>
      <c r="G9231" s="7"/>
      <c r="H9231" s="8"/>
      <c r="I9231" s="8"/>
      <c r="J9231" s="7"/>
      <c r="K9231" s="7"/>
      <c r="L9231" s="7"/>
      <c r="M9231" s="7"/>
      <c r="N9231" s="7"/>
      <c r="O9231" s="7"/>
      <c r="P9231" s="7"/>
      <c r="Q9231" s="7"/>
      <c r="R9231" s="7"/>
      <c r="S9231" s="7"/>
      <c r="T9231" s="7"/>
      <c r="U9231" s="7"/>
      <c r="V9231" s="7"/>
      <c r="W9231" s="7"/>
      <c r="X9231" s="7"/>
      <c r="Y9231" s="7"/>
      <c r="Z9231" s="7"/>
    </row>
    <row r="9232" hidden="1">
      <c r="A9232" s="7"/>
      <c r="B9232" s="7"/>
      <c r="C9232" s="7"/>
      <c r="D9232" s="7"/>
      <c r="E9232" s="7"/>
      <c r="F9232" s="7"/>
      <c r="G9232" s="7"/>
      <c r="H9232" s="8"/>
      <c r="I9232" s="8"/>
      <c r="J9232" s="7"/>
      <c r="K9232" s="7"/>
      <c r="L9232" s="7"/>
      <c r="M9232" s="7"/>
      <c r="N9232" s="7"/>
      <c r="O9232" s="7"/>
      <c r="P9232" s="7"/>
      <c r="Q9232" s="7"/>
      <c r="R9232" s="7"/>
      <c r="S9232" s="7"/>
      <c r="T9232" s="7"/>
      <c r="U9232" s="7"/>
      <c r="V9232" s="7"/>
      <c r="W9232" s="7"/>
      <c r="X9232" s="7"/>
      <c r="Y9232" s="7"/>
      <c r="Z9232" s="7"/>
    </row>
    <row r="9233" hidden="1">
      <c r="A9233" s="7"/>
      <c r="B9233" s="7"/>
      <c r="C9233" s="7"/>
      <c r="D9233" s="7"/>
      <c r="E9233" s="7"/>
      <c r="F9233" s="7"/>
      <c r="G9233" s="7"/>
      <c r="H9233" s="8"/>
      <c r="I9233" s="8"/>
      <c r="J9233" s="7"/>
      <c r="K9233" s="7"/>
      <c r="L9233" s="7"/>
      <c r="M9233" s="7"/>
      <c r="N9233" s="7"/>
      <c r="O9233" s="7"/>
      <c r="P9233" s="7"/>
      <c r="Q9233" s="7"/>
      <c r="R9233" s="7"/>
      <c r="S9233" s="7"/>
      <c r="T9233" s="7"/>
      <c r="U9233" s="7"/>
      <c r="V9233" s="7"/>
      <c r="W9233" s="7"/>
      <c r="X9233" s="7"/>
      <c r="Y9233" s="7"/>
      <c r="Z9233" s="7"/>
    </row>
    <row r="9234" hidden="1">
      <c r="A9234" s="7"/>
      <c r="B9234" s="7"/>
      <c r="C9234" s="7"/>
      <c r="D9234" s="7"/>
      <c r="E9234" s="7"/>
      <c r="F9234" s="7"/>
      <c r="G9234" s="7"/>
      <c r="H9234" s="8"/>
      <c r="I9234" s="8"/>
      <c r="J9234" s="7"/>
      <c r="K9234" s="7"/>
      <c r="L9234" s="7"/>
      <c r="M9234" s="7"/>
      <c r="N9234" s="7"/>
      <c r="O9234" s="7"/>
      <c r="P9234" s="7"/>
      <c r="Q9234" s="7"/>
      <c r="R9234" s="7"/>
      <c r="S9234" s="7"/>
      <c r="T9234" s="7"/>
      <c r="U9234" s="7"/>
      <c r="V9234" s="7"/>
      <c r="W9234" s="7"/>
      <c r="X9234" s="7"/>
      <c r="Y9234" s="7"/>
      <c r="Z9234" s="7"/>
    </row>
    <row r="9235" hidden="1">
      <c r="A9235" s="7"/>
      <c r="B9235" s="7"/>
      <c r="C9235" s="7"/>
      <c r="D9235" s="7"/>
      <c r="E9235" s="7"/>
      <c r="F9235" s="7"/>
      <c r="G9235" s="7"/>
      <c r="H9235" s="8"/>
      <c r="I9235" s="8"/>
      <c r="J9235" s="7"/>
      <c r="K9235" s="7"/>
      <c r="L9235" s="7"/>
      <c r="M9235" s="7"/>
      <c r="N9235" s="7"/>
      <c r="O9235" s="7"/>
      <c r="P9235" s="7"/>
      <c r="Q9235" s="7"/>
      <c r="R9235" s="7"/>
      <c r="S9235" s="7"/>
      <c r="T9235" s="7"/>
      <c r="U9235" s="7"/>
      <c r="V9235" s="7"/>
      <c r="W9235" s="7"/>
      <c r="X9235" s="7"/>
      <c r="Y9235" s="7"/>
      <c r="Z9235" s="7"/>
    </row>
    <row r="9236" hidden="1">
      <c r="A9236" s="7"/>
      <c r="B9236" s="7"/>
      <c r="C9236" s="7"/>
      <c r="D9236" s="7"/>
      <c r="E9236" s="7"/>
      <c r="F9236" s="7"/>
      <c r="G9236" s="7"/>
      <c r="H9236" s="8"/>
      <c r="I9236" s="8"/>
      <c r="J9236" s="7"/>
      <c r="K9236" s="7"/>
      <c r="L9236" s="7"/>
      <c r="M9236" s="7"/>
      <c r="N9236" s="7"/>
      <c r="O9236" s="7"/>
      <c r="P9236" s="7"/>
      <c r="Q9236" s="7"/>
      <c r="R9236" s="7"/>
      <c r="S9236" s="7"/>
      <c r="T9236" s="7"/>
      <c r="U9236" s="7"/>
      <c r="V9236" s="7"/>
      <c r="W9236" s="7"/>
      <c r="X9236" s="7"/>
      <c r="Y9236" s="7"/>
      <c r="Z9236" s="7"/>
    </row>
    <row r="9237" hidden="1">
      <c r="A9237" s="7"/>
      <c r="B9237" s="7"/>
      <c r="C9237" s="7"/>
      <c r="D9237" s="7"/>
      <c r="E9237" s="7"/>
      <c r="F9237" s="7"/>
      <c r="G9237" s="7"/>
      <c r="H9237" s="8"/>
      <c r="I9237" s="8"/>
      <c r="J9237" s="7"/>
      <c r="K9237" s="7"/>
      <c r="L9237" s="7"/>
      <c r="M9237" s="7"/>
      <c r="N9237" s="7"/>
      <c r="O9237" s="7"/>
      <c r="P9237" s="7"/>
      <c r="Q9237" s="7"/>
      <c r="R9237" s="7"/>
      <c r="S9237" s="7"/>
      <c r="T9237" s="7"/>
      <c r="U9237" s="7"/>
      <c r="V9237" s="7"/>
      <c r="W9237" s="7"/>
      <c r="X9237" s="7"/>
      <c r="Y9237" s="7"/>
      <c r="Z9237" s="7"/>
    </row>
    <row r="9238" hidden="1">
      <c r="A9238" s="7"/>
      <c r="B9238" s="7"/>
      <c r="C9238" s="7"/>
      <c r="D9238" s="7"/>
      <c r="E9238" s="7"/>
      <c r="F9238" s="7"/>
      <c r="G9238" s="7"/>
      <c r="H9238" s="8"/>
      <c r="I9238" s="8"/>
      <c r="J9238" s="7"/>
      <c r="K9238" s="7"/>
      <c r="L9238" s="7"/>
      <c r="M9238" s="7"/>
      <c r="N9238" s="7"/>
      <c r="O9238" s="7"/>
      <c r="P9238" s="7"/>
      <c r="Q9238" s="7"/>
      <c r="R9238" s="7"/>
      <c r="S9238" s="7"/>
      <c r="T9238" s="7"/>
      <c r="U9238" s="7"/>
      <c r="V9238" s="7"/>
      <c r="W9238" s="7"/>
      <c r="X9238" s="7"/>
      <c r="Y9238" s="7"/>
      <c r="Z9238" s="7"/>
    </row>
    <row r="9239" hidden="1">
      <c r="A9239" s="7"/>
      <c r="B9239" s="7"/>
      <c r="C9239" s="7"/>
      <c r="D9239" s="7"/>
      <c r="E9239" s="7"/>
      <c r="F9239" s="7"/>
      <c r="G9239" s="7"/>
      <c r="H9239" s="8"/>
      <c r="I9239" s="8"/>
      <c r="J9239" s="7"/>
      <c r="K9239" s="7"/>
      <c r="L9239" s="7"/>
      <c r="M9239" s="7"/>
      <c r="N9239" s="7"/>
      <c r="O9239" s="7"/>
      <c r="P9239" s="7"/>
      <c r="Q9239" s="7"/>
      <c r="R9239" s="7"/>
      <c r="S9239" s="7"/>
      <c r="T9239" s="7"/>
      <c r="U9239" s="7"/>
      <c r="V9239" s="7"/>
      <c r="W9239" s="7"/>
      <c r="X9239" s="7"/>
      <c r="Y9239" s="7"/>
      <c r="Z9239" s="7"/>
    </row>
    <row r="9240" hidden="1">
      <c r="A9240" s="7"/>
      <c r="B9240" s="7"/>
      <c r="C9240" s="7"/>
      <c r="D9240" s="7"/>
      <c r="E9240" s="7"/>
      <c r="F9240" s="7"/>
      <c r="G9240" s="7"/>
      <c r="H9240" s="8"/>
      <c r="I9240" s="8"/>
      <c r="J9240" s="7"/>
      <c r="K9240" s="7"/>
      <c r="L9240" s="7"/>
      <c r="M9240" s="7"/>
      <c r="N9240" s="7"/>
      <c r="O9240" s="7"/>
      <c r="P9240" s="7"/>
      <c r="Q9240" s="7"/>
      <c r="R9240" s="7"/>
      <c r="S9240" s="7"/>
      <c r="T9240" s="7"/>
      <c r="U9240" s="7"/>
      <c r="V9240" s="7"/>
      <c r="W9240" s="7"/>
      <c r="X9240" s="7"/>
      <c r="Y9240" s="7"/>
      <c r="Z9240" s="7"/>
    </row>
    <row r="9241" hidden="1">
      <c r="A9241" s="7"/>
      <c r="B9241" s="7"/>
      <c r="C9241" s="7"/>
      <c r="D9241" s="7"/>
      <c r="E9241" s="7"/>
      <c r="F9241" s="7"/>
      <c r="G9241" s="7"/>
      <c r="H9241" s="8"/>
      <c r="I9241" s="8"/>
      <c r="J9241" s="7"/>
      <c r="K9241" s="7"/>
      <c r="L9241" s="7"/>
      <c r="M9241" s="7"/>
      <c r="N9241" s="7"/>
      <c r="O9241" s="7"/>
      <c r="P9241" s="7"/>
      <c r="Q9241" s="7"/>
      <c r="R9241" s="7"/>
      <c r="S9241" s="7"/>
      <c r="T9241" s="7"/>
      <c r="U9241" s="7"/>
      <c r="V9241" s="7"/>
      <c r="W9241" s="7"/>
      <c r="X9241" s="7"/>
      <c r="Y9241" s="7"/>
      <c r="Z9241" s="7"/>
    </row>
    <row r="9242" hidden="1">
      <c r="A9242" s="7"/>
      <c r="B9242" s="7"/>
      <c r="C9242" s="7"/>
      <c r="D9242" s="7"/>
      <c r="E9242" s="7"/>
      <c r="F9242" s="7"/>
      <c r="G9242" s="7"/>
      <c r="H9242" s="8"/>
      <c r="I9242" s="8"/>
      <c r="J9242" s="7"/>
      <c r="K9242" s="7"/>
      <c r="L9242" s="7"/>
      <c r="M9242" s="7"/>
      <c r="N9242" s="7"/>
      <c r="O9242" s="7"/>
      <c r="P9242" s="7"/>
      <c r="Q9242" s="7"/>
      <c r="R9242" s="7"/>
      <c r="S9242" s="7"/>
      <c r="T9242" s="7"/>
      <c r="U9242" s="7"/>
      <c r="V9242" s="7"/>
      <c r="W9242" s="7"/>
      <c r="X9242" s="7"/>
      <c r="Y9242" s="7"/>
      <c r="Z9242" s="7"/>
    </row>
    <row r="9243" hidden="1">
      <c r="A9243" s="7"/>
      <c r="B9243" s="7"/>
      <c r="C9243" s="7"/>
      <c r="D9243" s="7"/>
      <c r="E9243" s="7"/>
      <c r="F9243" s="7"/>
      <c r="G9243" s="7"/>
      <c r="H9243" s="8"/>
      <c r="I9243" s="8"/>
      <c r="J9243" s="7"/>
      <c r="K9243" s="7"/>
      <c r="L9243" s="7"/>
      <c r="M9243" s="7"/>
      <c r="N9243" s="7"/>
      <c r="O9243" s="7"/>
      <c r="P9243" s="7"/>
      <c r="Q9243" s="7"/>
      <c r="R9243" s="7"/>
      <c r="S9243" s="7"/>
      <c r="T9243" s="7"/>
      <c r="U9243" s="7"/>
      <c r="V9243" s="7"/>
      <c r="W9243" s="7"/>
      <c r="X9243" s="7"/>
      <c r="Y9243" s="7"/>
      <c r="Z9243" s="7"/>
    </row>
    <row r="9244" hidden="1">
      <c r="A9244" s="7"/>
      <c r="B9244" s="7"/>
      <c r="C9244" s="7"/>
      <c r="D9244" s="7"/>
      <c r="E9244" s="7"/>
      <c r="F9244" s="7"/>
      <c r="G9244" s="7"/>
      <c r="H9244" s="8"/>
      <c r="I9244" s="8"/>
      <c r="J9244" s="7"/>
      <c r="K9244" s="7"/>
      <c r="L9244" s="7"/>
      <c r="M9244" s="7"/>
      <c r="N9244" s="7"/>
      <c r="O9244" s="7"/>
      <c r="P9244" s="7"/>
      <c r="Q9244" s="7"/>
      <c r="R9244" s="7"/>
      <c r="S9244" s="7"/>
      <c r="T9244" s="7"/>
      <c r="U9244" s="7"/>
      <c r="V9244" s="7"/>
      <c r="W9244" s="7"/>
      <c r="X9244" s="7"/>
      <c r="Y9244" s="7"/>
      <c r="Z9244" s="7"/>
    </row>
    <row r="9245" hidden="1">
      <c r="A9245" s="7"/>
      <c r="B9245" s="7"/>
      <c r="C9245" s="7"/>
      <c r="D9245" s="7"/>
      <c r="E9245" s="7"/>
      <c r="F9245" s="7"/>
      <c r="G9245" s="7"/>
      <c r="H9245" s="8"/>
      <c r="I9245" s="8"/>
      <c r="J9245" s="7"/>
      <c r="K9245" s="7"/>
      <c r="L9245" s="7"/>
      <c r="M9245" s="7"/>
      <c r="N9245" s="7"/>
      <c r="O9245" s="7"/>
      <c r="P9245" s="7"/>
      <c r="Q9245" s="7"/>
      <c r="R9245" s="7"/>
      <c r="S9245" s="7"/>
      <c r="T9245" s="7"/>
      <c r="U9245" s="7"/>
      <c r="V9245" s="7"/>
      <c r="W9245" s="7"/>
      <c r="X9245" s="7"/>
      <c r="Y9245" s="7"/>
      <c r="Z9245" s="7"/>
    </row>
    <row r="9246" hidden="1">
      <c r="A9246" s="7"/>
      <c r="B9246" s="7"/>
      <c r="C9246" s="7"/>
      <c r="D9246" s="7"/>
      <c r="E9246" s="7"/>
      <c r="F9246" s="7"/>
      <c r="G9246" s="7"/>
      <c r="H9246" s="8"/>
      <c r="I9246" s="8"/>
      <c r="J9246" s="7"/>
      <c r="K9246" s="7"/>
      <c r="L9246" s="7"/>
      <c r="M9246" s="7"/>
      <c r="N9246" s="7"/>
      <c r="O9246" s="7"/>
      <c r="P9246" s="7"/>
      <c r="Q9246" s="7"/>
      <c r="R9246" s="7"/>
      <c r="S9246" s="7"/>
      <c r="T9246" s="7"/>
      <c r="U9246" s="7"/>
      <c r="V9246" s="7"/>
      <c r="W9246" s="7"/>
      <c r="X9246" s="7"/>
      <c r="Y9246" s="7"/>
      <c r="Z9246" s="7"/>
    </row>
    <row r="9247" hidden="1">
      <c r="A9247" s="7"/>
      <c r="B9247" s="7"/>
      <c r="C9247" s="7"/>
      <c r="D9247" s="7"/>
      <c r="E9247" s="7"/>
      <c r="F9247" s="7"/>
      <c r="G9247" s="7"/>
      <c r="H9247" s="8"/>
      <c r="I9247" s="8"/>
      <c r="J9247" s="7"/>
      <c r="K9247" s="7"/>
      <c r="L9247" s="7"/>
      <c r="M9247" s="7"/>
      <c r="N9247" s="7"/>
      <c r="O9247" s="7"/>
      <c r="P9247" s="7"/>
      <c r="Q9247" s="7"/>
      <c r="R9247" s="7"/>
      <c r="S9247" s="7"/>
      <c r="T9247" s="7"/>
      <c r="U9247" s="7"/>
      <c r="V9247" s="7"/>
      <c r="W9247" s="7"/>
      <c r="X9247" s="7"/>
      <c r="Y9247" s="7"/>
      <c r="Z9247" s="7"/>
    </row>
    <row r="9248" hidden="1">
      <c r="A9248" s="7"/>
      <c r="B9248" s="7"/>
      <c r="C9248" s="7"/>
      <c r="D9248" s="7"/>
      <c r="E9248" s="7"/>
      <c r="F9248" s="7"/>
      <c r="G9248" s="7"/>
      <c r="H9248" s="8"/>
      <c r="I9248" s="8"/>
      <c r="J9248" s="7"/>
      <c r="K9248" s="7"/>
      <c r="L9248" s="7"/>
      <c r="M9248" s="7"/>
      <c r="N9248" s="7"/>
      <c r="O9248" s="7"/>
      <c r="P9248" s="7"/>
      <c r="Q9248" s="7"/>
      <c r="R9248" s="7"/>
      <c r="S9248" s="7"/>
      <c r="T9248" s="7"/>
      <c r="U9248" s="7"/>
      <c r="V9248" s="7"/>
      <c r="W9248" s="7"/>
      <c r="X9248" s="7"/>
      <c r="Y9248" s="7"/>
      <c r="Z9248" s="7"/>
    </row>
    <row r="9249" hidden="1">
      <c r="A9249" s="7"/>
      <c r="B9249" s="7"/>
      <c r="C9249" s="7"/>
      <c r="D9249" s="7"/>
      <c r="E9249" s="7"/>
      <c r="F9249" s="7"/>
      <c r="G9249" s="7"/>
      <c r="H9249" s="8"/>
      <c r="I9249" s="8"/>
      <c r="J9249" s="7"/>
      <c r="K9249" s="7"/>
      <c r="L9249" s="7"/>
      <c r="M9249" s="7"/>
      <c r="N9249" s="7"/>
      <c r="O9249" s="7"/>
      <c r="P9249" s="7"/>
      <c r="Q9249" s="7"/>
      <c r="R9249" s="7"/>
      <c r="S9249" s="7"/>
      <c r="T9249" s="7"/>
      <c r="U9249" s="7"/>
      <c r="V9249" s="7"/>
      <c r="W9249" s="7"/>
      <c r="X9249" s="7"/>
      <c r="Y9249" s="7"/>
      <c r="Z9249" s="7"/>
    </row>
    <row r="9250" hidden="1">
      <c r="A9250" s="7"/>
      <c r="B9250" s="7"/>
      <c r="C9250" s="7"/>
      <c r="D9250" s="7"/>
      <c r="E9250" s="7"/>
      <c r="F9250" s="7"/>
      <c r="G9250" s="7"/>
      <c r="H9250" s="8"/>
      <c r="I9250" s="8"/>
      <c r="J9250" s="7"/>
      <c r="K9250" s="7"/>
      <c r="L9250" s="7"/>
      <c r="M9250" s="7"/>
      <c r="N9250" s="7"/>
      <c r="O9250" s="7"/>
      <c r="P9250" s="7"/>
      <c r="Q9250" s="7"/>
      <c r="R9250" s="7"/>
      <c r="S9250" s="7"/>
      <c r="T9250" s="7"/>
      <c r="U9250" s="7"/>
      <c r="V9250" s="7"/>
      <c r="W9250" s="7"/>
      <c r="X9250" s="7"/>
      <c r="Y9250" s="7"/>
      <c r="Z9250" s="7"/>
    </row>
    <row r="9251" hidden="1">
      <c r="A9251" s="7"/>
      <c r="B9251" s="7"/>
      <c r="C9251" s="7"/>
      <c r="D9251" s="7"/>
      <c r="E9251" s="7"/>
      <c r="F9251" s="7"/>
      <c r="G9251" s="7"/>
      <c r="H9251" s="8"/>
      <c r="I9251" s="8"/>
      <c r="J9251" s="7"/>
      <c r="K9251" s="7"/>
      <c r="L9251" s="7"/>
      <c r="M9251" s="7"/>
      <c r="N9251" s="7"/>
      <c r="O9251" s="7"/>
      <c r="P9251" s="7"/>
      <c r="Q9251" s="7"/>
      <c r="R9251" s="7"/>
      <c r="S9251" s="7"/>
      <c r="T9251" s="7"/>
      <c r="U9251" s="7"/>
      <c r="V9251" s="7"/>
      <c r="W9251" s="7"/>
      <c r="X9251" s="7"/>
      <c r="Y9251" s="7"/>
      <c r="Z9251" s="7"/>
    </row>
    <row r="9252" hidden="1">
      <c r="A9252" s="7"/>
      <c r="B9252" s="7"/>
      <c r="C9252" s="7"/>
      <c r="D9252" s="7"/>
      <c r="E9252" s="7"/>
      <c r="F9252" s="7"/>
      <c r="G9252" s="7"/>
      <c r="H9252" s="8"/>
      <c r="I9252" s="8"/>
      <c r="J9252" s="7"/>
      <c r="K9252" s="7"/>
      <c r="L9252" s="7"/>
      <c r="M9252" s="7"/>
      <c r="N9252" s="7"/>
      <c r="O9252" s="7"/>
      <c r="P9252" s="7"/>
      <c r="Q9252" s="7"/>
      <c r="R9252" s="7"/>
      <c r="S9252" s="7"/>
      <c r="T9252" s="7"/>
      <c r="U9252" s="7"/>
      <c r="V9252" s="7"/>
      <c r="W9252" s="7"/>
      <c r="X9252" s="7"/>
      <c r="Y9252" s="7"/>
      <c r="Z9252" s="7"/>
    </row>
    <row r="9253" hidden="1">
      <c r="A9253" s="7"/>
      <c r="B9253" s="7"/>
      <c r="C9253" s="7"/>
      <c r="D9253" s="7"/>
      <c r="E9253" s="7"/>
      <c r="F9253" s="7"/>
      <c r="G9253" s="7"/>
      <c r="H9253" s="8"/>
      <c r="I9253" s="8"/>
      <c r="J9253" s="7"/>
      <c r="K9253" s="7"/>
      <c r="L9253" s="7"/>
      <c r="M9253" s="7"/>
      <c r="N9253" s="7"/>
      <c r="O9253" s="7"/>
      <c r="P9253" s="7"/>
      <c r="Q9253" s="7"/>
      <c r="R9253" s="7"/>
      <c r="S9253" s="7"/>
      <c r="T9253" s="7"/>
      <c r="U9253" s="7"/>
      <c r="V9253" s="7"/>
      <c r="W9253" s="7"/>
      <c r="X9253" s="7"/>
      <c r="Y9253" s="7"/>
      <c r="Z9253" s="7"/>
    </row>
    <row r="9254" hidden="1">
      <c r="A9254" s="7"/>
      <c r="B9254" s="7"/>
      <c r="C9254" s="7"/>
      <c r="D9254" s="7"/>
      <c r="E9254" s="7"/>
      <c r="F9254" s="7"/>
      <c r="G9254" s="7"/>
      <c r="H9254" s="8"/>
      <c r="I9254" s="8"/>
      <c r="J9254" s="7"/>
      <c r="K9254" s="7"/>
      <c r="L9254" s="7"/>
      <c r="M9254" s="7"/>
      <c r="N9254" s="7"/>
      <c r="O9254" s="7"/>
      <c r="P9254" s="7"/>
      <c r="Q9254" s="7"/>
      <c r="R9254" s="7"/>
      <c r="S9254" s="7"/>
      <c r="T9254" s="7"/>
      <c r="U9254" s="7"/>
      <c r="V9254" s="7"/>
      <c r="W9254" s="7"/>
      <c r="X9254" s="7"/>
      <c r="Y9254" s="7"/>
      <c r="Z9254" s="7"/>
    </row>
    <row r="9255" hidden="1">
      <c r="A9255" s="7"/>
      <c r="B9255" s="7"/>
      <c r="C9255" s="7"/>
      <c r="D9255" s="7"/>
      <c r="E9255" s="7"/>
      <c r="F9255" s="7"/>
      <c r="G9255" s="7"/>
      <c r="H9255" s="8"/>
      <c r="I9255" s="8"/>
      <c r="J9255" s="7"/>
      <c r="K9255" s="7"/>
      <c r="L9255" s="7"/>
      <c r="M9255" s="7"/>
      <c r="N9255" s="7"/>
      <c r="O9255" s="7"/>
      <c r="P9255" s="7"/>
      <c r="Q9255" s="7"/>
      <c r="R9255" s="7"/>
      <c r="S9255" s="7"/>
      <c r="T9255" s="7"/>
      <c r="U9255" s="7"/>
      <c r="V9255" s="7"/>
      <c r="W9255" s="7"/>
      <c r="X9255" s="7"/>
      <c r="Y9255" s="7"/>
      <c r="Z9255" s="7"/>
    </row>
    <row r="9256" hidden="1">
      <c r="A9256" s="7"/>
      <c r="B9256" s="7"/>
      <c r="C9256" s="7"/>
      <c r="D9256" s="7"/>
      <c r="E9256" s="7"/>
      <c r="F9256" s="7"/>
      <c r="G9256" s="7"/>
      <c r="H9256" s="8"/>
      <c r="I9256" s="8"/>
      <c r="J9256" s="7"/>
      <c r="K9256" s="7"/>
      <c r="L9256" s="7"/>
      <c r="M9256" s="7"/>
      <c r="N9256" s="7"/>
      <c r="O9256" s="7"/>
      <c r="P9256" s="7"/>
      <c r="Q9256" s="7"/>
      <c r="R9256" s="7"/>
      <c r="S9256" s="7"/>
      <c r="T9256" s="7"/>
      <c r="U9256" s="7"/>
      <c r="V9256" s="7"/>
      <c r="W9256" s="7"/>
      <c r="X9256" s="7"/>
      <c r="Y9256" s="7"/>
      <c r="Z9256" s="7"/>
    </row>
    <row r="9257" hidden="1">
      <c r="A9257" s="7"/>
      <c r="B9257" s="7"/>
      <c r="C9257" s="7"/>
      <c r="D9257" s="7"/>
      <c r="E9257" s="7"/>
      <c r="F9257" s="7"/>
      <c r="G9257" s="7"/>
      <c r="H9257" s="8"/>
      <c r="I9257" s="8"/>
      <c r="J9257" s="7"/>
      <c r="K9257" s="7"/>
      <c r="L9257" s="7"/>
      <c r="M9257" s="7"/>
      <c r="N9257" s="7"/>
      <c r="O9257" s="7"/>
      <c r="P9257" s="7"/>
      <c r="Q9257" s="7"/>
      <c r="R9257" s="7"/>
      <c r="S9257" s="7"/>
      <c r="T9257" s="7"/>
      <c r="U9257" s="7"/>
      <c r="V9257" s="7"/>
      <c r="W9257" s="7"/>
      <c r="X9257" s="7"/>
      <c r="Y9257" s="7"/>
      <c r="Z9257" s="7"/>
    </row>
    <row r="9258" hidden="1">
      <c r="A9258" s="7"/>
      <c r="B9258" s="7"/>
      <c r="C9258" s="7"/>
      <c r="D9258" s="7"/>
      <c r="E9258" s="7"/>
      <c r="F9258" s="7"/>
      <c r="G9258" s="7"/>
      <c r="H9258" s="8"/>
      <c r="I9258" s="8"/>
      <c r="J9258" s="7"/>
      <c r="K9258" s="7"/>
      <c r="L9258" s="7"/>
      <c r="M9258" s="7"/>
      <c r="N9258" s="7"/>
      <c r="O9258" s="7"/>
      <c r="P9258" s="7"/>
      <c r="Q9258" s="7"/>
      <c r="R9258" s="7"/>
      <c r="S9258" s="7"/>
      <c r="T9258" s="7"/>
      <c r="U9258" s="7"/>
      <c r="V9258" s="7"/>
      <c r="W9258" s="7"/>
      <c r="X9258" s="7"/>
      <c r="Y9258" s="7"/>
      <c r="Z9258" s="7"/>
    </row>
    <row r="9259" hidden="1">
      <c r="A9259" s="7"/>
      <c r="B9259" s="7"/>
      <c r="C9259" s="7"/>
      <c r="D9259" s="7"/>
      <c r="E9259" s="7"/>
      <c r="F9259" s="7"/>
      <c r="G9259" s="7"/>
      <c r="H9259" s="8"/>
      <c r="I9259" s="8"/>
      <c r="J9259" s="7"/>
      <c r="K9259" s="7"/>
      <c r="L9259" s="7"/>
      <c r="M9259" s="7"/>
      <c r="N9259" s="7"/>
      <c r="O9259" s="7"/>
      <c r="P9259" s="7"/>
      <c r="Q9259" s="7"/>
      <c r="R9259" s="7"/>
      <c r="S9259" s="7"/>
      <c r="T9259" s="7"/>
      <c r="U9259" s="7"/>
      <c r="V9259" s="7"/>
      <c r="W9259" s="7"/>
      <c r="X9259" s="7"/>
      <c r="Y9259" s="7"/>
      <c r="Z9259" s="7"/>
    </row>
    <row r="9260" hidden="1">
      <c r="A9260" s="7"/>
      <c r="B9260" s="7"/>
      <c r="C9260" s="7"/>
      <c r="D9260" s="7"/>
      <c r="E9260" s="7"/>
      <c r="F9260" s="7"/>
      <c r="G9260" s="7"/>
      <c r="H9260" s="8"/>
      <c r="I9260" s="8"/>
      <c r="J9260" s="7"/>
      <c r="K9260" s="7"/>
      <c r="L9260" s="7"/>
      <c r="M9260" s="7"/>
      <c r="N9260" s="7"/>
      <c r="O9260" s="7"/>
      <c r="P9260" s="7"/>
      <c r="Q9260" s="7"/>
      <c r="R9260" s="7"/>
      <c r="S9260" s="7"/>
      <c r="T9260" s="7"/>
      <c r="U9260" s="7"/>
      <c r="V9260" s="7"/>
      <c r="W9260" s="7"/>
      <c r="X9260" s="7"/>
      <c r="Y9260" s="7"/>
      <c r="Z9260" s="7"/>
    </row>
    <row r="9261" hidden="1">
      <c r="A9261" s="7"/>
      <c r="B9261" s="7"/>
      <c r="C9261" s="7"/>
      <c r="D9261" s="7"/>
      <c r="E9261" s="7"/>
      <c r="F9261" s="7"/>
      <c r="G9261" s="7"/>
      <c r="H9261" s="8"/>
      <c r="I9261" s="8"/>
      <c r="J9261" s="7"/>
      <c r="K9261" s="7"/>
      <c r="L9261" s="7"/>
      <c r="M9261" s="7"/>
      <c r="N9261" s="7"/>
      <c r="O9261" s="7"/>
      <c r="P9261" s="7"/>
      <c r="Q9261" s="7"/>
      <c r="R9261" s="7"/>
      <c r="S9261" s="7"/>
      <c r="T9261" s="7"/>
      <c r="U9261" s="7"/>
      <c r="V9261" s="7"/>
      <c r="W9261" s="7"/>
      <c r="X9261" s="7"/>
      <c r="Y9261" s="7"/>
      <c r="Z9261" s="7"/>
    </row>
    <row r="9262" hidden="1">
      <c r="A9262" s="7"/>
      <c r="B9262" s="7"/>
      <c r="C9262" s="7"/>
      <c r="D9262" s="7"/>
      <c r="E9262" s="7"/>
      <c r="F9262" s="7"/>
      <c r="G9262" s="7"/>
      <c r="H9262" s="8"/>
      <c r="I9262" s="8"/>
      <c r="J9262" s="7"/>
      <c r="K9262" s="7"/>
      <c r="L9262" s="7"/>
      <c r="M9262" s="7"/>
      <c r="N9262" s="7"/>
      <c r="O9262" s="7"/>
      <c r="P9262" s="7"/>
      <c r="Q9262" s="7"/>
      <c r="R9262" s="7"/>
      <c r="S9262" s="7"/>
      <c r="T9262" s="7"/>
      <c r="U9262" s="7"/>
      <c r="V9262" s="7"/>
      <c r="W9262" s="7"/>
      <c r="X9262" s="7"/>
      <c r="Y9262" s="7"/>
      <c r="Z9262" s="7"/>
    </row>
    <row r="9263" hidden="1">
      <c r="A9263" s="7"/>
      <c r="B9263" s="7"/>
      <c r="C9263" s="7"/>
      <c r="D9263" s="7"/>
      <c r="E9263" s="7"/>
      <c r="F9263" s="7"/>
      <c r="G9263" s="7"/>
      <c r="H9263" s="8"/>
      <c r="I9263" s="8"/>
      <c r="J9263" s="7"/>
      <c r="K9263" s="7"/>
      <c r="L9263" s="7"/>
      <c r="M9263" s="7"/>
      <c r="N9263" s="7"/>
      <c r="O9263" s="7"/>
      <c r="P9263" s="7"/>
      <c r="Q9263" s="7"/>
      <c r="R9263" s="7"/>
      <c r="S9263" s="7"/>
      <c r="T9263" s="7"/>
      <c r="U9263" s="7"/>
      <c r="V9263" s="7"/>
      <c r="W9263" s="7"/>
      <c r="X9263" s="7"/>
      <c r="Y9263" s="7"/>
      <c r="Z9263" s="7"/>
    </row>
    <row r="9264" hidden="1">
      <c r="A9264" s="7"/>
      <c r="B9264" s="7"/>
      <c r="C9264" s="7"/>
      <c r="D9264" s="7"/>
      <c r="E9264" s="7"/>
      <c r="F9264" s="7"/>
      <c r="G9264" s="7"/>
      <c r="H9264" s="8"/>
      <c r="I9264" s="8"/>
      <c r="J9264" s="7"/>
      <c r="K9264" s="7"/>
      <c r="L9264" s="7"/>
      <c r="M9264" s="7"/>
      <c r="N9264" s="7"/>
      <c r="O9264" s="7"/>
      <c r="P9264" s="7"/>
      <c r="Q9264" s="7"/>
      <c r="R9264" s="7"/>
      <c r="S9264" s="7"/>
      <c r="T9264" s="7"/>
      <c r="U9264" s="7"/>
      <c r="V9264" s="7"/>
      <c r="W9264" s="7"/>
      <c r="X9264" s="7"/>
      <c r="Y9264" s="7"/>
      <c r="Z9264" s="7"/>
    </row>
    <row r="9265" hidden="1">
      <c r="A9265" s="7"/>
      <c r="B9265" s="7"/>
      <c r="C9265" s="7"/>
      <c r="D9265" s="7"/>
      <c r="E9265" s="7"/>
      <c r="F9265" s="7"/>
      <c r="G9265" s="7"/>
      <c r="H9265" s="8"/>
      <c r="I9265" s="8"/>
      <c r="J9265" s="7"/>
      <c r="K9265" s="7"/>
      <c r="L9265" s="7"/>
      <c r="M9265" s="7"/>
      <c r="N9265" s="7"/>
      <c r="O9265" s="7"/>
      <c r="P9265" s="7"/>
      <c r="Q9265" s="7"/>
      <c r="R9265" s="7"/>
      <c r="S9265" s="7"/>
      <c r="T9265" s="7"/>
      <c r="U9265" s="7"/>
      <c r="V9265" s="7"/>
      <c r="W9265" s="7"/>
      <c r="X9265" s="7"/>
      <c r="Y9265" s="7"/>
      <c r="Z9265" s="7"/>
    </row>
    <row r="9266" hidden="1">
      <c r="A9266" s="7"/>
      <c r="B9266" s="7"/>
      <c r="C9266" s="7"/>
      <c r="D9266" s="7"/>
      <c r="E9266" s="7"/>
      <c r="F9266" s="7"/>
      <c r="G9266" s="7"/>
      <c r="H9266" s="8"/>
      <c r="I9266" s="8"/>
      <c r="J9266" s="7"/>
      <c r="K9266" s="7"/>
      <c r="L9266" s="7"/>
      <c r="M9266" s="7"/>
      <c r="N9266" s="7"/>
      <c r="O9266" s="7"/>
      <c r="P9266" s="7"/>
      <c r="Q9266" s="7"/>
      <c r="R9266" s="7"/>
      <c r="S9266" s="7"/>
      <c r="T9266" s="7"/>
      <c r="U9266" s="7"/>
      <c r="V9266" s="7"/>
      <c r="W9266" s="7"/>
      <c r="X9266" s="7"/>
      <c r="Y9266" s="7"/>
      <c r="Z9266" s="7"/>
    </row>
    <row r="9267" hidden="1">
      <c r="A9267" s="7"/>
      <c r="B9267" s="7"/>
      <c r="C9267" s="7"/>
      <c r="D9267" s="7"/>
      <c r="E9267" s="7"/>
      <c r="F9267" s="7"/>
      <c r="G9267" s="7"/>
      <c r="H9267" s="8"/>
      <c r="I9267" s="8"/>
      <c r="J9267" s="7"/>
      <c r="K9267" s="7"/>
      <c r="L9267" s="7"/>
      <c r="M9267" s="7"/>
      <c r="N9267" s="7"/>
      <c r="O9267" s="7"/>
      <c r="P9267" s="7"/>
      <c r="Q9267" s="7"/>
      <c r="R9267" s="7"/>
      <c r="S9267" s="7"/>
      <c r="T9267" s="7"/>
      <c r="U9267" s="7"/>
      <c r="V9267" s="7"/>
      <c r="W9267" s="7"/>
      <c r="X9267" s="7"/>
      <c r="Y9267" s="7"/>
      <c r="Z9267" s="7"/>
    </row>
    <row r="9268" hidden="1">
      <c r="A9268" s="7"/>
      <c r="B9268" s="7"/>
      <c r="C9268" s="7"/>
      <c r="D9268" s="7"/>
      <c r="E9268" s="7"/>
      <c r="F9268" s="7"/>
      <c r="G9268" s="7"/>
      <c r="H9268" s="8"/>
      <c r="I9268" s="8"/>
      <c r="J9268" s="7"/>
      <c r="K9268" s="7"/>
      <c r="L9268" s="7"/>
      <c r="M9268" s="7"/>
      <c r="N9268" s="7"/>
      <c r="O9268" s="7"/>
      <c r="P9268" s="7"/>
      <c r="Q9268" s="7"/>
      <c r="R9268" s="7"/>
      <c r="S9268" s="7"/>
      <c r="T9268" s="7"/>
      <c r="U9268" s="7"/>
      <c r="V9268" s="7"/>
      <c r="W9268" s="7"/>
      <c r="X9268" s="7"/>
      <c r="Y9268" s="7"/>
      <c r="Z9268" s="7"/>
    </row>
    <row r="9269" hidden="1">
      <c r="A9269" s="7"/>
      <c r="B9269" s="7"/>
      <c r="C9269" s="7"/>
      <c r="D9269" s="7"/>
      <c r="E9269" s="7"/>
      <c r="F9269" s="7"/>
      <c r="G9269" s="7"/>
      <c r="H9269" s="8"/>
      <c r="I9269" s="8"/>
      <c r="J9269" s="7"/>
      <c r="K9269" s="7"/>
      <c r="L9269" s="7"/>
      <c r="M9269" s="7"/>
      <c r="N9269" s="7"/>
      <c r="O9269" s="7"/>
      <c r="P9269" s="7"/>
      <c r="Q9269" s="7"/>
      <c r="R9269" s="7"/>
      <c r="S9269" s="7"/>
      <c r="T9269" s="7"/>
      <c r="U9269" s="7"/>
      <c r="V9269" s="7"/>
      <c r="W9269" s="7"/>
      <c r="X9269" s="7"/>
      <c r="Y9269" s="7"/>
      <c r="Z9269" s="7"/>
    </row>
    <row r="9270" hidden="1">
      <c r="A9270" s="7"/>
      <c r="B9270" s="7"/>
      <c r="C9270" s="7"/>
      <c r="D9270" s="7"/>
      <c r="E9270" s="7"/>
      <c r="F9270" s="7"/>
      <c r="G9270" s="7"/>
      <c r="H9270" s="8"/>
      <c r="I9270" s="8"/>
      <c r="J9270" s="7"/>
      <c r="K9270" s="7"/>
      <c r="L9270" s="7"/>
      <c r="M9270" s="7"/>
      <c r="N9270" s="7"/>
      <c r="O9270" s="7"/>
      <c r="P9270" s="7"/>
      <c r="Q9270" s="7"/>
      <c r="R9270" s="7"/>
      <c r="S9270" s="7"/>
      <c r="T9270" s="7"/>
      <c r="U9270" s="7"/>
      <c r="V9270" s="7"/>
      <c r="W9270" s="7"/>
      <c r="X9270" s="7"/>
      <c r="Y9270" s="7"/>
      <c r="Z9270" s="7"/>
    </row>
    <row r="9271" hidden="1">
      <c r="A9271" s="7"/>
      <c r="B9271" s="7"/>
      <c r="C9271" s="7"/>
      <c r="D9271" s="7"/>
      <c r="E9271" s="7"/>
      <c r="F9271" s="7"/>
      <c r="G9271" s="7"/>
      <c r="H9271" s="8"/>
      <c r="I9271" s="8"/>
      <c r="J9271" s="7"/>
      <c r="K9271" s="7"/>
      <c r="L9271" s="7"/>
      <c r="M9271" s="7"/>
      <c r="N9271" s="7"/>
      <c r="O9271" s="7"/>
      <c r="P9271" s="7"/>
      <c r="Q9271" s="7"/>
      <c r="R9271" s="7"/>
      <c r="S9271" s="7"/>
      <c r="T9271" s="7"/>
      <c r="U9271" s="7"/>
      <c r="V9271" s="7"/>
      <c r="W9271" s="7"/>
      <c r="X9271" s="7"/>
      <c r="Y9271" s="7"/>
      <c r="Z9271" s="7"/>
    </row>
    <row r="9272" hidden="1">
      <c r="A9272" s="7"/>
      <c r="B9272" s="7"/>
      <c r="C9272" s="7"/>
      <c r="D9272" s="7"/>
      <c r="E9272" s="7"/>
      <c r="F9272" s="7"/>
      <c r="G9272" s="7"/>
      <c r="H9272" s="8"/>
      <c r="I9272" s="8"/>
      <c r="J9272" s="7"/>
      <c r="K9272" s="7"/>
      <c r="L9272" s="7"/>
      <c r="M9272" s="7"/>
      <c r="N9272" s="7"/>
      <c r="O9272" s="7"/>
      <c r="P9272" s="7"/>
      <c r="Q9272" s="7"/>
      <c r="R9272" s="7"/>
      <c r="S9272" s="7"/>
      <c r="T9272" s="7"/>
      <c r="U9272" s="7"/>
      <c r="V9272" s="7"/>
      <c r="W9272" s="7"/>
      <c r="X9272" s="7"/>
      <c r="Y9272" s="7"/>
      <c r="Z9272" s="7"/>
    </row>
    <row r="9273" hidden="1">
      <c r="A9273" s="7"/>
      <c r="B9273" s="7"/>
      <c r="C9273" s="7"/>
      <c r="D9273" s="7"/>
      <c r="E9273" s="7"/>
      <c r="F9273" s="7"/>
      <c r="G9273" s="7"/>
      <c r="H9273" s="8"/>
      <c r="I9273" s="8"/>
      <c r="J9273" s="7"/>
      <c r="K9273" s="7"/>
      <c r="L9273" s="7"/>
      <c r="M9273" s="7"/>
      <c r="N9273" s="7"/>
      <c r="O9273" s="7"/>
      <c r="P9273" s="7"/>
      <c r="Q9273" s="7"/>
      <c r="R9273" s="7"/>
      <c r="S9273" s="7"/>
      <c r="T9273" s="7"/>
      <c r="U9273" s="7"/>
      <c r="V9273" s="7"/>
      <c r="W9273" s="7"/>
      <c r="X9273" s="7"/>
      <c r="Y9273" s="7"/>
      <c r="Z9273" s="7"/>
    </row>
    <row r="9274" hidden="1">
      <c r="A9274" s="7"/>
      <c r="B9274" s="7"/>
      <c r="C9274" s="7"/>
      <c r="D9274" s="7"/>
      <c r="E9274" s="7"/>
      <c r="F9274" s="7"/>
      <c r="G9274" s="7"/>
      <c r="H9274" s="8"/>
      <c r="I9274" s="8"/>
      <c r="J9274" s="7"/>
      <c r="K9274" s="7"/>
      <c r="L9274" s="7"/>
      <c r="M9274" s="7"/>
      <c r="N9274" s="7"/>
      <c r="O9274" s="7"/>
      <c r="P9274" s="7"/>
      <c r="Q9274" s="7"/>
      <c r="R9274" s="7"/>
      <c r="S9274" s="7"/>
      <c r="T9274" s="7"/>
      <c r="U9274" s="7"/>
      <c r="V9274" s="7"/>
      <c r="W9274" s="7"/>
      <c r="X9274" s="7"/>
      <c r="Y9274" s="7"/>
      <c r="Z9274" s="7"/>
    </row>
    <row r="9275" hidden="1">
      <c r="A9275" s="7"/>
      <c r="B9275" s="7"/>
      <c r="C9275" s="7"/>
      <c r="D9275" s="7"/>
      <c r="E9275" s="7"/>
      <c r="F9275" s="7"/>
      <c r="G9275" s="7"/>
      <c r="H9275" s="8"/>
      <c r="I9275" s="8"/>
      <c r="J9275" s="7"/>
      <c r="K9275" s="7"/>
      <c r="L9275" s="7"/>
      <c r="M9275" s="7"/>
      <c r="N9275" s="7"/>
      <c r="O9275" s="7"/>
      <c r="P9275" s="7"/>
      <c r="Q9275" s="7"/>
      <c r="R9275" s="7"/>
      <c r="S9275" s="7"/>
      <c r="T9275" s="7"/>
      <c r="U9275" s="7"/>
      <c r="V9275" s="7"/>
      <c r="W9275" s="7"/>
      <c r="X9275" s="7"/>
      <c r="Y9275" s="7"/>
      <c r="Z9275" s="7"/>
    </row>
    <row r="9276" hidden="1">
      <c r="A9276" s="7"/>
      <c r="B9276" s="7"/>
      <c r="C9276" s="7"/>
      <c r="D9276" s="7"/>
      <c r="E9276" s="7"/>
      <c r="F9276" s="7"/>
      <c r="G9276" s="7"/>
      <c r="H9276" s="8"/>
      <c r="I9276" s="8"/>
      <c r="J9276" s="7"/>
      <c r="K9276" s="7"/>
      <c r="L9276" s="7"/>
      <c r="M9276" s="7"/>
      <c r="N9276" s="7"/>
      <c r="O9276" s="7"/>
      <c r="P9276" s="7"/>
      <c r="Q9276" s="7"/>
      <c r="R9276" s="7"/>
      <c r="S9276" s="7"/>
      <c r="T9276" s="7"/>
      <c r="U9276" s="7"/>
      <c r="V9276" s="7"/>
      <c r="W9276" s="7"/>
      <c r="X9276" s="7"/>
      <c r="Y9276" s="7"/>
      <c r="Z9276" s="7"/>
    </row>
    <row r="9277" hidden="1">
      <c r="A9277" s="7"/>
      <c r="B9277" s="7"/>
      <c r="C9277" s="7"/>
      <c r="D9277" s="7"/>
      <c r="E9277" s="7"/>
      <c r="F9277" s="7"/>
      <c r="G9277" s="7"/>
      <c r="H9277" s="8"/>
      <c r="I9277" s="8"/>
      <c r="J9277" s="7"/>
      <c r="K9277" s="7"/>
      <c r="L9277" s="7"/>
      <c r="M9277" s="7"/>
      <c r="N9277" s="7"/>
      <c r="O9277" s="7"/>
      <c r="P9277" s="7"/>
      <c r="Q9277" s="7"/>
      <c r="R9277" s="7"/>
      <c r="S9277" s="7"/>
      <c r="T9277" s="7"/>
      <c r="U9277" s="7"/>
      <c r="V9277" s="7"/>
      <c r="W9277" s="7"/>
      <c r="X9277" s="7"/>
      <c r="Y9277" s="7"/>
      <c r="Z9277" s="7"/>
    </row>
    <row r="9278" hidden="1">
      <c r="A9278" s="7"/>
      <c r="B9278" s="7"/>
      <c r="C9278" s="7"/>
      <c r="D9278" s="7"/>
      <c r="E9278" s="7"/>
      <c r="F9278" s="7"/>
      <c r="G9278" s="7"/>
      <c r="H9278" s="8"/>
      <c r="I9278" s="8"/>
      <c r="J9278" s="7"/>
      <c r="K9278" s="7"/>
      <c r="L9278" s="7"/>
      <c r="M9278" s="7"/>
      <c r="N9278" s="7"/>
      <c r="O9278" s="7"/>
      <c r="P9278" s="7"/>
      <c r="Q9278" s="7"/>
      <c r="R9278" s="7"/>
      <c r="S9278" s="7"/>
      <c r="T9278" s="7"/>
      <c r="U9278" s="7"/>
      <c r="V9278" s="7"/>
      <c r="W9278" s="7"/>
      <c r="X9278" s="7"/>
      <c r="Y9278" s="7"/>
      <c r="Z9278" s="7"/>
    </row>
    <row r="9279" hidden="1">
      <c r="A9279" s="7"/>
      <c r="B9279" s="7"/>
      <c r="C9279" s="7"/>
      <c r="D9279" s="7"/>
      <c r="E9279" s="7"/>
      <c r="F9279" s="7"/>
      <c r="G9279" s="7"/>
      <c r="H9279" s="8"/>
      <c r="I9279" s="8"/>
      <c r="J9279" s="7"/>
      <c r="K9279" s="7"/>
      <c r="L9279" s="7"/>
      <c r="M9279" s="7"/>
      <c r="N9279" s="7"/>
      <c r="O9279" s="7"/>
      <c r="P9279" s="7"/>
      <c r="Q9279" s="7"/>
      <c r="R9279" s="7"/>
      <c r="S9279" s="7"/>
      <c r="T9279" s="7"/>
      <c r="U9279" s="7"/>
      <c r="V9279" s="7"/>
      <c r="W9279" s="7"/>
      <c r="X9279" s="7"/>
      <c r="Y9279" s="7"/>
      <c r="Z9279" s="7"/>
    </row>
    <row r="9280" hidden="1">
      <c r="A9280" s="7"/>
      <c r="B9280" s="7"/>
      <c r="C9280" s="7"/>
      <c r="D9280" s="7"/>
      <c r="E9280" s="7"/>
      <c r="F9280" s="7"/>
      <c r="G9280" s="7"/>
      <c r="H9280" s="8"/>
      <c r="I9280" s="8"/>
      <c r="J9280" s="7"/>
      <c r="K9280" s="7"/>
      <c r="L9280" s="7"/>
      <c r="M9280" s="7"/>
      <c r="N9280" s="7"/>
      <c r="O9280" s="7"/>
      <c r="P9280" s="7"/>
      <c r="Q9280" s="7"/>
      <c r="R9280" s="7"/>
      <c r="S9280" s="7"/>
      <c r="T9280" s="7"/>
      <c r="U9280" s="7"/>
      <c r="V9280" s="7"/>
      <c r="W9280" s="7"/>
      <c r="X9280" s="7"/>
      <c r="Y9280" s="7"/>
      <c r="Z9280" s="7"/>
    </row>
    <row r="9281" hidden="1">
      <c r="A9281" s="7"/>
      <c r="B9281" s="7"/>
      <c r="C9281" s="7"/>
      <c r="D9281" s="7"/>
      <c r="E9281" s="7"/>
      <c r="F9281" s="7"/>
      <c r="G9281" s="7"/>
      <c r="H9281" s="8"/>
      <c r="I9281" s="8"/>
      <c r="J9281" s="7"/>
      <c r="K9281" s="7"/>
      <c r="L9281" s="7"/>
      <c r="M9281" s="7"/>
      <c r="N9281" s="7"/>
      <c r="O9281" s="7"/>
      <c r="P9281" s="7"/>
      <c r="Q9281" s="7"/>
      <c r="R9281" s="7"/>
      <c r="S9281" s="7"/>
      <c r="T9281" s="7"/>
      <c r="U9281" s="7"/>
      <c r="V9281" s="7"/>
      <c r="W9281" s="7"/>
      <c r="X9281" s="7"/>
      <c r="Y9281" s="7"/>
      <c r="Z9281" s="7"/>
    </row>
    <row r="9282" hidden="1">
      <c r="A9282" s="7"/>
      <c r="B9282" s="7"/>
      <c r="C9282" s="7"/>
      <c r="D9282" s="7"/>
      <c r="E9282" s="7"/>
      <c r="F9282" s="7"/>
      <c r="G9282" s="7"/>
      <c r="H9282" s="8"/>
      <c r="I9282" s="8"/>
      <c r="J9282" s="7"/>
      <c r="K9282" s="7"/>
      <c r="L9282" s="7"/>
      <c r="M9282" s="7"/>
      <c r="N9282" s="7"/>
      <c r="O9282" s="7"/>
      <c r="P9282" s="7"/>
      <c r="Q9282" s="7"/>
      <c r="R9282" s="7"/>
      <c r="S9282" s="7"/>
      <c r="T9282" s="7"/>
      <c r="U9282" s="7"/>
      <c r="V9282" s="7"/>
      <c r="W9282" s="7"/>
      <c r="X9282" s="7"/>
      <c r="Y9282" s="7"/>
      <c r="Z9282" s="7"/>
    </row>
    <row r="9283" hidden="1">
      <c r="A9283" s="7"/>
      <c r="B9283" s="7"/>
      <c r="C9283" s="7"/>
      <c r="D9283" s="7"/>
      <c r="E9283" s="7"/>
      <c r="F9283" s="7"/>
      <c r="G9283" s="7"/>
      <c r="H9283" s="8"/>
      <c r="I9283" s="8"/>
      <c r="J9283" s="7"/>
      <c r="K9283" s="7"/>
      <c r="L9283" s="7"/>
      <c r="M9283" s="7"/>
      <c r="N9283" s="7"/>
      <c r="O9283" s="7"/>
      <c r="P9283" s="7"/>
      <c r="Q9283" s="7"/>
      <c r="R9283" s="7"/>
      <c r="S9283" s="7"/>
      <c r="T9283" s="7"/>
      <c r="U9283" s="7"/>
      <c r="V9283" s="7"/>
      <c r="W9283" s="7"/>
      <c r="X9283" s="7"/>
      <c r="Y9283" s="7"/>
      <c r="Z9283" s="7"/>
    </row>
    <row r="9284" hidden="1">
      <c r="A9284" s="7"/>
      <c r="B9284" s="7"/>
      <c r="C9284" s="7"/>
      <c r="D9284" s="7"/>
      <c r="E9284" s="7"/>
      <c r="F9284" s="7"/>
      <c r="G9284" s="7"/>
      <c r="H9284" s="8"/>
      <c r="I9284" s="8"/>
      <c r="J9284" s="7"/>
      <c r="K9284" s="7"/>
      <c r="L9284" s="7"/>
      <c r="M9284" s="7"/>
      <c r="N9284" s="7"/>
      <c r="O9284" s="7"/>
      <c r="P9284" s="7"/>
      <c r="Q9284" s="7"/>
      <c r="R9284" s="7"/>
      <c r="S9284" s="7"/>
      <c r="T9284" s="7"/>
      <c r="U9284" s="7"/>
      <c r="V9284" s="7"/>
      <c r="W9284" s="7"/>
      <c r="X9284" s="7"/>
      <c r="Y9284" s="7"/>
      <c r="Z9284" s="7"/>
    </row>
    <row r="9285" hidden="1">
      <c r="A9285" s="7"/>
      <c r="B9285" s="7"/>
      <c r="C9285" s="7"/>
      <c r="D9285" s="7"/>
      <c r="E9285" s="7"/>
      <c r="F9285" s="7"/>
      <c r="G9285" s="7"/>
      <c r="H9285" s="8"/>
      <c r="I9285" s="8"/>
      <c r="J9285" s="7"/>
      <c r="K9285" s="7"/>
      <c r="L9285" s="7"/>
      <c r="M9285" s="7"/>
      <c r="N9285" s="7"/>
      <c r="O9285" s="7"/>
      <c r="P9285" s="7"/>
      <c r="Q9285" s="7"/>
      <c r="R9285" s="7"/>
      <c r="S9285" s="7"/>
      <c r="T9285" s="7"/>
      <c r="U9285" s="7"/>
      <c r="V9285" s="7"/>
      <c r="W9285" s="7"/>
      <c r="X9285" s="7"/>
      <c r="Y9285" s="7"/>
      <c r="Z9285" s="7"/>
    </row>
    <row r="9286" hidden="1">
      <c r="A9286" s="7"/>
      <c r="B9286" s="7"/>
      <c r="C9286" s="7"/>
      <c r="D9286" s="7"/>
      <c r="E9286" s="7"/>
      <c r="F9286" s="7"/>
      <c r="G9286" s="7"/>
      <c r="H9286" s="8"/>
      <c r="I9286" s="8"/>
      <c r="J9286" s="7"/>
      <c r="K9286" s="7"/>
      <c r="L9286" s="7"/>
      <c r="M9286" s="7"/>
      <c r="N9286" s="7"/>
      <c r="O9286" s="7"/>
      <c r="P9286" s="7"/>
      <c r="Q9286" s="7"/>
      <c r="R9286" s="7"/>
      <c r="S9286" s="7"/>
      <c r="T9286" s="7"/>
      <c r="U9286" s="7"/>
      <c r="V9286" s="7"/>
      <c r="W9286" s="7"/>
      <c r="X9286" s="7"/>
      <c r="Y9286" s="7"/>
      <c r="Z9286" s="7"/>
    </row>
    <row r="9287" hidden="1">
      <c r="A9287" s="7"/>
      <c r="B9287" s="7"/>
      <c r="C9287" s="7"/>
      <c r="D9287" s="7"/>
      <c r="E9287" s="7"/>
      <c r="F9287" s="7"/>
      <c r="G9287" s="7"/>
      <c r="H9287" s="8"/>
      <c r="I9287" s="8"/>
      <c r="J9287" s="7"/>
      <c r="K9287" s="7"/>
      <c r="L9287" s="7"/>
      <c r="M9287" s="7"/>
      <c r="N9287" s="7"/>
      <c r="O9287" s="7"/>
      <c r="P9287" s="7"/>
      <c r="Q9287" s="7"/>
      <c r="R9287" s="7"/>
      <c r="S9287" s="7"/>
      <c r="T9287" s="7"/>
      <c r="U9287" s="7"/>
      <c r="V9287" s="7"/>
      <c r="W9287" s="7"/>
      <c r="X9287" s="7"/>
      <c r="Y9287" s="7"/>
      <c r="Z9287" s="7"/>
    </row>
    <row r="9288" hidden="1">
      <c r="A9288" s="7"/>
      <c r="B9288" s="7"/>
      <c r="C9288" s="7"/>
      <c r="D9288" s="7"/>
      <c r="E9288" s="7"/>
      <c r="F9288" s="7"/>
      <c r="G9288" s="7"/>
      <c r="H9288" s="8"/>
      <c r="I9288" s="8"/>
      <c r="J9288" s="7"/>
      <c r="K9288" s="7"/>
      <c r="L9288" s="7"/>
      <c r="M9288" s="7"/>
      <c r="N9288" s="7"/>
      <c r="O9288" s="7"/>
      <c r="P9288" s="7"/>
      <c r="Q9288" s="7"/>
      <c r="R9288" s="7"/>
      <c r="S9288" s="7"/>
      <c r="T9288" s="7"/>
      <c r="U9288" s="7"/>
      <c r="V9288" s="7"/>
      <c r="W9288" s="7"/>
      <c r="X9288" s="7"/>
      <c r="Y9288" s="7"/>
      <c r="Z9288" s="7"/>
    </row>
    <row r="9289" hidden="1">
      <c r="A9289" s="7"/>
      <c r="B9289" s="7"/>
      <c r="C9289" s="7"/>
      <c r="D9289" s="7"/>
      <c r="E9289" s="7"/>
      <c r="F9289" s="7"/>
      <c r="G9289" s="7"/>
      <c r="H9289" s="8"/>
      <c r="I9289" s="8"/>
      <c r="J9289" s="7"/>
      <c r="K9289" s="7"/>
      <c r="L9289" s="7"/>
      <c r="M9289" s="7"/>
      <c r="N9289" s="7"/>
      <c r="O9289" s="7"/>
      <c r="P9289" s="7"/>
      <c r="Q9289" s="7"/>
      <c r="R9289" s="7"/>
      <c r="S9289" s="7"/>
      <c r="T9289" s="7"/>
      <c r="U9289" s="7"/>
      <c r="V9289" s="7"/>
      <c r="W9289" s="7"/>
      <c r="X9289" s="7"/>
      <c r="Y9289" s="7"/>
      <c r="Z9289" s="7"/>
    </row>
    <row r="9290" hidden="1">
      <c r="A9290" s="7"/>
      <c r="B9290" s="7"/>
      <c r="C9290" s="7"/>
      <c r="D9290" s="7"/>
      <c r="E9290" s="7"/>
      <c r="F9290" s="7"/>
      <c r="G9290" s="7"/>
      <c r="H9290" s="8"/>
      <c r="I9290" s="8"/>
      <c r="J9290" s="7"/>
      <c r="K9290" s="7"/>
      <c r="L9290" s="7"/>
      <c r="M9290" s="7"/>
      <c r="N9290" s="7"/>
      <c r="O9290" s="7"/>
      <c r="P9290" s="7"/>
      <c r="Q9290" s="7"/>
      <c r="R9290" s="7"/>
      <c r="S9290" s="7"/>
      <c r="T9290" s="7"/>
      <c r="U9290" s="7"/>
      <c r="V9290" s="7"/>
      <c r="W9290" s="7"/>
      <c r="X9290" s="7"/>
      <c r="Y9290" s="7"/>
      <c r="Z9290" s="7"/>
    </row>
    <row r="9291" hidden="1">
      <c r="A9291" s="7"/>
      <c r="B9291" s="7"/>
      <c r="C9291" s="7"/>
      <c r="D9291" s="7"/>
      <c r="E9291" s="7"/>
      <c r="F9291" s="7"/>
      <c r="G9291" s="7"/>
      <c r="H9291" s="8"/>
      <c r="I9291" s="8"/>
      <c r="J9291" s="7"/>
      <c r="K9291" s="7"/>
      <c r="L9291" s="7"/>
      <c r="M9291" s="7"/>
      <c r="N9291" s="7"/>
      <c r="O9291" s="7"/>
      <c r="P9291" s="7"/>
      <c r="Q9291" s="7"/>
      <c r="R9291" s="7"/>
      <c r="S9291" s="7"/>
      <c r="T9291" s="7"/>
      <c r="U9291" s="7"/>
      <c r="V9291" s="7"/>
      <c r="W9291" s="7"/>
      <c r="X9291" s="7"/>
      <c r="Y9291" s="7"/>
      <c r="Z9291" s="7"/>
    </row>
    <row r="9292" hidden="1">
      <c r="A9292" s="7"/>
      <c r="B9292" s="7"/>
      <c r="C9292" s="7"/>
      <c r="D9292" s="7"/>
      <c r="E9292" s="7"/>
      <c r="F9292" s="7"/>
      <c r="G9292" s="7"/>
      <c r="H9292" s="8"/>
      <c r="I9292" s="8"/>
      <c r="J9292" s="7"/>
      <c r="K9292" s="7"/>
      <c r="L9292" s="7"/>
      <c r="M9292" s="7"/>
      <c r="N9292" s="7"/>
      <c r="O9292" s="7"/>
      <c r="P9292" s="7"/>
      <c r="Q9292" s="7"/>
      <c r="R9292" s="7"/>
      <c r="S9292" s="7"/>
      <c r="T9292" s="7"/>
      <c r="U9292" s="7"/>
      <c r="V9292" s="7"/>
      <c r="W9292" s="7"/>
      <c r="X9292" s="7"/>
      <c r="Y9292" s="7"/>
      <c r="Z9292" s="7"/>
    </row>
    <row r="9293" hidden="1">
      <c r="A9293" s="7"/>
      <c r="B9293" s="7"/>
      <c r="C9293" s="7"/>
      <c r="D9293" s="7"/>
      <c r="E9293" s="7"/>
      <c r="F9293" s="7"/>
      <c r="G9293" s="7"/>
      <c r="H9293" s="8"/>
      <c r="I9293" s="8"/>
      <c r="J9293" s="7"/>
      <c r="K9293" s="7"/>
      <c r="L9293" s="7"/>
      <c r="M9293" s="7"/>
      <c r="N9293" s="7"/>
      <c r="O9293" s="7"/>
      <c r="P9293" s="7"/>
      <c r="Q9293" s="7"/>
      <c r="R9293" s="7"/>
      <c r="S9293" s="7"/>
      <c r="T9293" s="7"/>
      <c r="U9293" s="7"/>
      <c r="V9293" s="7"/>
      <c r="W9293" s="7"/>
      <c r="X9293" s="7"/>
      <c r="Y9293" s="7"/>
      <c r="Z9293" s="7"/>
    </row>
    <row r="9294" hidden="1">
      <c r="A9294" s="7"/>
      <c r="B9294" s="7"/>
      <c r="C9294" s="7"/>
      <c r="D9294" s="7"/>
      <c r="E9294" s="7"/>
      <c r="F9294" s="7"/>
      <c r="G9294" s="7"/>
      <c r="H9294" s="8"/>
      <c r="I9294" s="8"/>
      <c r="J9294" s="7"/>
      <c r="K9294" s="7"/>
      <c r="L9294" s="7"/>
      <c r="M9294" s="7"/>
      <c r="N9294" s="7"/>
      <c r="O9294" s="7"/>
      <c r="P9294" s="7"/>
      <c r="Q9294" s="7"/>
      <c r="R9294" s="7"/>
      <c r="S9294" s="7"/>
      <c r="T9294" s="7"/>
      <c r="U9294" s="7"/>
      <c r="V9294" s="7"/>
      <c r="W9294" s="7"/>
      <c r="X9294" s="7"/>
      <c r="Y9294" s="7"/>
      <c r="Z9294" s="7"/>
    </row>
    <row r="9295" hidden="1">
      <c r="A9295" s="7"/>
      <c r="B9295" s="7"/>
      <c r="C9295" s="7"/>
      <c r="D9295" s="7"/>
      <c r="E9295" s="7"/>
      <c r="F9295" s="7"/>
      <c r="G9295" s="7"/>
      <c r="H9295" s="8"/>
      <c r="I9295" s="8"/>
      <c r="J9295" s="7"/>
      <c r="K9295" s="7"/>
      <c r="L9295" s="7"/>
      <c r="M9295" s="7"/>
      <c r="N9295" s="7"/>
      <c r="O9295" s="7"/>
      <c r="P9295" s="7"/>
      <c r="Q9295" s="7"/>
      <c r="R9295" s="7"/>
      <c r="S9295" s="7"/>
      <c r="T9295" s="7"/>
      <c r="U9295" s="7"/>
      <c r="V9295" s="7"/>
      <c r="W9295" s="7"/>
      <c r="X9295" s="7"/>
      <c r="Y9295" s="7"/>
      <c r="Z9295" s="7"/>
    </row>
    <row r="9296" hidden="1">
      <c r="A9296" s="7"/>
      <c r="B9296" s="7"/>
      <c r="C9296" s="7"/>
      <c r="D9296" s="7"/>
      <c r="E9296" s="7"/>
      <c r="F9296" s="7"/>
      <c r="G9296" s="7"/>
      <c r="H9296" s="8"/>
      <c r="I9296" s="8"/>
      <c r="J9296" s="7"/>
      <c r="K9296" s="7"/>
      <c r="L9296" s="7"/>
      <c r="M9296" s="7"/>
      <c r="N9296" s="7"/>
      <c r="O9296" s="7"/>
      <c r="P9296" s="7"/>
      <c r="Q9296" s="7"/>
      <c r="R9296" s="7"/>
      <c r="S9296" s="7"/>
      <c r="T9296" s="7"/>
      <c r="U9296" s="7"/>
      <c r="V9296" s="7"/>
      <c r="W9296" s="7"/>
      <c r="X9296" s="7"/>
      <c r="Y9296" s="7"/>
      <c r="Z9296" s="7"/>
    </row>
    <row r="9297" hidden="1">
      <c r="A9297" s="7"/>
      <c r="B9297" s="7"/>
      <c r="C9297" s="7"/>
      <c r="D9297" s="7"/>
      <c r="E9297" s="7"/>
      <c r="F9297" s="7"/>
      <c r="G9297" s="7"/>
      <c r="H9297" s="8"/>
      <c r="I9297" s="8"/>
      <c r="J9297" s="7"/>
      <c r="K9297" s="7"/>
      <c r="L9297" s="7"/>
      <c r="M9297" s="7"/>
      <c r="N9297" s="7"/>
      <c r="O9297" s="7"/>
      <c r="P9297" s="7"/>
      <c r="Q9297" s="7"/>
      <c r="R9297" s="7"/>
      <c r="S9297" s="7"/>
      <c r="T9297" s="7"/>
      <c r="U9297" s="7"/>
      <c r="V9297" s="7"/>
      <c r="W9297" s="7"/>
      <c r="X9297" s="7"/>
      <c r="Y9297" s="7"/>
      <c r="Z9297" s="7"/>
    </row>
    <row r="9298" hidden="1">
      <c r="A9298" s="7"/>
      <c r="B9298" s="7"/>
      <c r="C9298" s="7"/>
      <c r="D9298" s="7"/>
      <c r="E9298" s="7"/>
      <c r="F9298" s="7"/>
      <c r="G9298" s="7"/>
      <c r="H9298" s="8"/>
      <c r="I9298" s="8"/>
      <c r="J9298" s="7"/>
      <c r="K9298" s="7"/>
      <c r="L9298" s="7"/>
      <c r="M9298" s="7"/>
      <c r="N9298" s="7"/>
      <c r="O9298" s="7"/>
      <c r="P9298" s="7"/>
      <c r="Q9298" s="7"/>
      <c r="R9298" s="7"/>
      <c r="S9298" s="7"/>
      <c r="T9298" s="7"/>
      <c r="U9298" s="7"/>
      <c r="V9298" s="7"/>
      <c r="W9298" s="7"/>
      <c r="X9298" s="7"/>
      <c r="Y9298" s="7"/>
      <c r="Z9298" s="7"/>
    </row>
    <row r="9299" hidden="1">
      <c r="A9299" s="7"/>
      <c r="B9299" s="7"/>
      <c r="C9299" s="7"/>
      <c r="D9299" s="7"/>
      <c r="E9299" s="7"/>
      <c r="F9299" s="7"/>
      <c r="G9299" s="7"/>
      <c r="H9299" s="8"/>
      <c r="I9299" s="8"/>
      <c r="J9299" s="7"/>
      <c r="K9299" s="7"/>
      <c r="L9299" s="7"/>
      <c r="M9299" s="7"/>
      <c r="N9299" s="7"/>
      <c r="O9299" s="7"/>
      <c r="P9299" s="7"/>
      <c r="Q9299" s="7"/>
      <c r="R9299" s="7"/>
      <c r="S9299" s="7"/>
      <c r="T9299" s="7"/>
      <c r="U9299" s="7"/>
      <c r="V9299" s="7"/>
      <c r="W9299" s="7"/>
      <c r="X9299" s="7"/>
      <c r="Y9299" s="7"/>
      <c r="Z9299" s="7"/>
    </row>
    <row r="9300" hidden="1">
      <c r="A9300" s="7"/>
      <c r="B9300" s="7"/>
      <c r="C9300" s="7"/>
      <c r="D9300" s="7"/>
      <c r="E9300" s="7"/>
      <c r="F9300" s="7"/>
      <c r="G9300" s="7"/>
      <c r="H9300" s="8"/>
      <c r="I9300" s="8"/>
      <c r="J9300" s="7"/>
      <c r="K9300" s="7"/>
      <c r="L9300" s="7"/>
      <c r="M9300" s="7"/>
      <c r="N9300" s="7"/>
      <c r="O9300" s="7"/>
      <c r="P9300" s="7"/>
      <c r="Q9300" s="7"/>
      <c r="R9300" s="7"/>
      <c r="S9300" s="7"/>
      <c r="T9300" s="7"/>
      <c r="U9300" s="7"/>
      <c r="V9300" s="7"/>
      <c r="W9300" s="7"/>
      <c r="X9300" s="7"/>
      <c r="Y9300" s="7"/>
      <c r="Z9300" s="7"/>
    </row>
    <row r="9301" hidden="1">
      <c r="A9301" s="7"/>
      <c r="B9301" s="7"/>
      <c r="C9301" s="7"/>
      <c r="D9301" s="7"/>
      <c r="E9301" s="7"/>
      <c r="F9301" s="7"/>
      <c r="G9301" s="7"/>
      <c r="H9301" s="8"/>
      <c r="I9301" s="8"/>
      <c r="J9301" s="7"/>
      <c r="K9301" s="7"/>
      <c r="L9301" s="7"/>
      <c r="M9301" s="7"/>
      <c r="N9301" s="7"/>
      <c r="O9301" s="7"/>
      <c r="P9301" s="7"/>
      <c r="Q9301" s="7"/>
      <c r="R9301" s="7"/>
      <c r="S9301" s="7"/>
      <c r="T9301" s="7"/>
      <c r="U9301" s="7"/>
      <c r="V9301" s="7"/>
      <c r="W9301" s="7"/>
      <c r="X9301" s="7"/>
      <c r="Y9301" s="7"/>
      <c r="Z9301" s="7"/>
    </row>
    <row r="9302" hidden="1">
      <c r="A9302" s="7"/>
      <c r="B9302" s="7"/>
      <c r="C9302" s="7"/>
      <c r="D9302" s="7"/>
      <c r="E9302" s="7"/>
      <c r="F9302" s="7"/>
      <c r="G9302" s="7"/>
      <c r="H9302" s="8"/>
      <c r="I9302" s="8"/>
      <c r="J9302" s="7"/>
      <c r="K9302" s="7"/>
      <c r="L9302" s="7"/>
      <c r="M9302" s="7"/>
      <c r="N9302" s="7"/>
      <c r="O9302" s="7"/>
      <c r="P9302" s="7"/>
      <c r="Q9302" s="7"/>
      <c r="R9302" s="7"/>
      <c r="S9302" s="7"/>
      <c r="T9302" s="7"/>
      <c r="U9302" s="7"/>
      <c r="V9302" s="7"/>
      <c r="W9302" s="7"/>
      <c r="X9302" s="7"/>
      <c r="Y9302" s="7"/>
      <c r="Z9302" s="7"/>
    </row>
    <row r="9303" hidden="1">
      <c r="A9303" s="7"/>
      <c r="B9303" s="7"/>
      <c r="C9303" s="7"/>
      <c r="D9303" s="7"/>
      <c r="E9303" s="7"/>
      <c r="F9303" s="7"/>
      <c r="G9303" s="7"/>
      <c r="H9303" s="8"/>
      <c r="I9303" s="8"/>
      <c r="J9303" s="7"/>
      <c r="K9303" s="7"/>
      <c r="L9303" s="7"/>
      <c r="M9303" s="7"/>
      <c r="N9303" s="7"/>
      <c r="O9303" s="7"/>
      <c r="P9303" s="7"/>
      <c r="Q9303" s="7"/>
      <c r="R9303" s="7"/>
      <c r="S9303" s="7"/>
      <c r="T9303" s="7"/>
      <c r="U9303" s="7"/>
      <c r="V9303" s="7"/>
      <c r="W9303" s="7"/>
      <c r="X9303" s="7"/>
      <c r="Y9303" s="7"/>
      <c r="Z9303" s="7"/>
    </row>
    <row r="9304" hidden="1">
      <c r="A9304" s="7"/>
      <c r="B9304" s="7"/>
      <c r="C9304" s="7"/>
      <c r="D9304" s="7"/>
      <c r="E9304" s="7"/>
      <c r="F9304" s="7"/>
      <c r="G9304" s="7"/>
      <c r="H9304" s="8"/>
      <c r="I9304" s="8"/>
      <c r="J9304" s="7"/>
      <c r="K9304" s="7"/>
      <c r="L9304" s="7"/>
      <c r="M9304" s="7"/>
      <c r="N9304" s="7"/>
      <c r="O9304" s="7"/>
      <c r="P9304" s="7"/>
      <c r="Q9304" s="7"/>
      <c r="R9304" s="7"/>
      <c r="S9304" s="7"/>
      <c r="T9304" s="7"/>
      <c r="U9304" s="7"/>
      <c r="V9304" s="7"/>
      <c r="W9304" s="7"/>
      <c r="X9304" s="7"/>
      <c r="Y9304" s="7"/>
      <c r="Z9304" s="7"/>
    </row>
    <row r="9305" hidden="1">
      <c r="A9305" s="7"/>
      <c r="B9305" s="7"/>
      <c r="C9305" s="7"/>
      <c r="D9305" s="7"/>
      <c r="E9305" s="7"/>
      <c r="F9305" s="7"/>
      <c r="G9305" s="7"/>
      <c r="H9305" s="8"/>
      <c r="I9305" s="8"/>
      <c r="J9305" s="7"/>
      <c r="K9305" s="7"/>
      <c r="L9305" s="7"/>
      <c r="M9305" s="7"/>
      <c r="N9305" s="7"/>
      <c r="O9305" s="7"/>
      <c r="P9305" s="7"/>
      <c r="Q9305" s="7"/>
      <c r="R9305" s="7"/>
      <c r="S9305" s="7"/>
      <c r="T9305" s="7"/>
      <c r="U9305" s="7"/>
      <c r="V9305" s="7"/>
      <c r="W9305" s="7"/>
      <c r="X9305" s="7"/>
      <c r="Y9305" s="7"/>
      <c r="Z9305" s="7"/>
    </row>
    <row r="9306" hidden="1">
      <c r="A9306" s="7"/>
      <c r="B9306" s="7"/>
      <c r="C9306" s="7"/>
      <c r="D9306" s="7"/>
      <c r="E9306" s="7"/>
      <c r="F9306" s="7"/>
      <c r="G9306" s="7"/>
      <c r="H9306" s="8"/>
      <c r="I9306" s="8"/>
      <c r="J9306" s="7"/>
      <c r="K9306" s="7"/>
      <c r="L9306" s="7"/>
      <c r="M9306" s="7"/>
      <c r="N9306" s="7"/>
      <c r="O9306" s="7"/>
      <c r="P9306" s="7"/>
      <c r="Q9306" s="7"/>
      <c r="R9306" s="7"/>
      <c r="S9306" s="7"/>
      <c r="T9306" s="7"/>
      <c r="U9306" s="7"/>
      <c r="V9306" s="7"/>
      <c r="W9306" s="7"/>
      <c r="X9306" s="7"/>
      <c r="Y9306" s="7"/>
      <c r="Z9306" s="7"/>
    </row>
    <row r="9307" hidden="1">
      <c r="A9307" s="7"/>
      <c r="B9307" s="7"/>
      <c r="C9307" s="7"/>
      <c r="D9307" s="7"/>
      <c r="E9307" s="7"/>
      <c r="F9307" s="7"/>
      <c r="G9307" s="7"/>
      <c r="H9307" s="8"/>
      <c r="I9307" s="8"/>
      <c r="J9307" s="7"/>
      <c r="K9307" s="7"/>
      <c r="L9307" s="7"/>
      <c r="M9307" s="7"/>
      <c r="N9307" s="7"/>
      <c r="O9307" s="7"/>
      <c r="P9307" s="7"/>
      <c r="Q9307" s="7"/>
      <c r="R9307" s="7"/>
      <c r="S9307" s="7"/>
      <c r="T9307" s="7"/>
      <c r="U9307" s="7"/>
      <c r="V9307" s="7"/>
      <c r="W9307" s="7"/>
      <c r="X9307" s="7"/>
      <c r="Y9307" s="7"/>
      <c r="Z9307" s="7"/>
    </row>
    <row r="9308" hidden="1">
      <c r="A9308" s="7"/>
      <c r="B9308" s="7"/>
      <c r="C9308" s="7"/>
      <c r="D9308" s="7"/>
      <c r="E9308" s="7"/>
      <c r="F9308" s="7"/>
      <c r="G9308" s="7"/>
      <c r="H9308" s="8"/>
      <c r="I9308" s="8"/>
      <c r="J9308" s="7"/>
      <c r="K9308" s="7"/>
      <c r="L9308" s="7"/>
      <c r="M9308" s="7"/>
      <c r="N9308" s="7"/>
      <c r="O9308" s="7"/>
      <c r="P9308" s="7"/>
      <c r="Q9308" s="7"/>
      <c r="R9308" s="7"/>
      <c r="S9308" s="7"/>
      <c r="T9308" s="7"/>
      <c r="U9308" s="7"/>
      <c r="V9308" s="7"/>
      <c r="W9308" s="7"/>
      <c r="X9308" s="7"/>
      <c r="Y9308" s="7"/>
      <c r="Z9308" s="7"/>
    </row>
    <row r="9309" hidden="1">
      <c r="A9309" s="7"/>
      <c r="B9309" s="7"/>
      <c r="C9309" s="7"/>
      <c r="D9309" s="7"/>
      <c r="E9309" s="7"/>
      <c r="F9309" s="7"/>
      <c r="G9309" s="7"/>
      <c r="H9309" s="8"/>
      <c r="I9309" s="8"/>
      <c r="J9309" s="7"/>
      <c r="K9309" s="7"/>
      <c r="L9309" s="7"/>
      <c r="M9309" s="7"/>
      <c r="N9309" s="7"/>
      <c r="O9309" s="7"/>
      <c r="P9309" s="7"/>
      <c r="Q9309" s="7"/>
      <c r="R9309" s="7"/>
      <c r="S9309" s="7"/>
      <c r="T9309" s="7"/>
      <c r="U9309" s="7"/>
      <c r="V9309" s="7"/>
      <c r="W9309" s="7"/>
      <c r="X9309" s="7"/>
      <c r="Y9309" s="7"/>
      <c r="Z9309" s="7"/>
    </row>
    <row r="9310" hidden="1">
      <c r="A9310" s="7"/>
      <c r="B9310" s="7"/>
      <c r="C9310" s="7"/>
      <c r="D9310" s="7"/>
      <c r="E9310" s="7"/>
      <c r="F9310" s="7"/>
      <c r="G9310" s="7"/>
      <c r="H9310" s="8"/>
      <c r="I9310" s="8"/>
      <c r="J9310" s="7"/>
      <c r="K9310" s="7"/>
      <c r="L9310" s="7"/>
      <c r="M9310" s="7"/>
      <c r="N9310" s="7"/>
      <c r="O9310" s="7"/>
      <c r="P9310" s="7"/>
      <c r="Q9310" s="7"/>
      <c r="R9310" s="7"/>
      <c r="S9310" s="7"/>
      <c r="T9310" s="7"/>
      <c r="U9310" s="7"/>
      <c r="V9310" s="7"/>
      <c r="W9310" s="7"/>
      <c r="X9310" s="7"/>
      <c r="Y9310" s="7"/>
      <c r="Z9310" s="7"/>
    </row>
    <row r="9311" hidden="1">
      <c r="A9311" s="7"/>
      <c r="B9311" s="7"/>
      <c r="C9311" s="7"/>
      <c r="D9311" s="7"/>
      <c r="E9311" s="7"/>
      <c r="F9311" s="7"/>
      <c r="G9311" s="7"/>
      <c r="H9311" s="8"/>
      <c r="I9311" s="8"/>
      <c r="J9311" s="7"/>
      <c r="K9311" s="7"/>
      <c r="L9311" s="7"/>
      <c r="M9311" s="7"/>
      <c r="N9311" s="7"/>
      <c r="O9311" s="7"/>
      <c r="P9311" s="7"/>
      <c r="Q9311" s="7"/>
      <c r="R9311" s="7"/>
      <c r="S9311" s="7"/>
      <c r="T9311" s="7"/>
      <c r="U9311" s="7"/>
      <c r="V9311" s="7"/>
      <c r="W9311" s="7"/>
      <c r="X9311" s="7"/>
      <c r="Y9311" s="7"/>
      <c r="Z9311" s="7"/>
    </row>
    <row r="9312" hidden="1">
      <c r="A9312" s="7"/>
      <c r="B9312" s="7"/>
      <c r="C9312" s="7"/>
      <c r="D9312" s="7"/>
      <c r="E9312" s="7"/>
      <c r="F9312" s="7"/>
      <c r="G9312" s="7"/>
      <c r="H9312" s="8"/>
      <c r="I9312" s="8"/>
      <c r="J9312" s="7"/>
      <c r="K9312" s="7"/>
      <c r="L9312" s="7"/>
      <c r="M9312" s="7"/>
      <c r="N9312" s="7"/>
      <c r="O9312" s="7"/>
      <c r="P9312" s="7"/>
      <c r="Q9312" s="7"/>
      <c r="R9312" s="7"/>
      <c r="S9312" s="7"/>
      <c r="T9312" s="7"/>
      <c r="U9312" s="7"/>
      <c r="V9312" s="7"/>
      <c r="W9312" s="7"/>
      <c r="X9312" s="7"/>
      <c r="Y9312" s="7"/>
      <c r="Z9312" s="7"/>
    </row>
    <row r="9313" hidden="1">
      <c r="A9313" s="7"/>
      <c r="B9313" s="7"/>
      <c r="C9313" s="7"/>
      <c r="D9313" s="7"/>
      <c r="E9313" s="7"/>
      <c r="F9313" s="7"/>
      <c r="G9313" s="7"/>
      <c r="H9313" s="8"/>
      <c r="I9313" s="8"/>
      <c r="J9313" s="7"/>
      <c r="K9313" s="7"/>
      <c r="L9313" s="7"/>
      <c r="M9313" s="7"/>
      <c r="N9313" s="7"/>
      <c r="O9313" s="7"/>
      <c r="P9313" s="7"/>
      <c r="Q9313" s="7"/>
      <c r="R9313" s="7"/>
      <c r="S9313" s="7"/>
      <c r="T9313" s="7"/>
      <c r="U9313" s="7"/>
      <c r="V9313" s="7"/>
      <c r="W9313" s="7"/>
      <c r="X9313" s="7"/>
      <c r="Y9313" s="7"/>
      <c r="Z9313" s="7"/>
    </row>
    <row r="9314" hidden="1">
      <c r="A9314" s="7"/>
      <c r="B9314" s="7"/>
      <c r="C9314" s="7"/>
      <c r="D9314" s="7"/>
      <c r="E9314" s="7"/>
      <c r="F9314" s="7"/>
      <c r="G9314" s="7"/>
      <c r="H9314" s="8"/>
      <c r="I9314" s="8"/>
      <c r="J9314" s="7"/>
      <c r="K9314" s="7"/>
      <c r="L9314" s="7"/>
      <c r="M9314" s="7"/>
      <c r="N9314" s="7"/>
      <c r="O9314" s="7"/>
      <c r="P9314" s="7"/>
      <c r="Q9314" s="7"/>
      <c r="R9314" s="7"/>
      <c r="S9314" s="7"/>
      <c r="T9314" s="7"/>
      <c r="U9314" s="7"/>
      <c r="V9314" s="7"/>
      <c r="W9314" s="7"/>
      <c r="X9314" s="7"/>
      <c r="Y9314" s="7"/>
      <c r="Z9314" s="7"/>
    </row>
    <row r="9315" hidden="1">
      <c r="A9315" s="7"/>
      <c r="B9315" s="7"/>
      <c r="C9315" s="7"/>
      <c r="D9315" s="7"/>
      <c r="E9315" s="7"/>
      <c r="F9315" s="7"/>
      <c r="G9315" s="7"/>
      <c r="H9315" s="8"/>
      <c r="I9315" s="8"/>
      <c r="J9315" s="7"/>
      <c r="K9315" s="7"/>
      <c r="L9315" s="7"/>
      <c r="M9315" s="7"/>
      <c r="N9315" s="7"/>
      <c r="O9315" s="7"/>
      <c r="P9315" s="7"/>
      <c r="Q9315" s="7"/>
      <c r="R9315" s="7"/>
      <c r="S9315" s="7"/>
      <c r="T9315" s="7"/>
      <c r="U9315" s="7"/>
      <c r="V9315" s="7"/>
      <c r="W9315" s="7"/>
      <c r="X9315" s="7"/>
      <c r="Y9315" s="7"/>
      <c r="Z9315" s="7"/>
    </row>
    <row r="9316" hidden="1">
      <c r="A9316" s="7"/>
      <c r="B9316" s="7"/>
      <c r="C9316" s="7"/>
      <c r="D9316" s="7"/>
      <c r="E9316" s="7"/>
      <c r="F9316" s="7"/>
      <c r="G9316" s="7"/>
      <c r="H9316" s="8"/>
      <c r="I9316" s="8"/>
      <c r="J9316" s="7"/>
      <c r="K9316" s="7"/>
      <c r="L9316" s="7"/>
      <c r="M9316" s="7"/>
      <c r="N9316" s="7"/>
      <c r="O9316" s="7"/>
      <c r="P9316" s="7"/>
      <c r="Q9316" s="7"/>
      <c r="R9316" s="7"/>
      <c r="S9316" s="7"/>
      <c r="T9316" s="7"/>
      <c r="U9316" s="7"/>
      <c r="V9316" s="7"/>
      <c r="W9316" s="7"/>
      <c r="X9316" s="7"/>
      <c r="Y9316" s="7"/>
      <c r="Z9316" s="7"/>
    </row>
    <row r="9317" hidden="1">
      <c r="A9317" s="7"/>
      <c r="B9317" s="7"/>
      <c r="C9317" s="7"/>
      <c r="D9317" s="7"/>
      <c r="E9317" s="7"/>
      <c r="F9317" s="7"/>
      <c r="G9317" s="7"/>
      <c r="H9317" s="8"/>
      <c r="I9317" s="8"/>
      <c r="J9317" s="7"/>
      <c r="K9317" s="7"/>
      <c r="L9317" s="7"/>
      <c r="M9317" s="7"/>
      <c r="N9317" s="7"/>
      <c r="O9317" s="7"/>
      <c r="P9317" s="7"/>
      <c r="Q9317" s="7"/>
      <c r="R9317" s="7"/>
      <c r="S9317" s="7"/>
      <c r="T9317" s="7"/>
      <c r="U9317" s="7"/>
      <c r="V9317" s="7"/>
      <c r="W9317" s="7"/>
      <c r="X9317" s="7"/>
      <c r="Y9317" s="7"/>
      <c r="Z9317" s="7"/>
    </row>
    <row r="9318" hidden="1">
      <c r="A9318" s="7"/>
      <c r="B9318" s="7"/>
      <c r="C9318" s="7"/>
      <c r="D9318" s="7"/>
      <c r="E9318" s="7"/>
      <c r="F9318" s="7"/>
      <c r="G9318" s="7"/>
      <c r="H9318" s="8"/>
      <c r="I9318" s="8"/>
      <c r="J9318" s="7"/>
      <c r="K9318" s="7"/>
      <c r="L9318" s="7"/>
      <c r="M9318" s="7"/>
      <c r="N9318" s="7"/>
      <c r="O9318" s="7"/>
      <c r="P9318" s="7"/>
      <c r="Q9318" s="7"/>
      <c r="R9318" s="7"/>
      <c r="S9318" s="7"/>
      <c r="T9318" s="7"/>
      <c r="U9318" s="7"/>
      <c r="V9318" s="7"/>
      <c r="W9318" s="7"/>
      <c r="X9318" s="7"/>
      <c r="Y9318" s="7"/>
      <c r="Z9318" s="7"/>
    </row>
    <row r="9319" hidden="1">
      <c r="A9319" s="7"/>
      <c r="B9319" s="7"/>
      <c r="C9319" s="7"/>
      <c r="D9319" s="7"/>
      <c r="E9319" s="7"/>
      <c r="F9319" s="7"/>
      <c r="G9319" s="7"/>
      <c r="H9319" s="8"/>
      <c r="I9319" s="8"/>
      <c r="J9319" s="7"/>
      <c r="K9319" s="7"/>
      <c r="L9319" s="7"/>
      <c r="M9319" s="7"/>
      <c r="N9319" s="7"/>
      <c r="O9319" s="7"/>
      <c r="P9319" s="7"/>
      <c r="Q9319" s="7"/>
      <c r="R9319" s="7"/>
      <c r="S9319" s="7"/>
      <c r="T9319" s="7"/>
      <c r="U9319" s="7"/>
      <c r="V9319" s="7"/>
      <c r="W9319" s="7"/>
      <c r="X9319" s="7"/>
      <c r="Y9319" s="7"/>
      <c r="Z9319" s="7"/>
    </row>
    <row r="9320" hidden="1">
      <c r="A9320" s="7"/>
      <c r="B9320" s="7"/>
      <c r="C9320" s="7"/>
      <c r="D9320" s="7"/>
      <c r="E9320" s="7"/>
      <c r="F9320" s="7"/>
      <c r="G9320" s="7"/>
      <c r="H9320" s="8"/>
      <c r="I9320" s="8"/>
      <c r="J9320" s="7"/>
      <c r="K9320" s="7"/>
      <c r="L9320" s="7"/>
      <c r="M9320" s="7"/>
      <c r="N9320" s="7"/>
      <c r="O9320" s="7"/>
      <c r="P9320" s="7"/>
      <c r="Q9320" s="7"/>
      <c r="R9320" s="7"/>
      <c r="S9320" s="7"/>
      <c r="T9320" s="7"/>
      <c r="U9320" s="7"/>
      <c r="V9320" s="7"/>
      <c r="W9320" s="7"/>
      <c r="X9320" s="7"/>
      <c r="Y9320" s="7"/>
      <c r="Z9320" s="7"/>
    </row>
    <row r="9321" hidden="1">
      <c r="A9321" s="7"/>
      <c r="B9321" s="7"/>
      <c r="C9321" s="7"/>
      <c r="D9321" s="7"/>
      <c r="E9321" s="7"/>
      <c r="F9321" s="7"/>
      <c r="G9321" s="7"/>
      <c r="H9321" s="8"/>
      <c r="I9321" s="8"/>
      <c r="J9321" s="7"/>
      <c r="K9321" s="7"/>
      <c r="L9321" s="7"/>
      <c r="M9321" s="7"/>
      <c r="N9321" s="7"/>
      <c r="O9321" s="7"/>
      <c r="P9321" s="7"/>
      <c r="Q9321" s="7"/>
      <c r="R9321" s="7"/>
      <c r="S9321" s="7"/>
      <c r="T9321" s="7"/>
      <c r="U9321" s="7"/>
      <c r="V9321" s="7"/>
      <c r="W9321" s="7"/>
      <c r="X9321" s="7"/>
      <c r="Y9321" s="7"/>
      <c r="Z9321" s="7"/>
    </row>
    <row r="9322" hidden="1">
      <c r="A9322" s="7"/>
      <c r="B9322" s="7"/>
      <c r="C9322" s="7"/>
      <c r="D9322" s="7"/>
      <c r="E9322" s="7"/>
      <c r="F9322" s="7"/>
      <c r="G9322" s="7"/>
      <c r="H9322" s="8"/>
      <c r="I9322" s="8"/>
      <c r="J9322" s="7"/>
      <c r="K9322" s="7"/>
      <c r="L9322" s="7"/>
      <c r="M9322" s="7"/>
      <c r="N9322" s="7"/>
      <c r="O9322" s="7"/>
      <c r="P9322" s="7"/>
      <c r="Q9322" s="7"/>
      <c r="R9322" s="7"/>
      <c r="S9322" s="7"/>
      <c r="T9322" s="7"/>
      <c r="U9322" s="7"/>
      <c r="V9322" s="7"/>
      <c r="W9322" s="7"/>
      <c r="X9322" s="7"/>
      <c r="Y9322" s="7"/>
      <c r="Z9322" s="7"/>
    </row>
    <row r="9323" hidden="1">
      <c r="A9323" s="7"/>
      <c r="B9323" s="7"/>
      <c r="C9323" s="7"/>
      <c r="D9323" s="7"/>
      <c r="E9323" s="7"/>
      <c r="F9323" s="7"/>
      <c r="G9323" s="7"/>
      <c r="H9323" s="8"/>
      <c r="I9323" s="8"/>
      <c r="J9323" s="7"/>
      <c r="K9323" s="7"/>
      <c r="L9323" s="7"/>
      <c r="M9323" s="7"/>
      <c r="N9323" s="7"/>
      <c r="O9323" s="7"/>
      <c r="P9323" s="7"/>
      <c r="Q9323" s="7"/>
      <c r="R9323" s="7"/>
      <c r="S9323" s="7"/>
      <c r="T9323" s="7"/>
      <c r="U9323" s="7"/>
      <c r="V9323" s="7"/>
      <c r="W9323" s="7"/>
      <c r="X9323" s="7"/>
      <c r="Y9323" s="7"/>
      <c r="Z9323" s="7"/>
    </row>
    <row r="9324" hidden="1">
      <c r="A9324" s="7"/>
      <c r="B9324" s="7"/>
      <c r="C9324" s="7"/>
      <c r="D9324" s="7"/>
      <c r="E9324" s="7"/>
      <c r="F9324" s="7"/>
      <c r="G9324" s="7"/>
      <c r="H9324" s="8"/>
      <c r="I9324" s="8"/>
      <c r="J9324" s="7"/>
      <c r="K9324" s="7"/>
      <c r="L9324" s="7"/>
      <c r="M9324" s="7"/>
      <c r="N9324" s="7"/>
      <c r="O9324" s="7"/>
      <c r="P9324" s="7"/>
      <c r="Q9324" s="7"/>
      <c r="R9324" s="7"/>
      <c r="S9324" s="7"/>
      <c r="T9324" s="7"/>
      <c r="U9324" s="7"/>
      <c r="V9324" s="7"/>
      <c r="W9324" s="7"/>
      <c r="X9324" s="7"/>
      <c r="Y9324" s="7"/>
      <c r="Z9324" s="7"/>
    </row>
    <row r="9325" hidden="1">
      <c r="A9325" s="7"/>
      <c r="B9325" s="7"/>
      <c r="C9325" s="7"/>
      <c r="D9325" s="7"/>
      <c r="E9325" s="7"/>
      <c r="F9325" s="7"/>
      <c r="G9325" s="7"/>
      <c r="H9325" s="8"/>
      <c r="I9325" s="8"/>
      <c r="J9325" s="7"/>
      <c r="K9325" s="7"/>
      <c r="L9325" s="7"/>
      <c r="M9325" s="7"/>
      <c r="N9325" s="7"/>
      <c r="O9325" s="7"/>
      <c r="P9325" s="7"/>
      <c r="Q9325" s="7"/>
      <c r="R9325" s="7"/>
      <c r="S9325" s="7"/>
      <c r="T9325" s="7"/>
      <c r="U9325" s="7"/>
      <c r="V9325" s="7"/>
      <c r="W9325" s="7"/>
      <c r="X9325" s="7"/>
      <c r="Y9325" s="7"/>
      <c r="Z9325" s="7"/>
    </row>
    <row r="9326" hidden="1">
      <c r="A9326" s="7"/>
      <c r="B9326" s="7"/>
      <c r="C9326" s="7"/>
      <c r="D9326" s="7"/>
      <c r="E9326" s="7"/>
      <c r="F9326" s="7"/>
      <c r="G9326" s="7"/>
      <c r="H9326" s="8"/>
      <c r="I9326" s="8"/>
      <c r="J9326" s="7"/>
      <c r="K9326" s="7"/>
      <c r="L9326" s="7"/>
      <c r="M9326" s="7"/>
      <c r="N9326" s="7"/>
      <c r="O9326" s="7"/>
      <c r="P9326" s="7"/>
      <c r="Q9326" s="7"/>
      <c r="R9326" s="7"/>
      <c r="S9326" s="7"/>
      <c r="T9326" s="7"/>
      <c r="U9326" s="7"/>
      <c r="V9326" s="7"/>
      <c r="W9326" s="7"/>
      <c r="X9326" s="7"/>
      <c r="Y9326" s="7"/>
      <c r="Z9326" s="7"/>
    </row>
    <row r="9327" hidden="1">
      <c r="A9327" s="7"/>
      <c r="B9327" s="7"/>
      <c r="C9327" s="7"/>
      <c r="D9327" s="7"/>
      <c r="E9327" s="7"/>
      <c r="F9327" s="7"/>
      <c r="G9327" s="7"/>
      <c r="H9327" s="8"/>
      <c r="I9327" s="8"/>
      <c r="J9327" s="7"/>
      <c r="K9327" s="7"/>
      <c r="L9327" s="7"/>
      <c r="M9327" s="7"/>
      <c r="N9327" s="7"/>
      <c r="O9327" s="7"/>
      <c r="P9327" s="7"/>
      <c r="Q9327" s="7"/>
      <c r="R9327" s="7"/>
      <c r="S9327" s="7"/>
      <c r="T9327" s="7"/>
      <c r="U9327" s="7"/>
      <c r="V9327" s="7"/>
      <c r="W9327" s="7"/>
      <c r="X9327" s="7"/>
      <c r="Y9327" s="7"/>
      <c r="Z9327" s="7"/>
    </row>
    <row r="9328" hidden="1">
      <c r="A9328" s="7"/>
      <c r="B9328" s="7"/>
      <c r="C9328" s="7"/>
      <c r="D9328" s="7"/>
      <c r="E9328" s="7"/>
      <c r="F9328" s="7"/>
      <c r="G9328" s="7"/>
      <c r="H9328" s="8"/>
      <c r="I9328" s="8"/>
      <c r="J9328" s="7"/>
      <c r="K9328" s="7"/>
      <c r="L9328" s="7"/>
      <c r="M9328" s="7"/>
      <c r="N9328" s="7"/>
      <c r="O9328" s="7"/>
      <c r="P9328" s="7"/>
      <c r="Q9328" s="7"/>
      <c r="R9328" s="7"/>
      <c r="S9328" s="7"/>
      <c r="T9328" s="7"/>
      <c r="U9328" s="7"/>
      <c r="V9328" s="7"/>
      <c r="W9328" s="7"/>
      <c r="X9328" s="7"/>
      <c r="Y9328" s="7"/>
      <c r="Z9328" s="7"/>
    </row>
    <row r="9329" hidden="1">
      <c r="A9329" s="7"/>
      <c r="B9329" s="7"/>
      <c r="C9329" s="7"/>
      <c r="D9329" s="7"/>
      <c r="E9329" s="7"/>
      <c r="F9329" s="7"/>
      <c r="G9329" s="7"/>
      <c r="H9329" s="8"/>
      <c r="I9329" s="8"/>
      <c r="J9329" s="7"/>
      <c r="K9329" s="7"/>
      <c r="L9329" s="7"/>
      <c r="M9329" s="7"/>
      <c r="N9329" s="7"/>
      <c r="O9329" s="7"/>
      <c r="P9329" s="7"/>
      <c r="Q9329" s="7"/>
      <c r="R9329" s="7"/>
      <c r="S9329" s="7"/>
      <c r="T9329" s="7"/>
      <c r="U9329" s="7"/>
      <c r="V9329" s="7"/>
      <c r="W9329" s="7"/>
      <c r="X9329" s="7"/>
      <c r="Y9329" s="7"/>
      <c r="Z9329" s="7"/>
    </row>
    <row r="9330" hidden="1">
      <c r="A9330" s="7"/>
      <c r="B9330" s="7"/>
      <c r="C9330" s="7"/>
      <c r="D9330" s="7"/>
      <c r="E9330" s="7"/>
      <c r="F9330" s="7"/>
      <c r="G9330" s="7"/>
      <c r="H9330" s="8"/>
      <c r="I9330" s="8"/>
      <c r="J9330" s="7"/>
      <c r="K9330" s="7"/>
      <c r="L9330" s="7"/>
      <c r="M9330" s="7"/>
      <c r="N9330" s="7"/>
      <c r="O9330" s="7"/>
      <c r="P9330" s="7"/>
      <c r="Q9330" s="7"/>
      <c r="R9330" s="7"/>
      <c r="S9330" s="7"/>
      <c r="T9330" s="7"/>
      <c r="U9330" s="7"/>
      <c r="V9330" s="7"/>
      <c r="W9330" s="7"/>
      <c r="X9330" s="7"/>
      <c r="Y9330" s="7"/>
      <c r="Z9330" s="7"/>
    </row>
    <row r="9331" hidden="1">
      <c r="A9331" s="7"/>
      <c r="B9331" s="7"/>
      <c r="C9331" s="7"/>
      <c r="D9331" s="7"/>
      <c r="E9331" s="7"/>
      <c r="F9331" s="7"/>
      <c r="G9331" s="7"/>
      <c r="H9331" s="8"/>
      <c r="I9331" s="8"/>
      <c r="J9331" s="7"/>
      <c r="K9331" s="7"/>
      <c r="L9331" s="7"/>
      <c r="M9331" s="7"/>
      <c r="N9331" s="7"/>
      <c r="O9331" s="7"/>
      <c r="P9331" s="7"/>
      <c r="Q9331" s="7"/>
      <c r="R9331" s="7"/>
      <c r="S9331" s="7"/>
      <c r="T9331" s="7"/>
      <c r="U9331" s="7"/>
      <c r="V9331" s="7"/>
      <c r="W9331" s="7"/>
      <c r="X9331" s="7"/>
      <c r="Y9331" s="7"/>
      <c r="Z9331" s="7"/>
    </row>
    <row r="9332" hidden="1">
      <c r="A9332" s="7"/>
      <c r="B9332" s="7"/>
      <c r="C9332" s="7"/>
      <c r="D9332" s="7"/>
      <c r="E9332" s="7"/>
      <c r="F9332" s="7"/>
      <c r="G9332" s="7"/>
      <c r="H9332" s="8"/>
      <c r="I9332" s="8"/>
      <c r="J9332" s="7"/>
      <c r="K9332" s="7"/>
      <c r="L9332" s="7"/>
      <c r="M9332" s="7"/>
      <c r="N9332" s="7"/>
      <c r="O9332" s="7"/>
      <c r="P9332" s="7"/>
      <c r="Q9332" s="7"/>
      <c r="R9332" s="7"/>
      <c r="S9332" s="7"/>
      <c r="T9332" s="7"/>
      <c r="U9332" s="7"/>
      <c r="V9332" s="7"/>
      <c r="W9332" s="7"/>
      <c r="X9332" s="7"/>
      <c r="Y9332" s="7"/>
      <c r="Z9332" s="7"/>
    </row>
    <row r="9333" hidden="1">
      <c r="A9333" s="7"/>
      <c r="B9333" s="7"/>
      <c r="C9333" s="7"/>
      <c r="D9333" s="7"/>
      <c r="E9333" s="7"/>
      <c r="F9333" s="7"/>
      <c r="G9333" s="7"/>
      <c r="H9333" s="8"/>
      <c r="I9333" s="8"/>
      <c r="J9333" s="7"/>
      <c r="K9333" s="7"/>
      <c r="L9333" s="7"/>
      <c r="M9333" s="7"/>
      <c r="N9333" s="7"/>
      <c r="O9333" s="7"/>
      <c r="P9333" s="7"/>
      <c r="Q9333" s="7"/>
      <c r="R9333" s="7"/>
      <c r="S9333" s="7"/>
      <c r="T9333" s="7"/>
      <c r="U9333" s="7"/>
      <c r="V9333" s="7"/>
      <c r="W9333" s="7"/>
      <c r="X9333" s="7"/>
      <c r="Y9333" s="7"/>
      <c r="Z9333" s="7"/>
    </row>
    <row r="9334" hidden="1">
      <c r="A9334" s="7"/>
      <c r="B9334" s="7"/>
      <c r="C9334" s="7"/>
      <c r="D9334" s="7"/>
      <c r="E9334" s="7"/>
      <c r="F9334" s="7"/>
      <c r="G9334" s="7"/>
      <c r="H9334" s="8"/>
      <c r="I9334" s="8"/>
      <c r="J9334" s="7"/>
      <c r="K9334" s="7"/>
      <c r="L9334" s="7"/>
      <c r="M9334" s="7"/>
      <c r="N9334" s="7"/>
      <c r="O9334" s="7"/>
      <c r="P9334" s="7"/>
      <c r="Q9334" s="7"/>
      <c r="R9334" s="7"/>
      <c r="S9334" s="7"/>
      <c r="T9334" s="7"/>
      <c r="U9334" s="7"/>
      <c r="V9334" s="7"/>
      <c r="W9334" s="7"/>
      <c r="X9334" s="7"/>
      <c r="Y9334" s="7"/>
      <c r="Z9334" s="7"/>
    </row>
    <row r="9335" hidden="1">
      <c r="A9335" s="7"/>
      <c r="B9335" s="7"/>
      <c r="C9335" s="7"/>
      <c r="D9335" s="7"/>
      <c r="E9335" s="7"/>
      <c r="F9335" s="7"/>
      <c r="G9335" s="7"/>
      <c r="H9335" s="8"/>
      <c r="I9335" s="8"/>
      <c r="J9335" s="7"/>
      <c r="K9335" s="7"/>
      <c r="L9335" s="7"/>
      <c r="M9335" s="7"/>
      <c r="N9335" s="7"/>
      <c r="O9335" s="7"/>
      <c r="P9335" s="7"/>
      <c r="Q9335" s="7"/>
      <c r="R9335" s="7"/>
      <c r="S9335" s="7"/>
      <c r="T9335" s="7"/>
      <c r="U9335" s="7"/>
      <c r="V9335" s="7"/>
      <c r="W9335" s="7"/>
      <c r="X9335" s="7"/>
      <c r="Y9335" s="7"/>
      <c r="Z9335" s="7"/>
    </row>
    <row r="9336" hidden="1">
      <c r="A9336" s="7"/>
      <c r="B9336" s="7"/>
      <c r="C9336" s="7"/>
      <c r="D9336" s="7"/>
      <c r="E9336" s="7"/>
      <c r="F9336" s="7"/>
      <c r="G9336" s="7"/>
      <c r="H9336" s="8"/>
      <c r="I9336" s="8"/>
      <c r="J9336" s="7"/>
      <c r="K9336" s="7"/>
      <c r="L9336" s="7"/>
      <c r="M9336" s="7"/>
      <c r="N9336" s="7"/>
      <c r="O9336" s="7"/>
      <c r="P9336" s="7"/>
      <c r="Q9336" s="7"/>
      <c r="R9336" s="7"/>
      <c r="S9336" s="7"/>
      <c r="T9336" s="7"/>
      <c r="U9336" s="7"/>
      <c r="V9336" s="7"/>
      <c r="W9336" s="7"/>
      <c r="X9336" s="7"/>
      <c r="Y9336" s="7"/>
      <c r="Z9336" s="7"/>
    </row>
    <row r="9337" hidden="1">
      <c r="A9337" s="7"/>
      <c r="B9337" s="7"/>
      <c r="C9337" s="7"/>
      <c r="D9337" s="7"/>
      <c r="E9337" s="7"/>
      <c r="F9337" s="7"/>
      <c r="G9337" s="7"/>
      <c r="H9337" s="8"/>
      <c r="I9337" s="8"/>
      <c r="J9337" s="7"/>
      <c r="K9337" s="7"/>
      <c r="L9337" s="7"/>
      <c r="M9337" s="7"/>
      <c r="N9337" s="7"/>
      <c r="O9337" s="7"/>
      <c r="P9337" s="7"/>
      <c r="Q9337" s="7"/>
      <c r="R9337" s="7"/>
      <c r="S9337" s="7"/>
      <c r="T9337" s="7"/>
      <c r="U9337" s="7"/>
      <c r="V9337" s="7"/>
      <c r="W9337" s="7"/>
      <c r="X9337" s="7"/>
      <c r="Y9337" s="7"/>
      <c r="Z9337" s="7"/>
    </row>
    <row r="9338" hidden="1">
      <c r="A9338" s="7"/>
      <c r="B9338" s="7"/>
      <c r="C9338" s="7"/>
      <c r="D9338" s="7"/>
      <c r="E9338" s="7"/>
      <c r="F9338" s="7"/>
      <c r="G9338" s="7"/>
      <c r="H9338" s="8"/>
      <c r="I9338" s="8"/>
      <c r="J9338" s="7"/>
      <c r="K9338" s="7"/>
      <c r="L9338" s="7"/>
      <c r="M9338" s="7"/>
      <c r="N9338" s="7"/>
      <c r="O9338" s="7"/>
      <c r="P9338" s="7"/>
      <c r="Q9338" s="7"/>
      <c r="R9338" s="7"/>
      <c r="S9338" s="7"/>
      <c r="T9338" s="7"/>
      <c r="U9338" s="7"/>
      <c r="V9338" s="7"/>
      <c r="W9338" s="7"/>
      <c r="X9338" s="7"/>
      <c r="Y9338" s="7"/>
      <c r="Z9338" s="7"/>
    </row>
    <row r="9339" hidden="1">
      <c r="A9339" s="7"/>
      <c r="B9339" s="7"/>
      <c r="C9339" s="7"/>
      <c r="D9339" s="7"/>
      <c r="E9339" s="7"/>
      <c r="F9339" s="7"/>
      <c r="G9339" s="7"/>
      <c r="H9339" s="8"/>
      <c r="I9339" s="8"/>
      <c r="J9339" s="7"/>
      <c r="K9339" s="7"/>
      <c r="L9339" s="7"/>
      <c r="M9339" s="7"/>
      <c r="N9339" s="7"/>
      <c r="O9339" s="7"/>
      <c r="P9339" s="7"/>
      <c r="Q9339" s="7"/>
      <c r="R9339" s="7"/>
      <c r="S9339" s="7"/>
      <c r="T9339" s="7"/>
      <c r="U9339" s="7"/>
      <c r="V9339" s="7"/>
      <c r="W9339" s="7"/>
      <c r="X9339" s="7"/>
      <c r="Y9339" s="7"/>
      <c r="Z9339" s="7"/>
    </row>
    <row r="9340" hidden="1">
      <c r="A9340" s="7"/>
      <c r="B9340" s="7"/>
      <c r="C9340" s="7"/>
      <c r="D9340" s="7"/>
      <c r="E9340" s="7"/>
      <c r="F9340" s="7"/>
      <c r="G9340" s="7"/>
      <c r="H9340" s="8"/>
      <c r="I9340" s="8"/>
      <c r="J9340" s="7"/>
      <c r="K9340" s="7"/>
      <c r="L9340" s="7"/>
      <c r="M9340" s="7"/>
      <c r="N9340" s="7"/>
      <c r="O9340" s="7"/>
      <c r="P9340" s="7"/>
      <c r="Q9340" s="7"/>
      <c r="R9340" s="7"/>
      <c r="S9340" s="7"/>
      <c r="T9340" s="7"/>
      <c r="U9340" s="7"/>
      <c r="V9340" s="7"/>
      <c r="W9340" s="7"/>
      <c r="X9340" s="7"/>
      <c r="Y9340" s="7"/>
      <c r="Z9340" s="7"/>
    </row>
    <row r="9341" hidden="1">
      <c r="A9341" s="7"/>
      <c r="B9341" s="7"/>
      <c r="C9341" s="7"/>
      <c r="D9341" s="7"/>
      <c r="E9341" s="7"/>
      <c r="F9341" s="7"/>
      <c r="G9341" s="7"/>
      <c r="H9341" s="8"/>
      <c r="I9341" s="8"/>
      <c r="J9341" s="7"/>
      <c r="K9341" s="7"/>
      <c r="L9341" s="7"/>
      <c r="M9341" s="7"/>
      <c r="N9341" s="7"/>
      <c r="O9341" s="7"/>
      <c r="P9341" s="7"/>
      <c r="Q9341" s="7"/>
      <c r="R9341" s="7"/>
      <c r="S9341" s="7"/>
      <c r="T9341" s="7"/>
      <c r="U9341" s="7"/>
      <c r="V9341" s="7"/>
      <c r="W9341" s="7"/>
      <c r="X9341" s="7"/>
      <c r="Y9341" s="7"/>
      <c r="Z9341" s="7"/>
    </row>
    <row r="9342" hidden="1">
      <c r="A9342" s="7"/>
      <c r="B9342" s="7"/>
      <c r="C9342" s="7"/>
      <c r="D9342" s="7"/>
      <c r="E9342" s="7"/>
      <c r="F9342" s="7"/>
      <c r="G9342" s="7"/>
      <c r="H9342" s="8"/>
      <c r="I9342" s="8"/>
      <c r="J9342" s="7"/>
      <c r="K9342" s="7"/>
      <c r="L9342" s="7"/>
      <c r="M9342" s="7"/>
      <c r="N9342" s="7"/>
      <c r="O9342" s="7"/>
      <c r="P9342" s="7"/>
      <c r="Q9342" s="7"/>
      <c r="R9342" s="7"/>
      <c r="S9342" s="7"/>
      <c r="T9342" s="7"/>
      <c r="U9342" s="7"/>
      <c r="V9342" s="7"/>
      <c r="W9342" s="7"/>
      <c r="X9342" s="7"/>
      <c r="Y9342" s="7"/>
      <c r="Z9342" s="7"/>
    </row>
    <row r="9343" hidden="1">
      <c r="A9343" s="7"/>
      <c r="B9343" s="7"/>
      <c r="C9343" s="7"/>
      <c r="D9343" s="7"/>
      <c r="E9343" s="7"/>
      <c r="F9343" s="7"/>
      <c r="G9343" s="7"/>
      <c r="H9343" s="8"/>
      <c r="I9343" s="8"/>
      <c r="J9343" s="7"/>
      <c r="K9343" s="7"/>
      <c r="L9343" s="7"/>
      <c r="M9343" s="7"/>
      <c r="N9343" s="7"/>
      <c r="O9343" s="7"/>
      <c r="P9343" s="7"/>
      <c r="Q9343" s="7"/>
      <c r="R9343" s="7"/>
      <c r="S9343" s="7"/>
      <c r="T9343" s="7"/>
      <c r="U9343" s="7"/>
      <c r="V9343" s="7"/>
      <c r="W9343" s="7"/>
      <c r="X9343" s="7"/>
      <c r="Y9343" s="7"/>
      <c r="Z9343" s="7"/>
    </row>
    <row r="9344" hidden="1">
      <c r="A9344" s="7"/>
      <c r="B9344" s="7"/>
      <c r="C9344" s="7"/>
      <c r="D9344" s="7"/>
      <c r="E9344" s="7"/>
      <c r="F9344" s="7"/>
      <c r="G9344" s="7"/>
      <c r="H9344" s="8"/>
      <c r="I9344" s="8"/>
      <c r="J9344" s="7"/>
      <c r="K9344" s="7"/>
      <c r="L9344" s="7"/>
      <c r="M9344" s="7"/>
      <c r="N9344" s="7"/>
      <c r="O9344" s="7"/>
      <c r="P9344" s="7"/>
      <c r="Q9344" s="7"/>
      <c r="R9344" s="7"/>
      <c r="S9344" s="7"/>
      <c r="T9344" s="7"/>
      <c r="U9344" s="7"/>
      <c r="V9344" s="7"/>
      <c r="W9344" s="7"/>
      <c r="X9344" s="7"/>
      <c r="Y9344" s="7"/>
      <c r="Z9344" s="7"/>
    </row>
    <row r="9345" hidden="1">
      <c r="A9345" s="7"/>
      <c r="B9345" s="7"/>
      <c r="C9345" s="7"/>
      <c r="D9345" s="7"/>
      <c r="E9345" s="7"/>
      <c r="F9345" s="7"/>
      <c r="G9345" s="7"/>
      <c r="H9345" s="8"/>
      <c r="I9345" s="8"/>
      <c r="J9345" s="7"/>
      <c r="K9345" s="7"/>
      <c r="L9345" s="7"/>
      <c r="M9345" s="7"/>
      <c r="N9345" s="7"/>
      <c r="O9345" s="7"/>
      <c r="P9345" s="7"/>
      <c r="Q9345" s="7"/>
      <c r="R9345" s="7"/>
      <c r="S9345" s="7"/>
      <c r="T9345" s="7"/>
      <c r="U9345" s="7"/>
      <c r="V9345" s="7"/>
      <c r="W9345" s="7"/>
      <c r="X9345" s="7"/>
      <c r="Y9345" s="7"/>
      <c r="Z9345" s="7"/>
    </row>
    <row r="9346" hidden="1">
      <c r="A9346" s="7"/>
      <c r="B9346" s="7"/>
      <c r="C9346" s="7"/>
      <c r="D9346" s="7"/>
      <c r="E9346" s="7"/>
      <c r="F9346" s="7"/>
      <c r="G9346" s="7"/>
      <c r="H9346" s="8"/>
      <c r="I9346" s="8"/>
      <c r="J9346" s="7"/>
      <c r="K9346" s="7"/>
      <c r="L9346" s="7"/>
      <c r="M9346" s="7"/>
      <c r="N9346" s="7"/>
      <c r="O9346" s="7"/>
      <c r="P9346" s="7"/>
      <c r="Q9346" s="7"/>
      <c r="R9346" s="7"/>
      <c r="S9346" s="7"/>
      <c r="T9346" s="7"/>
      <c r="U9346" s="7"/>
      <c r="V9346" s="7"/>
      <c r="W9346" s="7"/>
      <c r="X9346" s="7"/>
      <c r="Y9346" s="7"/>
      <c r="Z9346" s="7"/>
    </row>
    <row r="9347" hidden="1">
      <c r="A9347" s="7"/>
      <c r="B9347" s="7"/>
      <c r="C9347" s="7"/>
      <c r="D9347" s="7"/>
      <c r="E9347" s="7"/>
      <c r="F9347" s="7"/>
      <c r="G9347" s="7"/>
      <c r="H9347" s="8"/>
      <c r="I9347" s="8"/>
      <c r="J9347" s="7"/>
      <c r="K9347" s="7"/>
      <c r="L9347" s="7"/>
      <c r="M9347" s="7"/>
      <c r="N9347" s="7"/>
      <c r="O9347" s="7"/>
      <c r="P9347" s="7"/>
      <c r="Q9347" s="7"/>
      <c r="R9347" s="7"/>
      <c r="S9347" s="7"/>
      <c r="T9347" s="7"/>
      <c r="U9347" s="7"/>
      <c r="V9347" s="7"/>
      <c r="W9347" s="7"/>
      <c r="X9347" s="7"/>
      <c r="Y9347" s="7"/>
      <c r="Z9347" s="7"/>
    </row>
    <row r="9348" hidden="1">
      <c r="A9348" s="7"/>
      <c r="B9348" s="7"/>
      <c r="C9348" s="7"/>
      <c r="D9348" s="7"/>
      <c r="E9348" s="7"/>
      <c r="F9348" s="7"/>
      <c r="G9348" s="7"/>
      <c r="H9348" s="8"/>
      <c r="I9348" s="8"/>
      <c r="J9348" s="7"/>
      <c r="K9348" s="7"/>
      <c r="L9348" s="7"/>
      <c r="M9348" s="7"/>
      <c r="N9348" s="7"/>
      <c r="O9348" s="7"/>
      <c r="P9348" s="7"/>
      <c r="Q9348" s="7"/>
      <c r="R9348" s="7"/>
      <c r="S9348" s="7"/>
      <c r="T9348" s="7"/>
      <c r="U9348" s="7"/>
      <c r="V9348" s="7"/>
      <c r="W9348" s="7"/>
      <c r="X9348" s="7"/>
      <c r="Y9348" s="7"/>
      <c r="Z9348" s="7"/>
    </row>
    <row r="9349" hidden="1">
      <c r="A9349" s="7"/>
      <c r="B9349" s="7"/>
      <c r="C9349" s="7"/>
      <c r="D9349" s="7"/>
      <c r="E9349" s="7"/>
      <c r="F9349" s="7"/>
      <c r="G9349" s="7"/>
      <c r="H9349" s="8"/>
      <c r="I9349" s="8"/>
      <c r="J9349" s="7"/>
      <c r="K9349" s="7"/>
      <c r="L9349" s="7"/>
      <c r="M9349" s="7"/>
      <c r="N9349" s="7"/>
      <c r="O9349" s="7"/>
      <c r="P9349" s="7"/>
      <c r="Q9349" s="7"/>
      <c r="R9349" s="7"/>
      <c r="S9349" s="7"/>
      <c r="T9349" s="7"/>
      <c r="U9349" s="7"/>
      <c r="V9349" s="7"/>
      <c r="W9349" s="7"/>
      <c r="X9349" s="7"/>
      <c r="Y9349" s="7"/>
      <c r="Z9349" s="7"/>
    </row>
    <row r="9350" hidden="1">
      <c r="A9350" s="7"/>
      <c r="B9350" s="7"/>
      <c r="C9350" s="7"/>
      <c r="D9350" s="7"/>
      <c r="E9350" s="7"/>
      <c r="F9350" s="7"/>
      <c r="G9350" s="7"/>
      <c r="H9350" s="8"/>
      <c r="I9350" s="8"/>
      <c r="J9350" s="7"/>
      <c r="K9350" s="7"/>
      <c r="L9350" s="7"/>
      <c r="M9350" s="7"/>
      <c r="N9350" s="7"/>
      <c r="O9350" s="7"/>
      <c r="P9350" s="7"/>
      <c r="Q9350" s="7"/>
      <c r="R9350" s="7"/>
      <c r="S9350" s="7"/>
      <c r="T9350" s="7"/>
      <c r="U9350" s="7"/>
      <c r="V9350" s="7"/>
      <c r="W9350" s="7"/>
      <c r="X9350" s="7"/>
      <c r="Y9350" s="7"/>
      <c r="Z9350" s="7"/>
    </row>
    <row r="9351" hidden="1">
      <c r="A9351" s="7"/>
      <c r="B9351" s="7"/>
      <c r="C9351" s="7"/>
      <c r="D9351" s="7"/>
      <c r="E9351" s="7"/>
      <c r="F9351" s="7"/>
      <c r="G9351" s="7"/>
      <c r="H9351" s="8"/>
      <c r="I9351" s="8"/>
      <c r="J9351" s="7"/>
      <c r="K9351" s="7"/>
      <c r="L9351" s="7"/>
      <c r="M9351" s="7"/>
      <c r="N9351" s="7"/>
      <c r="O9351" s="7"/>
      <c r="P9351" s="7"/>
      <c r="Q9351" s="7"/>
      <c r="R9351" s="7"/>
      <c r="S9351" s="7"/>
      <c r="T9351" s="7"/>
      <c r="U9351" s="7"/>
      <c r="V9351" s="7"/>
      <c r="W9351" s="7"/>
      <c r="X9351" s="7"/>
      <c r="Y9351" s="7"/>
      <c r="Z9351" s="7"/>
    </row>
    <row r="9352" hidden="1">
      <c r="A9352" s="7"/>
      <c r="B9352" s="7"/>
      <c r="C9352" s="7"/>
      <c r="D9352" s="7"/>
      <c r="E9352" s="7"/>
      <c r="F9352" s="7"/>
      <c r="G9352" s="7"/>
      <c r="H9352" s="8"/>
      <c r="I9352" s="8"/>
      <c r="J9352" s="7"/>
      <c r="K9352" s="7"/>
      <c r="L9352" s="7"/>
      <c r="M9352" s="7"/>
      <c r="N9352" s="7"/>
      <c r="O9352" s="7"/>
      <c r="P9352" s="7"/>
      <c r="Q9352" s="7"/>
      <c r="R9352" s="7"/>
      <c r="S9352" s="7"/>
      <c r="T9352" s="7"/>
      <c r="U9352" s="7"/>
      <c r="V9352" s="7"/>
      <c r="W9352" s="7"/>
      <c r="X9352" s="7"/>
      <c r="Y9352" s="7"/>
      <c r="Z9352" s="7"/>
    </row>
    <row r="9353" hidden="1">
      <c r="A9353" s="7"/>
      <c r="B9353" s="7"/>
      <c r="C9353" s="7"/>
      <c r="D9353" s="7"/>
      <c r="E9353" s="7"/>
      <c r="F9353" s="7"/>
      <c r="G9353" s="7"/>
      <c r="H9353" s="8"/>
      <c r="I9353" s="8"/>
      <c r="J9353" s="7"/>
      <c r="K9353" s="7"/>
      <c r="L9353" s="7"/>
      <c r="M9353" s="7"/>
      <c r="N9353" s="7"/>
      <c r="O9353" s="7"/>
      <c r="P9353" s="7"/>
      <c r="Q9353" s="7"/>
      <c r="R9353" s="7"/>
      <c r="S9353" s="7"/>
      <c r="T9353" s="7"/>
      <c r="U9353" s="7"/>
      <c r="V9353" s="7"/>
      <c r="W9353" s="7"/>
      <c r="X9353" s="7"/>
      <c r="Y9353" s="7"/>
      <c r="Z9353" s="7"/>
    </row>
    <row r="9354" hidden="1">
      <c r="A9354" s="7"/>
      <c r="B9354" s="7"/>
      <c r="C9354" s="7"/>
      <c r="D9354" s="7"/>
      <c r="E9354" s="7"/>
      <c r="F9354" s="7"/>
      <c r="G9354" s="7"/>
      <c r="H9354" s="8"/>
      <c r="I9354" s="8"/>
      <c r="J9354" s="7"/>
      <c r="K9354" s="7"/>
      <c r="L9354" s="7"/>
      <c r="M9354" s="7"/>
      <c r="N9354" s="7"/>
      <c r="O9354" s="7"/>
      <c r="P9354" s="7"/>
      <c r="Q9354" s="7"/>
      <c r="R9354" s="7"/>
      <c r="S9354" s="7"/>
      <c r="T9354" s="7"/>
      <c r="U9354" s="7"/>
      <c r="V9354" s="7"/>
      <c r="W9354" s="7"/>
      <c r="X9354" s="7"/>
      <c r="Y9354" s="7"/>
      <c r="Z9354" s="7"/>
    </row>
    <row r="9355" hidden="1">
      <c r="A9355" s="7"/>
      <c r="B9355" s="7"/>
      <c r="C9355" s="7"/>
      <c r="D9355" s="7"/>
      <c r="E9355" s="7"/>
      <c r="F9355" s="7"/>
      <c r="G9355" s="7"/>
      <c r="H9355" s="8"/>
      <c r="I9355" s="8"/>
      <c r="J9355" s="7"/>
      <c r="K9355" s="7"/>
      <c r="L9355" s="7"/>
      <c r="M9355" s="7"/>
      <c r="N9355" s="7"/>
      <c r="O9355" s="7"/>
      <c r="P9355" s="7"/>
      <c r="Q9355" s="7"/>
      <c r="R9355" s="7"/>
      <c r="S9355" s="7"/>
      <c r="T9355" s="7"/>
      <c r="U9355" s="7"/>
      <c r="V9355" s="7"/>
      <c r="W9355" s="7"/>
      <c r="X9355" s="7"/>
      <c r="Y9355" s="7"/>
      <c r="Z9355" s="7"/>
    </row>
    <row r="9356" hidden="1">
      <c r="A9356" s="7"/>
      <c r="B9356" s="7"/>
      <c r="C9356" s="7"/>
      <c r="D9356" s="7"/>
      <c r="E9356" s="7"/>
      <c r="F9356" s="7"/>
      <c r="G9356" s="7"/>
      <c r="H9356" s="8"/>
      <c r="I9356" s="8"/>
      <c r="J9356" s="7"/>
      <c r="K9356" s="7"/>
      <c r="L9356" s="7"/>
      <c r="M9356" s="7"/>
      <c r="N9356" s="7"/>
      <c r="O9356" s="7"/>
      <c r="P9356" s="7"/>
      <c r="Q9356" s="7"/>
      <c r="R9356" s="7"/>
      <c r="S9356" s="7"/>
      <c r="T9356" s="7"/>
      <c r="U9356" s="7"/>
      <c r="V9356" s="7"/>
      <c r="W9356" s="7"/>
      <c r="X9356" s="7"/>
      <c r="Y9356" s="7"/>
      <c r="Z9356" s="7"/>
    </row>
    <row r="9357" hidden="1">
      <c r="A9357" s="7"/>
      <c r="B9357" s="7"/>
      <c r="C9357" s="7"/>
      <c r="D9357" s="7"/>
      <c r="E9357" s="7"/>
      <c r="F9357" s="7"/>
      <c r="G9357" s="7"/>
      <c r="H9357" s="8"/>
      <c r="I9357" s="8"/>
      <c r="J9357" s="7"/>
      <c r="K9357" s="7"/>
      <c r="L9357" s="7"/>
      <c r="M9357" s="7"/>
      <c r="N9357" s="7"/>
      <c r="O9357" s="7"/>
      <c r="P9357" s="7"/>
      <c r="Q9357" s="7"/>
      <c r="R9357" s="7"/>
      <c r="S9357" s="7"/>
      <c r="T9357" s="7"/>
      <c r="U9357" s="7"/>
      <c r="V9357" s="7"/>
      <c r="W9357" s="7"/>
      <c r="X9357" s="7"/>
      <c r="Y9357" s="7"/>
      <c r="Z9357" s="7"/>
    </row>
    <row r="9358" hidden="1">
      <c r="A9358" s="7"/>
      <c r="B9358" s="7"/>
      <c r="C9358" s="7"/>
      <c r="D9358" s="7"/>
      <c r="E9358" s="7"/>
      <c r="F9358" s="7"/>
      <c r="G9358" s="7"/>
      <c r="H9358" s="8"/>
      <c r="I9358" s="8"/>
      <c r="J9358" s="7"/>
      <c r="K9358" s="7"/>
      <c r="L9358" s="7"/>
      <c r="M9358" s="7"/>
      <c r="N9358" s="7"/>
      <c r="O9358" s="7"/>
      <c r="P9358" s="7"/>
      <c r="Q9358" s="7"/>
      <c r="R9358" s="7"/>
      <c r="S9358" s="7"/>
      <c r="T9358" s="7"/>
      <c r="U9358" s="7"/>
      <c r="V9358" s="7"/>
      <c r="W9358" s="7"/>
      <c r="X9358" s="7"/>
      <c r="Y9358" s="7"/>
      <c r="Z9358" s="7"/>
    </row>
    <row r="9359" hidden="1">
      <c r="A9359" s="7"/>
      <c r="B9359" s="7"/>
      <c r="C9359" s="7"/>
      <c r="D9359" s="7"/>
      <c r="E9359" s="7"/>
      <c r="F9359" s="7"/>
      <c r="G9359" s="7"/>
      <c r="H9359" s="8"/>
      <c r="I9359" s="8"/>
      <c r="J9359" s="7"/>
      <c r="K9359" s="7"/>
      <c r="L9359" s="7"/>
      <c r="M9359" s="7"/>
      <c r="N9359" s="7"/>
      <c r="O9359" s="7"/>
      <c r="P9359" s="7"/>
      <c r="Q9359" s="7"/>
      <c r="R9359" s="7"/>
      <c r="S9359" s="7"/>
      <c r="T9359" s="7"/>
      <c r="U9359" s="7"/>
      <c r="V9359" s="7"/>
      <c r="W9359" s="7"/>
      <c r="X9359" s="7"/>
      <c r="Y9359" s="7"/>
      <c r="Z9359" s="7"/>
    </row>
    <row r="9360" hidden="1">
      <c r="A9360" s="7"/>
      <c r="B9360" s="7"/>
      <c r="C9360" s="7"/>
      <c r="D9360" s="7"/>
      <c r="E9360" s="7"/>
      <c r="F9360" s="7"/>
      <c r="G9360" s="7"/>
      <c r="H9360" s="8"/>
      <c r="I9360" s="8"/>
      <c r="J9360" s="7"/>
      <c r="K9360" s="7"/>
      <c r="L9360" s="7"/>
      <c r="M9360" s="7"/>
      <c r="N9360" s="7"/>
      <c r="O9360" s="7"/>
      <c r="P9360" s="7"/>
      <c r="Q9360" s="7"/>
      <c r="R9360" s="7"/>
      <c r="S9360" s="7"/>
      <c r="T9360" s="7"/>
      <c r="U9360" s="7"/>
      <c r="V9360" s="7"/>
      <c r="W9360" s="7"/>
      <c r="X9360" s="7"/>
      <c r="Y9360" s="7"/>
      <c r="Z9360" s="7"/>
    </row>
    <row r="9361" hidden="1">
      <c r="A9361" s="7"/>
      <c r="B9361" s="7"/>
      <c r="C9361" s="7"/>
      <c r="D9361" s="7"/>
      <c r="E9361" s="7"/>
      <c r="F9361" s="7"/>
      <c r="G9361" s="7"/>
      <c r="H9361" s="8"/>
      <c r="I9361" s="8"/>
      <c r="J9361" s="7"/>
      <c r="K9361" s="7"/>
      <c r="L9361" s="7"/>
      <c r="M9361" s="7"/>
      <c r="N9361" s="7"/>
      <c r="O9361" s="7"/>
      <c r="P9361" s="7"/>
      <c r="Q9361" s="7"/>
      <c r="R9361" s="7"/>
      <c r="S9361" s="7"/>
      <c r="T9361" s="7"/>
      <c r="U9361" s="7"/>
      <c r="V9361" s="7"/>
      <c r="W9361" s="7"/>
      <c r="X9361" s="7"/>
      <c r="Y9361" s="7"/>
      <c r="Z9361" s="7"/>
    </row>
    <row r="9362" hidden="1">
      <c r="A9362" s="7"/>
      <c r="B9362" s="7"/>
      <c r="C9362" s="7"/>
      <c r="D9362" s="7"/>
      <c r="E9362" s="7"/>
      <c r="F9362" s="7"/>
      <c r="G9362" s="7"/>
      <c r="H9362" s="8"/>
      <c r="I9362" s="8"/>
      <c r="J9362" s="7"/>
      <c r="K9362" s="7"/>
      <c r="L9362" s="7"/>
      <c r="M9362" s="7"/>
      <c r="N9362" s="7"/>
      <c r="O9362" s="7"/>
      <c r="P9362" s="7"/>
      <c r="Q9362" s="7"/>
      <c r="R9362" s="7"/>
      <c r="S9362" s="7"/>
      <c r="T9362" s="7"/>
      <c r="U9362" s="7"/>
      <c r="V9362" s="7"/>
      <c r="W9362" s="7"/>
      <c r="X9362" s="7"/>
      <c r="Y9362" s="7"/>
      <c r="Z9362" s="7"/>
    </row>
    <row r="9363" hidden="1">
      <c r="A9363" s="7"/>
      <c r="B9363" s="7"/>
      <c r="C9363" s="7"/>
      <c r="D9363" s="7"/>
      <c r="E9363" s="7"/>
      <c r="F9363" s="7"/>
      <c r="G9363" s="7"/>
      <c r="H9363" s="8"/>
      <c r="I9363" s="8"/>
      <c r="J9363" s="7"/>
      <c r="K9363" s="7"/>
      <c r="L9363" s="7"/>
      <c r="M9363" s="7"/>
      <c r="N9363" s="7"/>
      <c r="O9363" s="7"/>
      <c r="P9363" s="7"/>
      <c r="Q9363" s="7"/>
      <c r="R9363" s="7"/>
      <c r="S9363" s="7"/>
      <c r="T9363" s="7"/>
      <c r="U9363" s="7"/>
      <c r="V9363" s="7"/>
      <c r="W9363" s="7"/>
      <c r="X9363" s="7"/>
      <c r="Y9363" s="7"/>
      <c r="Z9363" s="7"/>
    </row>
    <row r="9364" hidden="1">
      <c r="A9364" s="7"/>
      <c r="B9364" s="7"/>
      <c r="C9364" s="7"/>
      <c r="D9364" s="7"/>
      <c r="E9364" s="7"/>
      <c r="F9364" s="7"/>
      <c r="G9364" s="7"/>
      <c r="H9364" s="8"/>
      <c r="I9364" s="8"/>
      <c r="J9364" s="7"/>
      <c r="K9364" s="7"/>
      <c r="L9364" s="7"/>
      <c r="M9364" s="7"/>
      <c r="N9364" s="7"/>
      <c r="O9364" s="7"/>
      <c r="P9364" s="7"/>
      <c r="Q9364" s="7"/>
      <c r="R9364" s="7"/>
      <c r="S9364" s="7"/>
      <c r="T9364" s="7"/>
      <c r="U9364" s="7"/>
      <c r="V9364" s="7"/>
      <c r="W9364" s="7"/>
      <c r="X9364" s="7"/>
      <c r="Y9364" s="7"/>
      <c r="Z9364" s="7"/>
    </row>
    <row r="9365" hidden="1">
      <c r="A9365" s="7"/>
      <c r="B9365" s="7"/>
      <c r="C9365" s="7"/>
      <c r="D9365" s="7"/>
      <c r="E9365" s="7"/>
      <c r="F9365" s="7"/>
      <c r="G9365" s="7"/>
      <c r="H9365" s="8"/>
      <c r="I9365" s="8"/>
      <c r="J9365" s="7"/>
      <c r="K9365" s="7"/>
      <c r="L9365" s="7"/>
      <c r="M9365" s="7"/>
      <c r="N9365" s="7"/>
      <c r="O9365" s="7"/>
      <c r="P9365" s="7"/>
      <c r="Q9365" s="7"/>
      <c r="R9365" s="7"/>
      <c r="S9365" s="7"/>
      <c r="T9365" s="7"/>
      <c r="U9365" s="7"/>
      <c r="V9365" s="7"/>
      <c r="W9365" s="7"/>
      <c r="X9365" s="7"/>
      <c r="Y9365" s="7"/>
      <c r="Z9365" s="7"/>
    </row>
    <row r="9366" hidden="1">
      <c r="A9366" s="7"/>
      <c r="B9366" s="7"/>
      <c r="C9366" s="7"/>
      <c r="D9366" s="7"/>
      <c r="E9366" s="7"/>
      <c r="F9366" s="7"/>
      <c r="G9366" s="7"/>
      <c r="H9366" s="8"/>
      <c r="I9366" s="8"/>
      <c r="J9366" s="7"/>
      <c r="K9366" s="7"/>
      <c r="L9366" s="7"/>
      <c r="M9366" s="7"/>
      <c r="N9366" s="7"/>
      <c r="O9366" s="7"/>
      <c r="P9366" s="7"/>
      <c r="Q9366" s="7"/>
      <c r="R9366" s="7"/>
      <c r="S9366" s="7"/>
      <c r="T9366" s="7"/>
      <c r="U9366" s="7"/>
      <c r="V9366" s="7"/>
      <c r="W9366" s="7"/>
      <c r="X9366" s="7"/>
      <c r="Y9366" s="7"/>
      <c r="Z9366" s="7"/>
    </row>
    <row r="9367" hidden="1">
      <c r="A9367" s="7"/>
      <c r="B9367" s="7"/>
      <c r="C9367" s="7"/>
      <c r="D9367" s="7"/>
      <c r="E9367" s="7"/>
      <c r="F9367" s="7"/>
      <c r="G9367" s="7"/>
      <c r="H9367" s="8"/>
      <c r="I9367" s="8"/>
      <c r="J9367" s="7"/>
      <c r="K9367" s="7"/>
      <c r="L9367" s="7"/>
      <c r="M9367" s="7"/>
      <c r="N9367" s="7"/>
      <c r="O9367" s="7"/>
      <c r="P9367" s="7"/>
      <c r="Q9367" s="7"/>
      <c r="R9367" s="7"/>
      <c r="S9367" s="7"/>
      <c r="T9367" s="7"/>
      <c r="U9367" s="7"/>
      <c r="V9367" s="7"/>
      <c r="W9367" s="7"/>
      <c r="X9367" s="7"/>
      <c r="Y9367" s="7"/>
      <c r="Z9367" s="7"/>
    </row>
    <row r="9368" hidden="1">
      <c r="A9368" s="7"/>
      <c r="B9368" s="7"/>
      <c r="C9368" s="7"/>
      <c r="D9368" s="7"/>
      <c r="E9368" s="7"/>
      <c r="F9368" s="7"/>
      <c r="G9368" s="7"/>
      <c r="H9368" s="8"/>
      <c r="I9368" s="8"/>
      <c r="J9368" s="7"/>
      <c r="K9368" s="7"/>
      <c r="L9368" s="7"/>
      <c r="M9368" s="7"/>
      <c r="N9368" s="7"/>
      <c r="O9368" s="7"/>
      <c r="P9368" s="7"/>
      <c r="Q9368" s="7"/>
      <c r="R9368" s="7"/>
      <c r="S9368" s="7"/>
      <c r="T9368" s="7"/>
      <c r="U9368" s="7"/>
      <c r="V9368" s="7"/>
      <c r="W9368" s="7"/>
      <c r="X9368" s="7"/>
      <c r="Y9368" s="7"/>
      <c r="Z9368" s="7"/>
    </row>
    <row r="9369" hidden="1">
      <c r="A9369" s="7"/>
      <c r="B9369" s="7"/>
      <c r="C9369" s="7"/>
      <c r="D9369" s="7"/>
      <c r="E9369" s="7"/>
      <c r="F9369" s="7"/>
      <c r="G9369" s="7"/>
      <c r="H9369" s="8"/>
      <c r="I9369" s="8"/>
      <c r="J9369" s="7"/>
      <c r="K9369" s="7"/>
      <c r="L9369" s="7"/>
      <c r="M9369" s="7"/>
      <c r="N9369" s="7"/>
      <c r="O9369" s="7"/>
      <c r="P9369" s="7"/>
      <c r="Q9369" s="7"/>
      <c r="R9369" s="7"/>
      <c r="S9369" s="7"/>
      <c r="T9369" s="7"/>
      <c r="U9369" s="7"/>
      <c r="V9369" s="7"/>
      <c r="W9369" s="7"/>
      <c r="X9369" s="7"/>
      <c r="Y9369" s="7"/>
      <c r="Z9369" s="7"/>
    </row>
    <row r="9370" hidden="1">
      <c r="A9370" s="7"/>
      <c r="B9370" s="7"/>
      <c r="C9370" s="7"/>
      <c r="D9370" s="7"/>
      <c r="E9370" s="7"/>
      <c r="F9370" s="7"/>
      <c r="G9370" s="7"/>
      <c r="H9370" s="8"/>
      <c r="I9370" s="8"/>
      <c r="J9370" s="7"/>
      <c r="K9370" s="7"/>
      <c r="L9370" s="7"/>
      <c r="M9370" s="7"/>
      <c r="N9370" s="7"/>
      <c r="O9370" s="7"/>
      <c r="P9370" s="7"/>
      <c r="Q9370" s="7"/>
      <c r="R9370" s="7"/>
      <c r="S9370" s="7"/>
      <c r="T9370" s="7"/>
      <c r="U9370" s="7"/>
      <c r="V9370" s="7"/>
      <c r="W9370" s="7"/>
      <c r="X9370" s="7"/>
      <c r="Y9370" s="7"/>
      <c r="Z9370" s="7"/>
    </row>
    <row r="9371" hidden="1">
      <c r="A9371" s="7"/>
      <c r="B9371" s="7"/>
      <c r="C9371" s="7"/>
      <c r="D9371" s="7"/>
      <c r="E9371" s="7"/>
      <c r="F9371" s="7"/>
      <c r="G9371" s="7"/>
      <c r="H9371" s="8"/>
      <c r="I9371" s="8"/>
      <c r="J9371" s="7"/>
      <c r="K9371" s="7"/>
      <c r="L9371" s="7"/>
      <c r="M9371" s="7"/>
      <c r="N9371" s="7"/>
      <c r="O9371" s="7"/>
      <c r="P9371" s="7"/>
      <c r="Q9371" s="7"/>
      <c r="R9371" s="7"/>
      <c r="S9371" s="7"/>
      <c r="T9371" s="7"/>
      <c r="U9371" s="7"/>
      <c r="V9371" s="7"/>
      <c r="W9371" s="7"/>
      <c r="X9371" s="7"/>
      <c r="Y9371" s="7"/>
      <c r="Z9371" s="7"/>
    </row>
    <row r="9372" hidden="1">
      <c r="A9372" s="7"/>
      <c r="B9372" s="7"/>
      <c r="C9372" s="7"/>
      <c r="D9372" s="7"/>
      <c r="E9372" s="7"/>
      <c r="F9372" s="7"/>
      <c r="G9372" s="7"/>
      <c r="H9372" s="8"/>
      <c r="I9372" s="8"/>
      <c r="J9372" s="7"/>
      <c r="K9372" s="7"/>
      <c r="L9372" s="7"/>
      <c r="M9372" s="7"/>
      <c r="N9372" s="7"/>
      <c r="O9372" s="7"/>
      <c r="P9372" s="7"/>
      <c r="Q9372" s="7"/>
      <c r="R9372" s="7"/>
      <c r="S9372" s="7"/>
      <c r="T9372" s="7"/>
      <c r="U9372" s="7"/>
      <c r="V9372" s="7"/>
      <c r="W9372" s="7"/>
      <c r="X9372" s="7"/>
      <c r="Y9372" s="7"/>
      <c r="Z9372" s="7"/>
    </row>
    <row r="9373" hidden="1">
      <c r="A9373" s="7"/>
      <c r="B9373" s="7"/>
      <c r="C9373" s="7"/>
      <c r="D9373" s="7"/>
      <c r="E9373" s="7"/>
      <c r="F9373" s="7"/>
      <c r="G9373" s="7"/>
      <c r="H9373" s="8"/>
      <c r="I9373" s="8"/>
      <c r="J9373" s="7"/>
      <c r="K9373" s="7"/>
      <c r="L9373" s="7"/>
      <c r="M9373" s="7"/>
      <c r="N9373" s="7"/>
      <c r="O9373" s="7"/>
      <c r="P9373" s="7"/>
      <c r="Q9373" s="7"/>
      <c r="R9373" s="7"/>
      <c r="S9373" s="7"/>
      <c r="T9373" s="7"/>
      <c r="U9373" s="7"/>
      <c r="V9373" s="7"/>
      <c r="W9373" s="7"/>
      <c r="X9373" s="7"/>
      <c r="Y9373" s="7"/>
      <c r="Z9373" s="7"/>
    </row>
    <row r="9374" hidden="1">
      <c r="A9374" s="7"/>
      <c r="B9374" s="7"/>
      <c r="C9374" s="7"/>
      <c r="D9374" s="7"/>
      <c r="E9374" s="7"/>
      <c r="F9374" s="7"/>
      <c r="G9374" s="7"/>
      <c r="H9374" s="8"/>
      <c r="I9374" s="8"/>
      <c r="J9374" s="7"/>
      <c r="K9374" s="7"/>
      <c r="L9374" s="7"/>
      <c r="M9374" s="7"/>
      <c r="N9374" s="7"/>
      <c r="O9374" s="7"/>
      <c r="P9374" s="7"/>
      <c r="Q9374" s="7"/>
      <c r="R9374" s="7"/>
      <c r="S9374" s="7"/>
      <c r="T9374" s="7"/>
      <c r="U9374" s="7"/>
      <c r="V9374" s="7"/>
      <c r="W9374" s="7"/>
      <c r="X9374" s="7"/>
      <c r="Y9374" s="7"/>
      <c r="Z9374" s="7"/>
    </row>
    <row r="9375" hidden="1">
      <c r="A9375" s="7"/>
      <c r="B9375" s="7"/>
      <c r="C9375" s="7"/>
      <c r="D9375" s="7"/>
      <c r="E9375" s="7"/>
      <c r="F9375" s="7"/>
      <c r="G9375" s="7"/>
      <c r="H9375" s="8"/>
      <c r="I9375" s="8"/>
      <c r="J9375" s="7"/>
      <c r="K9375" s="7"/>
      <c r="L9375" s="7"/>
      <c r="M9375" s="7"/>
      <c r="N9375" s="7"/>
      <c r="O9375" s="7"/>
      <c r="P9375" s="7"/>
      <c r="Q9375" s="7"/>
      <c r="R9375" s="7"/>
      <c r="S9375" s="7"/>
      <c r="T9375" s="7"/>
      <c r="U9375" s="7"/>
      <c r="V9375" s="7"/>
      <c r="W9375" s="7"/>
      <c r="X9375" s="7"/>
      <c r="Y9375" s="7"/>
      <c r="Z9375" s="7"/>
    </row>
    <row r="9376" hidden="1">
      <c r="A9376" s="7"/>
      <c r="B9376" s="7"/>
      <c r="C9376" s="7"/>
      <c r="D9376" s="7"/>
      <c r="E9376" s="7"/>
      <c r="F9376" s="7"/>
      <c r="G9376" s="7"/>
      <c r="H9376" s="8"/>
      <c r="I9376" s="8"/>
      <c r="J9376" s="7"/>
      <c r="K9376" s="7"/>
      <c r="L9376" s="7"/>
      <c r="M9376" s="7"/>
      <c r="N9376" s="7"/>
      <c r="O9376" s="7"/>
      <c r="P9376" s="7"/>
      <c r="Q9376" s="7"/>
      <c r="R9376" s="7"/>
      <c r="S9376" s="7"/>
      <c r="T9376" s="7"/>
      <c r="U9376" s="7"/>
      <c r="V9376" s="7"/>
      <c r="W9376" s="7"/>
      <c r="X9376" s="7"/>
      <c r="Y9376" s="7"/>
      <c r="Z9376" s="7"/>
    </row>
    <row r="9377" hidden="1">
      <c r="A9377" s="7"/>
      <c r="B9377" s="7"/>
      <c r="C9377" s="7"/>
      <c r="D9377" s="7"/>
      <c r="E9377" s="7"/>
      <c r="F9377" s="7"/>
      <c r="G9377" s="7"/>
      <c r="H9377" s="8"/>
      <c r="I9377" s="8"/>
      <c r="J9377" s="7"/>
      <c r="K9377" s="7"/>
      <c r="L9377" s="7"/>
      <c r="M9377" s="7"/>
      <c r="N9377" s="7"/>
      <c r="O9377" s="7"/>
      <c r="P9377" s="7"/>
      <c r="Q9377" s="7"/>
      <c r="R9377" s="7"/>
      <c r="S9377" s="7"/>
      <c r="T9377" s="7"/>
      <c r="U9377" s="7"/>
      <c r="V9377" s="7"/>
      <c r="W9377" s="7"/>
      <c r="X9377" s="7"/>
      <c r="Y9377" s="7"/>
      <c r="Z9377" s="7"/>
    </row>
    <row r="9378" hidden="1">
      <c r="A9378" s="7"/>
      <c r="B9378" s="7"/>
      <c r="C9378" s="7"/>
      <c r="D9378" s="7"/>
      <c r="E9378" s="7"/>
      <c r="F9378" s="7"/>
      <c r="G9378" s="7"/>
      <c r="H9378" s="8"/>
      <c r="I9378" s="8"/>
      <c r="J9378" s="7"/>
      <c r="K9378" s="7"/>
      <c r="L9378" s="7"/>
      <c r="M9378" s="7"/>
      <c r="N9378" s="7"/>
      <c r="O9378" s="7"/>
      <c r="P9378" s="7"/>
      <c r="Q9378" s="7"/>
      <c r="R9378" s="7"/>
      <c r="S9378" s="7"/>
      <c r="T9378" s="7"/>
      <c r="U9378" s="7"/>
      <c r="V9378" s="7"/>
      <c r="W9378" s="7"/>
      <c r="X9378" s="7"/>
      <c r="Y9378" s="7"/>
      <c r="Z9378" s="7"/>
    </row>
    <row r="9379" hidden="1">
      <c r="A9379" s="7"/>
      <c r="B9379" s="7"/>
      <c r="C9379" s="7"/>
      <c r="D9379" s="7"/>
      <c r="E9379" s="7"/>
      <c r="F9379" s="7"/>
      <c r="G9379" s="7"/>
      <c r="H9379" s="8"/>
      <c r="I9379" s="8"/>
      <c r="J9379" s="7"/>
      <c r="K9379" s="7"/>
      <c r="L9379" s="7"/>
      <c r="M9379" s="7"/>
      <c r="N9379" s="7"/>
      <c r="O9379" s="7"/>
      <c r="P9379" s="7"/>
      <c r="Q9379" s="7"/>
      <c r="R9379" s="7"/>
      <c r="S9379" s="7"/>
      <c r="T9379" s="7"/>
      <c r="U9379" s="7"/>
      <c r="V9379" s="7"/>
      <c r="W9379" s="7"/>
      <c r="X9379" s="7"/>
      <c r="Y9379" s="7"/>
      <c r="Z9379" s="7"/>
    </row>
    <row r="9380" hidden="1">
      <c r="A9380" s="7"/>
      <c r="B9380" s="7"/>
      <c r="C9380" s="7"/>
      <c r="D9380" s="7"/>
      <c r="E9380" s="7"/>
      <c r="F9380" s="7"/>
      <c r="G9380" s="7"/>
      <c r="H9380" s="8"/>
      <c r="I9380" s="8"/>
      <c r="J9380" s="7"/>
      <c r="K9380" s="7"/>
      <c r="L9380" s="7"/>
      <c r="M9380" s="7"/>
      <c r="N9380" s="7"/>
      <c r="O9380" s="7"/>
      <c r="P9380" s="7"/>
      <c r="Q9380" s="7"/>
      <c r="R9380" s="7"/>
      <c r="S9380" s="7"/>
      <c r="T9380" s="7"/>
      <c r="U9380" s="7"/>
      <c r="V9380" s="7"/>
      <c r="W9380" s="7"/>
      <c r="X9380" s="7"/>
      <c r="Y9380" s="7"/>
      <c r="Z9380" s="7"/>
    </row>
    <row r="9381" hidden="1">
      <c r="A9381" s="7"/>
      <c r="B9381" s="7"/>
      <c r="C9381" s="7"/>
      <c r="D9381" s="7"/>
      <c r="E9381" s="7"/>
      <c r="F9381" s="7"/>
      <c r="G9381" s="7"/>
      <c r="H9381" s="8"/>
      <c r="I9381" s="8"/>
      <c r="J9381" s="7"/>
      <c r="K9381" s="7"/>
      <c r="L9381" s="7"/>
      <c r="M9381" s="7"/>
      <c r="N9381" s="7"/>
      <c r="O9381" s="7"/>
      <c r="P9381" s="7"/>
      <c r="Q9381" s="7"/>
      <c r="R9381" s="7"/>
      <c r="S9381" s="7"/>
      <c r="T9381" s="7"/>
      <c r="U9381" s="7"/>
      <c r="V9381" s="7"/>
      <c r="W9381" s="7"/>
      <c r="X9381" s="7"/>
      <c r="Y9381" s="7"/>
      <c r="Z9381" s="7"/>
    </row>
    <row r="9382" hidden="1">
      <c r="A9382" s="7"/>
      <c r="B9382" s="7"/>
      <c r="C9382" s="7"/>
      <c r="D9382" s="7"/>
      <c r="E9382" s="7"/>
      <c r="F9382" s="7"/>
      <c r="G9382" s="7"/>
      <c r="H9382" s="8"/>
      <c r="I9382" s="8"/>
      <c r="J9382" s="7"/>
      <c r="K9382" s="7"/>
      <c r="L9382" s="7"/>
      <c r="M9382" s="7"/>
      <c r="N9382" s="7"/>
      <c r="O9382" s="7"/>
      <c r="P9382" s="7"/>
      <c r="Q9382" s="7"/>
      <c r="R9382" s="7"/>
      <c r="S9382" s="7"/>
      <c r="T9382" s="7"/>
      <c r="U9382" s="7"/>
      <c r="V9382" s="7"/>
      <c r="W9382" s="7"/>
      <c r="X9382" s="7"/>
      <c r="Y9382" s="7"/>
      <c r="Z9382" s="7"/>
    </row>
    <row r="9383" hidden="1">
      <c r="A9383" s="7"/>
      <c r="B9383" s="7"/>
      <c r="C9383" s="7"/>
      <c r="D9383" s="7"/>
      <c r="E9383" s="7"/>
      <c r="F9383" s="7"/>
      <c r="G9383" s="7"/>
      <c r="H9383" s="8"/>
      <c r="I9383" s="8"/>
      <c r="J9383" s="7"/>
      <c r="K9383" s="7"/>
      <c r="L9383" s="7"/>
      <c r="M9383" s="7"/>
      <c r="N9383" s="7"/>
      <c r="O9383" s="7"/>
      <c r="P9383" s="7"/>
      <c r="Q9383" s="7"/>
      <c r="R9383" s="7"/>
      <c r="S9383" s="7"/>
      <c r="T9383" s="7"/>
      <c r="U9383" s="7"/>
      <c r="V9383" s="7"/>
      <c r="W9383" s="7"/>
      <c r="X9383" s="7"/>
      <c r="Y9383" s="7"/>
      <c r="Z9383" s="7"/>
    </row>
    <row r="9384" hidden="1">
      <c r="A9384" s="7"/>
      <c r="B9384" s="7"/>
      <c r="C9384" s="7"/>
      <c r="D9384" s="7"/>
      <c r="E9384" s="7"/>
      <c r="F9384" s="7"/>
      <c r="G9384" s="7"/>
      <c r="H9384" s="8"/>
      <c r="I9384" s="8"/>
      <c r="J9384" s="7"/>
      <c r="K9384" s="7"/>
      <c r="L9384" s="7"/>
      <c r="M9384" s="7"/>
      <c r="N9384" s="7"/>
      <c r="O9384" s="7"/>
      <c r="P9384" s="7"/>
      <c r="Q9384" s="7"/>
      <c r="R9384" s="7"/>
      <c r="S9384" s="7"/>
      <c r="T9384" s="7"/>
      <c r="U9384" s="7"/>
      <c r="V9384" s="7"/>
      <c r="W9384" s="7"/>
      <c r="X9384" s="7"/>
      <c r="Y9384" s="7"/>
      <c r="Z9384" s="7"/>
    </row>
    <row r="9385" hidden="1">
      <c r="A9385" s="7"/>
      <c r="B9385" s="7"/>
      <c r="C9385" s="7"/>
      <c r="D9385" s="7"/>
      <c r="E9385" s="7"/>
      <c r="F9385" s="7"/>
      <c r="G9385" s="7"/>
      <c r="H9385" s="8"/>
      <c r="I9385" s="8"/>
      <c r="J9385" s="7"/>
      <c r="K9385" s="7"/>
      <c r="L9385" s="7"/>
      <c r="M9385" s="7"/>
      <c r="N9385" s="7"/>
      <c r="O9385" s="7"/>
      <c r="P9385" s="7"/>
      <c r="Q9385" s="7"/>
      <c r="R9385" s="7"/>
      <c r="S9385" s="7"/>
      <c r="T9385" s="7"/>
      <c r="U9385" s="7"/>
      <c r="V9385" s="7"/>
      <c r="W9385" s="7"/>
      <c r="X9385" s="7"/>
      <c r="Y9385" s="7"/>
      <c r="Z9385" s="7"/>
    </row>
    <row r="9386" hidden="1">
      <c r="A9386" s="7"/>
      <c r="B9386" s="7"/>
      <c r="C9386" s="7"/>
      <c r="D9386" s="7"/>
      <c r="E9386" s="7"/>
      <c r="F9386" s="7"/>
      <c r="G9386" s="7"/>
      <c r="H9386" s="8"/>
      <c r="I9386" s="8"/>
      <c r="J9386" s="7"/>
      <c r="K9386" s="7"/>
      <c r="L9386" s="7"/>
      <c r="M9386" s="7"/>
      <c r="N9386" s="7"/>
      <c r="O9386" s="7"/>
      <c r="P9386" s="7"/>
      <c r="Q9386" s="7"/>
      <c r="R9386" s="7"/>
      <c r="S9386" s="7"/>
      <c r="T9386" s="7"/>
      <c r="U9386" s="7"/>
      <c r="V9386" s="7"/>
      <c r="W9386" s="7"/>
      <c r="X9386" s="7"/>
      <c r="Y9386" s="7"/>
      <c r="Z9386" s="7"/>
    </row>
    <row r="9387" hidden="1">
      <c r="A9387" s="7"/>
      <c r="B9387" s="7"/>
      <c r="C9387" s="7"/>
      <c r="D9387" s="7"/>
      <c r="E9387" s="7"/>
      <c r="F9387" s="7"/>
      <c r="G9387" s="7"/>
      <c r="H9387" s="8"/>
      <c r="I9387" s="8"/>
      <c r="J9387" s="7"/>
      <c r="K9387" s="7"/>
      <c r="L9387" s="7"/>
      <c r="M9387" s="7"/>
      <c r="N9387" s="7"/>
      <c r="O9387" s="7"/>
      <c r="P9387" s="7"/>
      <c r="Q9387" s="7"/>
      <c r="R9387" s="7"/>
      <c r="S9387" s="7"/>
      <c r="T9387" s="7"/>
      <c r="U9387" s="7"/>
      <c r="V9387" s="7"/>
      <c r="W9387" s="7"/>
      <c r="X9387" s="7"/>
      <c r="Y9387" s="7"/>
      <c r="Z9387" s="7"/>
    </row>
    <row r="9388" hidden="1">
      <c r="A9388" s="7"/>
      <c r="B9388" s="7"/>
      <c r="C9388" s="7"/>
      <c r="D9388" s="7"/>
      <c r="E9388" s="7"/>
      <c r="F9388" s="7"/>
      <c r="G9388" s="7"/>
      <c r="H9388" s="8"/>
      <c r="I9388" s="8"/>
      <c r="J9388" s="7"/>
      <c r="K9388" s="7"/>
      <c r="L9388" s="7"/>
      <c r="M9388" s="7"/>
      <c r="N9388" s="7"/>
      <c r="O9388" s="7"/>
      <c r="P9388" s="7"/>
      <c r="Q9388" s="7"/>
      <c r="R9388" s="7"/>
      <c r="S9388" s="7"/>
      <c r="T9388" s="7"/>
      <c r="U9388" s="7"/>
      <c r="V9388" s="7"/>
      <c r="W9388" s="7"/>
      <c r="X9388" s="7"/>
      <c r="Y9388" s="7"/>
      <c r="Z9388" s="7"/>
    </row>
    <row r="9389" hidden="1">
      <c r="A9389" s="7"/>
      <c r="B9389" s="7"/>
      <c r="C9389" s="7"/>
      <c r="D9389" s="7"/>
      <c r="E9389" s="7"/>
      <c r="F9389" s="7"/>
      <c r="G9389" s="7"/>
      <c r="H9389" s="8"/>
      <c r="I9389" s="8"/>
      <c r="J9389" s="7"/>
      <c r="K9389" s="7"/>
      <c r="L9389" s="7"/>
      <c r="M9389" s="7"/>
      <c r="N9389" s="7"/>
      <c r="O9389" s="7"/>
      <c r="P9389" s="7"/>
      <c r="Q9389" s="7"/>
      <c r="R9389" s="7"/>
      <c r="S9389" s="7"/>
      <c r="T9389" s="7"/>
      <c r="U9389" s="7"/>
      <c r="V9389" s="7"/>
      <c r="W9389" s="7"/>
      <c r="X9389" s="7"/>
      <c r="Y9389" s="7"/>
      <c r="Z9389" s="7"/>
    </row>
    <row r="9390" hidden="1">
      <c r="A9390" s="7"/>
      <c r="B9390" s="7"/>
      <c r="C9390" s="7"/>
      <c r="D9390" s="7"/>
      <c r="E9390" s="7"/>
      <c r="F9390" s="7"/>
      <c r="G9390" s="7"/>
      <c r="H9390" s="8"/>
      <c r="I9390" s="8"/>
      <c r="J9390" s="7"/>
      <c r="K9390" s="7"/>
      <c r="L9390" s="7"/>
      <c r="M9390" s="7"/>
      <c r="N9390" s="7"/>
      <c r="O9390" s="7"/>
      <c r="P9390" s="7"/>
      <c r="Q9390" s="7"/>
      <c r="R9390" s="7"/>
      <c r="S9390" s="7"/>
      <c r="T9390" s="7"/>
      <c r="U9390" s="7"/>
      <c r="V9390" s="7"/>
      <c r="W9390" s="7"/>
      <c r="X9390" s="7"/>
      <c r="Y9390" s="7"/>
      <c r="Z9390" s="7"/>
    </row>
    <row r="9391" hidden="1">
      <c r="A9391" s="7"/>
      <c r="B9391" s="7"/>
      <c r="C9391" s="7"/>
      <c r="D9391" s="7"/>
      <c r="E9391" s="7"/>
      <c r="F9391" s="7"/>
      <c r="G9391" s="7"/>
      <c r="H9391" s="8"/>
      <c r="I9391" s="8"/>
      <c r="J9391" s="7"/>
      <c r="K9391" s="7"/>
      <c r="L9391" s="7"/>
      <c r="M9391" s="7"/>
      <c r="N9391" s="7"/>
      <c r="O9391" s="7"/>
      <c r="P9391" s="7"/>
      <c r="Q9391" s="7"/>
      <c r="R9391" s="7"/>
      <c r="S9391" s="7"/>
      <c r="T9391" s="7"/>
      <c r="U9391" s="7"/>
      <c r="V9391" s="7"/>
      <c r="W9391" s="7"/>
      <c r="X9391" s="7"/>
      <c r="Y9391" s="7"/>
      <c r="Z9391" s="7"/>
    </row>
    <row r="9392" hidden="1">
      <c r="A9392" s="7"/>
      <c r="B9392" s="7"/>
      <c r="C9392" s="7"/>
      <c r="D9392" s="7"/>
      <c r="E9392" s="7"/>
      <c r="F9392" s="7"/>
      <c r="G9392" s="7"/>
      <c r="H9392" s="8"/>
      <c r="I9392" s="8"/>
      <c r="J9392" s="7"/>
      <c r="K9392" s="7"/>
      <c r="L9392" s="7"/>
      <c r="M9392" s="7"/>
      <c r="N9392" s="7"/>
      <c r="O9392" s="7"/>
      <c r="P9392" s="7"/>
      <c r="Q9392" s="7"/>
      <c r="R9392" s="7"/>
      <c r="S9392" s="7"/>
      <c r="T9392" s="7"/>
      <c r="U9392" s="7"/>
      <c r="V9392" s="7"/>
      <c r="W9392" s="7"/>
      <c r="X9392" s="7"/>
      <c r="Y9392" s="7"/>
      <c r="Z9392" s="7"/>
    </row>
    <row r="9393" hidden="1">
      <c r="A9393" s="7"/>
      <c r="B9393" s="7"/>
      <c r="C9393" s="7"/>
      <c r="D9393" s="7"/>
      <c r="E9393" s="7"/>
      <c r="F9393" s="7"/>
      <c r="G9393" s="7"/>
      <c r="H9393" s="8"/>
      <c r="I9393" s="8"/>
      <c r="J9393" s="7"/>
      <c r="K9393" s="7"/>
      <c r="L9393" s="7"/>
      <c r="M9393" s="7"/>
      <c r="N9393" s="7"/>
      <c r="O9393" s="7"/>
      <c r="P9393" s="7"/>
      <c r="Q9393" s="7"/>
      <c r="R9393" s="7"/>
      <c r="S9393" s="7"/>
      <c r="T9393" s="7"/>
      <c r="U9393" s="7"/>
      <c r="V9393" s="7"/>
      <c r="W9393" s="7"/>
      <c r="X9393" s="7"/>
      <c r="Y9393" s="7"/>
      <c r="Z9393" s="7"/>
    </row>
    <row r="9394" hidden="1">
      <c r="A9394" s="7"/>
      <c r="B9394" s="7"/>
      <c r="C9394" s="7"/>
      <c r="D9394" s="7"/>
      <c r="E9394" s="7"/>
      <c r="F9394" s="7"/>
      <c r="G9394" s="7"/>
      <c r="H9394" s="8"/>
      <c r="I9394" s="8"/>
      <c r="J9394" s="7"/>
      <c r="K9394" s="7"/>
      <c r="L9394" s="7"/>
      <c r="M9394" s="7"/>
      <c r="N9394" s="7"/>
      <c r="O9394" s="7"/>
      <c r="P9394" s="7"/>
      <c r="Q9394" s="7"/>
      <c r="R9394" s="7"/>
      <c r="S9394" s="7"/>
      <c r="T9394" s="7"/>
      <c r="U9394" s="7"/>
      <c r="V9394" s="7"/>
      <c r="W9394" s="7"/>
      <c r="X9394" s="7"/>
      <c r="Y9394" s="7"/>
      <c r="Z9394" s="7"/>
    </row>
    <row r="9395" hidden="1">
      <c r="A9395" s="7"/>
      <c r="B9395" s="7"/>
      <c r="C9395" s="7"/>
      <c r="D9395" s="7"/>
      <c r="E9395" s="7"/>
      <c r="F9395" s="7"/>
      <c r="G9395" s="7"/>
      <c r="H9395" s="8"/>
      <c r="I9395" s="8"/>
      <c r="J9395" s="7"/>
      <c r="K9395" s="7"/>
      <c r="L9395" s="7"/>
      <c r="M9395" s="7"/>
      <c r="N9395" s="7"/>
      <c r="O9395" s="7"/>
      <c r="P9395" s="7"/>
      <c r="Q9395" s="7"/>
      <c r="R9395" s="7"/>
      <c r="S9395" s="7"/>
      <c r="T9395" s="7"/>
      <c r="U9395" s="7"/>
      <c r="V9395" s="7"/>
      <c r="W9395" s="7"/>
      <c r="X9395" s="7"/>
      <c r="Y9395" s="7"/>
      <c r="Z9395" s="7"/>
    </row>
    <row r="9396" hidden="1">
      <c r="A9396" s="7"/>
      <c r="B9396" s="7"/>
      <c r="C9396" s="7"/>
      <c r="D9396" s="7"/>
      <c r="E9396" s="7"/>
      <c r="F9396" s="7"/>
      <c r="G9396" s="7"/>
      <c r="H9396" s="8"/>
      <c r="I9396" s="8"/>
      <c r="J9396" s="7"/>
      <c r="K9396" s="7"/>
      <c r="L9396" s="7"/>
      <c r="M9396" s="7"/>
      <c r="N9396" s="7"/>
      <c r="O9396" s="7"/>
      <c r="P9396" s="7"/>
      <c r="Q9396" s="7"/>
      <c r="R9396" s="7"/>
      <c r="S9396" s="7"/>
      <c r="T9396" s="7"/>
      <c r="U9396" s="7"/>
      <c r="V9396" s="7"/>
      <c r="W9396" s="7"/>
      <c r="X9396" s="7"/>
      <c r="Y9396" s="7"/>
      <c r="Z9396" s="7"/>
    </row>
    <row r="9397" hidden="1">
      <c r="A9397" s="7"/>
      <c r="B9397" s="7"/>
      <c r="C9397" s="7"/>
      <c r="D9397" s="7"/>
      <c r="E9397" s="7"/>
      <c r="F9397" s="7"/>
      <c r="G9397" s="7"/>
      <c r="H9397" s="8"/>
      <c r="I9397" s="8"/>
      <c r="J9397" s="7"/>
      <c r="K9397" s="7"/>
      <c r="L9397" s="7"/>
      <c r="M9397" s="7"/>
      <c r="N9397" s="7"/>
      <c r="O9397" s="7"/>
      <c r="P9397" s="7"/>
      <c r="Q9397" s="7"/>
      <c r="R9397" s="7"/>
      <c r="S9397" s="7"/>
      <c r="T9397" s="7"/>
      <c r="U9397" s="7"/>
      <c r="V9397" s="7"/>
      <c r="W9397" s="7"/>
      <c r="X9397" s="7"/>
      <c r="Y9397" s="7"/>
      <c r="Z9397" s="7"/>
    </row>
    <row r="9398" hidden="1">
      <c r="A9398" s="7"/>
      <c r="B9398" s="7"/>
      <c r="C9398" s="7"/>
      <c r="D9398" s="7"/>
      <c r="E9398" s="7"/>
      <c r="F9398" s="7"/>
      <c r="G9398" s="7"/>
      <c r="H9398" s="8"/>
      <c r="I9398" s="8"/>
      <c r="J9398" s="7"/>
      <c r="K9398" s="7"/>
      <c r="L9398" s="7"/>
      <c r="M9398" s="7"/>
      <c r="N9398" s="7"/>
      <c r="O9398" s="7"/>
      <c r="P9398" s="7"/>
      <c r="Q9398" s="7"/>
      <c r="R9398" s="7"/>
      <c r="S9398" s="7"/>
      <c r="T9398" s="7"/>
      <c r="U9398" s="7"/>
      <c r="V9398" s="7"/>
      <c r="W9398" s="7"/>
      <c r="X9398" s="7"/>
      <c r="Y9398" s="7"/>
      <c r="Z9398" s="7"/>
    </row>
    <row r="9399" hidden="1">
      <c r="A9399" s="7"/>
      <c r="B9399" s="7"/>
      <c r="C9399" s="7"/>
      <c r="D9399" s="7"/>
      <c r="E9399" s="7"/>
      <c r="F9399" s="7"/>
      <c r="G9399" s="7"/>
      <c r="H9399" s="8"/>
      <c r="I9399" s="8"/>
      <c r="J9399" s="7"/>
      <c r="K9399" s="7"/>
      <c r="L9399" s="7"/>
      <c r="M9399" s="7"/>
      <c r="N9399" s="7"/>
      <c r="O9399" s="7"/>
      <c r="P9399" s="7"/>
      <c r="Q9399" s="7"/>
      <c r="R9399" s="7"/>
      <c r="S9399" s="7"/>
      <c r="T9399" s="7"/>
      <c r="U9399" s="7"/>
      <c r="V9399" s="7"/>
      <c r="W9399" s="7"/>
      <c r="X9399" s="7"/>
      <c r="Y9399" s="7"/>
      <c r="Z9399" s="7"/>
    </row>
    <row r="9400" hidden="1">
      <c r="A9400" s="7"/>
      <c r="B9400" s="7"/>
      <c r="C9400" s="7"/>
      <c r="D9400" s="7"/>
      <c r="E9400" s="7"/>
      <c r="F9400" s="7"/>
      <c r="G9400" s="7"/>
      <c r="H9400" s="8"/>
      <c r="I9400" s="8"/>
      <c r="J9400" s="7"/>
      <c r="K9400" s="7"/>
      <c r="L9400" s="7"/>
      <c r="M9400" s="7"/>
      <c r="N9400" s="7"/>
      <c r="O9400" s="7"/>
      <c r="P9400" s="7"/>
      <c r="Q9400" s="7"/>
      <c r="R9400" s="7"/>
      <c r="S9400" s="7"/>
      <c r="T9400" s="7"/>
      <c r="U9400" s="7"/>
      <c r="V9400" s="7"/>
      <c r="W9400" s="7"/>
      <c r="X9400" s="7"/>
      <c r="Y9400" s="7"/>
      <c r="Z9400" s="7"/>
    </row>
    <row r="9401" hidden="1">
      <c r="A9401" s="7"/>
      <c r="B9401" s="7"/>
      <c r="C9401" s="7"/>
      <c r="D9401" s="7"/>
      <c r="E9401" s="7"/>
      <c r="F9401" s="7"/>
      <c r="G9401" s="7"/>
      <c r="H9401" s="8"/>
      <c r="I9401" s="8"/>
      <c r="J9401" s="7"/>
      <c r="K9401" s="7"/>
      <c r="L9401" s="7"/>
      <c r="M9401" s="7"/>
      <c r="N9401" s="7"/>
      <c r="O9401" s="7"/>
      <c r="P9401" s="7"/>
      <c r="Q9401" s="7"/>
      <c r="R9401" s="7"/>
      <c r="S9401" s="7"/>
      <c r="T9401" s="7"/>
      <c r="U9401" s="7"/>
      <c r="V9401" s="7"/>
      <c r="W9401" s="7"/>
      <c r="X9401" s="7"/>
      <c r="Y9401" s="7"/>
      <c r="Z9401" s="7"/>
    </row>
    <row r="9402" hidden="1">
      <c r="A9402" s="7"/>
      <c r="B9402" s="7"/>
      <c r="C9402" s="7"/>
      <c r="D9402" s="7"/>
      <c r="E9402" s="7"/>
      <c r="F9402" s="7"/>
      <c r="G9402" s="7"/>
      <c r="H9402" s="8"/>
      <c r="I9402" s="8"/>
      <c r="J9402" s="7"/>
      <c r="K9402" s="7"/>
      <c r="L9402" s="7"/>
      <c r="M9402" s="7"/>
      <c r="N9402" s="7"/>
      <c r="O9402" s="7"/>
      <c r="P9402" s="7"/>
      <c r="Q9402" s="7"/>
      <c r="R9402" s="7"/>
      <c r="S9402" s="7"/>
      <c r="T9402" s="7"/>
      <c r="U9402" s="7"/>
      <c r="V9402" s="7"/>
      <c r="W9402" s="7"/>
      <c r="X9402" s="7"/>
      <c r="Y9402" s="7"/>
      <c r="Z9402" s="7"/>
    </row>
    <row r="9403" hidden="1">
      <c r="A9403" s="7"/>
      <c r="B9403" s="7"/>
      <c r="C9403" s="7"/>
      <c r="D9403" s="7"/>
      <c r="E9403" s="7"/>
      <c r="F9403" s="7"/>
      <c r="G9403" s="7"/>
      <c r="H9403" s="8"/>
      <c r="I9403" s="8"/>
      <c r="J9403" s="7"/>
      <c r="K9403" s="7"/>
      <c r="L9403" s="7"/>
      <c r="M9403" s="7"/>
      <c r="N9403" s="7"/>
      <c r="O9403" s="7"/>
      <c r="P9403" s="7"/>
      <c r="Q9403" s="7"/>
      <c r="R9403" s="7"/>
      <c r="S9403" s="7"/>
      <c r="T9403" s="7"/>
      <c r="U9403" s="7"/>
      <c r="V9403" s="7"/>
      <c r="W9403" s="7"/>
      <c r="X9403" s="7"/>
      <c r="Y9403" s="7"/>
      <c r="Z9403" s="7"/>
    </row>
    <row r="9404" hidden="1">
      <c r="A9404" s="7"/>
      <c r="B9404" s="7"/>
      <c r="C9404" s="7"/>
      <c r="D9404" s="7"/>
      <c r="E9404" s="7"/>
      <c r="F9404" s="7"/>
      <c r="G9404" s="7"/>
      <c r="H9404" s="8"/>
      <c r="I9404" s="8"/>
      <c r="J9404" s="7"/>
      <c r="K9404" s="7"/>
      <c r="L9404" s="7"/>
      <c r="M9404" s="7"/>
      <c r="N9404" s="7"/>
      <c r="O9404" s="7"/>
      <c r="P9404" s="7"/>
      <c r="Q9404" s="7"/>
      <c r="R9404" s="7"/>
      <c r="S9404" s="7"/>
      <c r="T9404" s="7"/>
      <c r="U9404" s="7"/>
      <c r="V9404" s="7"/>
      <c r="W9404" s="7"/>
      <c r="X9404" s="7"/>
      <c r="Y9404" s="7"/>
      <c r="Z9404" s="7"/>
    </row>
    <row r="9405" hidden="1">
      <c r="A9405" s="7"/>
      <c r="B9405" s="7"/>
      <c r="C9405" s="7"/>
      <c r="D9405" s="7"/>
      <c r="E9405" s="7"/>
      <c r="F9405" s="7"/>
      <c r="G9405" s="7"/>
      <c r="H9405" s="8"/>
      <c r="I9405" s="8"/>
      <c r="J9405" s="7"/>
      <c r="K9405" s="7"/>
      <c r="L9405" s="7"/>
      <c r="M9405" s="7"/>
      <c r="N9405" s="7"/>
      <c r="O9405" s="7"/>
      <c r="P9405" s="7"/>
      <c r="Q9405" s="7"/>
      <c r="R9405" s="7"/>
      <c r="S9405" s="7"/>
      <c r="T9405" s="7"/>
      <c r="U9405" s="7"/>
      <c r="V9405" s="7"/>
      <c r="W9405" s="7"/>
      <c r="X9405" s="7"/>
      <c r="Y9405" s="7"/>
      <c r="Z9405" s="7"/>
    </row>
    <row r="9406" hidden="1">
      <c r="A9406" s="7"/>
      <c r="B9406" s="7"/>
      <c r="C9406" s="7"/>
      <c r="D9406" s="7"/>
      <c r="E9406" s="7"/>
      <c r="F9406" s="7"/>
      <c r="G9406" s="7"/>
      <c r="H9406" s="8"/>
      <c r="I9406" s="8"/>
      <c r="J9406" s="7"/>
      <c r="K9406" s="7"/>
      <c r="L9406" s="7"/>
      <c r="M9406" s="7"/>
      <c r="N9406" s="7"/>
      <c r="O9406" s="7"/>
      <c r="P9406" s="7"/>
      <c r="Q9406" s="7"/>
      <c r="R9406" s="7"/>
      <c r="S9406" s="7"/>
      <c r="T9406" s="7"/>
      <c r="U9406" s="7"/>
      <c r="V9406" s="7"/>
      <c r="W9406" s="7"/>
      <c r="X9406" s="7"/>
      <c r="Y9406" s="7"/>
      <c r="Z9406" s="7"/>
    </row>
    <row r="9407" hidden="1">
      <c r="A9407" s="7"/>
      <c r="B9407" s="7"/>
      <c r="C9407" s="7"/>
      <c r="D9407" s="7"/>
      <c r="E9407" s="7"/>
      <c r="F9407" s="7"/>
      <c r="G9407" s="7"/>
      <c r="H9407" s="8"/>
      <c r="I9407" s="8"/>
      <c r="J9407" s="7"/>
      <c r="K9407" s="7"/>
      <c r="L9407" s="7"/>
      <c r="M9407" s="7"/>
      <c r="N9407" s="7"/>
      <c r="O9407" s="7"/>
      <c r="P9407" s="7"/>
      <c r="Q9407" s="7"/>
      <c r="R9407" s="7"/>
      <c r="S9407" s="7"/>
      <c r="T9407" s="7"/>
      <c r="U9407" s="7"/>
      <c r="V9407" s="7"/>
      <c r="W9407" s="7"/>
      <c r="X9407" s="7"/>
      <c r="Y9407" s="7"/>
      <c r="Z9407" s="7"/>
    </row>
    <row r="9408" hidden="1">
      <c r="A9408" s="7"/>
      <c r="B9408" s="7"/>
      <c r="C9408" s="7"/>
      <c r="D9408" s="7"/>
      <c r="E9408" s="7"/>
      <c r="F9408" s="7"/>
      <c r="G9408" s="7"/>
      <c r="H9408" s="8"/>
      <c r="I9408" s="8"/>
      <c r="J9408" s="7"/>
      <c r="K9408" s="7"/>
      <c r="L9408" s="7"/>
      <c r="M9408" s="7"/>
      <c r="N9408" s="7"/>
      <c r="O9408" s="7"/>
      <c r="P9408" s="7"/>
      <c r="Q9408" s="7"/>
      <c r="R9408" s="7"/>
      <c r="S9408" s="7"/>
      <c r="T9408" s="7"/>
      <c r="U9408" s="7"/>
      <c r="V9408" s="7"/>
      <c r="W9408" s="7"/>
      <c r="X9408" s="7"/>
      <c r="Y9408" s="7"/>
      <c r="Z9408" s="7"/>
    </row>
    <row r="9409" hidden="1">
      <c r="A9409" s="7"/>
      <c r="B9409" s="7"/>
      <c r="C9409" s="7"/>
      <c r="D9409" s="7"/>
      <c r="E9409" s="7"/>
      <c r="F9409" s="7"/>
      <c r="G9409" s="7"/>
      <c r="H9409" s="8"/>
      <c r="I9409" s="8"/>
      <c r="J9409" s="7"/>
      <c r="K9409" s="7"/>
      <c r="L9409" s="7"/>
      <c r="M9409" s="7"/>
      <c r="N9409" s="7"/>
      <c r="O9409" s="7"/>
      <c r="P9409" s="7"/>
      <c r="Q9409" s="7"/>
      <c r="R9409" s="7"/>
      <c r="S9409" s="7"/>
      <c r="T9409" s="7"/>
      <c r="U9409" s="7"/>
      <c r="V9409" s="7"/>
      <c r="W9409" s="7"/>
      <c r="X9409" s="7"/>
      <c r="Y9409" s="7"/>
      <c r="Z9409" s="7"/>
    </row>
    <row r="9410" hidden="1">
      <c r="A9410" s="7"/>
      <c r="B9410" s="7"/>
      <c r="C9410" s="7"/>
      <c r="D9410" s="7"/>
      <c r="E9410" s="7"/>
      <c r="F9410" s="7"/>
      <c r="G9410" s="7"/>
      <c r="H9410" s="8"/>
      <c r="I9410" s="8"/>
      <c r="J9410" s="7"/>
      <c r="K9410" s="7"/>
      <c r="L9410" s="7"/>
      <c r="M9410" s="7"/>
      <c r="N9410" s="7"/>
      <c r="O9410" s="7"/>
      <c r="P9410" s="7"/>
      <c r="Q9410" s="7"/>
      <c r="R9410" s="7"/>
      <c r="S9410" s="7"/>
      <c r="T9410" s="7"/>
      <c r="U9410" s="7"/>
      <c r="V9410" s="7"/>
      <c r="W9410" s="7"/>
      <c r="X9410" s="7"/>
      <c r="Y9410" s="7"/>
      <c r="Z9410" s="7"/>
    </row>
    <row r="9411" hidden="1">
      <c r="A9411" s="7"/>
      <c r="B9411" s="7"/>
      <c r="C9411" s="7"/>
      <c r="D9411" s="7"/>
      <c r="E9411" s="7"/>
      <c r="F9411" s="7"/>
      <c r="G9411" s="7"/>
      <c r="H9411" s="8"/>
      <c r="I9411" s="8"/>
      <c r="J9411" s="7"/>
      <c r="K9411" s="7"/>
      <c r="L9411" s="7"/>
      <c r="M9411" s="7"/>
      <c r="N9411" s="7"/>
      <c r="O9411" s="7"/>
      <c r="P9411" s="7"/>
      <c r="Q9411" s="7"/>
      <c r="R9411" s="7"/>
      <c r="S9411" s="7"/>
      <c r="T9411" s="7"/>
      <c r="U9411" s="7"/>
      <c r="V9411" s="7"/>
      <c r="W9411" s="7"/>
      <c r="X9411" s="7"/>
      <c r="Y9411" s="7"/>
      <c r="Z9411" s="7"/>
    </row>
    <row r="9412" hidden="1">
      <c r="A9412" s="7"/>
      <c r="B9412" s="7"/>
      <c r="C9412" s="7"/>
      <c r="D9412" s="7"/>
      <c r="E9412" s="7"/>
      <c r="F9412" s="7"/>
      <c r="G9412" s="7"/>
      <c r="H9412" s="8"/>
      <c r="I9412" s="8"/>
      <c r="J9412" s="7"/>
      <c r="K9412" s="7"/>
      <c r="L9412" s="7"/>
      <c r="M9412" s="7"/>
      <c r="N9412" s="7"/>
      <c r="O9412" s="7"/>
      <c r="P9412" s="7"/>
      <c r="Q9412" s="7"/>
      <c r="R9412" s="7"/>
      <c r="S9412" s="7"/>
      <c r="T9412" s="7"/>
      <c r="U9412" s="7"/>
      <c r="V9412" s="7"/>
      <c r="W9412" s="7"/>
      <c r="X9412" s="7"/>
      <c r="Y9412" s="7"/>
      <c r="Z9412" s="7"/>
    </row>
    <row r="9413" hidden="1">
      <c r="A9413" s="7"/>
      <c r="B9413" s="7"/>
      <c r="C9413" s="7"/>
      <c r="D9413" s="7"/>
      <c r="E9413" s="7"/>
      <c r="F9413" s="7"/>
      <c r="G9413" s="7"/>
      <c r="H9413" s="8"/>
      <c r="I9413" s="8"/>
      <c r="J9413" s="7"/>
      <c r="K9413" s="7"/>
      <c r="L9413" s="7"/>
      <c r="M9413" s="7"/>
      <c r="N9413" s="7"/>
      <c r="O9413" s="7"/>
      <c r="P9413" s="7"/>
      <c r="Q9413" s="7"/>
      <c r="R9413" s="7"/>
      <c r="S9413" s="7"/>
      <c r="T9413" s="7"/>
      <c r="U9413" s="7"/>
      <c r="V9413" s="7"/>
      <c r="W9413" s="7"/>
      <c r="X9413" s="7"/>
      <c r="Y9413" s="7"/>
      <c r="Z9413" s="7"/>
    </row>
    <row r="9414" hidden="1">
      <c r="A9414" s="7"/>
      <c r="B9414" s="7"/>
      <c r="C9414" s="7"/>
      <c r="D9414" s="7"/>
      <c r="E9414" s="7"/>
      <c r="F9414" s="7"/>
      <c r="G9414" s="7"/>
      <c r="H9414" s="8"/>
      <c r="I9414" s="8"/>
      <c r="J9414" s="7"/>
      <c r="K9414" s="7"/>
      <c r="L9414" s="7"/>
      <c r="M9414" s="7"/>
      <c r="N9414" s="7"/>
      <c r="O9414" s="7"/>
      <c r="P9414" s="7"/>
      <c r="Q9414" s="7"/>
      <c r="R9414" s="7"/>
      <c r="S9414" s="7"/>
      <c r="T9414" s="7"/>
      <c r="U9414" s="7"/>
      <c r="V9414" s="7"/>
      <c r="W9414" s="7"/>
      <c r="X9414" s="7"/>
      <c r="Y9414" s="7"/>
      <c r="Z9414" s="7"/>
    </row>
    <row r="9415" hidden="1">
      <c r="A9415" s="7"/>
      <c r="B9415" s="7"/>
      <c r="C9415" s="7"/>
      <c r="D9415" s="7"/>
      <c r="E9415" s="7"/>
      <c r="F9415" s="7"/>
      <c r="G9415" s="7"/>
      <c r="H9415" s="8"/>
      <c r="I9415" s="8"/>
      <c r="J9415" s="7"/>
      <c r="K9415" s="7"/>
      <c r="L9415" s="7"/>
      <c r="M9415" s="7"/>
      <c r="N9415" s="7"/>
      <c r="O9415" s="7"/>
      <c r="P9415" s="7"/>
      <c r="Q9415" s="7"/>
      <c r="R9415" s="7"/>
      <c r="S9415" s="7"/>
      <c r="T9415" s="7"/>
      <c r="U9415" s="7"/>
      <c r="V9415" s="7"/>
      <c r="W9415" s="7"/>
      <c r="X9415" s="7"/>
      <c r="Y9415" s="7"/>
      <c r="Z9415" s="7"/>
    </row>
    <row r="9416" hidden="1">
      <c r="A9416" s="7"/>
      <c r="B9416" s="7"/>
      <c r="C9416" s="7"/>
      <c r="D9416" s="7"/>
      <c r="E9416" s="7"/>
      <c r="F9416" s="7"/>
      <c r="G9416" s="7"/>
      <c r="H9416" s="8"/>
      <c r="I9416" s="8"/>
      <c r="J9416" s="7"/>
      <c r="K9416" s="7"/>
      <c r="L9416" s="7"/>
      <c r="M9416" s="7"/>
      <c r="N9416" s="7"/>
      <c r="O9416" s="7"/>
      <c r="P9416" s="7"/>
      <c r="Q9416" s="7"/>
      <c r="R9416" s="7"/>
      <c r="S9416" s="7"/>
      <c r="T9416" s="7"/>
      <c r="U9416" s="7"/>
      <c r="V9416" s="7"/>
      <c r="W9416" s="7"/>
      <c r="X9416" s="7"/>
      <c r="Y9416" s="7"/>
      <c r="Z9416" s="7"/>
    </row>
    <row r="9417" hidden="1">
      <c r="A9417" s="7"/>
      <c r="B9417" s="7"/>
      <c r="C9417" s="7"/>
      <c r="D9417" s="7"/>
      <c r="E9417" s="7"/>
      <c r="F9417" s="7"/>
      <c r="G9417" s="7"/>
      <c r="H9417" s="8"/>
      <c r="I9417" s="8"/>
      <c r="J9417" s="7"/>
      <c r="K9417" s="7"/>
      <c r="L9417" s="7"/>
      <c r="M9417" s="7"/>
      <c r="N9417" s="7"/>
      <c r="O9417" s="7"/>
      <c r="P9417" s="7"/>
      <c r="Q9417" s="7"/>
      <c r="R9417" s="7"/>
      <c r="S9417" s="7"/>
      <c r="T9417" s="7"/>
      <c r="U9417" s="7"/>
      <c r="V9417" s="7"/>
      <c r="W9417" s="7"/>
      <c r="X9417" s="7"/>
      <c r="Y9417" s="7"/>
      <c r="Z9417" s="7"/>
    </row>
    <row r="9418" hidden="1">
      <c r="A9418" s="7"/>
      <c r="B9418" s="7"/>
      <c r="C9418" s="7"/>
      <c r="D9418" s="7"/>
      <c r="E9418" s="7"/>
      <c r="F9418" s="7"/>
      <c r="G9418" s="7"/>
      <c r="H9418" s="8"/>
      <c r="I9418" s="8"/>
      <c r="J9418" s="7"/>
      <c r="K9418" s="7"/>
      <c r="L9418" s="7"/>
      <c r="M9418" s="7"/>
      <c r="N9418" s="7"/>
      <c r="O9418" s="7"/>
      <c r="P9418" s="7"/>
      <c r="Q9418" s="7"/>
      <c r="R9418" s="7"/>
      <c r="S9418" s="7"/>
      <c r="T9418" s="7"/>
      <c r="U9418" s="7"/>
      <c r="V9418" s="7"/>
      <c r="W9418" s="7"/>
      <c r="X9418" s="7"/>
      <c r="Y9418" s="7"/>
      <c r="Z9418" s="7"/>
    </row>
    <row r="9419" hidden="1">
      <c r="A9419" s="7"/>
      <c r="B9419" s="7"/>
      <c r="C9419" s="7"/>
      <c r="D9419" s="7"/>
      <c r="E9419" s="7"/>
      <c r="F9419" s="7"/>
      <c r="G9419" s="7"/>
      <c r="H9419" s="8"/>
      <c r="I9419" s="8"/>
      <c r="J9419" s="7"/>
      <c r="K9419" s="7"/>
      <c r="L9419" s="7"/>
      <c r="M9419" s="7"/>
      <c r="N9419" s="7"/>
      <c r="O9419" s="7"/>
      <c r="P9419" s="7"/>
      <c r="Q9419" s="7"/>
      <c r="R9419" s="7"/>
      <c r="S9419" s="7"/>
      <c r="T9419" s="7"/>
      <c r="U9419" s="7"/>
      <c r="V9419" s="7"/>
      <c r="W9419" s="7"/>
      <c r="X9419" s="7"/>
      <c r="Y9419" s="7"/>
      <c r="Z9419" s="7"/>
    </row>
    <row r="9420" hidden="1">
      <c r="A9420" s="7"/>
      <c r="B9420" s="7"/>
      <c r="C9420" s="7"/>
      <c r="D9420" s="7"/>
      <c r="E9420" s="7"/>
      <c r="F9420" s="7"/>
      <c r="G9420" s="7"/>
      <c r="H9420" s="8"/>
      <c r="I9420" s="8"/>
      <c r="J9420" s="7"/>
      <c r="K9420" s="7"/>
      <c r="L9420" s="7"/>
      <c r="M9420" s="7"/>
      <c r="N9420" s="7"/>
      <c r="O9420" s="7"/>
      <c r="P9420" s="7"/>
      <c r="Q9420" s="7"/>
      <c r="R9420" s="7"/>
      <c r="S9420" s="7"/>
      <c r="T9420" s="7"/>
      <c r="U9420" s="7"/>
      <c r="V9420" s="7"/>
      <c r="W9420" s="7"/>
      <c r="X9420" s="7"/>
      <c r="Y9420" s="7"/>
      <c r="Z9420" s="7"/>
    </row>
    <row r="9421" hidden="1">
      <c r="A9421" s="7"/>
      <c r="B9421" s="7"/>
      <c r="C9421" s="7"/>
      <c r="D9421" s="7"/>
      <c r="E9421" s="7"/>
      <c r="F9421" s="7"/>
      <c r="G9421" s="7"/>
      <c r="H9421" s="8"/>
      <c r="I9421" s="8"/>
      <c r="J9421" s="7"/>
      <c r="K9421" s="7"/>
      <c r="L9421" s="7"/>
      <c r="M9421" s="7"/>
      <c r="N9421" s="7"/>
      <c r="O9421" s="7"/>
      <c r="P9421" s="7"/>
      <c r="Q9421" s="7"/>
      <c r="R9421" s="7"/>
      <c r="S9421" s="7"/>
      <c r="T9421" s="7"/>
      <c r="U9421" s="7"/>
      <c r="V9421" s="7"/>
      <c r="W9421" s="7"/>
      <c r="X9421" s="7"/>
      <c r="Y9421" s="7"/>
      <c r="Z9421" s="7"/>
    </row>
    <row r="9422" hidden="1">
      <c r="A9422" s="7"/>
      <c r="B9422" s="7"/>
      <c r="C9422" s="7"/>
      <c r="D9422" s="7"/>
      <c r="E9422" s="7"/>
      <c r="F9422" s="7"/>
      <c r="G9422" s="7"/>
      <c r="H9422" s="8"/>
      <c r="I9422" s="8"/>
      <c r="J9422" s="7"/>
      <c r="K9422" s="7"/>
      <c r="L9422" s="7"/>
      <c r="M9422" s="7"/>
      <c r="N9422" s="7"/>
      <c r="O9422" s="7"/>
      <c r="P9422" s="7"/>
      <c r="Q9422" s="7"/>
      <c r="R9422" s="7"/>
      <c r="S9422" s="7"/>
      <c r="T9422" s="7"/>
      <c r="U9422" s="7"/>
      <c r="V9422" s="7"/>
      <c r="W9422" s="7"/>
      <c r="X9422" s="7"/>
      <c r="Y9422" s="7"/>
      <c r="Z9422" s="7"/>
    </row>
    <row r="9423" hidden="1">
      <c r="A9423" s="7"/>
      <c r="B9423" s="7"/>
      <c r="C9423" s="7"/>
      <c r="D9423" s="7"/>
      <c r="E9423" s="7"/>
      <c r="F9423" s="7"/>
      <c r="G9423" s="7"/>
      <c r="H9423" s="8"/>
      <c r="I9423" s="8"/>
      <c r="J9423" s="7"/>
      <c r="K9423" s="7"/>
      <c r="L9423" s="7"/>
      <c r="M9423" s="7"/>
      <c r="N9423" s="7"/>
      <c r="O9423" s="7"/>
      <c r="P9423" s="7"/>
      <c r="Q9423" s="7"/>
      <c r="R9423" s="7"/>
      <c r="S9423" s="7"/>
      <c r="T9423" s="7"/>
      <c r="U9423" s="7"/>
      <c r="V9423" s="7"/>
      <c r="W9423" s="7"/>
      <c r="X9423" s="7"/>
      <c r="Y9423" s="7"/>
      <c r="Z9423" s="7"/>
    </row>
    <row r="9424" hidden="1">
      <c r="A9424" s="7"/>
      <c r="B9424" s="7"/>
      <c r="C9424" s="7"/>
      <c r="D9424" s="7"/>
      <c r="E9424" s="7"/>
      <c r="F9424" s="7"/>
      <c r="G9424" s="7"/>
      <c r="H9424" s="8"/>
      <c r="I9424" s="8"/>
      <c r="J9424" s="7"/>
      <c r="K9424" s="7"/>
      <c r="L9424" s="7"/>
      <c r="M9424" s="7"/>
      <c r="N9424" s="7"/>
      <c r="O9424" s="7"/>
      <c r="P9424" s="7"/>
      <c r="Q9424" s="7"/>
      <c r="R9424" s="7"/>
      <c r="S9424" s="7"/>
      <c r="T9424" s="7"/>
      <c r="U9424" s="7"/>
      <c r="V9424" s="7"/>
      <c r="W9424" s="7"/>
      <c r="X9424" s="7"/>
      <c r="Y9424" s="7"/>
      <c r="Z9424" s="7"/>
    </row>
    <row r="9425" hidden="1">
      <c r="A9425" s="7"/>
      <c r="B9425" s="7"/>
      <c r="C9425" s="7"/>
      <c r="D9425" s="7"/>
      <c r="E9425" s="7"/>
      <c r="F9425" s="7"/>
      <c r="G9425" s="7"/>
      <c r="H9425" s="8"/>
      <c r="I9425" s="8"/>
      <c r="J9425" s="7"/>
      <c r="K9425" s="7"/>
      <c r="L9425" s="7"/>
      <c r="M9425" s="7"/>
      <c r="N9425" s="7"/>
      <c r="O9425" s="7"/>
      <c r="P9425" s="7"/>
      <c r="Q9425" s="7"/>
      <c r="R9425" s="7"/>
      <c r="S9425" s="7"/>
      <c r="T9425" s="7"/>
      <c r="U9425" s="7"/>
      <c r="V9425" s="7"/>
      <c r="W9425" s="7"/>
      <c r="X9425" s="7"/>
      <c r="Y9425" s="7"/>
      <c r="Z9425" s="7"/>
    </row>
    <row r="9426" hidden="1">
      <c r="A9426" s="7"/>
      <c r="B9426" s="7"/>
      <c r="C9426" s="7"/>
      <c r="D9426" s="7"/>
      <c r="E9426" s="7"/>
      <c r="F9426" s="7"/>
      <c r="G9426" s="7"/>
      <c r="H9426" s="8"/>
      <c r="I9426" s="8"/>
      <c r="J9426" s="7"/>
      <c r="K9426" s="7"/>
      <c r="L9426" s="7"/>
      <c r="M9426" s="7"/>
      <c r="N9426" s="7"/>
      <c r="O9426" s="7"/>
      <c r="P9426" s="7"/>
      <c r="Q9426" s="7"/>
      <c r="R9426" s="7"/>
      <c r="S9426" s="7"/>
      <c r="T9426" s="7"/>
      <c r="U9426" s="7"/>
      <c r="V9426" s="7"/>
      <c r="W9426" s="7"/>
      <c r="X9426" s="7"/>
      <c r="Y9426" s="7"/>
      <c r="Z9426" s="7"/>
    </row>
    <row r="9427" hidden="1">
      <c r="A9427" s="7"/>
      <c r="B9427" s="7"/>
      <c r="C9427" s="7"/>
      <c r="D9427" s="7"/>
      <c r="E9427" s="7"/>
      <c r="F9427" s="7"/>
      <c r="G9427" s="7"/>
      <c r="H9427" s="8"/>
      <c r="I9427" s="8"/>
      <c r="J9427" s="7"/>
      <c r="K9427" s="7"/>
      <c r="L9427" s="7"/>
      <c r="M9427" s="7"/>
      <c r="N9427" s="7"/>
      <c r="O9427" s="7"/>
      <c r="P9427" s="7"/>
      <c r="Q9427" s="7"/>
      <c r="R9427" s="7"/>
      <c r="S9427" s="7"/>
      <c r="T9427" s="7"/>
      <c r="U9427" s="7"/>
      <c r="V9427" s="7"/>
      <c r="W9427" s="7"/>
      <c r="X9427" s="7"/>
      <c r="Y9427" s="7"/>
      <c r="Z9427" s="7"/>
    </row>
    <row r="9428" hidden="1">
      <c r="A9428" s="7"/>
      <c r="B9428" s="7"/>
      <c r="C9428" s="7"/>
      <c r="D9428" s="7"/>
      <c r="E9428" s="7"/>
      <c r="F9428" s="7"/>
      <c r="G9428" s="7"/>
      <c r="H9428" s="8"/>
      <c r="I9428" s="8"/>
      <c r="J9428" s="7"/>
      <c r="K9428" s="7"/>
      <c r="L9428" s="7"/>
      <c r="M9428" s="7"/>
      <c r="N9428" s="7"/>
      <c r="O9428" s="7"/>
      <c r="P9428" s="7"/>
      <c r="Q9428" s="7"/>
      <c r="R9428" s="7"/>
      <c r="S9428" s="7"/>
      <c r="T9428" s="7"/>
      <c r="U9428" s="7"/>
      <c r="V9428" s="7"/>
      <c r="W9428" s="7"/>
      <c r="X9428" s="7"/>
      <c r="Y9428" s="7"/>
      <c r="Z9428" s="7"/>
    </row>
    <row r="9429" hidden="1">
      <c r="A9429" s="7"/>
      <c r="B9429" s="7"/>
      <c r="C9429" s="7"/>
      <c r="D9429" s="7"/>
      <c r="E9429" s="7"/>
      <c r="F9429" s="7"/>
      <c r="G9429" s="7"/>
      <c r="H9429" s="8"/>
      <c r="I9429" s="8"/>
      <c r="J9429" s="7"/>
      <c r="K9429" s="7"/>
      <c r="L9429" s="7"/>
      <c r="M9429" s="7"/>
      <c r="N9429" s="7"/>
      <c r="O9429" s="7"/>
      <c r="P9429" s="7"/>
      <c r="Q9429" s="7"/>
      <c r="R9429" s="7"/>
      <c r="S9429" s="7"/>
      <c r="T9429" s="7"/>
      <c r="U9429" s="7"/>
      <c r="V9429" s="7"/>
      <c r="W9429" s="7"/>
      <c r="X9429" s="7"/>
      <c r="Y9429" s="7"/>
      <c r="Z9429" s="7"/>
    </row>
    <row r="9430" hidden="1">
      <c r="A9430" s="7"/>
      <c r="B9430" s="7"/>
      <c r="C9430" s="7"/>
      <c r="D9430" s="7"/>
      <c r="E9430" s="7"/>
      <c r="F9430" s="7"/>
      <c r="G9430" s="7"/>
      <c r="H9430" s="8"/>
      <c r="I9430" s="8"/>
      <c r="J9430" s="7"/>
      <c r="K9430" s="7"/>
      <c r="L9430" s="7"/>
      <c r="M9430" s="7"/>
      <c r="N9430" s="7"/>
      <c r="O9430" s="7"/>
      <c r="P9430" s="7"/>
      <c r="Q9430" s="7"/>
      <c r="R9430" s="7"/>
      <c r="S9430" s="7"/>
      <c r="T9430" s="7"/>
      <c r="U9430" s="7"/>
      <c r="V9430" s="7"/>
      <c r="W9430" s="7"/>
      <c r="X9430" s="7"/>
      <c r="Y9430" s="7"/>
      <c r="Z9430" s="7"/>
    </row>
    <row r="9431" hidden="1">
      <c r="A9431" s="7"/>
      <c r="B9431" s="7"/>
      <c r="C9431" s="7"/>
      <c r="D9431" s="7"/>
      <c r="E9431" s="7"/>
      <c r="F9431" s="7"/>
      <c r="G9431" s="7"/>
      <c r="H9431" s="8"/>
      <c r="I9431" s="8"/>
      <c r="J9431" s="7"/>
      <c r="K9431" s="7"/>
      <c r="L9431" s="7"/>
      <c r="M9431" s="7"/>
      <c r="N9431" s="7"/>
      <c r="O9431" s="7"/>
      <c r="P9431" s="7"/>
      <c r="Q9431" s="7"/>
      <c r="R9431" s="7"/>
      <c r="S9431" s="7"/>
      <c r="T9431" s="7"/>
      <c r="U9431" s="7"/>
      <c r="V9431" s="7"/>
      <c r="W9431" s="7"/>
      <c r="X9431" s="7"/>
      <c r="Y9431" s="7"/>
      <c r="Z9431" s="7"/>
    </row>
    <row r="9432" hidden="1">
      <c r="A9432" s="7"/>
      <c r="B9432" s="7"/>
      <c r="C9432" s="7"/>
      <c r="D9432" s="7"/>
      <c r="E9432" s="7"/>
      <c r="F9432" s="7"/>
      <c r="G9432" s="7"/>
      <c r="H9432" s="8"/>
      <c r="I9432" s="8"/>
      <c r="J9432" s="7"/>
      <c r="K9432" s="7"/>
      <c r="L9432" s="7"/>
      <c r="M9432" s="7"/>
      <c r="N9432" s="7"/>
      <c r="O9432" s="7"/>
      <c r="P9432" s="7"/>
      <c r="Q9432" s="7"/>
      <c r="R9432" s="7"/>
      <c r="S9432" s="7"/>
      <c r="T9432" s="7"/>
      <c r="U9432" s="7"/>
      <c r="V9432" s="7"/>
      <c r="W9432" s="7"/>
      <c r="X9432" s="7"/>
      <c r="Y9432" s="7"/>
      <c r="Z9432" s="7"/>
    </row>
    <row r="9433" hidden="1">
      <c r="A9433" s="7"/>
      <c r="B9433" s="7"/>
      <c r="C9433" s="7"/>
      <c r="D9433" s="7"/>
      <c r="E9433" s="7"/>
      <c r="F9433" s="7"/>
      <c r="G9433" s="7"/>
      <c r="H9433" s="8"/>
      <c r="I9433" s="8"/>
      <c r="J9433" s="7"/>
      <c r="K9433" s="7"/>
      <c r="L9433" s="7"/>
      <c r="M9433" s="7"/>
      <c r="N9433" s="7"/>
      <c r="O9433" s="7"/>
      <c r="P9433" s="7"/>
      <c r="Q9433" s="7"/>
      <c r="R9433" s="7"/>
      <c r="S9433" s="7"/>
      <c r="T9433" s="7"/>
      <c r="U9433" s="7"/>
      <c r="V9433" s="7"/>
      <c r="W9433" s="7"/>
      <c r="X9433" s="7"/>
      <c r="Y9433" s="7"/>
      <c r="Z9433" s="7"/>
    </row>
    <row r="9434" hidden="1">
      <c r="A9434" s="7"/>
      <c r="B9434" s="7"/>
      <c r="C9434" s="7"/>
      <c r="D9434" s="7"/>
      <c r="E9434" s="7"/>
      <c r="F9434" s="7"/>
      <c r="G9434" s="7"/>
      <c r="H9434" s="8"/>
      <c r="I9434" s="8"/>
      <c r="J9434" s="7"/>
      <c r="K9434" s="7"/>
      <c r="L9434" s="7"/>
      <c r="M9434" s="7"/>
      <c r="N9434" s="7"/>
      <c r="O9434" s="7"/>
      <c r="P9434" s="7"/>
      <c r="Q9434" s="7"/>
      <c r="R9434" s="7"/>
      <c r="S9434" s="7"/>
      <c r="T9434" s="7"/>
      <c r="U9434" s="7"/>
      <c r="V9434" s="7"/>
      <c r="W9434" s="7"/>
      <c r="X9434" s="7"/>
      <c r="Y9434" s="7"/>
      <c r="Z9434" s="7"/>
    </row>
    <row r="9435" hidden="1">
      <c r="A9435" s="7"/>
      <c r="B9435" s="7"/>
      <c r="C9435" s="7"/>
      <c r="D9435" s="7"/>
      <c r="E9435" s="7"/>
      <c r="F9435" s="7"/>
      <c r="G9435" s="7"/>
      <c r="H9435" s="8"/>
      <c r="I9435" s="8"/>
      <c r="J9435" s="7"/>
      <c r="K9435" s="7"/>
      <c r="L9435" s="7"/>
      <c r="M9435" s="7"/>
      <c r="N9435" s="7"/>
      <c r="O9435" s="7"/>
      <c r="P9435" s="7"/>
      <c r="Q9435" s="7"/>
      <c r="R9435" s="7"/>
      <c r="S9435" s="7"/>
      <c r="T9435" s="7"/>
      <c r="U9435" s="7"/>
      <c r="V9435" s="7"/>
      <c r="W9435" s="7"/>
      <c r="X9435" s="7"/>
      <c r="Y9435" s="7"/>
      <c r="Z9435" s="7"/>
    </row>
    <row r="9436" hidden="1">
      <c r="A9436" s="7"/>
      <c r="B9436" s="7"/>
      <c r="C9436" s="7"/>
      <c r="D9436" s="7"/>
      <c r="E9436" s="7"/>
      <c r="F9436" s="7"/>
      <c r="G9436" s="7"/>
      <c r="H9436" s="8"/>
      <c r="I9436" s="8"/>
      <c r="J9436" s="7"/>
      <c r="K9436" s="7"/>
      <c r="L9436" s="7"/>
      <c r="M9436" s="7"/>
      <c r="N9436" s="7"/>
      <c r="O9436" s="7"/>
      <c r="P9436" s="7"/>
      <c r="Q9436" s="7"/>
      <c r="R9436" s="7"/>
      <c r="S9436" s="7"/>
      <c r="T9436" s="7"/>
      <c r="U9436" s="7"/>
      <c r="V9436" s="7"/>
      <c r="W9436" s="7"/>
      <c r="X9436" s="7"/>
      <c r="Y9436" s="7"/>
      <c r="Z9436" s="7"/>
    </row>
    <row r="9437" hidden="1">
      <c r="A9437" s="7"/>
      <c r="B9437" s="7"/>
      <c r="C9437" s="7"/>
      <c r="D9437" s="7"/>
      <c r="E9437" s="7"/>
      <c r="F9437" s="7"/>
      <c r="G9437" s="7"/>
      <c r="H9437" s="8"/>
      <c r="I9437" s="8"/>
      <c r="J9437" s="7"/>
      <c r="K9437" s="7"/>
      <c r="L9437" s="7"/>
      <c r="M9437" s="7"/>
      <c r="N9437" s="7"/>
      <c r="O9437" s="7"/>
      <c r="P9437" s="7"/>
      <c r="Q9437" s="7"/>
      <c r="R9437" s="7"/>
      <c r="S9437" s="7"/>
      <c r="T9437" s="7"/>
      <c r="U9437" s="7"/>
      <c r="V9437" s="7"/>
      <c r="W9437" s="7"/>
      <c r="X9437" s="7"/>
      <c r="Y9437" s="7"/>
      <c r="Z9437" s="7"/>
    </row>
    <row r="9438" hidden="1">
      <c r="A9438" s="7"/>
      <c r="B9438" s="7"/>
      <c r="C9438" s="7"/>
      <c r="D9438" s="7"/>
      <c r="E9438" s="7"/>
      <c r="F9438" s="7"/>
      <c r="G9438" s="7"/>
      <c r="H9438" s="8"/>
      <c r="I9438" s="8"/>
      <c r="J9438" s="7"/>
      <c r="K9438" s="7"/>
      <c r="L9438" s="7"/>
      <c r="M9438" s="7"/>
      <c r="N9438" s="7"/>
      <c r="O9438" s="7"/>
      <c r="P9438" s="7"/>
      <c r="Q9438" s="7"/>
      <c r="R9438" s="7"/>
      <c r="S9438" s="7"/>
      <c r="T9438" s="7"/>
      <c r="U9438" s="7"/>
      <c r="V9438" s="7"/>
      <c r="W9438" s="7"/>
      <c r="X9438" s="7"/>
      <c r="Y9438" s="7"/>
      <c r="Z9438" s="7"/>
    </row>
    <row r="9439" hidden="1">
      <c r="A9439" s="7"/>
      <c r="B9439" s="7"/>
      <c r="C9439" s="7"/>
      <c r="D9439" s="7"/>
      <c r="E9439" s="7"/>
      <c r="F9439" s="7"/>
      <c r="G9439" s="7"/>
      <c r="H9439" s="8"/>
      <c r="I9439" s="8"/>
      <c r="J9439" s="7"/>
      <c r="K9439" s="7"/>
      <c r="L9439" s="7"/>
      <c r="M9439" s="7"/>
      <c r="N9439" s="7"/>
      <c r="O9439" s="7"/>
      <c r="P9439" s="7"/>
      <c r="Q9439" s="7"/>
      <c r="R9439" s="7"/>
      <c r="S9439" s="7"/>
      <c r="T9439" s="7"/>
      <c r="U9439" s="7"/>
      <c r="V9439" s="7"/>
      <c r="W9439" s="7"/>
      <c r="X9439" s="7"/>
      <c r="Y9439" s="7"/>
      <c r="Z9439" s="7"/>
    </row>
    <row r="9440" hidden="1">
      <c r="A9440" s="7"/>
      <c r="B9440" s="7"/>
      <c r="C9440" s="7"/>
      <c r="D9440" s="7"/>
      <c r="E9440" s="7"/>
      <c r="F9440" s="7"/>
      <c r="G9440" s="7"/>
      <c r="H9440" s="8"/>
      <c r="I9440" s="8"/>
      <c r="J9440" s="7"/>
      <c r="K9440" s="7"/>
      <c r="L9440" s="7"/>
      <c r="M9440" s="7"/>
      <c r="N9440" s="7"/>
      <c r="O9440" s="7"/>
      <c r="P9440" s="7"/>
      <c r="Q9440" s="7"/>
      <c r="R9440" s="7"/>
      <c r="S9440" s="7"/>
      <c r="T9440" s="7"/>
      <c r="U9440" s="7"/>
      <c r="V9440" s="7"/>
      <c r="W9440" s="7"/>
      <c r="X9440" s="7"/>
      <c r="Y9440" s="7"/>
      <c r="Z9440" s="7"/>
    </row>
    <row r="9441" hidden="1">
      <c r="A9441" s="7"/>
      <c r="B9441" s="7"/>
      <c r="C9441" s="7"/>
      <c r="D9441" s="7"/>
      <c r="E9441" s="7"/>
      <c r="F9441" s="7"/>
      <c r="G9441" s="7"/>
      <c r="H9441" s="8"/>
      <c r="I9441" s="8"/>
      <c r="J9441" s="7"/>
      <c r="K9441" s="7"/>
      <c r="L9441" s="7"/>
      <c r="M9441" s="7"/>
      <c r="N9441" s="7"/>
      <c r="O9441" s="7"/>
      <c r="P9441" s="7"/>
      <c r="Q9441" s="7"/>
      <c r="R9441" s="7"/>
      <c r="S9441" s="7"/>
      <c r="T9441" s="7"/>
      <c r="U9441" s="7"/>
      <c r="V9441" s="7"/>
      <c r="W9441" s="7"/>
      <c r="X9441" s="7"/>
      <c r="Y9441" s="7"/>
      <c r="Z9441" s="7"/>
    </row>
    <row r="9442" hidden="1">
      <c r="A9442" s="7"/>
      <c r="B9442" s="7"/>
      <c r="C9442" s="7"/>
      <c r="D9442" s="7"/>
      <c r="E9442" s="7"/>
      <c r="F9442" s="7"/>
      <c r="G9442" s="7"/>
      <c r="H9442" s="8"/>
      <c r="I9442" s="8"/>
      <c r="J9442" s="7"/>
      <c r="K9442" s="7"/>
      <c r="L9442" s="7"/>
      <c r="M9442" s="7"/>
      <c r="N9442" s="7"/>
      <c r="O9442" s="7"/>
      <c r="P9442" s="7"/>
      <c r="Q9442" s="7"/>
      <c r="R9442" s="7"/>
      <c r="S9442" s="7"/>
      <c r="T9442" s="7"/>
      <c r="U9442" s="7"/>
      <c r="V9442" s="7"/>
      <c r="W9442" s="7"/>
      <c r="X9442" s="7"/>
      <c r="Y9442" s="7"/>
      <c r="Z9442" s="7"/>
    </row>
    <row r="9443" hidden="1">
      <c r="A9443" s="7"/>
      <c r="B9443" s="7"/>
      <c r="C9443" s="7"/>
      <c r="D9443" s="7"/>
      <c r="E9443" s="7"/>
      <c r="F9443" s="7"/>
      <c r="G9443" s="7"/>
      <c r="H9443" s="8"/>
      <c r="I9443" s="8"/>
      <c r="J9443" s="7"/>
      <c r="K9443" s="7"/>
      <c r="L9443" s="7"/>
      <c r="M9443" s="7"/>
      <c r="N9443" s="7"/>
      <c r="O9443" s="7"/>
      <c r="P9443" s="7"/>
      <c r="Q9443" s="7"/>
      <c r="R9443" s="7"/>
      <c r="S9443" s="7"/>
      <c r="T9443" s="7"/>
      <c r="U9443" s="7"/>
      <c r="V9443" s="7"/>
      <c r="W9443" s="7"/>
      <c r="X9443" s="7"/>
      <c r="Y9443" s="7"/>
      <c r="Z9443" s="7"/>
    </row>
    <row r="9444" hidden="1">
      <c r="A9444" s="7"/>
      <c r="B9444" s="7"/>
      <c r="C9444" s="7"/>
      <c r="D9444" s="7"/>
      <c r="E9444" s="7"/>
      <c r="F9444" s="7"/>
      <c r="G9444" s="7"/>
      <c r="H9444" s="8"/>
      <c r="I9444" s="8"/>
      <c r="J9444" s="7"/>
      <c r="K9444" s="7"/>
      <c r="L9444" s="7"/>
      <c r="M9444" s="7"/>
      <c r="N9444" s="7"/>
      <c r="O9444" s="7"/>
      <c r="P9444" s="7"/>
      <c r="Q9444" s="7"/>
      <c r="R9444" s="7"/>
      <c r="S9444" s="7"/>
      <c r="T9444" s="7"/>
      <c r="U9444" s="7"/>
      <c r="V9444" s="7"/>
      <c r="W9444" s="7"/>
      <c r="X9444" s="7"/>
      <c r="Y9444" s="7"/>
      <c r="Z9444" s="7"/>
    </row>
    <row r="9445" hidden="1">
      <c r="A9445" s="7"/>
      <c r="B9445" s="7"/>
      <c r="C9445" s="7"/>
      <c r="D9445" s="7"/>
      <c r="E9445" s="7"/>
      <c r="F9445" s="7"/>
      <c r="G9445" s="7"/>
      <c r="H9445" s="8"/>
      <c r="I9445" s="8"/>
      <c r="J9445" s="7"/>
      <c r="K9445" s="7"/>
      <c r="L9445" s="7"/>
      <c r="M9445" s="7"/>
      <c r="N9445" s="7"/>
      <c r="O9445" s="7"/>
      <c r="P9445" s="7"/>
      <c r="Q9445" s="7"/>
      <c r="R9445" s="7"/>
      <c r="S9445" s="7"/>
      <c r="T9445" s="7"/>
      <c r="U9445" s="7"/>
      <c r="V9445" s="7"/>
      <c r="W9445" s="7"/>
      <c r="X9445" s="7"/>
      <c r="Y9445" s="7"/>
      <c r="Z9445" s="7"/>
    </row>
    <row r="9446" hidden="1">
      <c r="A9446" s="7"/>
      <c r="B9446" s="7"/>
      <c r="C9446" s="7"/>
      <c r="D9446" s="7"/>
      <c r="E9446" s="7"/>
      <c r="F9446" s="7"/>
      <c r="G9446" s="7"/>
      <c r="H9446" s="8"/>
      <c r="I9446" s="8"/>
      <c r="J9446" s="7"/>
      <c r="K9446" s="7"/>
      <c r="L9446" s="7"/>
      <c r="M9446" s="7"/>
      <c r="N9446" s="7"/>
      <c r="O9446" s="7"/>
      <c r="P9446" s="7"/>
      <c r="Q9446" s="7"/>
      <c r="R9446" s="7"/>
      <c r="S9446" s="7"/>
      <c r="T9446" s="7"/>
      <c r="U9446" s="7"/>
      <c r="V9446" s="7"/>
      <c r="W9446" s="7"/>
      <c r="X9446" s="7"/>
      <c r="Y9446" s="7"/>
      <c r="Z9446" s="7"/>
    </row>
    <row r="9447" hidden="1">
      <c r="A9447" s="7"/>
      <c r="B9447" s="7"/>
      <c r="C9447" s="7"/>
      <c r="D9447" s="7"/>
      <c r="E9447" s="7"/>
      <c r="F9447" s="7"/>
      <c r="G9447" s="7"/>
      <c r="H9447" s="8"/>
      <c r="I9447" s="8"/>
      <c r="J9447" s="7"/>
      <c r="K9447" s="7"/>
      <c r="L9447" s="7"/>
      <c r="M9447" s="7"/>
      <c r="N9447" s="7"/>
      <c r="O9447" s="7"/>
      <c r="P9447" s="7"/>
      <c r="Q9447" s="7"/>
      <c r="R9447" s="7"/>
      <c r="S9447" s="7"/>
      <c r="T9447" s="7"/>
      <c r="U9447" s="7"/>
      <c r="V9447" s="7"/>
      <c r="W9447" s="7"/>
      <c r="X9447" s="7"/>
      <c r="Y9447" s="7"/>
      <c r="Z9447" s="7"/>
    </row>
    <row r="9448" hidden="1">
      <c r="A9448" s="7"/>
      <c r="B9448" s="7"/>
      <c r="C9448" s="7"/>
      <c r="D9448" s="7"/>
      <c r="E9448" s="7"/>
      <c r="F9448" s="7"/>
      <c r="G9448" s="7"/>
      <c r="H9448" s="8"/>
      <c r="I9448" s="8"/>
      <c r="J9448" s="7"/>
      <c r="K9448" s="7"/>
      <c r="L9448" s="7"/>
      <c r="M9448" s="7"/>
      <c r="N9448" s="7"/>
      <c r="O9448" s="7"/>
      <c r="P9448" s="7"/>
      <c r="Q9448" s="7"/>
      <c r="R9448" s="7"/>
      <c r="S9448" s="7"/>
      <c r="T9448" s="7"/>
      <c r="U9448" s="7"/>
      <c r="V9448" s="7"/>
      <c r="W9448" s="7"/>
      <c r="X9448" s="7"/>
      <c r="Y9448" s="7"/>
      <c r="Z9448" s="7"/>
    </row>
    <row r="9449" hidden="1">
      <c r="A9449" s="7"/>
      <c r="B9449" s="7"/>
      <c r="C9449" s="7"/>
      <c r="D9449" s="7"/>
      <c r="E9449" s="7"/>
      <c r="F9449" s="7"/>
      <c r="G9449" s="7"/>
      <c r="H9449" s="8"/>
      <c r="I9449" s="8"/>
      <c r="J9449" s="7"/>
      <c r="K9449" s="7"/>
      <c r="L9449" s="7"/>
      <c r="M9449" s="7"/>
      <c r="N9449" s="7"/>
      <c r="O9449" s="7"/>
      <c r="P9449" s="7"/>
      <c r="Q9449" s="7"/>
      <c r="R9449" s="7"/>
      <c r="S9449" s="7"/>
      <c r="T9449" s="7"/>
      <c r="U9449" s="7"/>
      <c r="V9449" s="7"/>
      <c r="W9449" s="7"/>
      <c r="X9449" s="7"/>
      <c r="Y9449" s="7"/>
      <c r="Z9449" s="7"/>
    </row>
    <row r="9450" hidden="1">
      <c r="A9450" s="7"/>
      <c r="B9450" s="7"/>
      <c r="C9450" s="7"/>
      <c r="D9450" s="7"/>
      <c r="E9450" s="7"/>
      <c r="F9450" s="7"/>
      <c r="G9450" s="7"/>
      <c r="H9450" s="8"/>
      <c r="I9450" s="8"/>
      <c r="J9450" s="7"/>
      <c r="K9450" s="7"/>
      <c r="L9450" s="7"/>
      <c r="M9450" s="7"/>
      <c r="N9450" s="7"/>
      <c r="O9450" s="7"/>
      <c r="P9450" s="7"/>
      <c r="Q9450" s="7"/>
      <c r="R9450" s="7"/>
      <c r="S9450" s="7"/>
      <c r="T9450" s="7"/>
      <c r="U9450" s="7"/>
      <c r="V9450" s="7"/>
      <c r="W9450" s="7"/>
      <c r="X9450" s="7"/>
      <c r="Y9450" s="7"/>
      <c r="Z9450" s="7"/>
    </row>
    <row r="9451" hidden="1">
      <c r="A9451" s="7"/>
      <c r="B9451" s="7"/>
      <c r="C9451" s="7"/>
      <c r="D9451" s="7"/>
      <c r="E9451" s="7"/>
      <c r="F9451" s="7"/>
      <c r="G9451" s="7"/>
      <c r="H9451" s="8"/>
      <c r="I9451" s="8"/>
      <c r="J9451" s="7"/>
      <c r="K9451" s="7"/>
      <c r="L9451" s="7"/>
      <c r="M9451" s="7"/>
      <c r="N9451" s="7"/>
      <c r="O9451" s="7"/>
      <c r="P9451" s="7"/>
      <c r="Q9451" s="7"/>
      <c r="R9451" s="7"/>
      <c r="S9451" s="7"/>
      <c r="T9451" s="7"/>
      <c r="U9451" s="7"/>
      <c r="V9451" s="7"/>
      <c r="W9451" s="7"/>
      <c r="X9451" s="7"/>
      <c r="Y9451" s="7"/>
      <c r="Z9451" s="7"/>
    </row>
    <row r="9452" hidden="1">
      <c r="A9452" s="7"/>
      <c r="B9452" s="7"/>
      <c r="C9452" s="7"/>
      <c r="D9452" s="7"/>
      <c r="E9452" s="7"/>
      <c r="F9452" s="7"/>
      <c r="G9452" s="7"/>
      <c r="H9452" s="8"/>
      <c r="I9452" s="8"/>
      <c r="J9452" s="7"/>
      <c r="K9452" s="7"/>
      <c r="L9452" s="7"/>
      <c r="M9452" s="7"/>
      <c r="N9452" s="7"/>
      <c r="O9452" s="7"/>
      <c r="P9452" s="7"/>
      <c r="Q9452" s="7"/>
      <c r="R9452" s="7"/>
      <c r="S9452" s="7"/>
      <c r="T9452" s="7"/>
      <c r="U9452" s="7"/>
      <c r="V9452" s="7"/>
      <c r="W9452" s="7"/>
      <c r="X9452" s="7"/>
      <c r="Y9452" s="7"/>
      <c r="Z9452" s="7"/>
    </row>
    <row r="9453" hidden="1">
      <c r="A9453" s="7"/>
      <c r="B9453" s="7"/>
      <c r="C9453" s="7"/>
      <c r="D9453" s="7"/>
      <c r="E9453" s="7"/>
      <c r="F9453" s="7"/>
      <c r="G9453" s="7"/>
      <c r="H9453" s="8"/>
      <c r="I9453" s="8"/>
      <c r="J9453" s="7"/>
      <c r="K9453" s="7"/>
      <c r="L9453" s="7"/>
      <c r="M9453" s="7"/>
      <c r="N9453" s="7"/>
      <c r="O9453" s="7"/>
      <c r="P9453" s="7"/>
      <c r="Q9453" s="7"/>
      <c r="R9453" s="7"/>
      <c r="S9453" s="7"/>
      <c r="T9453" s="7"/>
      <c r="U9453" s="7"/>
      <c r="V9453" s="7"/>
      <c r="W9453" s="7"/>
      <c r="X9453" s="7"/>
      <c r="Y9453" s="7"/>
      <c r="Z9453" s="7"/>
    </row>
    <row r="9454" hidden="1">
      <c r="A9454" s="7"/>
      <c r="B9454" s="7"/>
      <c r="C9454" s="7"/>
      <c r="D9454" s="7"/>
      <c r="E9454" s="7"/>
      <c r="F9454" s="7"/>
      <c r="G9454" s="7"/>
      <c r="H9454" s="8"/>
      <c r="I9454" s="8"/>
      <c r="J9454" s="7"/>
      <c r="K9454" s="7"/>
      <c r="L9454" s="7"/>
      <c r="M9454" s="7"/>
      <c r="N9454" s="7"/>
      <c r="O9454" s="7"/>
      <c r="P9454" s="7"/>
      <c r="Q9454" s="7"/>
      <c r="R9454" s="7"/>
      <c r="S9454" s="7"/>
      <c r="T9454" s="7"/>
      <c r="U9454" s="7"/>
      <c r="V9454" s="7"/>
      <c r="W9454" s="7"/>
      <c r="X9454" s="7"/>
      <c r="Y9454" s="7"/>
      <c r="Z9454" s="7"/>
    </row>
    <row r="9455" hidden="1">
      <c r="A9455" s="7"/>
      <c r="B9455" s="7"/>
      <c r="C9455" s="7"/>
      <c r="D9455" s="7"/>
      <c r="E9455" s="7"/>
      <c r="F9455" s="7"/>
      <c r="G9455" s="7"/>
      <c r="H9455" s="8"/>
      <c r="I9455" s="8"/>
      <c r="J9455" s="7"/>
      <c r="K9455" s="7"/>
      <c r="L9455" s="7"/>
      <c r="M9455" s="7"/>
      <c r="N9455" s="7"/>
      <c r="O9455" s="7"/>
      <c r="P9455" s="7"/>
      <c r="Q9455" s="7"/>
      <c r="R9455" s="7"/>
      <c r="S9455" s="7"/>
      <c r="T9455" s="7"/>
      <c r="U9455" s="7"/>
      <c r="V9455" s="7"/>
      <c r="W9455" s="7"/>
      <c r="X9455" s="7"/>
      <c r="Y9455" s="7"/>
      <c r="Z9455" s="7"/>
    </row>
    <row r="9456" hidden="1">
      <c r="A9456" s="7"/>
      <c r="B9456" s="7"/>
      <c r="C9456" s="7"/>
      <c r="D9456" s="7"/>
      <c r="E9456" s="7"/>
      <c r="F9456" s="7"/>
      <c r="G9456" s="7"/>
      <c r="H9456" s="8"/>
      <c r="I9456" s="8"/>
      <c r="J9456" s="7"/>
      <c r="K9456" s="7"/>
      <c r="L9456" s="7"/>
      <c r="M9456" s="7"/>
      <c r="N9456" s="7"/>
      <c r="O9456" s="7"/>
      <c r="P9456" s="7"/>
      <c r="Q9456" s="7"/>
      <c r="R9456" s="7"/>
      <c r="S9456" s="7"/>
      <c r="T9456" s="7"/>
      <c r="U9456" s="7"/>
      <c r="V9456" s="7"/>
      <c r="W9456" s="7"/>
      <c r="X9456" s="7"/>
      <c r="Y9456" s="7"/>
      <c r="Z9456" s="7"/>
    </row>
    <row r="9457" hidden="1">
      <c r="A9457" s="7"/>
      <c r="B9457" s="7"/>
      <c r="C9457" s="7"/>
      <c r="D9457" s="7"/>
      <c r="E9457" s="7"/>
      <c r="F9457" s="7"/>
      <c r="G9457" s="7"/>
      <c r="H9457" s="8"/>
      <c r="I9457" s="8"/>
      <c r="J9457" s="7"/>
      <c r="K9457" s="7"/>
      <c r="L9457" s="7"/>
      <c r="M9457" s="7"/>
      <c r="N9457" s="7"/>
      <c r="O9457" s="7"/>
      <c r="P9457" s="7"/>
      <c r="Q9457" s="7"/>
      <c r="R9457" s="7"/>
      <c r="S9457" s="7"/>
      <c r="T9457" s="7"/>
      <c r="U9457" s="7"/>
      <c r="V9457" s="7"/>
      <c r="W9457" s="7"/>
      <c r="X9457" s="7"/>
      <c r="Y9457" s="7"/>
      <c r="Z9457" s="7"/>
    </row>
    <row r="9458" hidden="1">
      <c r="A9458" s="7"/>
      <c r="B9458" s="7"/>
      <c r="C9458" s="7"/>
      <c r="D9458" s="7"/>
      <c r="E9458" s="7"/>
      <c r="F9458" s="7"/>
      <c r="G9458" s="7"/>
      <c r="H9458" s="8"/>
      <c r="I9458" s="8"/>
      <c r="J9458" s="7"/>
      <c r="K9458" s="7"/>
      <c r="L9458" s="7"/>
      <c r="M9458" s="7"/>
      <c r="N9458" s="7"/>
      <c r="O9458" s="7"/>
      <c r="P9458" s="7"/>
      <c r="Q9458" s="7"/>
      <c r="R9458" s="7"/>
      <c r="S9458" s="7"/>
      <c r="T9458" s="7"/>
      <c r="U9458" s="7"/>
      <c r="V9458" s="7"/>
      <c r="W9458" s="7"/>
      <c r="X9458" s="7"/>
      <c r="Y9458" s="7"/>
      <c r="Z9458" s="7"/>
    </row>
    <row r="9459" hidden="1">
      <c r="A9459" s="7"/>
      <c r="B9459" s="7"/>
      <c r="C9459" s="7"/>
      <c r="D9459" s="7"/>
      <c r="E9459" s="7"/>
      <c r="F9459" s="7"/>
      <c r="G9459" s="7"/>
      <c r="H9459" s="8"/>
      <c r="I9459" s="8"/>
      <c r="J9459" s="7"/>
      <c r="K9459" s="7"/>
      <c r="L9459" s="7"/>
      <c r="M9459" s="7"/>
      <c r="N9459" s="7"/>
      <c r="O9459" s="7"/>
      <c r="P9459" s="7"/>
      <c r="Q9459" s="7"/>
      <c r="R9459" s="7"/>
      <c r="S9459" s="7"/>
      <c r="T9459" s="7"/>
      <c r="U9459" s="7"/>
      <c r="V9459" s="7"/>
      <c r="W9459" s="7"/>
      <c r="X9459" s="7"/>
      <c r="Y9459" s="7"/>
      <c r="Z9459" s="7"/>
    </row>
    <row r="9460" hidden="1">
      <c r="A9460" s="7"/>
      <c r="B9460" s="7"/>
      <c r="C9460" s="7"/>
      <c r="D9460" s="7"/>
      <c r="E9460" s="7"/>
      <c r="F9460" s="7"/>
      <c r="G9460" s="7"/>
      <c r="H9460" s="8"/>
      <c r="I9460" s="8"/>
      <c r="J9460" s="7"/>
      <c r="K9460" s="7"/>
      <c r="L9460" s="7"/>
      <c r="M9460" s="7"/>
      <c r="N9460" s="7"/>
      <c r="O9460" s="7"/>
      <c r="P9460" s="7"/>
      <c r="Q9460" s="7"/>
      <c r="R9460" s="7"/>
      <c r="S9460" s="7"/>
      <c r="T9460" s="7"/>
      <c r="U9460" s="7"/>
      <c r="V9460" s="7"/>
      <c r="W9460" s="7"/>
      <c r="X9460" s="7"/>
      <c r="Y9460" s="7"/>
      <c r="Z9460" s="7"/>
    </row>
    <row r="9461" hidden="1">
      <c r="A9461" s="7"/>
      <c r="B9461" s="7"/>
      <c r="C9461" s="7"/>
      <c r="D9461" s="7"/>
      <c r="E9461" s="7"/>
      <c r="F9461" s="7"/>
      <c r="G9461" s="7"/>
      <c r="H9461" s="8"/>
      <c r="I9461" s="8"/>
      <c r="J9461" s="7"/>
      <c r="K9461" s="7"/>
      <c r="L9461" s="7"/>
      <c r="M9461" s="7"/>
      <c r="N9461" s="7"/>
      <c r="O9461" s="7"/>
      <c r="P9461" s="7"/>
      <c r="Q9461" s="7"/>
      <c r="R9461" s="7"/>
      <c r="S9461" s="7"/>
      <c r="T9461" s="7"/>
      <c r="U9461" s="7"/>
      <c r="V9461" s="7"/>
      <c r="W9461" s="7"/>
      <c r="X9461" s="7"/>
      <c r="Y9461" s="7"/>
      <c r="Z9461" s="7"/>
    </row>
    <row r="9462" hidden="1">
      <c r="A9462" s="7"/>
      <c r="B9462" s="7"/>
      <c r="C9462" s="7"/>
      <c r="D9462" s="7"/>
      <c r="E9462" s="7"/>
      <c r="F9462" s="7"/>
      <c r="G9462" s="7"/>
      <c r="H9462" s="8"/>
      <c r="I9462" s="8"/>
      <c r="J9462" s="7"/>
      <c r="K9462" s="7"/>
      <c r="L9462" s="7"/>
      <c r="M9462" s="7"/>
      <c r="N9462" s="7"/>
      <c r="O9462" s="7"/>
      <c r="P9462" s="7"/>
      <c r="Q9462" s="7"/>
      <c r="R9462" s="7"/>
      <c r="S9462" s="7"/>
      <c r="T9462" s="7"/>
      <c r="U9462" s="7"/>
      <c r="V9462" s="7"/>
      <c r="W9462" s="7"/>
      <c r="X9462" s="7"/>
      <c r="Y9462" s="7"/>
      <c r="Z9462" s="7"/>
    </row>
    <row r="9463" hidden="1">
      <c r="A9463" s="7"/>
      <c r="B9463" s="7"/>
      <c r="C9463" s="7"/>
      <c r="D9463" s="7"/>
      <c r="E9463" s="7"/>
      <c r="F9463" s="7"/>
      <c r="G9463" s="7"/>
      <c r="H9463" s="8"/>
      <c r="I9463" s="8"/>
      <c r="J9463" s="7"/>
      <c r="K9463" s="7"/>
      <c r="L9463" s="7"/>
      <c r="M9463" s="7"/>
      <c r="N9463" s="7"/>
      <c r="O9463" s="7"/>
      <c r="P9463" s="7"/>
      <c r="Q9463" s="7"/>
      <c r="R9463" s="7"/>
      <c r="S9463" s="7"/>
      <c r="T9463" s="7"/>
      <c r="U9463" s="7"/>
      <c r="V9463" s="7"/>
      <c r="W9463" s="7"/>
      <c r="X9463" s="7"/>
      <c r="Y9463" s="7"/>
      <c r="Z9463" s="7"/>
    </row>
    <row r="9464" hidden="1">
      <c r="A9464" s="7"/>
      <c r="B9464" s="7"/>
      <c r="C9464" s="7"/>
      <c r="D9464" s="7"/>
      <c r="E9464" s="7"/>
      <c r="F9464" s="7"/>
      <c r="G9464" s="7"/>
      <c r="H9464" s="8"/>
      <c r="I9464" s="8"/>
      <c r="J9464" s="7"/>
      <c r="K9464" s="7"/>
      <c r="L9464" s="7"/>
      <c r="M9464" s="7"/>
      <c r="N9464" s="7"/>
      <c r="O9464" s="7"/>
      <c r="P9464" s="7"/>
      <c r="Q9464" s="7"/>
      <c r="R9464" s="7"/>
      <c r="S9464" s="7"/>
      <c r="T9464" s="7"/>
      <c r="U9464" s="7"/>
      <c r="V9464" s="7"/>
      <c r="W9464" s="7"/>
      <c r="X9464" s="7"/>
      <c r="Y9464" s="7"/>
      <c r="Z9464" s="7"/>
    </row>
    <row r="9465" hidden="1">
      <c r="A9465" s="7"/>
      <c r="B9465" s="7"/>
      <c r="C9465" s="7"/>
      <c r="D9465" s="7"/>
      <c r="E9465" s="7"/>
      <c r="F9465" s="7"/>
      <c r="G9465" s="7"/>
      <c r="H9465" s="8"/>
      <c r="I9465" s="8"/>
      <c r="J9465" s="7"/>
      <c r="K9465" s="7"/>
      <c r="L9465" s="7"/>
      <c r="M9465" s="7"/>
      <c r="N9465" s="7"/>
      <c r="O9465" s="7"/>
      <c r="P9465" s="7"/>
      <c r="Q9465" s="7"/>
      <c r="R9465" s="7"/>
      <c r="S9465" s="7"/>
      <c r="T9465" s="7"/>
      <c r="U9465" s="7"/>
      <c r="V9465" s="7"/>
      <c r="W9465" s="7"/>
      <c r="X9465" s="7"/>
      <c r="Y9465" s="7"/>
      <c r="Z9465" s="7"/>
    </row>
    <row r="9466" hidden="1">
      <c r="A9466" s="7"/>
      <c r="B9466" s="7"/>
      <c r="C9466" s="7"/>
      <c r="D9466" s="7"/>
      <c r="E9466" s="7"/>
      <c r="F9466" s="7"/>
      <c r="G9466" s="7"/>
      <c r="H9466" s="8"/>
      <c r="I9466" s="8"/>
      <c r="J9466" s="7"/>
      <c r="K9466" s="7"/>
      <c r="L9466" s="7"/>
      <c r="M9466" s="7"/>
      <c r="N9466" s="7"/>
      <c r="O9466" s="7"/>
      <c r="P9466" s="7"/>
      <c r="Q9466" s="7"/>
      <c r="R9466" s="7"/>
      <c r="S9466" s="7"/>
      <c r="T9466" s="7"/>
      <c r="U9466" s="7"/>
      <c r="V9466" s="7"/>
      <c r="W9466" s="7"/>
      <c r="X9466" s="7"/>
      <c r="Y9466" s="7"/>
      <c r="Z9466" s="7"/>
    </row>
    <row r="9467" hidden="1">
      <c r="A9467" s="7"/>
      <c r="B9467" s="7"/>
      <c r="C9467" s="7"/>
      <c r="D9467" s="7"/>
      <c r="E9467" s="7"/>
      <c r="F9467" s="7"/>
      <c r="G9467" s="7"/>
      <c r="H9467" s="8"/>
      <c r="I9467" s="8"/>
      <c r="J9467" s="7"/>
      <c r="K9467" s="7"/>
      <c r="L9467" s="7"/>
      <c r="M9467" s="7"/>
      <c r="N9467" s="7"/>
      <c r="O9467" s="7"/>
      <c r="P9467" s="7"/>
      <c r="Q9467" s="7"/>
      <c r="R9467" s="7"/>
      <c r="S9467" s="7"/>
      <c r="T9467" s="7"/>
      <c r="U9467" s="7"/>
      <c r="V9467" s="7"/>
      <c r="W9467" s="7"/>
      <c r="X9467" s="7"/>
      <c r="Y9467" s="7"/>
      <c r="Z9467" s="7"/>
    </row>
    <row r="9468" hidden="1">
      <c r="A9468" s="7"/>
      <c r="B9468" s="7"/>
      <c r="C9468" s="7"/>
      <c r="D9468" s="7"/>
      <c r="E9468" s="7"/>
      <c r="F9468" s="7"/>
      <c r="G9468" s="7"/>
      <c r="H9468" s="8"/>
      <c r="I9468" s="8"/>
      <c r="J9468" s="7"/>
      <c r="K9468" s="7"/>
      <c r="L9468" s="7"/>
      <c r="M9468" s="7"/>
      <c r="N9468" s="7"/>
      <c r="O9468" s="7"/>
      <c r="P9468" s="7"/>
      <c r="Q9468" s="7"/>
      <c r="R9468" s="7"/>
      <c r="S9468" s="7"/>
      <c r="T9468" s="7"/>
      <c r="U9468" s="7"/>
      <c r="V9468" s="7"/>
      <c r="W9468" s="7"/>
      <c r="X9468" s="7"/>
      <c r="Y9468" s="7"/>
      <c r="Z9468" s="7"/>
    </row>
    <row r="9469" hidden="1">
      <c r="A9469" s="7"/>
      <c r="B9469" s="7"/>
      <c r="C9469" s="7"/>
      <c r="D9469" s="7"/>
      <c r="E9469" s="7"/>
      <c r="F9469" s="7"/>
      <c r="G9469" s="7"/>
      <c r="H9469" s="8"/>
      <c r="I9469" s="8"/>
      <c r="J9469" s="7"/>
      <c r="K9469" s="7"/>
      <c r="L9469" s="7"/>
      <c r="M9469" s="7"/>
      <c r="N9469" s="7"/>
      <c r="O9469" s="7"/>
      <c r="P9469" s="7"/>
      <c r="Q9469" s="7"/>
      <c r="R9469" s="7"/>
      <c r="S9469" s="7"/>
      <c r="T9469" s="7"/>
      <c r="U9469" s="7"/>
      <c r="V9469" s="7"/>
      <c r="W9469" s="7"/>
      <c r="X9469" s="7"/>
      <c r="Y9469" s="7"/>
      <c r="Z9469" s="7"/>
    </row>
    <row r="9470" hidden="1">
      <c r="A9470" s="7"/>
      <c r="B9470" s="7"/>
      <c r="C9470" s="7"/>
      <c r="D9470" s="7"/>
      <c r="E9470" s="7"/>
      <c r="F9470" s="7"/>
      <c r="G9470" s="7"/>
      <c r="H9470" s="8"/>
      <c r="I9470" s="8"/>
      <c r="J9470" s="7"/>
      <c r="K9470" s="7"/>
      <c r="L9470" s="7"/>
      <c r="M9470" s="7"/>
      <c r="N9470" s="7"/>
      <c r="O9470" s="7"/>
      <c r="P9470" s="7"/>
      <c r="Q9470" s="7"/>
      <c r="R9470" s="7"/>
      <c r="S9470" s="7"/>
      <c r="T9470" s="7"/>
      <c r="U9470" s="7"/>
      <c r="V9470" s="7"/>
      <c r="W9470" s="7"/>
      <c r="X9470" s="7"/>
      <c r="Y9470" s="7"/>
      <c r="Z9470" s="7"/>
    </row>
    <row r="9471" hidden="1">
      <c r="A9471" s="7"/>
      <c r="B9471" s="7"/>
      <c r="C9471" s="7"/>
      <c r="D9471" s="7"/>
      <c r="E9471" s="7"/>
      <c r="F9471" s="7"/>
      <c r="G9471" s="7"/>
      <c r="H9471" s="8"/>
      <c r="I9471" s="8"/>
      <c r="J9471" s="7"/>
      <c r="K9471" s="7"/>
      <c r="L9471" s="7"/>
      <c r="M9471" s="7"/>
      <c r="N9471" s="7"/>
      <c r="O9471" s="7"/>
      <c r="P9471" s="7"/>
      <c r="Q9471" s="7"/>
      <c r="R9471" s="7"/>
      <c r="S9471" s="7"/>
      <c r="T9471" s="7"/>
      <c r="U9471" s="7"/>
      <c r="V9471" s="7"/>
      <c r="W9471" s="7"/>
      <c r="X9471" s="7"/>
      <c r="Y9471" s="7"/>
      <c r="Z9471" s="7"/>
    </row>
    <row r="9472" hidden="1">
      <c r="A9472" s="7"/>
      <c r="B9472" s="7"/>
      <c r="C9472" s="7"/>
      <c r="D9472" s="7"/>
      <c r="E9472" s="7"/>
      <c r="F9472" s="7"/>
      <c r="G9472" s="7"/>
      <c r="H9472" s="8"/>
      <c r="I9472" s="8"/>
      <c r="J9472" s="7"/>
      <c r="K9472" s="7"/>
      <c r="L9472" s="7"/>
      <c r="M9472" s="7"/>
      <c r="N9472" s="7"/>
      <c r="O9472" s="7"/>
      <c r="P9472" s="7"/>
      <c r="Q9472" s="7"/>
      <c r="R9472" s="7"/>
      <c r="S9472" s="7"/>
      <c r="T9472" s="7"/>
      <c r="U9472" s="7"/>
      <c r="V9472" s="7"/>
      <c r="W9472" s="7"/>
      <c r="X9472" s="7"/>
      <c r="Y9472" s="7"/>
      <c r="Z9472" s="7"/>
    </row>
    <row r="9473" hidden="1">
      <c r="A9473" s="7"/>
      <c r="B9473" s="7"/>
      <c r="C9473" s="7"/>
      <c r="D9473" s="7"/>
      <c r="E9473" s="7"/>
      <c r="F9473" s="7"/>
      <c r="G9473" s="7"/>
      <c r="H9473" s="8"/>
      <c r="I9473" s="8"/>
      <c r="J9473" s="7"/>
      <c r="K9473" s="7"/>
      <c r="L9473" s="7"/>
      <c r="M9473" s="7"/>
      <c r="N9473" s="7"/>
      <c r="O9473" s="7"/>
      <c r="P9473" s="7"/>
      <c r="Q9473" s="7"/>
      <c r="R9473" s="7"/>
      <c r="S9473" s="7"/>
      <c r="T9473" s="7"/>
      <c r="U9473" s="7"/>
      <c r="V9473" s="7"/>
      <c r="W9473" s="7"/>
      <c r="X9473" s="7"/>
      <c r="Y9473" s="7"/>
      <c r="Z9473" s="7"/>
    </row>
    <row r="9474" hidden="1">
      <c r="A9474" s="7"/>
      <c r="B9474" s="7"/>
      <c r="C9474" s="7"/>
      <c r="D9474" s="7"/>
      <c r="E9474" s="7"/>
      <c r="F9474" s="7"/>
      <c r="G9474" s="7"/>
      <c r="H9474" s="8"/>
      <c r="I9474" s="8"/>
      <c r="J9474" s="7"/>
      <c r="K9474" s="7"/>
      <c r="L9474" s="7"/>
      <c r="M9474" s="7"/>
      <c r="N9474" s="7"/>
      <c r="O9474" s="7"/>
      <c r="P9474" s="7"/>
      <c r="Q9474" s="7"/>
      <c r="R9474" s="7"/>
      <c r="S9474" s="7"/>
      <c r="T9474" s="7"/>
      <c r="U9474" s="7"/>
      <c r="V9474" s="7"/>
      <c r="W9474" s="7"/>
      <c r="X9474" s="7"/>
      <c r="Y9474" s="7"/>
      <c r="Z9474" s="7"/>
    </row>
    <row r="9475" hidden="1">
      <c r="A9475" s="7"/>
      <c r="B9475" s="7"/>
      <c r="C9475" s="7"/>
      <c r="D9475" s="7"/>
      <c r="E9475" s="7"/>
      <c r="F9475" s="7"/>
      <c r="G9475" s="7"/>
      <c r="H9475" s="8"/>
      <c r="I9475" s="8"/>
      <c r="J9475" s="7"/>
      <c r="K9475" s="7"/>
      <c r="L9475" s="7"/>
      <c r="M9475" s="7"/>
      <c r="N9475" s="7"/>
      <c r="O9475" s="7"/>
      <c r="P9475" s="7"/>
      <c r="Q9475" s="7"/>
      <c r="R9475" s="7"/>
      <c r="S9475" s="7"/>
      <c r="T9475" s="7"/>
      <c r="U9475" s="7"/>
      <c r="V9475" s="7"/>
      <c r="W9475" s="7"/>
      <c r="X9475" s="7"/>
      <c r="Y9475" s="7"/>
      <c r="Z9475" s="7"/>
    </row>
    <row r="9476" hidden="1">
      <c r="A9476" s="7"/>
      <c r="B9476" s="7"/>
      <c r="C9476" s="7"/>
      <c r="D9476" s="7"/>
      <c r="E9476" s="7"/>
      <c r="F9476" s="7"/>
      <c r="G9476" s="7"/>
      <c r="H9476" s="8"/>
      <c r="I9476" s="8"/>
      <c r="J9476" s="7"/>
      <c r="K9476" s="7"/>
      <c r="L9476" s="7"/>
      <c r="M9476" s="7"/>
      <c r="N9476" s="7"/>
      <c r="O9476" s="7"/>
      <c r="P9476" s="7"/>
      <c r="Q9476" s="7"/>
      <c r="R9476" s="7"/>
      <c r="S9476" s="7"/>
      <c r="T9476" s="7"/>
      <c r="U9476" s="7"/>
      <c r="V9476" s="7"/>
      <c r="W9476" s="7"/>
      <c r="X9476" s="7"/>
      <c r="Y9476" s="7"/>
      <c r="Z9476" s="7"/>
    </row>
    <row r="9477" hidden="1">
      <c r="A9477" s="7"/>
      <c r="B9477" s="7"/>
      <c r="C9477" s="7"/>
      <c r="D9477" s="7"/>
      <c r="E9477" s="7"/>
      <c r="F9477" s="7"/>
      <c r="G9477" s="7"/>
      <c r="H9477" s="8"/>
      <c r="I9477" s="8"/>
      <c r="J9477" s="7"/>
      <c r="K9477" s="7"/>
      <c r="L9477" s="7"/>
      <c r="M9477" s="7"/>
      <c r="N9477" s="7"/>
      <c r="O9477" s="7"/>
      <c r="P9477" s="7"/>
      <c r="Q9477" s="7"/>
      <c r="R9477" s="7"/>
      <c r="S9477" s="7"/>
      <c r="T9477" s="7"/>
      <c r="U9477" s="7"/>
      <c r="V9477" s="7"/>
      <c r="W9477" s="7"/>
      <c r="X9477" s="7"/>
      <c r="Y9477" s="7"/>
      <c r="Z9477" s="7"/>
    </row>
    <row r="9478" hidden="1">
      <c r="A9478" s="7"/>
      <c r="B9478" s="7"/>
      <c r="C9478" s="7"/>
      <c r="D9478" s="7"/>
      <c r="E9478" s="7"/>
      <c r="F9478" s="7"/>
      <c r="G9478" s="7"/>
      <c r="H9478" s="8"/>
      <c r="I9478" s="8"/>
      <c r="J9478" s="7"/>
      <c r="K9478" s="7"/>
      <c r="L9478" s="7"/>
      <c r="M9478" s="7"/>
      <c r="N9478" s="7"/>
      <c r="O9478" s="7"/>
      <c r="P9478" s="7"/>
      <c r="Q9478" s="7"/>
      <c r="R9478" s="7"/>
      <c r="S9478" s="7"/>
      <c r="T9478" s="7"/>
      <c r="U9478" s="7"/>
      <c r="V9478" s="7"/>
      <c r="W9478" s="7"/>
      <c r="X9478" s="7"/>
      <c r="Y9478" s="7"/>
      <c r="Z9478" s="7"/>
    </row>
    <row r="9479" hidden="1">
      <c r="A9479" s="7"/>
      <c r="B9479" s="7"/>
      <c r="C9479" s="7"/>
      <c r="D9479" s="7"/>
      <c r="E9479" s="7"/>
      <c r="F9479" s="7"/>
      <c r="G9479" s="7"/>
      <c r="H9479" s="8"/>
      <c r="I9479" s="8"/>
      <c r="J9479" s="7"/>
      <c r="K9479" s="7"/>
      <c r="L9479" s="7"/>
      <c r="M9479" s="7"/>
      <c r="N9479" s="7"/>
      <c r="O9479" s="7"/>
      <c r="P9479" s="7"/>
      <c r="Q9479" s="7"/>
      <c r="R9479" s="7"/>
      <c r="S9479" s="7"/>
      <c r="T9479" s="7"/>
      <c r="U9479" s="7"/>
      <c r="V9479" s="7"/>
      <c r="W9479" s="7"/>
      <c r="X9479" s="7"/>
      <c r="Y9479" s="7"/>
      <c r="Z9479" s="7"/>
    </row>
    <row r="9480" hidden="1">
      <c r="A9480" s="7"/>
      <c r="B9480" s="7"/>
      <c r="C9480" s="7"/>
      <c r="D9480" s="7"/>
      <c r="E9480" s="7"/>
      <c r="F9480" s="7"/>
      <c r="G9480" s="7"/>
      <c r="H9480" s="8"/>
      <c r="I9480" s="8"/>
      <c r="J9480" s="7"/>
      <c r="K9480" s="7"/>
      <c r="L9480" s="7"/>
      <c r="M9480" s="7"/>
      <c r="N9480" s="7"/>
      <c r="O9480" s="7"/>
      <c r="P9480" s="7"/>
      <c r="Q9480" s="7"/>
      <c r="R9480" s="7"/>
      <c r="S9480" s="7"/>
      <c r="T9480" s="7"/>
      <c r="U9480" s="7"/>
      <c r="V9480" s="7"/>
      <c r="W9480" s="7"/>
      <c r="X9480" s="7"/>
      <c r="Y9480" s="7"/>
      <c r="Z9480" s="7"/>
    </row>
    <row r="9481" hidden="1">
      <c r="A9481" s="7"/>
      <c r="B9481" s="7"/>
      <c r="C9481" s="7"/>
      <c r="D9481" s="7"/>
      <c r="E9481" s="7"/>
      <c r="F9481" s="7"/>
      <c r="G9481" s="7"/>
      <c r="H9481" s="8"/>
      <c r="I9481" s="8"/>
      <c r="J9481" s="7"/>
      <c r="K9481" s="7"/>
      <c r="L9481" s="7"/>
      <c r="M9481" s="7"/>
      <c r="N9481" s="7"/>
      <c r="O9481" s="7"/>
      <c r="P9481" s="7"/>
      <c r="Q9481" s="7"/>
      <c r="R9481" s="7"/>
      <c r="S9481" s="7"/>
      <c r="T9481" s="7"/>
      <c r="U9481" s="7"/>
      <c r="V9481" s="7"/>
      <c r="W9481" s="7"/>
      <c r="X9481" s="7"/>
      <c r="Y9481" s="7"/>
      <c r="Z9481" s="7"/>
    </row>
    <row r="9482" hidden="1">
      <c r="A9482" s="7"/>
      <c r="B9482" s="7"/>
      <c r="C9482" s="7"/>
      <c r="D9482" s="7"/>
      <c r="E9482" s="7"/>
      <c r="F9482" s="7"/>
      <c r="G9482" s="7"/>
      <c r="H9482" s="8"/>
      <c r="I9482" s="8"/>
      <c r="J9482" s="7"/>
      <c r="K9482" s="7"/>
      <c r="L9482" s="7"/>
      <c r="M9482" s="7"/>
      <c r="N9482" s="7"/>
      <c r="O9482" s="7"/>
      <c r="P9482" s="7"/>
      <c r="Q9482" s="7"/>
      <c r="R9482" s="7"/>
      <c r="S9482" s="7"/>
      <c r="T9482" s="7"/>
      <c r="U9482" s="7"/>
      <c r="V9482" s="7"/>
      <c r="W9482" s="7"/>
      <c r="X9482" s="7"/>
      <c r="Y9482" s="7"/>
      <c r="Z9482" s="7"/>
    </row>
    <row r="9483" hidden="1">
      <c r="A9483" s="7"/>
      <c r="B9483" s="7"/>
      <c r="C9483" s="7"/>
      <c r="D9483" s="7"/>
      <c r="E9483" s="7"/>
      <c r="F9483" s="7"/>
      <c r="G9483" s="7"/>
      <c r="H9483" s="8"/>
      <c r="I9483" s="8"/>
      <c r="J9483" s="7"/>
      <c r="K9483" s="7"/>
      <c r="L9483" s="7"/>
      <c r="M9483" s="7"/>
      <c r="N9483" s="7"/>
      <c r="O9483" s="7"/>
      <c r="P9483" s="7"/>
      <c r="Q9483" s="7"/>
      <c r="R9483" s="7"/>
      <c r="S9483" s="7"/>
      <c r="T9483" s="7"/>
      <c r="U9483" s="7"/>
      <c r="V9483" s="7"/>
      <c r="W9483" s="7"/>
      <c r="X9483" s="7"/>
      <c r="Y9483" s="7"/>
      <c r="Z9483" s="7"/>
    </row>
    <row r="9484" hidden="1">
      <c r="A9484" s="7"/>
      <c r="B9484" s="7"/>
      <c r="C9484" s="7"/>
      <c r="D9484" s="7"/>
      <c r="E9484" s="7"/>
      <c r="F9484" s="7"/>
      <c r="G9484" s="7"/>
      <c r="H9484" s="8"/>
      <c r="I9484" s="8"/>
      <c r="J9484" s="7"/>
      <c r="K9484" s="7"/>
      <c r="L9484" s="7"/>
      <c r="M9484" s="7"/>
      <c r="N9484" s="7"/>
      <c r="O9484" s="7"/>
      <c r="P9484" s="7"/>
      <c r="Q9484" s="7"/>
      <c r="R9484" s="7"/>
      <c r="S9484" s="7"/>
      <c r="T9484" s="7"/>
      <c r="U9484" s="7"/>
      <c r="V9484" s="7"/>
      <c r="W9484" s="7"/>
      <c r="X9484" s="7"/>
      <c r="Y9484" s="7"/>
      <c r="Z9484" s="7"/>
    </row>
    <row r="9485" hidden="1">
      <c r="A9485" s="7"/>
      <c r="B9485" s="7"/>
      <c r="C9485" s="7"/>
      <c r="D9485" s="7"/>
      <c r="E9485" s="7"/>
      <c r="F9485" s="7"/>
      <c r="G9485" s="7"/>
      <c r="H9485" s="8"/>
      <c r="I9485" s="8"/>
      <c r="J9485" s="7"/>
      <c r="K9485" s="7"/>
      <c r="L9485" s="7"/>
      <c r="M9485" s="7"/>
      <c r="N9485" s="7"/>
      <c r="O9485" s="7"/>
      <c r="P9485" s="7"/>
      <c r="Q9485" s="7"/>
      <c r="R9485" s="7"/>
      <c r="S9485" s="7"/>
      <c r="T9485" s="7"/>
      <c r="U9485" s="7"/>
      <c r="V9485" s="7"/>
      <c r="W9485" s="7"/>
      <c r="X9485" s="7"/>
      <c r="Y9485" s="7"/>
      <c r="Z9485" s="7"/>
    </row>
    <row r="9486" hidden="1">
      <c r="A9486" s="7"/>
      <c r="B9486" s="7"/>
      <c r="C9486" s="7"/>
      <c r="D9486" s="7"/>
      <c r="E9486" s="7"/>
      <c r="F9486" s="7"/>
      <c r="G9486" s="7"/>
      <c r="H9486" s="8"/>
      <c r="I9486" s="8"/>
      <c r="J9486" s="7"/>
      <c r="K9486" s="7"/>
      <c r="L9486" s="7"/>
      <c r="M9486" s="7"/>
      <c r="N9486" s="7"/>
      <c r="O9486" s="7"/>
      <c r="P9486" s="7"/>
      <c r="Q9486" s="7"/>
      <c r="R9486" s="7"/>
      <c r="S9486" s="7"/>
      <c r="T9486" s="7"/>
      <c r="U9486" s="7"/>
      <c r="V9486" s="7"/>
      <c r="W9486" s="7"/>
      <c r="X9486" s="7"/>
      <c r="Y9486" s="7"/>
      <c r="Z9486" s="7"/>
    </row>
    <row r="9487" hidden="1">
      <c r="A9487" s="7"/>
      <c r="B9487" s="7"/>
      <c r="C9487" s="7"/>
      <c r="D9487" s="7"/>
      <c r="E9487" s="7"/>
      <c r="F9487" s="7"/>
      <c r="G9487" s="7"/>
      <c r="H9487" s="8"/>
      <c r="I9487" s="8"/>
      <c r="J9487" s="7"/>
      <c r="K9487" s="7"/>
      <c r="L9487" s="7"/>
      <c r="M9487" s="7"/>
      <c r="N9487" s="7"/>
      <c r="O9487" s="7"/>
      <c r="P9487" s="7"/>
      <c r="Q9487" s="7"/>
      <c r="R9487" s="7"/>
      <c r="S9487" s="7"/>
      <c r="T9487" s="7"/>
      <c r="U9487" s="7"/>
      <c r="V9487" s="7"/>
      <c r="W9487" s="7"/>
      <c r="X9487" s="7"/>
      <c r="Y9487" s="7"/>
      <c r="Z9487" s="7"/>
    </row>
    <row r="9488" hidden="1">
      <c r="A9488" s="7"/>
      <c r="B9488" s="7"/>
      <c r="C9488" s="7"/>
      <c r="D9488" s="7"/>
      <c r="E9488" s="7"/>
      <c r="F9488" s="7"/>
      <c r="G9488" s="7"/>
      <c r="H9488" s="8"/>
      <c r="I9488" s="8"/>
      <c r="J9488" s="7"/>
      <c r="K9488" s="7"/>
      <c r="L9488" s="7"/>
      <c r="M9488" s="7"/>
      <c r="N9488" s="7"/>
      <c r="O9488" s="7"/>
      <c r="P9488" s="7"/>
      <c r="Q9488" s="7"/>
      <c r="R9488" s="7"/>
      <c r="S9488" s="7"/>
      <c r="T9488" s="7"/>
      <c r="U9488" s="7"/>
      <c r="V9488" s="7"/>
      <c r="W9488" s="7"/>
      <c r="X9488" s="7"/>
      <c r="Y9488" s="7"/>
      <c r="Z9488" s="7"/>
    </row>
    <row r="9489" hidden="1">
      <c r="A9489" s="7"/>
      <c r="B9489" s="7"/>
      <c r="C9489" s="7"/>
      <c r="D9489" s="7"/>
      <c r="E9489" s="7"/>
      <c r="F9489" s="7"/>
      <c r="G9489" s="7"/>
      <c r="H9489" s="8"/>
      <c r="I9489" s="8"/>
      <c r="J9489" s="7"/>
      <c r="K9489" s="7"/>
      <c r="L9489" s="7"/>
      <c r="M9489" s="7"/>
      <c r="N9489" s="7"/>
      <c r="O9489" s="7"/>
      <c r="P9489" s="7"/>
      <c r="Q9489" s="7"/>
      <c r="R9489" s="7"/>
      <c r="S9489" s="7"/>
      <c r="T9489" s="7"/>
      <c r="U9489" s="7"/>
      <c r="V9489" s="7"/>
      <c r="W9489" s="7"/>
      <c r="X9489" s="7"/>
      <c r="Y9489" s="7"/>
      <c r="Z9489" s="7"/>
    </row>
    <row r="9490" hidden="1">
      <c r="A9490" s="7"/>
      <c r="B9490" s="7"/>
      <c r="C9490" s="7"/>
      <c r="D9490" s="7"/>
      <c r="E9490" s="7"/>
      <c r="F9490" s="7"/>
      <c r="G9490" s="7"/>
      <c r="H9490" s="8"/>
      <c r="I9490" s="8"/>
      <c r="J9490" s="7"/>
      <c r="K9490" s="7"/>
      <c r="L9490" s="7"/>
      <c r="M9490" s="7"/>
      <c r="N9490" s="7"/>
      <c r="O9490" s="7"/>
      <c r="P9490" s="7"/>
      <c r="Q9490" s="7"/>
      <c r="R9490" s="7"/>
      <c r="S9490" s="7"/>
      <c r="T9490" s="7"/>
      <c r="U9490" s="7"/>
      <c r="V9490" s="7"/>
      <c r="W9490" s="7"/>
      <c r="X9490" s="7"/>
      <c r="Y9490" s="7"/>
      <c r="Z9490" s="7"/>
    </row>
    <row r="9491" hidden="1">
      <c r="A9491" s="7"/>
      <c r="B9491" s="7"/>
      <c r="C9491" s="7"/>
      <c r="D9491" s="7"/>
      <c r="E9491" s="7"/>
      <c r="F9491" s="7"/>
      <c r="G9491" s="7"/>
      <c r="H9491" s="8"/>
      <c r="I9491" s="8"/>
      <c r="J9491" s="7"/>
      <c r="K9491" s="7"/>
      <c r="L9491" s="7"/>
      <c r="M9491" s="7"/>
      <c r="N9491" s="7"/>
      <c r="O9491" s="7"/>
      <c r="P9491" s="7"/>
      <c r="Q9491" s="7"/>
      <c r="R9491" s="7"/>
      <c r="S9491" s="7"/>
      <c r="T9491" s="7"/>
      <c r="U9491" s="7"/>
      <c r="V9491" s="7"/>
      <c r="W9491" s="7"/>
      <c r="X9491" s="7"/>
      <c r="Y9491" s="7"/>
      <c r="Z9491" s="7"/>
    </row>
    <row r="9492" hidden="1">
      <c r="A9492" s="7"/>
      <c r="B9492" s="7"/>
      <c r="C9492" s="7"/>
      <c r="D9492" s="7"/>
      <c r="E9492" s="7"/>
      <c r="F9492" s="7"/>
      <c r="G9492" s="7"/>
      <c r="H9492" s="8"/>
      <c r="I9492" s="8"/>
      <c r="J9492" s="7"/>
      <c r="K9492" s="7"/>
      <c r="L9492" s="7"/>
      <c r="M9492" s="7"/>
      <c r="N9492" s="7"/>
      <c r="O9492" s="7"/>
      <c r="P9492" s="7"/>
      <c r="Q9492" s="7"/>
      <c r="R9492" s="7"/>
      <c r="S9492" s="7"/>
      <c r="T9492" s="7"/>
      <c r="U9492" s="7"/>
      <c r="V9492" s="7"/>
      <c r="W9492" s="7"/>
      <c r="X9492" s="7"/>
      <c r="Y9492" s="7"/>
      <c r="Z9492" s="7"/>
    </row>
    <row r="9493" hidden="1">
      <c r="A9493" s="7"/>
      <c r="B9493" s="7"/>
      <c r="C9493" s="7"/>
      <c r="D9493" s="7"/>
      <c r="E9493" s="7"/>
      <c r="F9493" s="7"/>
      <c r="G9493" s="7"/>
      <c r="H9493" s="8"/>
      <c r="I9493" s="8"/>
      <c r="J9493" s="7"/>
      <c r="K9493" s="7"/>
      <c r="L9493" s="7"/>
      <c r="M9493" s="7"/>
      <c r="N9493" s="7"/>
      <c r="O9493" s="7"/>
      <c r="P9493" s="7"/>
      <c r="Q9493" s="7"/>
      <c r="R9493" s="7"/>
      <c r="S9493" s="7"/>
      <c r="T9493" s="7"/>
      <c r="U9493" s="7"/>
      <c r="V9493" s="7"/>
      <c r="W9493" s="7"/>
      <c r="X9493" s="7"/>
      <c r="Y9493" s="7"/>
      <c r="Z9493" s="7"/>
    </row>
    <row r="9494" hidden="1">
      <c r="A9494" s="7"/>
      <c r="B9494" s="7"/>
      <c r="C9494" s="7"/>
      <c r="D9494" s="7"/>
      <c r="E9494" s="7"/>
      <c r="F9494" s="7"/>
      <c r="G9494" s="7"/>
      <c r="H9494" s="8"/>
      <c r="I9494" s="8"/>
      <c r="J9494" s="7"/>
      <c r="K9494" s="7"/>
      <c r="L9494" s="7"/>
      <c r="M9494" s="7"/>
      <c r="N9494" s="7"/>
      <c r="O9494" s="7"/>
      <c r="P9494" s="7"/>
      <c r="Q9494" s="7"/>
      <c r="R9494" s="7"/>
      <c r="S9494" s="7"/>
      <c r="T9494" s="7"/>
      <c r="U9494" s="7"/>
      <c r="V9494" s="7"/>
      <c r="W9494" s="7"/>
      <c r="X9494" s="7"/>
      <c r="Y9494" s="7"/>
      <c r="Z9494" s="7"/>
    </row>
    <row r="9495" hidden="1">
      <c r="A9495" s="7"/>
      <c r="B9495" s="7"/>
      <c r="C9495" s="7"/>
      <c r="D9495" s="7"/>
      <c r="E9495" s="7"/>
      <c r="F9495" s="7"/>
      <c r="G9495" s="7"/>
      <c r="H9495" s="8"/>
      <c r="I9495" s="8"/>
      <c r="J9495" s="7"/>
      <c r="K9495" s="7"/>
      <c r="L9495" s="7"/>
      <c r="M9495" s="7"/>
      <c r="N9495" s="7"/>
      <c r="O9495" s="7"/>
      <c r="P9495" s="7"/>
      <c r="Q9495" s="7"/>
      <c r="R9495" s="7"/>
      <c r="S9495" s="7"/>
      <c r="T9495" s="7"/>
      <c r="U9495" s="7"/>
      <c r="V9495" s="7"/>
      <c r="W9495" s="7"/>
      <c r="X9495" s="7"/>
      <c r="Y9495" s="7"/>
      <c r="Z9495" s="7"/>
    </row>
    <row r="9496" hidden="1">
      <c r="A9496" s="7"/>
      <c r="B9496" s="7"/>
      <c r="C9496" s="7"/>
      <c r="D9496" s="7"/>
      <c r="E9496" s="7"/>
      <c r="F9496" s="7"/>
      <c r="G9496" s="7"/>
      <c r="H9496" s="8"/>
      <c r="I9496" s="8"/>
      <c r="J9496" s="7"/>
      <c r="K9496" s="7"/>
      <c r="L9496" s="7"/>
      <c r="M9496" s="7"/>
      <c r="N9496" s="7"/>
      <c r="O9496" s="7"/>
      <c r="P9496" s="7"/>
      <c r="Q9496" s="7"/>
      <c r="R9496" s="7"/>
      <c r="S9496" s="7"/>
      <c r="T9496" s="7"/>
      <c r="U9496" s="7"/>
      <c r="V9496" s="7"/>
      <c r="W9496" s="7"/>
      <c r="X9496" s="7"/>
      <c r="Y9496" s="7"/>
      <c r="Z9496" s="7"/>
    </row>
    <row r="9497" hidden="1">
      <c r="A9497" s="7"/>
      <c r="B9497" s="7"/>
      <c r="C9497" s="7"/>
      <c r="D9497" s="7"/>
      <c r="E9497" s="7"/>
      <c r="F9497" s="7"/>
      <c r="G9497" s="7"/>
      <c r="H9497" s="8"/>
      <c r="I9497" s="8"/>
      <c r="J9497" s="7"/>
      <c r="K9497" s="7"/>
      <c r="L9497" s="7"/>
      <c r="M9497" s="7"/>
      <c r="N9497" s="7"/>
      <c r="O9497" s="7"/>
      <c r="P9497" s="7"/>
      <c r="Q9497" s="7"/>
      <c r="R9497" s="7"/>
      <c r="S9497" s="7"/>
      <c r="T9497" s="7"/>
      <c r="U9497" s="7"/>
      <c r="V9497" s="7"/>
      <c r="W9497" s="7"/>
      <c r="X9497" s="7"/>
      <c r="Y9497" s="7"/>
      <c r="Z9497" s="7"/>
    </row>
    <row r="9498" hidden="1">
      <c r="A9498" s="7"/>
      <c r="B9498" s="7"/>
      <c r="C9498" s="7"/>
      <c r="D9498" s="7"/>
      <c r="E9498" s="7"/>
      <c r="F9498" s="7"/>
      <c r="G9498" s="7"/>
      <c r="H9498" s="8"/>
      <c r="I9498" s="8"/>
      <c r="J9498" s="7"/>
      <c r="K9498" s="7"/>
      <c r="L9498" s="7"/>
      <c r="M9498" s="7"/>
      <c r="N9498" s="7"/>
      <c r="O9498" s="7"/>
      <c r="P9498" s="7"/>
      <c r="Q9498" s="7"/>
      <c r="R9498" s="7"/>
      <c r="S9498" s="7"/>
      <c r="T9498" s="7"/>
      <c r="U9498" s="7"/>
      <c r="V9498" s="7"/>
      <c r="W9498" s="7"/>
      <c r="X9498" s="7"/>
      <c r="Y9498" s="7"/>
      <c r="Z9498" s="7"/>
    </row>
    <row r="9499" hidden="1">
      <c r="A9499" s="7"/>
      <c r="B9499" s="7"/>
      <c r="C9499" s="7"/>
      <c r="D9499" s="7"/>
      <c r="E9499" s="7"/>
      <c r="F9499" s="7"/>
      <c r="G9499" s="7"/>
      <c r="H9499" s="8"/>
      <c r="I9499" s="8"/>
      <c r="J9499" s="7"/>
      <c r="K9499" s="7"/>
      <c r="L9499" s="7"/>
      <c r="M9499" s="7"/>
      <c r="N9499" s="7"/>
      <c r="O9499" s="7"/>
      <c r="P9499" s="7"/>
      <c r="Q9499" s="7"/>
      <c r="R9499" s="7"/>
      <c r="S9499" s="7"/>
      <c r="T9499" s="7"/>
      <c r="U9499" s="7"/>
      <c r="V9499" s="7"/>
      <c r="W9499" s="7"/>
      <c r="X9499" s="7"/>
      <c r="Y9499" s="7"/>
      <c r="Z9499" s="7"/>
    </row>
    <row r="9500" hidden="1">
      <c r="A9500" s="7"/>
      <c r="B9500" s="7"/>
      <c r="C9500" s="7"/>
      <c r="D9500" s="7"/>
      <c r="E9500" s="7"/>
      <c r="F9500" s="7"/>
      <c r="G9500" s="7"/>
      <c r="H9500" s="8"/>
      <c r="I9500" s="8"/>
      <c r="J9500" s="7"/>
      <c r="K9500" s="7"/>
      <c r="L9500" s="7"/>
      <c r="M9500" s="7"/>
      <c r="N9500" s="7"/>
      <c r="O9500" s="7"/>
      <c r="P9500" s="7"/>
      <c r="Q9500" s="7"/>
      <c r="R9500" s="7"/>
      <c r="S9500" s="7"/>
      <c r="T9500" s="7"/>
      <c r="U9500" s="7"/>
      <c r="V9500" s="7"/>
      <c r="W9500" s="7"/>
      <c r="X9500" s="7"/>
      <c r="Y9500" s="7"/>
      <c r="Z9500" s="7"/>
    </row>
    <row r="9501" hidden="1">
      <c r="A9501" s="7"/>
      <c r="B9501" s="7"/>
      <c r="C9501" s="7"/>
      <c r="D9501" s="7"/>
      <c r="E9501" s="7"/>
      <c r="F9501" s="7"/>
      <c r="G9501" s="7"/>
      <c r="H9501" s="8"/>
      <c r="I9501" s="8"/>
      <c r="J9501" s="7"/>
      <c r="K9501" s="7"/>
      <c r="L9501" s="7"/>
      <c r="M9501" s="7"/>
      <c r="N9501" s="7"/>
      <c r="O9501" s="7"/>
      <c r="P9501" s="7"/>
      <c r="Q9501" s="7"/>
      <c r="R9501" s="7"/>
      <c r="S9501" s="7"/>
      <c r="T9501" s="7"/>
      <c r="U9501" s="7"/>
      <c r="V9501" s="7"/>
      <c r="W9501" s="7"/>
      <c r="X9501" s="7"/>
      <c r="Y9501" s="7"/>
      <c r="Z9501" s="7"/>
    </row>
    <row r="9502" hidden="1">
      <c r="A9502" s="7"/>
      <c r="B9502" s="7"/>
      <c r="C9502" s="7"/>
      <c r="D9502" s="7"/>
      <c r="E9502" s="7"/>
      <c r="F9502" s="7"/>
      <c r="G9502" s="7"/>
      <c r="H9502" s="8"/>
      <c r="I9502" s="8"/>
      <c r="J9502" s="7"/>
      <c r="K9502" s="7"/>
      <c r="L9502" s="7"/>
      <c r="M9502" s="7"/>
      <c r="N9502" s="7"/>
      <c r="O9502" s="7"/>
      <c r="P9502" s="7"/>
      <c r="Q9502" s="7"/>
      <c r="R9502" s="7"/>
      <c r="S9502" s="7"/>
      <c r="T9502" s="7"/>
      <c r="U9502" s="7"/>
      <c r="V9502" s="7"/>
      <c r="W9502" s="7"/>
      <c r="X9502" s="7"/>
      <c r="Y9502" s="7"/>
      <c r="Z9502" s="7"/>
    </row>
    <row r="9503" hidden="1">
      <c r="A9503" s="7"/>
      <c r="B9503" s="7"/>
      <c r="C9503" s="7"/>
      <c r="D9503" s="7"/>
      <c r="E9503" s="7"/>
      <c r="F9503" s="7"/>
      <c r="G9503" s="7"/>
      <c r="H9503" s="8"/>
      <c r="I9503" s="8"/>
      <c r="J9503" s="7"/>
      <c r="K9503" s="7"/>
      <c r="L9503" s="7"/>
      <c r="M9503" s="7"/>
      <c r="N9503" s="7"/>
      <c r="O9503" s="7"/>
      <c r="P9503" s="7"/>
      <c r="Q9503" s="7"/>
      <c r="R9503" s="7"/>
      <c r="S9503" s="7"/>
      <c r="T9503" s="7"/>
      <c r="U9503" s="7"/>
      <c r="V9503" s="7"/>
      <c r="W9503" s="7"/>
      <c r="X9503" s="7"/>
      <c r="Y9503" s="7"/>
      <c r="Z9503" s="7"/>
    </row>
    <row r="9504" hidden="1">
      <c r="A9504" s="7"/>
      <c r="B9504" s="7"/>
      <c r="C9504" s="7"/>
      <c r="D9504" s="7"/>
      <c r="E9504" s="7"/>
      <c r="F9504" s="7"/>
      <c r="G9504" s="7"/>
      <c r="H9504" s="8"/>
      <c r="I9504" s="8"/>
      <c r="J9504" s="7"/>
      <c r="K9504" s="7"/>
      <c r="L9504" s="7"/>
      <c r="M9504" s="7"/>
      <c r="N9504" s="7"/>
      <c r="O9504" s="7"/>
      <c r="P9504" s="7"/>
      <c r="Q9504" s="7"/>
      <c r="R9504" s="7"/>
      <c r="S9504" s="7"/>
      <c r="T9504" s="7"/>
      <c r="U9504" s="7"/>
      <c r="V9504" s="7"/>
      <c r="W9504" s="7"/>
      <c r="X9504" s="7"/>
      <c r="Y9504" s="7"/>
      <c r="Z9504" s="7"/>
    </row>
    <row r="9505" hidden="1">
      <c r="A9505" s="7"/>
      <c r="B9505" s="7"/>
      <c r="C9505" s="7"/>
      <c r="D9505" s="7"/>
      <c r="E9505" s="7"/>
      <c r="F9505" s="7"/>
      <c r="G9505" s="7"/>
      <c r="H9505" s="8"/>
      <c r="I9505" s="8"/>
      <c r="J9505" s="7"/>
      <c r="K9505" s="7"/>
      <c r="L9505" s="7"/>
      <c r="M9505" s="7"/>
      <c r="N9505" s="7"/>
      <c r="O9505" s="7"/>
      <c r="P9505" s="7"/>
      <c r="Q9505" s="7"/>
      <c r="R9505" s="7"/>
      <c r="S9505" s="7"/>
      <c r="T9505" s="7"/>
      <c r="U9505" s="7"/>
      <c r="V9505" s="7"/>
      <c r="W9505" s="7"/>
      <c r="X9505" s="7"/>
      <c r="Y9505" s="7"/>
      <c r="Z9505" s="7"/>
    </row>
    <row r="9506" hidden="1">
      <c r="A9506" s="7"/>
      <c r="B9506" s="7"/>
      <c r="C9506" s="7"/>
      <c r="D9506" s="7"/>
      <c r="E9506" s="7"/>
      <c r="F9506" s="7"/>
      <c r="G9506" s="7"/>
      <c r="H9506" s="8"/>
      <c r="I9506" s="8"/>
      <c r="J9506" s="7"/>
      <c r="K9506" s="7"/>
      <c r="L9506" s="7"/>
      <c r="M9506" s="7"/>
      <c r="N9506" s="7"/>
      <c r="O9506" s="7"/>
      <c r="P9506" s="7"/>
      <c r="Q9506" s="7"/>
      <c r="R9506" s="7"/>
      <c r="S9506" s="7"/>
      <c r="T9506" s="7"/>
      <c r="U9506" s="7"/>
      <c r="V9506" s="7"/>
      <c r="W9506" s="7"/>
      <c r="X9506" s="7"/>
      <c r="Y9506" s="7"/>
      <c r="Z9506" s="7"/>
    </row>
    <row r="9507" hidden="1">
      <c r="A9507" s="7"/>
      <c r="B9507" s="7"/>
      <c r="C9507" s="7"/>
      <c r="D9507" s="7"/>
      <c r="E9507" s="7"/>
      <c r="F9507" s="7"/>
      <c r="G9507" s="7"/>
      <c r="H9507" s="8"/>
      <c r="I9507" s="8"/>
      <c r="J9507" s="7"/>
      <c r="K9507" s="7"/>
      <c r="L9507" s="7"/>
      <c r="M9507" s="7"/>
      <c r="N9507" s="7"/>
      <c r="O9507" s="7"/>
      <c r="P9507" s="7"/>
      <c r="Q9507" s="7"/>
      <c r="R9507" s="7"/>
      <c r="S9507" s="7"/>
      <c r="T9507" s="7"/>
      <c r="U9507" s="7"/>
      <c r="V9507" s="7"/>
      <c r="W9507" s="7"/>
      <c r="X9507" s="7"/>
      <c r="Y9507" s="7"/>
      <c r="Z9507" s="7"/>
    </row>
    <row r="9508" hidden="1">
      <c r="A9508" s="7"/>
      <c r="B9508" s="7"/>
      <c r="C9508" s="7"/>
      <c r="D9508" s="7"/>
      <c r="E9508" s="7"/>
      <c r="F9508" s="7"/>
      <c r="G9508" s="7"/>
      <c r="H9508" s="8"/>
      <c r="I9508" s="8"/>
      <c r="J9508" s="7"/>
      <c r="K9508" s="7"/>
      <c r="L9508" s="7"/>
      <c r="M9508" s="7"/>
      <c r="N9508" s="7"/>
      <c r="O9508" s="7"/>
      <c r="P9508" s="7"/>
      <c r="Q9508" s="7"/>
      <c r="R9508" s="7"/>
      <c r="S9508" s="7"/>
      <c r="T9508" s="7"/>
      <c r="U9508" s="7"/>
      <c r="V9508" s="7"/>
      <c r="W9508" s="7"/>
      <c r="X9508" s="7"/>
      <c r="Y9508" s="7"/>
      <c r="Z9508" s="7"/>
    </row>
    <row r="9509" hidden="1">
      <c r="A9509" s="7"/>
      <c r="B9509" s="7"/>
      <c r="C9509" s="7"/>
      <c r="D9509" s="7"/>
      <c r="E9509" s="7"/>
      <c r="F9509" s="7"/>
      <c r="G9509" s="7"/>
      <c r="H9509" s="8"/>
      <c r="I9509" s="8"/>
      <c r="J9509" s="7"/>
      <c r="K9509" s="7"/>
      <c r="L9509" s="7"/>
      <c r="M9509" s="7"/>
      <c r="N9509" s="7"/>
      <c r="O9509" s="7"/>
      <c r="P9509" s="7"/>
      <c r="Q9509" s="7"/>
      <c r="R9509" s="7"/>
      <c r="S9509" s="7"/>
      <c r="T9509" s="7"/>
      <c r="U9509" s="7"/>
      <c r="V9509" s="7"/>
      <c r="W9509" s="7"/>
      <c r="X9509" s="7"/>
      <c r="Y9509" s="7"/>
      <c r="Z9509" s="7"/>
    </row>
    <row r="9510" hidden="1">
      <c r="A9510" s="7"/>
      <c r="B9510" s="7"/>
      <c r="C9510" s="7"/>
      <c r="D9510" s="7"/>
      <c r="E9510" s="7"/>
      <c r="F9510" s="7"/>
      <c r="G9510" s="7"/>
      <c r="H9510" s="8"/>
      <c r="I9510" s="8"/>
      <c r="J9510" s="7"/>
      <c r="K9510" s="7"/>
      <c r="L9510" s="7"/>
      <c r="M9510" s="7"/>
      <c r="N9510" s="7"/>
      <c r="O9510" s="7"/>
      <c r="P9510" s="7"/>
      <c r="Q9510" s="7"/>
      <c r="R9510" s="7"/>
      <c r="S9510" s="7"/>
      <c r="T9510" s="7"/>
      <c r="U9510" s="7"/>
      <c r="V9510" s="7"/>
      <c r="W9510" s="7"/>
      <c r="X9510" s="7"/>
      <c r="Y9510" s="7"/>
      <c r="Z9510" s="7"/>
    </row>
    <row r="9511" hidden="1">
      <c r="A9511" s="7"/>
      <c r="B9511" s="7"/>
      <c r="C9511" s="7"/>
      <c r="D9511" s="7"/>
      <c r="E9511" s="7"/>
      <c r="F9511" s="7"/>
      <c r="G9511" s="7"/>
      <c r="H9511" s="8"/>
      <c r="I9511" s="8"/>
      <c r="J9511" s="7"/>
      <c r="K9511" s="7"/>
      <c r="L9511" s="7"/>
      <c r="M9511" s="7"/>
      <c r="N9511" s="7"/>
      <c r="O9511" s="7"/>
      <c r="P9511" s="7"/>
      <c r="Q9511" s="7"/>
      <c r="R9511" s="7"/>
      <c r="S9511" s="7"/>
      <c r="T9511" s="7"/>
      <c r="U9511" s="7"/>
      <c r="V9511" s="7"/>
      <c r="W9511" s="7"/>
      <c r="X9511" s="7"/>
      <c r="Y9511" s="7"/>
      <c r="Z9511" s="7"/>
    </row>
    <row r="9512" hidden="1">
      <c r="A9512" s="7"/>
      <c r="B9512" s="7"/>
      <c r="C9512" s="7"/>
      <c r="D9512" s="7"/>
      <c r="E9512" s="7"/>
      <c r="F9512" s="7"/>
      <c r="G9512" s="7"/>
      <c r="H9512" s="8"/>
      <c r="I9512" s="8"/>
      <c r="J9512" s="7"/>
      <c r="K9512" s="7"/>
      <c r="L9512" s="7"/>
      <c r="M9512" s="7"/>
      <c r="N9512" s="7"/>
      <c r="O9512" s="7"/>
      <c r="P9512" s="7"/>
      <c r="Q9512" s="7"/>
      <c r="R9512" s="7"/>
      <c r="S9512" s="7"/>
      <c r="T9512" s="7"/>
      <c r="U9512" s="7"/>
      <c r="V9512" s="7"/>
      <c r="W9512" s="7"/>
      <c r="X9512" s="7"/>
      <c r="Y9512" s="7"/>
      <c r="Z9512" s="7"/>
    </row>
    <row r="9513" hidden="1">
      <c r="A9513" s="7"/>
      <c r="B9513" s="7"/>
      <c r="C9513" s="7"/>
      <c r="D9513" s="7"/>
      <c r="E9513" s="7"/>
      <c r="F9513" s="7"/>
      <c r="G9513" s="7"/>
      <c r="H9513" s="8"/>
      <c r="I9513" s="8"/>
      <c r="J9513" s="7"/>
      <c r="K9513" s="7"/>
      <c r="L9513" s="7"/>
      <c r="M9513" s="7"/>
      <c r="N9513" s="7"/>
      <c r="O9513" s="7"/>
      <c r="P9513" s="7"/>
      <c r="Q9513" s="7"/>
      <c r="R9513" s="7"/>
      <c r="S9513" s="7"/>
      <c r="T9513" s="7"/>
      <c r="U9513" s="7"/>
      <c r="V9513" s="7"/>
      <c r="W9513" s="7"/>
      <c r="X9513" s="7"/>
      <c r="Y9513" s="7"/>
      <c r="Z9513" s="7"/>
    </row>
    <row r="9514" hidden="1">
      <c r="A9514" s="7"/>
      <c r="B9514" s="7"/>
      <c r="C9514" s="7"/>
      <c r="D9514" s="7"/>
      <c r="E9514" s="7"/>
      <c r="F9514" s="7"/>
      <c r="G9514" s="7"/>
      <c r="H9514" s="8"/>
      <c r="I9514" s="8"/>
      <c r="J9514" s="7"/>
      <c r="K9514" s="7"/>
      <c r="L9514" s="7"/>
      <c r="M9514" s="7"/>
      <c r="N9514" s="7"/>
      <c r="O9514" s="7"/>
      <c r="P9514" s="7"/>
      <c r="Q9514" s="7"/>
      <c r="R9514" s="7"/>
      <c r="S9514" s="7"/>
      <c r="T9514" s="7"/>
      <c r="U9514" s="7"/>
      <c r="V9514" s="7"/>
      <c r="W9514" s="7"/>
      <c r="X9514" s="7"/>
      <c r="Y9514" s="7"/>
      <c r="Z9514" s="7"/>
    </row>
    <row r="9515" hidden="1">
      <c r="A9515" s="7"/>
      <c r="B9515" s="7"/>
      <c r="C9515" s="7"/>
      <c r="D9515" s="7"/>
      <c r="E9515" s="7"/>
      <c r="F9515" s="7"/>
      <c r="G9515" s="7"/>
      <c r="H9515" s="8"/>
      <c r="I9515" s="8"/>
      <c r="J9515" s="7"/>
      <c r="K9515" s="7"/>
      <c r="L9515" s="7"/>
      <c r="M9515" s="7"/>
      <c r="N9515" s="7"/>
      <c r="O9515" s="7"/>
      <c r="P9515" s="7"/>
      <c r="Q9515" s="7"/>
      <c r="R9515" s="7"/>
      <c r="S9515" s="7"/>
      <c r="T9515" s="7"/>
      <c r="U9515" s="7"/>
      <c r="V9515" s="7"/>
      <c r="W9515" s="7"/>
      <c r="X9515" s="7"/>
      <c r="Y9515" s="7"/>
      <c r="Z9515" s="7"/>
    </row>
    <row r="9516" hidden="1">
      <c r="A9516" s="7"/>
      <c r="B9516" s="7"/>
      <c r="C9516" s="7"/>
      <c r="D9516" s="7"/>
      <c r="E9516" s="7"/>
      <c r="F9516" s="7"/>
      <c r="G9516" s="7"/>
      <c r="H9516" s="8"/>
      <c r="I9516" s="8"/>
      <c r="J9516" s="7"/>
      <c r="K9516" s="7"/>
      <c r="L9516" s="7"/>
      <c r="M9516" s="7"/>
      <c r="N9516" s="7"/>
      <c r="O9516" s="7"/>
      <c r="P9516" s="7"/>
      <c r="Q9516" s="7"/>
      <c r="R9516" s="7"/>
      <c r="S9516" s="7"/>
      <c r="T9516" s="7"/>
      <c r="U9516" s="7"/>
      <c r="V9516" s="7"/>
      <c r="W9516" s="7"/>
      <c r="X9516" s="7"/>
      <c r="Y9516" s="7"/>
      <c r="Z9516" s="7"/>
    </row>
    <row r="9517" hidden="1">
      <c r="A9517" s="7"/>
      <c r="B9517" s="7"/>
      <c r="C9517" s="7"/>
      <c r="D9517" s="7"/>
      <c r="E9517" s="7"/>
      <c r="F9517" s="7"/>
      <c r="G9517" s="7"/>
      <c r="H9517" s="8"/>
      <c r="I9517" s="8"/>
      <c r="J9517" s="7"/>
      <c r="K9517" s="7"/>
      <c r="L9517" s="7"/>
      <c r="M9517" s="7"/>
      <c r="N9517" s="7"/>
      <c r="O9517" s="7"/>
      <c r="P9517" s="7"/>
      <c r="Q9517" s="7"/>
      <c r="R9517" s="7"/>
      <c r="S9517" s="7"/>
      <c r="T9517" s="7"/>
      <c r="U9517" s="7"/>
      <c r="V9517" s="7"/>
      <c r="W9517" s="7"/>
      <c r="X9517" s="7"/>
      <c r="Y9517" s="7"/>
      <c r="Z9517" s="7"/>
    </row>
    <row r="9518" hidden="1">
      <c r="A9518" s="7"/>
      <c r="B9518" s="7"/>
      <c r="C9518" s="7"/>
      <c r="D9518" s="7"/>
      <c r="E9518" s="7"/>
      <c r="F9518" s="7"/>
      <c r="G9518" s="7"/>
      <c r="H9518" s="8"/>
      <c r="I9518" s="8"/>
      <c r="J9518" s="7"/>
      <c r="K9518" s="7"/>
      <c r="L9518" s="7"/>
      <c r="M9518" s="7"/>
      <c r="N9518" s="7"/>
      <c r="O9518" s="7"/>
      <c r="P9518" s="7"/>
      <c r="Q9518" s="7"/>
      <c r="R9518" s="7"/>
      <c r="S9518" s="7"/>
      <c r="T9518" s="7"/>
      <c r="U9518" s="7"/>
      <c r="V9518" s="7"/>
      <c r="W9518" s="7"/>
      <c r="X9518" s="7"/>
      <c r="Y9518" s="7"/>
      <c r="Z9518" s="7"/>
    </row>
    <row r="9519" hidden="1">
      <c r="A9519" s="7"/>
      <c r="B9519" s="7"/>
      <c r="C9519" s="7"/>
      <c r="D9519" s="7"/>
      <c r="E9519" s="7"/>
      <c r="F9519" s="7"/>
      <c r="G9519" s="7"/>
      <c r="H9519" s="8"/>
      <c r="I9519" s="8"/>
      <c r="J9519" s="7"/>
      <c r="K9519" s="7"/>
      <c r="L9519" s="7"/>
      <c r="M9519" s="7"/>
      <c r="N9519" s="7"/>
      <c r="O9519" s="7"/>
      <c r="P9519" s="7"/>
      <c r="Q9519" s="7"/>
      <c r="R9519" s="7"/>
      <c r="S9519" s="7"/>
      <c r="T9519" s="7"/>
      <c r="U9519" s="7"/>
      <c r="V9519" s="7"/>
      <c r="W9519" s="7"/>
      <c r="X9519" s="7"/>
      <c r="Y9519" s="7"/>
      <c r="Z9519" s="7"/>
    </row>
    <row r="9520" hidden="1">
      <c r="A9520" s="7"/>
      <c r="B9520" s="7"/>
      <c r="C9520" s="7"/>
      <c r="D9520" s="7"/>
      <c r="E9520" s="7"/>
      <c r="F9520" s="7"/>
      <c r="G9520" s="7"/>
      <c r="H9520" s="8"/>
      <c r="I9520" s="8"/>
      <c r="J9520" s="7"/>
      <c r="K9520" s="7"/>
      <c r="L9520" s="7"/>
      <c r="M9520" s="7"/>
      <c r="N9520" s="7"/>
      <c r="O9520" s="7"/>
      <c r="P9520" s="7"/>
      <c r="Q9520" s="7"/>
      <c r="R9520" s="7"/>
      <c r="S9520" s="7"/>
      <c r="T9520" s="7"/>
      <c r="U9520" s="7"/>
      <c r="V9520" s="7"/>
      <c r="W9520" s="7"/>
      <c r="X9520" s="7"/>
      <c r="Y9520" s="7"/>
      <c r="Z9520" s="7"/>
    </row>
    <row r="9521" hidden="1">
      <c r="A9521" s="7"/>
      <c r="B9521" s="7"/>
      <c r="C9521" s="7"/>
      <c r="D9521" s="7"/>
      <c r="E9521" s="7"/>
      <c r="F9521" s="7"/>
      <c r="G9521" s="7"/>
      <c r="H9521" s="8"/>
      <c r="I9521" s="8"/>
      <c r="J9521" s="7"/>
      <c r="K9521" s="7"/>
      <c r="L9521" s="7"/>
      <c r="M9521" s="7"/>
      <c r="N9521" s="7"/>
      <c r="O9521" s="7"/>
      <c r="P9521" s="7"/>
      <c r="Q9521" s="7"/>
      <c r="R9521" s="7"/>
      <c r="S9521" s="7"/>
      <c r="T9521" s="7"/>
      <c r="U9521" s="7"/>
      <c r="V9521" s="7"/>
      <c r="W9521" s="7"/>
      <c r="X9521" s="7"/>
      <c r="Y9521" s="7"/>
      <c r="Z9521" s="7"/>
    </row>
    <row r="9522" hidden="1">
      <c r="A9522" s="7"/>
      <c r="B9522" s="7"/>
      <c r="C9522" s="7"/>
      <c r="D9522" s="7"/>
      <c r="E9522" s="7"/>
      <c r="F9522" s="7"/>
      <c r="G9522" s="7"/>
      <c r="H9522" s="8"/>
      <c r="I9522" s="8"/>
      <c r="J9522" s="7"/>
      <c r="K9522" s="7"/>
      <c r="L9522" s="7"/>
      <c r="M9522" s="7"/>
      <c r="N9522" s="7"/>
      <c r="O9522" s="7"/>
      <c r="P9522" s="7"/>
      <c r="Q9522" s="7"/>
      <c r="R9522" s="7"/>
      <c r="S9522" s="7"/>
      <c r="T9522" s="7"/>
      <c r="U9522" s="7"/>
      <c r="V9522" s="7"/>
      <c r="W9522" s="7"/>
      <c r="X9522" s="7"/>
      <c r="Y9522" s="7"/>
      <c r="Z9522" s="7"/>
    </row>
    <row r="9523" hidden="1">
      <c r="A9523" s="7"/>
      <c r="B9523" s="7"/>
      <c r="C9523" s="7"/>
      <c r="D9523" s="7"/>
      <c r="E9523" s="7"/>
      <c r="F9523" s="7"/>
      <c r="G9523" s="7"/>
      <c r="H9523" s="8"/>
      <c r="I9523" s="8"/>
      <c r="J9523" s="7"/>
      <c r="K9523" s="7"/>
      <c r="L9523" s="7"/>
      <c r="M9523" s="7"/>
      <c r="N9523" s="7"/>
      <c r="O9523" s="7"/>
      <c r="P9523" s="7"/>
      <c r="Q9523" s="7"/>
      <c r="R9523" s="7"/>
      <c r="S9523" s="7"/>
      <c r="T9523" s="7"/>
      <c r="U9523" s="7"/>
      <c r="V9523" s="7"/>
      <c r="W9523" s="7"/>
      <c r="X9523" s="7"/>
      <c r="Y9523" s="7"/>
      <c r="Z9523" s="7"/>
    </row>
    <row r="9524" hidden="1">
      <c r="A9524" s="7"/>
      <c r="B9524" s="7"/>
      <c r="C9524" s="7"/>
      <c r="D9524" s="7"/>
      <c r="E9524" s="7"/>
      <c r="F9524" s="7"/>
      <c r="G9524" s="7"/>
      <c r="H9524" s="8"/>
      <c r="I9524" s="8"/>
      <c r="J9524" s="7"/>
      <c r="K9524" s="7"/>
      <c r="L9524" s="7"/>
      <c r="M9524" s="7"/>
      <c r="N9524" s="7"/>
      <c r="O9524" s="7"/>
      <c r="P9524" s="7"/>
      <c r="Q9524" s="7"/>
      <c r="R9524" s="7"/>
      <c r="S9524" s="7"/>
      <c r="T9524" s="7"/>
      <c r="U9524" s="7"/>
      <c r="V9524" s="7"/>
      <c r="W9524" s="7"/>
      <c r="X9524" s="7"/>
      <c r="Y9524" s="7"/>
      <c r="Z9524" s="7"/>
    </row>
    <row r="9525" hidden="1">
      <c r="A9525" s="7"/>
      <c r="B9525" s="7"/>
      <c r="C9525" s="7"/>
      <c r="D9525" s="7"/>
      <c r="E9525" s="7"/>
      <c r="F9525" s="7"/>
      <c r="G9525" s="7"/>
      <c r="H9525" s="8"/>
      <c r="I9525" s="8"/>
      <c r="J9525" s="7"/>
      <c r="K9525" s="7"/>
      <c r="L9525" s="7"/>
      <c r="M9525" s="7"/>
      <c r="N9525" s="7"/>
      <c r="O9525" s="7"/>
      <c r="P9525" s="7"/>
      <c r="Q9525" s="7"/>
      <c r="R9525" s="7"/>
      <c r="S9525" s="7"/>
      <c r="T9525" s="7"/>
      <c r="U9525" s="7"/>
      <c r="V9525" s="7"/>
      <c r="W9525" s="7"/>
      <c r="X9525" s="7"/>
      <c r="Y9525" s="7"/>
      <c r="Z9525" s="7"/>
    </row>
    <row r="9526" hidden="1">
      <c r="A9526" s="7"/>
      <c r="B9526" s="7"/>
      <c r="C9526" s="7"/>
      <c r="D9526" s="7"/>
      <c r="E9526" s="7"/>
      <c r="F9526" s="7"/>
      <c r="G9526" s="7"/>
      <c r="H9526" s="8"/>
      <c r="I9526" s="8"/>
      <c r="J9526" s="7"/>
      <c r="K9526" s="7"/>
      <c r="L9526" s="7"/>
      <c r="M9526" s="7"/>
      <c r="N9526" s="7"/>
      <c r="O9526" s="7"/>
      <c r="P9526" s="7"/>
      <c r="Q9526" s="7"/>
      <c r="R9526" s="7"/>
      <c r="S9526" s="7"/>
      <c r="T9526" s="7"/>
      <c r="U9526" s="7"/>
      <c r="V9526" s="7"/>
      <c r="W9526" s="7"/>
      <c r="X9526" s="7"/>
      <c r="Y9526" s="7"/>
      <c r="Z9526" s="7"/>
    </row>
    <row r="9527" hidden="1">
      <c r="A9527" s="7"/>
      <c r="B9527" s="7"/>
      <c r="C9527" s="7"/>
      <c r="D9527" s="7"/>
      <c r="E9527" s="7"/>
      <c r="F9527" s="7"/>
      <c r="G9527" s="7"/>
      <c r="H9527" s="8"/>
      <c r="I9527" s="8"/>
      <c r="J9527" s="7"/>
      <c r="K9527" s="7"/>
      <c r="L9527" s="7"/>
      <c r="M9527" s="7"/>
      <c r="N9527" s="7"/>
      <c r="O9527" s="7"/>
      <c r="P9527" s="7"/>
      <c r="Q9527" s="7"/>
      <c r="R9527" s="7"/>
      <c r="S9527" s="7"/>
      <c r="T9527" s="7"/>
      <c r="U9527" s="7"/>
      <c r="V9527" s="7"/>
      <c r="W9527" s="7"/>
      <c r="X9527" s="7"/>
      <c r="Y9527" s="7"/>
      <c r="Z9527" s="7"/>
    </row>
    <row r="9528" hidden="1">
      <c r="A9528" s="7"/>
      <c r="B9528" s="7"/>
      <c r="C9528" s="7"/>
      <c r="D9528" s="7"/>
      <c r="E9528" s="7"/>
      <c r="F9528" s="7"/>
      <c r="G9528" s="7"/>
      <c r="H9528" s="8"/>
      <c r="I9528" s="8"/>
      <c r="J9528" s="7"/>
      <c r="K9528" s="7"/>
      <c r="L9528" s="7"/>
      <c r="M9528" s="7"/>
      <c r="N9528" s="7"/>
      <c r="O9528" s="7"/>
      <c r="P9528" s="7"/>
      <c r="Q9528" s="7"/>
      <c r="R9528" s="7"/>
      <c r="S9528" s="7"/>
      <c r="T9528" s="7"/>
      <c r="U9528" s="7"/>
      <c r="V9528" s="7"/>
      <c r="W9528" s="7"/>
      <c r="X9528" s="7"/>
      <c r="Y9528" s="7"/>
      <c r="Z9528" s="7"/>
    </row>
    <row r="9529" hidden="1">
      <c r="A9529" s="7"/>
      <c r="B9529" s="7"/>
      <c r="C9529" s="7"/>
      <c r="D9529" s="7"/>
      <c r="E9529" s="7"/>
      <c r="F9529" s="7"/>
      <c r="G9529" s="7"/>
      <c r="H9529" s="8"/>
      <c r="I9529" s="8"/>
      <c r="J9529" s="7"/>
      <c r="K9529" s="7"/>
      <c r="L9529" s="7"/>
      <c r="M9529" s="7"/>
      <c r="N9529" s="7"/>
      <c r="O9529" s="7"/>
      <c r="P9529" s="7"/>
      <c r="Q9529" s="7"/>
      <c r="R9529" s="7"/>
      <c r="S9529" s="7"/>
      <c r="T9529" s="7"/>
      <c r="U9529" s="7"/>
      <c r="V9529" s="7"/>
      <c r="W9529" s="7"/>
      <c r="X9529" s="7"/>
      <c r="Y9529" s="7"/>
      <c r="Z9529" s="7"/>
    </row>
    <row r="9530" hidden="1">
      <c r="A9530" s="7"/>
      <c r="B9530" s="7"/>
      <c r="C9530" s="7"/>
      <c r="D9530" s="7"/>
      <c r="E9530" s="7"/>
      <c r="F9530" s="7"/>
      <c r="G9530" s="7"/>
      <c r="H9530" s="8"/>
      <c r="I9530" s="8"/>
      <c r="J9530" s="7"/>
      <c r="K9530" s="7"/>
      <c r="L9530" s="7"/>
      <c r="M9530" s="7"/>
      <c r="N9530" s="7"/>
      <c r="O9530" s="7"/>
      <c r="P9530" s="7"/>
      <c r="Q9530" s="7"/>
      <c r="R9530" s="7"/>
      <c r="S9530" s="7"/>
      <c r="T9530" s="7"/>
      <c r="U9530" s="7"/>
      <c r="V9530" s="7"/>
      <c r="W9530" s="7"/>
      <c r="X9530" s="7"/>
      <c r="Y9530" s="7"/>
      <c r="Z9530" s="7"/>
    </row>
    <row r="9531" hidden="1">
      <c r="A9531" s="7"/>
      <c r="B9531" s="7"/>
      <c r="C9531" s="7"/>
      <c r="D9531" s="7"/>
      <c r="E9531" s="7"/>
      <c r="F9531" s="7"/>
      <c r="G9531" s="7"/>
      <c r="H9531" s="8"/>
      <c r="I9531" s="8"/>
      <c r="J9531" s="7"/>
      <c r="K9531" s="7"/>
      <c r="L9531" s="7"/>
      <c r="M9531" s="7"/>
      <c r="N9531" s="7"/>
      <c r="O9531" s="7"/>
      <c r="P9531" s="7"/>
      <c r="Q9531" s="7"/>
      <c r="R9531" s="7"/>
      <c r="S9531" s="7"/>
      <c r="T9531" s="7"/>
      <c r="U9531" s="7"/>
      <c r="V9531" s="7"/>
      <c r="W9531" s="7"/>
      <c r="X9531" s="7"/>
      <c r="Y9531" s="7"/>
      <c r="Z9531" s="7"/>
    </row>
    <row r="9532" hidden="1">
      <c r="A9532" s="7"/>
      <c r="B9532" s="7"/>
      <c r="C9532" s="7"/>
      <c r="D9532" s="7"/>
      <c r="E9532" s="7"/>
      <c r="F9532" s="7"/>
      <c r="G9532" s="7"/>
      <c r="H9532" s="8"/>
      <c r="I9532" s="8"/>
      <c r="J9532" s="7"/>
      <c r="K9532" s="7"/>
      <c r="L9532" s="7"/>
      <c r="M9532" s="7"/>
      <c r="N9532" s="7"/>
      <c r="O9532" s="7"/>
      <c r="P9532" s="7"/>
      <c r="Q9532" s="7"/>
      <c r="R9532" s="7"/>
      <c r="S9532" s="7"/>
      <c r="T9532" s="7"/>
      <c r="U9532" s="7"/>
      <c r="V9532" s="7"/>
      <c r="W9532" s="7"/>
      <c r="X9532" s="7"/>
      <c r="Y9532" s="7"/>
      <c r="Z9532" s="7"/>
    </row>
    <row r="9533" hidden="1">
      <c r="A9533" s="7"/>
      <c r="B9533" s="7"/>
      <c r="C9533" s="7"/>
      <c r="D9533" s="7"/>
      <c r="E9533" s="7"/>
      <c r="F9533" s="7"/>
      <c r="G9533" s="7"/>
      <c r="H9533" s="8"/>
      <c r="I9533" s="8"/>
      <c r="J9533" s="7"/>
      <c r="K9533" s="7"/>
      <c r="L9533" s="7"/>
      <c r="M9533" s="7"/>
      <c r="N9533" s="7"/>
      <c r="O9533" s="7"/>
      <c r="P9533" s="7"/>
      <c r="Q9533" s="7"/>
      <c r="R9533" s="7"/>
      <c r="S9533" s="7"/>
      <c r="T9533" s="7"/>
      <c r="U9533" s="7"/>
      <c r="V9533" s="7"/>
      <c r="W9533" s="7"/>
      <c r="X9533" s="7"/>
      <c r="Y9533" s="7"/>
      <c r="Z9533" s="7"/>
    </row>
    <row r="9534" hidden="1">
      <c r="A9534" s="7"/>
      <c r="B9534" s="7"/>
      <c r="C9534" s="7"/>
      <c r="D9534" s="7"/>
      <c r="E9534" s="7"/>
      <c r="F9534" s="7"/>
      <c r="G9534" s="7"/>
      <c r="H9534" s="8"/>
      <c r="I9534" s="8"/>
      <c r="J9534" s="7"/>
      <c r="K9534" s="7"/>
      <c r="L9534" s="7"/>
      <c r="M9534" s="7"/>
      <c r="N9534" s="7"/>
      <c r="O9534" s="7"/>
      <c r="P9534" s="7"/>
      <c r="Q9534" s="7"/>
      <c r="R9534" s="7"/>
      <c r="S9534" s="7"/>
      <c r="T9534" s="7"/>
      <c r="U9534" s="7"/>
      <c r="V9534" s="7"/>
      <c r="W9534" s="7"/>
      <c r="X9534" s="7"/>
      <c r="Y9534" s="7"/>
      <c r="Z9534" s="7"/>
    </row>
    <row r="9535" hidden="1">
      <c r="A9535" s="7"/>
      <c r="B9535" s="7"/>
      <c r="C9535" s="7"/>
      <c r="D9535" s="7"/>
      <c r="E9535" s="7"/>
      <c r="F9535" s="7"/>
      <c r="G9535" s="7"/>
      <c r="H9535" s="8"/>
      <c r="I9535" s="8"/>
      <c r="J9535" s="7"/>
      <c r="K9535" s="7"/>
      <c r="L9535" s="7"/>
      <c r="M9535" s="7"/>
      <c r="N9535" s="7"/>
      <c r="O9535" s="7"/>
      <c r="P9535" s="7"/>
      <c r="Q9535" s="7"/>
      <c r="R9535" s="7"/>
      <c r="S9535" s="7"/>
      <c r="T9535" s="7"/>
      <c r="U9535" s="7"/>
      <c r="V9535" s="7"/>
      <c r="W9535" s="7"/>
      <c r="X9535" s="7"/>
      <c r="Y9535" s="7"/>
      <c r="Z9535" s="7"/>
    </row>
    <row r="9536" hidden="1">
      <c r="A9536" s="7"/>
      <c r="B9536" s="7"/>
      <c r="C9536" s="7"/>
      <c r="D9536" s="7"/>
      <c r="E9536" s="7"/>
      <c r="F9536" s="7"/>
      <c r="G9536" s="7"/>
      <c r="H9536" s="8"/>
      <c r="I9536" s="8"/>
      <c r="J9536" s="7"/>
      <c r="K9536" s="7"/>
      <c r="L9536" s="7"/>
      <c r="M9536" s="7"/>
      <c r="N9536" s="7"/>
      <c r="O9536" s="7"/>
      <c r="P9536" s="7"/>
      <c r="Q9536" s="7"/>
      <c r="R9536" s="7"/>
      <c r="S9536" s="7"/>
      <c r="T9536" s="7"/>
      <c r="U9536" s="7"/>
      <c r="V9536" s="7"/>
      <c r="W9536" s="7"/>
      <c r="X9536" s="7"/>
      <c r="Y9536" s="7"/>
      <c r="Z9536" s="7"/>
    </row>
    <row r="9537" hidden="1">
      <c r="A9537" s="7"/>
      <c r="B9537" s="7"/>
      <c r="C9537" s="7"/>
      <c r="D9537" s="7"/>
      <c r="E9537" s="7"/>
      <c r="F9537" s="7"/>
      <c r="G9537" s="7"/>
      <c r="H9537" s="8"/>
      <c r="I9537" s="8"/>
      <c r="J9537" s="7"/>
      <c r="K9537" s="7"/>
      <c r="L9537" s="7"/>
      <c r="M9537" s="7"/>
      <c r="N9537" s="7"/>
      <c r="O9537" s="7"/>
      <c r="P9537" s="7"/>
      <c r="Q9537" s="7"/>
      <c r="R9537" s="7"/>
      <c r="S9537" s="7"/>
      <c r="T9537" s="7"/>
      <c r="U9537" s="7"/>
      <c r="V9537" s="7"/>
      <c r="W9537" s="7"/>
      <c r="X9537" s="7"/>
      <c r="Y9537" s="7"/>
      <c r="Z9537" s="7"/>
    </row>
    <row r="9538" hidden="1">
      <c r="A9538" s="7"/>
      <c r="B9538" s="7"/>
      <c r="C9538" s="7"/>
      <c r="D9538" s="7"/>
      <c r="E9538" s="7"/>
      <c r="F9538" s="7"/>
      <c r="G9538" s="7"/>
      <c r="H9538" s="8"/>
      <c r="I9538" s="8"/>
      <c r="J9538" s="7"/>
      <c r="K9538" s="7"/>
      <c r="L9538" s="7"/>
      <c r="M9538" s="7"/>
      <c r="N9538" s="7"/>
      <c r="O9538" s="7"/>
      <c r="P9538" s="7"/>
      <c r="Q9538" s="7"/>
      <c r="R9538" s="7"/>
      <c r="S9538" s="7"/>
      <c r="T9538" s="7"/>
      <c r="U9538" s="7"/>
      <c r="V9538" s="7"/>
      <c r="W9538" s="7"/>
      <c r="X9538" s="7"/>
      <c r="Y9538" s="7"/>
      <c r="Z9538" s="7"/>
    </row>
    <row r="9539" hidden="1">
      <c r="A9539" s="7"/>
      <c r="B9539" s="7"/>
      <c r="C9539" s="7"/>
      <c r="D9539" s="7"/>
      <c r="E9539" s="7"/>
      <c r="F9539" s="7"/>
      <c r="G9539" s="7"/>
      <c r="H9539" s="8"/>
      <c r="I9539" s="8"/>
      <c r="J9539" s="7"/>
      <c r="K9539" s="7"/>
      <c r="L9539" s="7"/>
      <c r="M9539" s="7"/>
      <c r="N9539" s="7"/>
      <c r="O9539" s="7"/>
      <c r="P9539" s="7"/>
      <c r="Q9539" s="7"/>
      <c r="R9539" s="7"/>
      <c r="S9539" s="7"/>
      <c r="T9539" s="7"/>
      <c r="U9539" s="7"/>
      <c r="V9539" s="7"/>
      <c r="W9539" s="7"/>
      <c r="X9539" s="7"/>
      <c r="Y9539" s="7"/>
      <c r="Z9539" s="7"/>
    </row>
    <row r="9540" hidden="1">
      <c r="A9540" s="7"/>
      <c r="B9540" s="7"/>
      <c r="C9540" s="7"/>
      <c r="D9540" s="7"/>
      <c r="E9540" s="7"/>
      <c r="F9540" s="7"/>
      <c r="G9540" s="7"/>
      <c r="H9540" s="8"/>
      <c r="I9540" s="8"/>
      <c r="J9540" s="7"/>
      <c r="K9540" s="7"/>
      <c r="L9540" s="7"/>
      <c r="M9540" s="7"/>
      <c r="N9540" s="7"/>
      <c r="O9540" s="7"/>
      <c r="P9540" s="7"/>
      <c r="Q9540" s="7"/>
      <c r="R9540" s="7"/>
      <c r="S9540" s="7"/>
      <c r="T9540" s="7"/>
      <c r="U9540" s="7"/>
      <c r="V9540" s="7"/>
      <c r="W9540" s="7"/>
      <c r="X9540" s="7"/>
      <c r="Y9540" s="7"/>
      <c r="Z9540" s="7"/>
    </row>
    <row r="9541" hidden="1">
      <c r="A9541" s="7"/>
      <c r="B9541" s="7"/>
      <c r="C9541" s="7"/>
      <c r="D9541" s="7"/>
      <c r="E9541" s="7"/>
      <c r="F9541" s="7"/>
      <c r="G9541" s="7"/>
      <c r="H9541" s="8"/>
      <c r="I9541" s="8"/>
      <c r="J9541" s="7"/>
      <c r="K9541" s="7"/>
      <c r="L9541" s="7"/>
      <c r="M9541" s="7"/>
      <c r="N9541" s="7"/>
      <c r="O9541" s="7"/>
      <c r="P9541" s="7"/>
      <c r="Q9541" s="7"/>
      <c r="R9541" s="7"/>
      <c r="S9541" s="7"/>
      <c r="T9541" s="7"/>
      <c r="U9541" s="7"/>
      <c r="V9541" s="7"/>
      <c r="W9541" s="7"/>
      <c r="X9541" s="7"/>
      <c r="Y9541" s="7"/>
      <c r="Z9541" s="7"/>
    </row>
    <row r="9542" hidden="1">
      <c r="A9542" s="7"/>
      <c r="B9542" s="7"/>
      <c r="C9542" s="7"/>
      <c r="D9542" s="7"/>
      <c r="E9542" s="7"/>
      <c r="F9542" s="7"/>
      <c r="G9542" s="7"/>
      <c r="H9542" s="8"/>
      <c r="I9542" s="8"/>
      <c r="J9542" s="7"/>
      <c r="K9542" s="7"/>
      <c r="L9542" s="7"/>
      <c r="M9542" s="7"/>
      <c r="N9542" s="7"/>
      <c r="O9542" s="7"/>
      <c r="P9542" s="7"/>
      <c r="Q9542" s="7"/>
      <c r="R9542" s="7"/>
      <c r="S9542" s="7"/>
      <c r="T9542" s="7"/>
      <c r="U9542" s="7"/>
      <c r="V9542" s="7"/>
      <c r="W9542" s="7"/>
      <c r="X9542" s="7"/>
      <c r="Y9542" s="7"/>
      <c r="Z9542" s="7"/>
    </row>
    <row r="9543" hidden="1">
      <c r="A9543" s="7"/>
      <c r="B9543" s="7"/>
      <c r="C9543" s="7"/>
      <c r="D9543" s="7"/>
      <c r="E9543" s="7"/>
      <c r="F9543" s="7"/>
      <c r="G9543" s="7"/>
      <c r="H9543" s="8"/>
      <c r="I9543" s="8"/>
      <c r="J9543" s="7"/>
      <c r="K9543" s="7"/>
      <c r="L9543" s="7"/>
      <c r="M9543" s="7"/>
      <c r="N9543" s="7"/>
      <c r="O9543" s="7"/>
      <c r="P9543" s="7"/>
      <c r="Q9543" s="7"/>
      <c r="R9543" s="7"/>
      <c r="S9543" s="7"/>
      <c r="T9543" s="7"/>
      <c r="U9543" s="7"/>
      <c r="V9543" s="7"/>
      <c r="W9543" s="7"/>
      <c r="X9543" s="7"/>
      <c r="Y9543" s="7"/>
      <c r="Z9543" s="7"/>
    </row>
    <row r="9544" hidden="1">
      <c r="A9544" s="7"/>
      <c r="B9544" s="7"/>
      <c r="C9544" s="7"/>
      <c r="D9544" s="7"/>
      <c r="E9544" s="7"/>
      <c r="F9544" s="7"/>
      <c r="G9544" s="7"/>
      <c r="H9544" s="8"/>
      <c r="I9544" s="8"/>
      <c r="J9544" s="7"/>
      <c r="K9544" s="7"/>
      <c r="L9544" s="7"/>
      <c r="M9544" s="7"/>
      <c r="N9544" s="7"/>
      <c r="O9544" s="7"/>
      <c r="P9544" s="7"/>
      <c r="Q9544" s="7"/>
      <c r="R9544" s="7"/>
      <c r="S9544" s="7"/>
      <c r="T9544" s="7"/>
      <c r="U9544" s="7"/>
      <c r="V9544" s="7"/>
      <c r="W9544" s="7"/>
      <c r="X9544" s="7"/>
      <c r="Y9544" s="7"/>
      <c r="Z9544" s="7"/>
    </row>
    <row r="9545" hidden="1">
      <c r="A9545" s="7"/>
      <c r="B9545" s="7"/>
      <c r="C9545" s="7"/>
      <c r="D9545" s="7"/>
      <c r="E9545" s="7"/>
      <c r="F9545" s="7"/>
      <c r="G9545" s="7"/>
      <c r="H9545" s="8"/>
      <c r="I9545" s="8"/>
      <c r="J9545" s="7"/>
      <c r="K9545" s="7"/>
      <c r="L9545" s="7"/>
      <c r="M9545" s="7"/>
      <c r="N9545" s="7"/>
      <c r="O9545" s="7"/>
      <c r="P9545" s="7"/>
      <c r="Q9545" s="7"/>
      <c r="R9545" s="7"/>
      <c r="S9545" s="7"/>
      <c r="T9545" s="7"/>
      <c r="U9545" s="7"/>
      <c r="V9545" s="7"/>
      <c r="W9545" s="7"/>
      <c r="X9545" s="7"/>
      <c r="Y9545" s="7"/>
      <c r="Z9545" s="7"/>
    </row>
    <row r="9546" hidden="1">
      <c r="A9546" s="7"/>
      <c r="B9546" s="7"/>
      <c r="C9546" s="7"/>
      <c r="D9546" s="7"/>
      <c r="E9546" s="7"/>
      <c r="F9546" s="7"/>
      <c r="G9546" s="7"/>
      <c r="H9546" s="8"/>
      <c r="I9546" s="8"/>
      <c r="J9546" s="7"/>
      <c r="K9546" s="7"/>
      <c r="L9546" s="7"/>
      <c r="M9546" s="7"/>
      <c r="N9546" s="7"/>
      <c r="O9546" s="7"/>
      <c r="P9546" s="7"/>
      <c r="Q9546" s="7"/>
      <c r="R9546" s="7"/>
      <c r="S9546" s="7"/>
      <c r="T9546" s="7"/>
      <c r="U9546" s="7"/>
      <c r="V9546" s="7"/>
      <c r="W9546" s="7"/>
      <c r="X9546" s="7"/>
      <c r="Y9546" s="7"/>
      <c r="Z9546" s="7"/>
    </row>
    <row r="9547" hidden="1">
      <c r="A9547" s="7"/>
      <c r="B9547" s="7"/>
      <c r="C9547" s="7"/>
      <c r="D9547" s="7"/>
      <c r="E9547" s="7"/>
      <c r="F9547" s="7"/>
      <c r="G9547" s="7"/>
      <c r="H9547" s="8"/>
      <c r="I9547" s="8"/>
      <c r="J9547" s="7"/>
      <c r="K9547" s="7"/>
      <c r="L9547" s="7"/>
      <c r="M9547" s="7"/>
      <c r="N9547" s="7"/>
      <c r="O9547" s="7"/>
      <c r="P9547" s="7"/>
      <c r="Q9547" s="7"/>
      <c r="R9547" s="7"/>
      <c r="S9547" s="7"/>
      <c r="T9547" s="7"/>
      <c r="U9547" s="7"/>
      <c r="V9547" s="7"/>
      <c r="W9547" s="7"/>
      <c r="X9547" s="7"/>
      <c r="Y9547" s="7"/>
      <c r="Z9547" s="7"/>
    </row>
    <row r="9548" hidden="1">
      <c r="A9548" s="7"/>
      <c r="B9548" s="7"/>
      <c r="C9548" s="7"/>
      <c r="D9548" s="7"/>
      <c r="E9548" s="7"/>
      <c r="F9548" s="7"/>
      <c r="G9548" s="7"/>
      <c r="H9548" s="8"/>
      <c r="I9548" s="8"/>
      <c r="J9548" s="7"/>
      <c r="K9548" s="7"/>
      <c r="L9548" s="7"/>
      <c r="M9548" s="7"/>
      <c r="N9548" s="7"/>
      <c r="O9548" s="7"/>
      <c r="P9548" s="7"/>
      <c r="Q9548" s="7"/>
      <c r="R9548" s="7"/>
      <c r="S9548" s="7"/>
      <c r="T9548" s="7"/>
      <c r="U9548" s="7"/>
      <c r="V9548" s="7"/>
      <c r="W9548" s="7"/>
      <c r="X9548" s="7"/>
      <c r="Y9548" s="7"/>
      <c r="Z9548" s="7"/>
    </row>
    <row r="9549" hidden="1">
      <c r="A9549" s="7"/>
      <c r="B9549" s="7"/>
      <c r="C9549" s="7"/>
      <c r="D9549" s="7"/>
      <c r="E9549" s="7"/>
      <c r="F9549" s="7"/>
      <c r="G9549" s="7"/>
      <c r="H9549" s="8"/>
      <c r="I9549" s="8"/>
      <c r="J9549" s="7"/>
      <c r="K9549" s="7"/>
      <c r="L9549" s="7"/>
      <c r="M9549" s="7"/>
      <c r="N9549" s="7"/>
      <c r="O9549" s="7"/>
      <c r="P9549" s="7"/>
      <c r="Q9549" s="7"/>
      <c r="R9549" s="7"/>
      <c r="S9549" s="7"/>
      <c r="T9549" s="7"/>
      <c r="U9549" s="7"/>
      <c r="V9549" s="7"/>
      <c r="W9549" s="7"/>
      <c r="X9549" s="7"/>
      <c r="Y9549" s="7"/>
      <c r="Z9549" s="7"/>
    </row>
    <row r="9550" hidden="1">
      <c r="A9550" s="7"/>
      <c r="B9550" s="7"/>
      <c r="C9550" s="7"/>
      <c r="D9550" s="7"/>
      <c r="E9550" s="7"/>
      <c r="F9550" s="7"/>
      <c r="G9550" s="7"/>
      <c r="H9550" s="8"/>
      <c r="I9550" s="8"/>
      <c r="J9550" s="7"/>
      <c r="K9550" s="7"/>
      <c r="L9550" s="7"/>
      <c r="M9550" s="7"/>
      <c r="N9550" s="7"/>
      <c r="O9550" s="7"/>
      <c r="P9550" s="7"/>
      <c r="Q9550" s="7"/>
      <c r="R9550" s="7"/>
      <c r="S9550" s="7"/>
      <c r="T9550" s="7"/>
      <c r="U9550" s="7"/>
      <c r="V9550" s="7"/>
      <c r="W9550" s="7"/>
      <c r="X9550" s="7"/>
      <c r="Y9550" s="7"/>
      <c r="Z9550" s="7"/>
    </row>
    <row r="9551" hidden="1">
      <c r="A9551" s="7"/>
      <c r="B9551" s="7"/>
      <c r="C9551" s="7"/>
      <c r="D9551" s="7"/>
      <c r="E9551" s="7"/>
      <c r="F9551" s="7"/>
      <c r="G9551" s="7"/>
      <c r="H9551" s="8"/>
      <c r="I9551" s="8"/>
      <c r="J9551" s="7"/>
      <c r="K9551" s="7"/>
      <c r="L9551" s="7"/>
      <c r="M9551" s="7"/>
      <c r="N9551" s="7"/>
      <c r="O9551" s="7"/>
      <c r="P9551" s="7"/>
      <c r="Q9551" s="7"/>
      <c r="R9551" s="7"/>
      <c r="S9551" s="7"/>
      <c r="T9551" s="7"/>
      <c r="U9551" s="7"/>
      <c r="V9551" s="7"/>
      <c r="W9551" s="7"/>
      <c r="X9551" s="7"/>
      <c r="Y9551" s="7"/>
      <c r="Z9551" s="7"/>
    </row>
    <row r="9552" hidden="1">
      <c r="A9552" s="7"/>
      <c r="B9552" s="7"/>
      <c r="C9552" s="7"/>
      <c r="D9552" s="7"/>
      <c r="E9552" s="7"/>
      <c r="F9552" s="7"/>
      <c r="G9552" s="7"/>
      <c r="H9552" s="8"/>
      <c r="I9552" s="8"/>
      <c r="J9552" s="7"/>
      <c r="K9552" s="7"/>
      <c r="L9552" s="7"/>
      <c r="M9552" s="7"/>
      <c r="N9552" s="7"/>
      <c r="O9552" s="7"/>
      <c r="P9552" s="7"/>
      <c r="Q9552" s="7"/>
      <c r="R9552" s="7"/>
      <c r="S9552" s="7"/>
      <c r="T9552" s="7"/>
      <c r="U9552" s="7"/>
      <c r="V9552" s="7"/>
      <c r="W9552" s="7"/>
      <c r="X9552" s="7"/>
      <c r="Y9552" s="7"/>
      <c r="Z9552" s="7"/>
    </row>
    <row r="9553" hidden="1">
      <c r="A9553" s="7"/>
      <c r="B9553" s="7"/>
      <c r="C9553" s="7"/>
      <c r="D9553" s="7"/>
      <c r="E9553" s="7"/>
      <c r="F9553" s="7"/>
      <c r="G9553" s="7"/>
      <c r="H9553" s="8"/>
      <c r="I9553" s="8"/>
      <c r="J9553" s="7"/>
      <c r="K9553" s="7"/>
      <c r="L9553" s="7"/>
      <c r="M9553" s="7"/>
      <c r="N9553" s="7"/>
      <c r="O9553" s="7"/>
      <c r="P9553" s="7"/>
      <c r="Q9553" s="7"/>
      <c r="R9553" s="7"/>
      <c r="S9553" s="7"/>
      <c r="T9553" s="7"/>
      <c r="U9553" s="7"/>
      <c r="V9553" s="7"/>
      <c r="W9553" s="7"/>
      <c r="X9553" s="7"/>
      <c r="Y9553" s="7"/>
      <c r="Z9553" s="7"/>
    </row>
    <row r="9554" hidden="1">
      <c r="A9554" s="7"/>
      <c r="B9554" s="7"/>
      <c r="C9554" s="7"/>
      <c r="D9554" s="7"/>
      <c r="E9554" s="7"/>
      <c r="F9554" s="7"/>
      <c r="G9554" s="7"/>
      <c r="H9554" s="8"/>
      <c r="I9554" s="8"/>
      <c r="J9554" s="7"/>
      <c r="K9554" s="7"/>
      <c r="L9554" s="7"/>
      <c r="M9554" s="7"/>
      <c r="N9554" s="7"/>
      <c r="O9554" s="7"/>
      <c r="P9554" s="7"/>
      <c r="Q9554" s="7"/>
      <c r="R9554" s="7"/>
      <c r="S9554" s="7"/>
      <c r="T9554" s="7"/>
      <c r="U9554" s="7"/>
      <c r="V9554" s="7"/>
      <c r="W9554" s="7"/>
      <c r="X9554" s="7"/>
      <c r="Y9554" s="7"/>
      <c r="Z9554" s="7"/>
    </row>
    <row r="9555" hidden="1">
      <c r="A9555" s="7"/>
      <c r="B9555" s="7"/>
      <c r="C9555" s="7"/>
      <c r="D9555" s="7"/>
      <c r="E9555" s="7"/>
      <c r="F9555" s="7"/>
      <c r="G9555" s="7"/>
      <c r="H9555" s="8"/>
      <c r="I9555" s="8"/>
      <c r="J9555" s="7"/>
      <c r="K9555" s="7"/>
      <c r="L9555" s="7"/>
      <c r="M9555" s="7"/>
      <c r="N9555" s="7"/>
      <c r="O9555" s="7"/>
      <c r="P9555" s="7"/>
      <c r="Q9555" s="7"/>
      <c r="R9555" s="7"/>
      <c r="S9555" s="7"/>
      <c r="T9555" s="7"/>
      <c r="U9555" s="7"/>
      <c r="V9555" s="7"/>
      <c r="W9555" s="7"/>
      <c r="X9555" s="7"/>
      <c r="Y9555" s="7"/>
      <c r="Z9555" s="7"/>
    </row>
    <row r="9556" hidden="1">
      <c r="A9556" s="7"/>
      <c r="B9556" s="7"/>
      <c r="C9556" s="7"/>
      <c r="D9556" s="7"/>
      <c r="E9556" s="7"/>
      <c r="F9556" s="7"/>
      <c r="G9556" s="7"/>
      <c r="H9556" s="8"/>
      <c r="I9556" s="8"/>
      <c r="J9556" s="7"/>
      <c r="K9556" s="7"/>
      <c r="L9556" s="7"/>
      <c r="M9556" s="7"/>
      <c r="N9556" s="7"/>
      <c r="O9556" s="7"/>
      <c r="P9556" s="7"/>
      <c r="Q9556" s="7"/>
      <c r="R9556" s="7"/>
      <c r="S9556" s="7"/>
      <c r="T9556" s="7"/>
      <c r="U9556" s="7"/>
      <c r="V9556" s="7"/>
      <c r="W9556" s="7"/>
      <c r="X9556" s="7"/>
      <c r="Y9556" s="7"/>
      <c r="Z9556" s="7"/>
    </row>
    <row r="9557" hidden="1">
      <c r="A9557" s="7"/>
      <c r="B9557" s="7"/>
      <c r="C9557" s="7"/>
      <c r="D9557" s="7"/>
      <c r="E9557" s="7"/>
      <c r="F9557" s="7"/>
      <c r="G9557" s="7"/>
      <c r="H9557" s="8"/>
      <c r="I9557" s="8"/>
      <c r="J9557" s="7"/>
      <c r="K9557" s="7"/>
      <c r="L9557" s="7"/>
      <c r="M9557" s="7"/>
      <c r="N9557" s="7"/>
      <c r="O9557" s="7"/>
      <c r="P9557" s="7"/>
      <c r="Q9557" s="7"/>
      <c r="R9557" s="7"/>
      <c r="S9557" s="7"/>
      <c r="T9557" s="7"/>
      <c r="U9557" s="7"/>
      <c r="V9557" s="7"/>
      <c r="W9557" s="7"/>
      <c r="X9557" s="7"/>
      <c r="Y9557" s="7"/>
      <c r="Z9557" s="7"/>
    </row>
    <row r="9558" hidden="1">
      <c r="A9558" s="7"/>
      <c r="B9558" s="7"/>
      <c r="C9558" s="7"/>
      <c r="D9558" s="7"/>
      <c r="E9558" s="7"/>
      <c r="F9558" s="7"/>
      <c r="G9558" s="7"/>
      <c r="H9558" s="8"/>
      <c r="I9558" s="8"/>
      <c r="J9558" s="7"/>
      <c r="K9558" s="7"/>
      <c r="L9558" s="7"/>
      <c r="M9558" s="7"/>
      <c r="N9558" s="7"/>
      <c r="O9558" s="7"/>
      <c r="P9558" s="7"/>
      <c r="Q9558" s="7"/>
      <c r="R9558" s="7"/>
      <c r="S9558" s="7"/>
      <c r="T9558" s="7"/>
      <c r="U9558" s="7"/>
      <c r="V9558" s="7"/>
      <c r="W9558" s="7"/>
      <c r="X9558" s="7"/>
      <c r="Y9558" s="7"/>
      <c r="Z9558" s="7"/>
    </row>
    <row r="9559" hidden="1">
      <c r="A9559" s="7"/>
      <c r="B9559" s="7"/>
      <c r="C9559" s="7"/>
      <c r="D9559" s="7"/>
      <c r="E9559" s="7"/>
      <c r="F9559" s="7"/>
      <c r="G9559" s="7"/>
      <c r="H9559" s="8"/>
      <c r="I9559" s="8"/>
      <c r="J9559" s="7"/>
      <c r="K9559" s="7"/>
      <c r="L9559" s="7"/>
      <c r="M9559" s="7"/>
      <c r="N9559" s="7"/>
      <c r="O9559" s="7"/>
      <c r="P9559" s="7"/>
      <c r="Q9559" s="7"/>
      <c r="R9559" s="7"/>
      <c r="S9559" s="7"/>
      <c r="T9559" s="7"/>
      <c r="U9559" s="7"/>
      <c r="V9559" s="7"/>
      <c r="W9559" s="7"/>
      <c r="X9559" s="7"/>
      <c r="Y9559" s="7"/>
      <c r="Z9559" s="7"/>
    </row>
    <row r="9560" hidden="1">
      <c r="A9560" s="7"/>
      <c r="B9560" s="7"/>
      <c r="C9560" s="7"/>
      <c r="D9560" s="7"/>
      <c r="E9560" s="7"/>
      <c r="F9560" s="7"/>
      <c r="G9560" s="7"/>
      <c r="H9560" s="8"/>
      <c r="I9560" s="8"/>
      <c r="J9560" s="7"/>
      <c r="K9560" s="7"/>
      <c r="L9560" s="7"/>
      <c r="M9560" s="7"/>
      <c r="N9560" s="7"/>
      <c r="O9560" s="7"/>
      <c r="P9560" s="7"/>
      <c r="Q9560" s="7"/>
      <c r="R9560" s="7"/>
      <c r="S9560" s="7"/>
      <c r="T9560" s="7"/>
      <c r="U9560" s="7"/>
      <c r="V9560" s="7"/>
      <c r="W9560" s="7"/>
      <c r="X9560" s="7"/>
      <c r="Y9560" s="7"/>
      <c r="Z9560" s="7"/>
    </row>
    <row r="9561" hidden="1">
      <c r="A9561" s="7"/>
      <c r="B9561" s="7"/>
      <c r="C9561" s="7"/>
      <c r="D9561" s="7"/>
      <c r="E9561" s="7"/>
      <c r="F9561" s="7"/>
      <c r="G9561" s="7"/>
      <c r="H9561" s="8"/>
      <c r="I9561" s="8"/>
      <c r="J9561" s="7"/>
      <c r="K9561" s="7"/>
      <c r="L9561" s="7"/>
      <c r="M9561" s="7"/>
      <c r="N9561" s="7"/>
      <c r="O9561" s="7"/>
      <c r="P9561" s="7"/>
      <c r="Q9561" s="7"/>
      <c r="R9561" s="7"/>
      <c r="S9561" s="7"/>
      <c r="T9561" s="7"/>
      <c r="U9561" s="7"/>
      <c r="V9561" s="7"/>
      <c r="W9561" s="7"/>
      <c r="X9561" s="7"/>
      <c r="Y9561" s="7"/>
      <c r="Z9561" s="7"/>
    </row>
    <row r="9562" hidden="1">
      <c r="A9562" s="7"/>
      <c r="B9562" s="7"/>
      <c r="C9562" s="7"/>
      <c r="D9562" s="7"/>
      <c r="E9562" s="7"/>
      <c r="F9562" s="7"/>
      <c r="G9562" s="7"/>
      <c r="H9562" s="8"/>
      <c r="I9562" s="8"/>
      <c r="J9562" s="7"/>
      <c r="K9562" s="7"/>
      <c r="L9562" s="7"/>
      <c r="M9562" s="7"/>
      <c r="N9562" s="7"/>
      <c r="O9562" s="7"/>
      <c r="P9562" s="7"/>
      <c r="Q9562" s="7"/>
      <c r="R9562" s="7"/>
      <c r="S9562" s="7"/>
      <c r="T9562" s="7"/>
      <c r="U9562" s="7"/>
      <c r="V9562" s="7"/>
      <c r="W9562" s="7"/>
      <c r="X9562" s="7"/>
      <c r="Y9562" s="7"/>
      <c r="Z9562" s="7"/>
    </row>
    <row r="9563" hidden="1">
      <c r="A9563" s="7"/>
      <c r="B9563" s="7"/>
      <c r="C9563" s="7"/>
      <c r="D9563" s="7"/>
      <c r="E9563" s="7"/>
      <c r="F9563" s="7"/>
      <c r="G9563" s="7"/>
      <c r="H9563" s="8"/>
      <c r="I9563" s="8"/>
      <c r="J9563" s="7"/>
      <c r="K9563" s="7"/>
      <c r="L9563" s="7"/>
      <c r="M9563" s="7"/>
      <c r="N9563" s="7"/>
      <c r="O9563" s="7"/>
      <c r="P9563" s="7"/>
      <c r="Q9563" s="7"/>
      <c r="R9563" s="7"/>
      <c r="S9563" s="7"/>
      <c r="T9563" s="7"/>
      <c r="U9563" s="7"/>
      <c r="V9563" s="7"/>
      <c r="W9563" s="7"/>
      <c r="X9563" s="7"/>
      <c r="Y9563" s="7"/>
      <c r="Z9563" s="7"/>
    </row>
    <row r="9564" hidden="1">
      <c r="A9564" s="7"/>
      <c r="B9564" s="7"/>
      <c r="C9564" s="7"/>
      <c r="D9564" s="7"/>
      <c r="E9564" s="7"/>
      <c r="F9564" s="7"/>
      <c r="G9564" s="7"/>
      <c r="H9564" s="8"/>
      <c r="I9564" s="8"/>
      <c r="J9564" s="7"/>
      <c r="K9564" s="7"/>
      <c r="L9564" s="7"/>
      <c r="M9564" s="7"/>
      <c r="N9564" s="7"/>
      <c r="O9564" s="7"/>
      <c r="P9564" s="7"/>
      <c r="Q9564" s="7"/>
      <c r="R9564" s="7"/>
      <c r="S9564" s="7"/>
      <c r="T9564" s="7"/>
      <c r="U9564" s="7"/>
      <c r="V9564" s="7"/>
      <c r="W9564" s="7"/>
      <c r="X9564" s="7"/>
      <c r="Y9564" s="7"/>
      <c r="Z9564" s="7"/>
    </row>
    <row r="9565" hidden="1">
      <c r="A9565" s="7"/>
      <c r="B9565" s="7"/>
      <c r="C9565" s="7"/>
      <c r="D9565" s="7"/>
      <c r="E9565" s="7"/>
      <c r="F9565" s="7"/>
      <c r="G9565" s="7"/>
      <c r="H9565" s="8"/>
      <c r="I9565" s="8"/>
      <c r="J9565" s="7"/>
      <c r="K9565" s="7"/>
      <c r="L9565" s="7"/>
      <c r="M9565" s="7"/>
      <c r="N9565" s="7"/>
      <c r="O9565" s="7"/>
      <c r="P9565" s="7"/>
      <c r="Q9565" s="7"/>
      <c r="R9565" s="7"/>
      <c r="S9565" s="7"/>
      <c r="T9565" s="7"/>
      <c r="U9565" s="7"/>
      <c r="V9565" s="7"/>
      <c r="W9565" s="7"/>
      <c r="X9565" s="7"/>
      <c r="Y9565" s="7"/>
      <c r="Z9565" s="7"/>
    </row>
    <row r="9566" hidden="1">
      <c r="A9566" s="7"/>
      <c r="B9566" s="7"/>
      <c r="C9566" s="7"/>
      <c r="D9566" s="7"/>
      <c r="E9566" s="7"/>
      <c r="F9566" s="7"/>
      <c r="G9566" s="7"/>
      <c r="H9566" s="8"/>
      <c r="I9566" s="8"/>
      <c r="J9566" s="7"/>
      <c r="K9566" s="7"/>
      <c r="L9566" s="7"/>
      <c r="M9566" s="7"/>
      <c r="N9566" s="7"/>
      <c r="O9566" s="7"/>
      <c r="P9566" s="7"/>
      <c r="Q9566" s="7"/>
      <c r="R9566" s="7"/>
      <c r="S9566" s="7"/>
      <c r="T9566" s="7"/>
      <c r="U9566" s="7"/>
      <c r="V9566" s="7"/>
      <c r="W9566" s="7"/>
      <c r="X9566" s="7"/>
      <c r="Y9566" s="7"/>
      <c r="Z9566" s="7"/>
    </row>
    <row r="9567" hidden="1">
      <c r="A9567" s="7"/>
      <c r="B9567" s="7"/>
      <c r="C9567" s="7"/>
      <c r="D9567" s="7"/>
      <c r="E9567" s="7"/>
      <c r="F9567" s="7"/>
      <c r="G9567" s="7"/>
      <c r="H9567" s="8"/>
      <c r="I9567" s="8"/>
      <c r="J9567" s="7"/>
      <c r="K9567" s="7"/>
      <c r="L9567" s="7"/>
      <c r="M9567" s="7"/>
      <c r="N9567" s="7"/>
      <c r="O9567" s="7"/>
      <c r="P9567" s="7"/>
      <c r="Q9567" s="7"/>
      <c r="R9567" s="7"/>
      <c r="S9567" s="7"/>
      <c r="T9567" s="7"/>
      <c r="U9567" s="7"/>
      <c r="V9567" s="7"/>
      <c r="W9567" s="7"/>
      <c r="X9567" s="7"/>
      <c r="Y9567" s="7"/>
      <c r="Z9567" s="7"/>
    </row>
    <row r="9568" hidden="1">
      <c r="A9568" s="7"/>
      <c r="B9568" s="7"/>
      <c r="C9568" s="7"/>
      <c r="D9568" s="7"/>
      <c r="E9568" s="7"/>
      <c r="F9568" s="7"/>
      <c r="G9568" s="7"/>
      <c r="H9568" s="8"/>
      <c r="I9568" s="8"/>
      <c r="J9568" s="7"/>
      <c r="K9568" s="7"/>
      <c r="L9568" s="7"/>
      <c r="M9568" s="7"/>
      <c r="N9568" s="7"/>
      <c r="O9568" s="7"/>
      <c r="P9568" s="7"/>
      <c r="Q9568" s="7"/>
      <c r="R9568" s="7"/>
      <c r="S9568" s="7"/>
      <c r="T9568" s="7"/>
      <c r="U9568" s="7"/>
      <c r="V9568" s="7"/>
      <c r="W9568" s="7"/>
      <c r="X9568" s="7"/>
      <c r="Y9568" s="7"/>
      <c r="Z9568" s="7"/>
    </row>
    <row r="9569" hidden="1">
      <c r="A9569" s="7"/>
      <c r="B9569" s="7"/>
      <c r="C9569" s="7"/>
      <c r="D9569" s="7"/>
      <c r="E9569" s="7"/>
      <c r="F9569" s="7"/>
      <c r="G9569" s="7"/>
      <c r="H9569" s="8"/>
      <c r="I9569" s="8"/>
      <c r="J9569" s="7"/>
      <c r="K9569" s="7"/>
      <c r="L9569" s="7"/>
      <c r="M9569" s="7"/>
      <c r="N9569" s="7"/>
      <c r="O9569" s="7"/>
      <c r="P9569" s="7"/>
      <c r="Q9569" s="7"/>
      <c r="R9569" s="7"/>
      <c r="S9569" s="7"/>
      <c r="T9569" s="7"/>
      <c r="U9569" s="7"/>
      <c r="V9569" s="7"/>
      <c r="W9569" s="7"/>
      <c r="X9569" s="7"/>
      <c r="Y9569" s="7"/>
      <c r="Z9569" s="7"/>
    </row>
    <row r="9570" hidden="1">
      <c r="A9570" s="7"/>
      <c r="B9570" s="7"/>
      <c r="C9570" s="7"/>
      <c r="D9570" s="7"/>
      <c r="E9570" s="7"/>
      <c r="F9570" s="7"/>
      <c r="G9570" s="7"/>
      <c r="H9570" s="8"/>
      <c r="I9570" s="8"/>
      <c r="J9570" s="7"/>
      <c r="K9570" s="7"/>
      <c r="L9570" s="7"/>
      <c r="M9570" s="7"/>
      <c r="N9570" s="7"/>
      <c r="O9570" s="7"/>
      <c r="P9570" s="7"/>
      <c r="Q9570" s="7"/>
      <c r="R9570" s="7"/>
      <c r="S9570" s="7"/>
      <c r="T9570" s="7"/>
      <c r="U9570" s="7"/>
      <c r="V9570" s="7"/>
      <c r="W9570" s="7"/>
      <c r="X9570" s="7"/>
      <c r="Y9570" s="7"/>
      <c r="Z9570" s="7"/>
    </row>
    <row r="9571" hidden="1">
      <c r="A9571" s="7"/>
      <c r="B9571" s="7"/>
      <c r="C9571" s="7"/>
      <c r="D9571" s="7"/>
      <c r="E9571" s="7"/>
      <c r="F9571" s="7"/>
      <c r="G9571" s="7"/>
      <c r="H9571" s="8"/>
      <c r="I9571" s="8"/>
      <c r="J9571" s="7"/>
      <c r="K9571" s="7"/>
      <c r="L9571" s="7"/>
      <c r="M9571" s="7"/>
      <c r="N9571" s="7"/>
      <c r="O9571" s="7"/>
      <c r="P9571" s="7"/>
      <c r="Q9571" s="7"/>
      <c r="R9571" s="7"/>
      <c r="S9571" s="7"/>
      <c r="T9571" s="7"/>
      <c r="U9571" s="7"/>
      <c r="V9571" s="7"/>
      <c r="W9571" s="7"/>
      <c r="X9571" s="7"/>
      <c r="Y9571" s="7"/>
      <c r="Z9571" s="7"/>
    </row>
    <row r="9572" hidden="1">
      <c r="A9572" s="7"/>
      <c r="B9572" s="7"/>
      <c r="C9572" s="7"/>
      <c r="D9572" s="7"/>
      <c r="E9572" s="7"/>
      <c r="F9572" s="7"/>
      <c r="G9572" s="7"/>
      <c r="H9572" s="8"/>
      <c r="I9572" s="8"/>
      <c r="J9572" s="7"/>
      <c r="K9572" s="7"/>
      <c r="L9572" s="7"/>
      <c r="M9572" s="7"/>
      <c r="N9572" s="7"/>
      <c r="O9572" s="7"/>
      <c r="P9572" s="7"/>
      <c r="Q9572" s="7"/>
      <c r="R9572" s="7"/>
      <c r="S9572" s="7"/>
      <c r="T9572" s="7"/>
      <c r="U9572" s="7"/>
      <c r="V9572" s="7"/>
      <c r="W9572" s="7"/>
      <c r="X9572" s="7"/>
      <c r="Y9572" s="7"/>
      <c r="Z9572" s="7"/>
    </row>
    <row r="9573" hidden="1">
      <c r="A9573" s="7"/>
      <c r="B9573" s="7"/>
      <c r="C9573" s="7"/>
      <c r="D9573" s="7"/>
      <c r="E9573" s="7"/>
      <c r="F9573" s="7"/>
      <c r="G9573" s="7"/>
      <c r="H9573" s="8"/>
      <c r="I9573" s="8"/>
      <c r="J9573" s="7"/>
      <c r="K9573" s="7"/>
      <c r="L9573" s="7"/>
      <c r="M9573" s="7"/>
      <c r="N9573" s="7"/>
      <c r="O9573" s="7"/>
      <c r="P9573" s="7"/>
      <c r="Q9573" s="7"/>
      <c r="R9573" s="7"/>
      <c r="S9573" s="7"/>
      <c r="T9573" s="7"/>
      <c r="U9573" s="7"/>
      <c r="V9573" s="7"/>
      <c r="W9573" s="7"/>
      <c r="X9573" s="7"/>
      <c r="Y9573" s="7"/>
      <c r="Z9573" s="7"/>
    </row>
    <row r="9574" hidden="1">
      <c r="A9574" s="7"/>
      <c r="B9574" s="7"/>
      <c r="C9574" s="7"/>
      <c r="D9574" s="7"/>
      <c r="E9574" s="7"/>
      <c r="F9574" s="7"/>
      <c r="G9574" s="7"/>
      <c r="H9574" s="8"/>
      <c r="I9574" s="8"/>
      <c r="J9574" s="7"/>
      <c r="K9574" s="7"/>
      <c r="L9574" s="7"/>
      <c r="M9574" s="7"/>
      <c r="N9574" s="7"/>
      <c r="O9574" s="7"/>
      <c r="P9574" s="7"/>
      <c r="Q9574" s="7"/>
      <c r="R9574" s="7"/>
      <c r="S9574" s="7"/>
      <c r="T9574" s="7"/>
      <c r="U9574" s="7"/>
      <c r="V9574" s="7"/>
      <c r="W9574" s="7"/>
      <c r="X9574" s="7"/>
      <c r="Y9574" s="7"/>
      <c r="Z9574" s="7"/>
    </row>
    <row r="9575" hidden="1">
      <c r="A9575" s="7"/>
      <c r="B9575" s="7"/>
      <c r="C9575" s="7"/>
      <c r="D9575" s="7"/>
      <c r="E9575" s="7"/>
      <c r="F9575" s="7"/>
      <c r="G9575" s="7"/>
      <c r="H9575" s="8"/>
      <c r="I9575" s="8"/>
      <c r="J9575" s="7"/>
      <c r="K9575" s="7"/>
      <c r="L9575" s="7"/>
      <c r="M9575" s="7"/>
      <c r="N9575" s="7"/>
      <c r="O9575" s="7"/>
      <c r="P9575" s="7"/>
      <c r="Q9575" s="7"/>
      <c r="R9575" s="7"/>
      <c r="S9575" s="7"/>
      <c r="T9575" s="7"/>
      <c r="U9575" s="7"/>
      <c r="V9575" s="7"/>
      <c r="W9575" s="7"/>
      <c r="X9575" s="7"/>
      <c r="Y9575" s="7"/>
      <c r="Z9575" s="7"/>
    </row>
    <row r="9576" hidden="1">
      <c r="A9576" s="7"/>
      <c r="B9576" s="7"/>
      <c r="C9576" s="7"/>
      <c r="D9576" s="7"/>
      <c r="E9576" s="7"/>
      <c r="F9576" s="7"/>
      <c r="G9576" s="7"/>
      <c r="H9576" s="8"/>
      <c r="I9576" s="8"/>
      <c r="J9576" s="7"/>
      <c r="K9576" s="7"/>
      <c r="L9576" s="7"/>
      <c r="M9576" s="7"/>
      <c r="N9576" s="7"/>
      <c r="O9576" s="7"/>
      <c r="P9576" s="7"/>
      <c r="Q9576" s="7"/>
      <c r="R9576" s="7"/>
      <c r="S9576" s="7"/>
      <c r="T9576" s="7"/>
      <c r="U9576" s="7"/>
      <c r="V9576" s="7"/>
      <c r="W9576" s="7"/>
      <c r="X9576" s="7"/>
      <c r="Y9576" s="7"/>
      <c r="Z9576" s="7"/>
    </row>
    <row r="9577" hidden="1">
      <c r="A9577" s="7"/>
      <c r="B9577" s="7"/>
      <c r="C9577" s="7"/>
      <c r="D9577" s="7"/>
      <c r="E9577" s="7"/>
      <c r="F9577" s="7"/>
      <c r="G9577" s="7"/>
      <c r="H9577" s="8"/>
      <c r="I9577" s="8"/>
      <c r="J9577" s="7"/>
      <c r="K9577" s="7"/>
      <c r="L9577" s="7"/>
      <c r="M9577" s="7"/>
      <c r="N9577" s="7"/>
      <c r="O9577" s="7"/>
      <c r="P9577" s="7"/>
      <c r="Q9577" s="7"/>
      <c r="R9577" s="7"/>
      <c r="S9577" s="7"/>
      <c r="T9577" s="7"/>
      <c r="U9577" s="7"/>
      <c r="V9577" s="7"/>
      <c r="W9577" s="7"/>
      <c r="X9577" s="7"/>
      <c r="Y9577" s="7"/>
      <c r="Z9577" s="7"/>
    </row>
    <row r="9578" hidden="1">
      <c r="A9578" s="7"/>
      <c r="B9578" s="7"/>
      <c r="C9578" s="7"/>
      <c r="D9578" s="7"/>
      <c r="E9578" s="7"/>
      <c r="F9578" s="7"/>
      <c r="G9578" s="7"/>
      <c r="H9578" s="8"/>
      <c r="I9578" s="8"/>
      <c r="J9578" s="7"/>
      <c r="K9578" s="7"/>
      <c r="L9578" s="7"/>
      <c r="M9578" s="7"/>
      <c r="N9578" s="7"/>
      <c r="O9578" s="7"/>
      <c r="P9578" s="7"/>
      <c r="Q9578" s="7"/>
      <c r="R9578" s="7"/>
      <c r="S9578" s="7"/>
      <c r="T9578" s="7"/>
      <c r="U9578" s="7"/>
      <c r="V9578" s="7"/>
      <c r="W9578" s="7"/>
      <c r="X9578" s="7"/>
      <c r="Y9578" s="7"/>
      <c r="Z9578" s="7"/>
    </row>
    <row r="9579" hidden="1">
      <c r="A9579" s="7"/>
      <c r="B9579" s="7"/>
      <c r="C9579" s="7"/>
      <c r="D9579" s="7"/>
      <c r="E9579" s="7"/>
      <c r="F9579" s="7"/>
      <c r="G9579" s="7"/>
      <c r="H9579" s="8"/>
      <c r="I9579" s="8"/>
      <c r="J9579" s="7"/>
      <c r="K9579" s="7"/>
      <c r="L9579" s="7"/>
      <c r="M9579" s="7"/>
      <c r="N9579" s="7"/>
      <c r="O9579" s="7"/>
      <c r="P9579" s="7"/>
      <c r="Q9579" s="7"/>
      <c r="R9579" s="7"/>
      <c r="S9579" s="7"/>
      <c r="T9579" s="7"/>
      <c r="U9579" s="7"/>
      <c r="V9579" s="7"/>
      <c r="W9579" s="7"/>
      <c r="X9579" s="7"/>
      <c r="Y9579" s="7"/>
      <c r="Z9579" s="7"/>
    </row>
    <row r="9580" hidden="1">
      <c r="A9580" s="7"/>
      <c r="B9580" s="7"/>
      <c r="C9580" s="7"/>
      <c r="D9580" s="7"/>
      <c r="E9580" s="7"/>
      <c r="F9580" s="7"/>
      <c r="G9580" s="7"/>
      <c r="H9580" s="8"/>
      <c r="I9580" s="8"/>
      <c r="J9580" s="7"/>
      <c r="K9580" s="7"/>
      <c r="L9580" s="7"/>
      <c r="M9580" s="7"/>
      <c r="N9580" s="7"/>
      <c r="O9580" s="7"/>
      <c r="P9580" s="7"/>
      <c r="Q9580" s="7"/>
      <c r="R9580" s="7"/>
      <c r="S9580" s="7"/>
      <c r="T9580" s="7"/>
      <c r="U9580" s="7"/>
      <c r="V9580" s="7"/>
      <c r="W9580" s="7"/>
      <c r="X9580" s="7"/>
      <c r="Y9580" s="7"/>
      <c r="Z9580" s="7"/>
    </row>
    <row r="9581" hidden="1">
      <c r="A9581" s="7"/>
      <c r="B9581" s="7"/>
      <c r="C9581" s="7"/>
      <c r="D9581" s="7"/>
      <c r="E9581" s="7"/>
      <c r="F9581" s="7"/>
      <c r="G9581" s="7"/>
      <c r="H9581" s="8"/>
      <c r="I9581" s="8"/>
      <c r="J9581" s="7"/>
      <c r="K9581" s="7"/>
      <c r="L9581" s="7"/>
      <c r="M9581" s="7"/>
      <c r="N9581" s="7"/>
      <c r="O9581" s="7"/>
      <c r="P9581" s="7"/>
      <c r="Q9581" s="7"/>
      <c r="R9581" s="7"/>
      <c r="S9581" s="7"/>
      <c r="T9581" s="7"/>
      <c r="U9581" s="7"/>
      <c r="V9581" s="7"/>
      <c r="W9581" s="7"/>
      <c r="X9581" s="7"/>
      <c r="Y9581" s="7"/>
      <c r="Z9581" s="7"/>
    </row>
    <row r="9582" hidden="1">
      <c r="A9582" s="7"/>
      <c r="B9582" s="7"/>
      <c r="C9582" s="7"/>
      <c r="D9582" s="7"/>
      <c r="E9582" s="7"/>
      <c r="F9582" s="7"/>
      <c r="G9582" s="7"/>
      <c r="H9582" s="8"/>
      <c r="I9582" s="8"/>
      <c r="J9582" s="7"/>
      <c r="K9582" s="7"/>
      <c r="L9582" s="7"/>
      <c r="M9582" s="7"/>
      <c r="N9582" s="7"/>
      <c r="O9582" s="7"/>
      <c r="P9582" s="7"/>
      <c r="Q9582" s="7"/>
      <c r="R9582" s="7"/>
      <c r="S9582" s="7"/>
      <c r="T9582" s="7"/>
      <c r="U9582" s="7"/>
      <c r="V9582" s="7"/>
      <c r="W9582" s="7"/>
      <c r="X9582" s="7"/>
      <c r="Y9582" s="7"/>
      <c r="Z9582" s="7"/>
    </row>
    <row r="9583" hidden="1">
      <c r="A9583" s="7"/>
      <c r="B9583" s="7"/>
      <c r="C9583" s="7"/>
      <c r="D9583" s="7"/>
      <c r="E9583" s="7"/>
      <c r="F9583" s="7"/>
      <c r="G9583" s="7"/>
      <c r="H9583" s="8"/>
      <c r="I9583" s="8"/>
      <c r="J9583" s="7"/>
      <c r="K9583" s="7"/>
      <c r="L9583" s="7"/>
      <c r="M9583" s="7"/>
      <c r="N9583" s="7"/>
      <c r="O9583" s="7"/>
      <c r="P9583" s="7"/>
      <c r="Q9583" s="7"/>
      <c r="R9583" s="7"/>
      <c r="S9583" s="7"/>
      <c r="T9583" s="7"/>
      <c r="U9583" s="7"/>
      <c r="V9583" s="7"/>
      <c r="W9583" s="7"/>
      <c r="X9583" s="7"/>
      <c r="Y9583" s="7"/>
      <c r="Z9583" s="7"/>
    </row>
    <row r="9584" hidden="1">
      <c r="A9584" s="7"/>
      <c r="B9584" s="7"/>
      <c r="C9584" s="7"/>
      <c r="D9584" s="7"/>
      <c r="E9584" s="7"/>
      <c r="F9584" s="7"/>
      <c r="G9584" s="7"/>
      <c r="H9584" s="8"/>
      <c r="I9584" s="8"/>
      <c r="J9584" s="7"/>
      <c r="K9584" s="7"/>
      <c r="L9584" s="7"/>
      <c r="M9584" s="7"/>
      <c r="N9584" s="7"/>
      <c r="O9584" s="7"/>
      <c r="P9584" s="7"/>
      <c r="Q9584" s="7"/>
      <c r="R9584" s="7"/>
      <c r="S9584" s="7"/>
      <c r="T9584" s="7"/>
      <c r="U9584" s="7"/>
      <c r="V9584" s="7"/>
      <c r="W9584" s="7"/>
      <c r="X9584" s="7"/>
      <c r="Y9584" s="7"/>
      <c r="Z9584" s="7"/>
    </row>
    <row r="9585" hidden="1">
      <c r="A9585" s="7"/>
      <c r="B9585" s="7"/>
      <c r="C9585" s="7"/>
      <c r="D9585" s="7"/>
      <c r="E9585" s="7"/>
      <c r="F9585" s="7"/>
      <c r="G9585" s="7"/>
      <c r="H9585" s="8"/>
      <c r="I9585" s="8"/>
      <c r="J9585" s="7"/>
      <c r="K9585" s="7"/>
      <c r="L9585" s="7"/>
      <c r="M9585" s="7"/>
      <c r="N9585" s="7"/>
      <c r="O9585" s="7"/>
      <c r="P9585" s="7"/>
      <c r="Q9585" s="7"/>
      <c r="R9585" s="7"/>
      <c r="S9585" s="7"/>
      <c r="T9585" s="7"/>
      <c r="U9585" s="7"/>
      <c r="V9585" s="7"/>
      <c r="W9585" s="7"/>
      <c r="X9585" s="7"/>
      <c r="Y9585" s="7"/>
      <c r="Z9585" s="7"/>
    </row>
    <row r="9586" hidden="1">
      <c r="A9586" s="7"/>
      <c r="B9586" s="7"/>
      <c r="C9586" s="7"/>
      <c r="D9586" s="7"/>
      <c r="E9586" s="7"/>
      <c r="F9586" s="7"/>
      <c r="G9586" s="7"/>
      <c r="H9586" s="8"/>
      <c r="I9586" s="8"/>
      <c r="J9586" s="7"/>
      <c r="K9586" s="7"/>
      <c r="L9586" s="7"/>
      <c r="M9586" s="7"/>
      <c r="N9586" s="7"/>
      <c r="O9586" s="7"/>
      <c r="P9586" s="7"/>
      <c r="Q9586" s="7"/>
      <c r="R9586" s="7"/>
      <c r="S9586" s="7"/>
      <c r="T9586" s="7"/>
      <c r="U9586" s="7"/>
      <c r="V9586" s="7"/>
      <c r="W9586" s="7"/>
      <c r="X9586" s="7"/>
      <c r="Y9586" s="7"/>
      <c r="Z9586" s="7"/>
    </row>
    <row r="9587" hidden="1">
      <c r="A9587" s="7"/>
      <c r="B9587" s="7"/>
      <c r="C9587" s="7"/>
      <c r="D9587" s="7"/>
      <c r="E9587" s="7"/>
      <c r="F9587" s="7"/>
      <c r="G9587" s="7"/>
      <c r="H9587" s="8"/>
      <c r="I9587" s="8"/>
      <c r="J9587" s="7"/>
      <c r="K9587" s="7"/>
      <c r="L9587" s="7"/>
      <c r="M9587" s="7"/>
      <c r="N9587" s="7"/>
      <c r="O9587" s="7"/>
      <c r="P9587" s="7"/>
      <c r="Q9587" s="7"/>
      <c r="R9587" s="7"/>
      <c r="S9587" s="7"/>
      <c r="T9587" s="7"/>
      <c r="U9587" s="7"/>
      <c r="V9587" s="7"/>
      <c r="W9587" s="7"/>
      <c r="X9587" s="7"/>
      <c r="Y9587" s="7"/>
      <c r="Z9587" s="7"/>
    </row>
    <row r="9588" hidden="1">
      <c r="A9588" s="7"/>
      <c r="B9588" s="7"/>
      <c r="C9588" s="7"/>
      <c r="D9588" s="7"/>
      <c r="E9588" s="7"/>
      <c r="F9588" s="7"/>
      <c r="G9588" s="7"/>
      <c r="H9588" s="8"/>
      <c r="I9588" s="8"/>
      <c r="J9588" s="7"/>
      <c r="K9588" s="7"/>
      <c r="L9588" s="7"/>
      <c r="M9588" s="7"/>
      <c r="N9588" s="7"/>
      <c r="O9588" s="7"/>
      <c r="P9588" s="7"/>
      <c r="Q9588" s="7"/>
      <c r="R9588" s="7"/>
      <c r="S9588" s="7"/>
      <c r="T9588" s="7"/>
      <c r="U9588" s="7"/>
      <c r="V9588" s="7"/>
      <c r="W9588" s="7"/>
      <c r="X9588" s="7"/>
      <c r="Y9588" s="7"/>
      <c r="Z9588" s="7"/>
    </row>
    <row r="9589" hidden="1">
      <c r="A9589" s="7"/>
      <c r="B9589" s="7"/>
      <c r="C9589" s="7"/>
      <c r="D9589" s="7"/>
      <c r="E9589" s="7"/>
      <c r="F9589" s="7"/>
      <c r="G9589" s="7"/>
      <c r="H9589" s="8"/>
      <c r="I9589" s="8"/>
      <c r="J9589" s="7"/>
      <c r="K9589" s="7"/>
      <c r="L9589" s="7"/>
      <c r="M9589" s="7"/>
      <c r="N9589" s="7"/>
      <c r="O9589" s="7"/>
      <c r="P9589" s="7"/>
      <c r="Q9589" s="7"/>
      <c r="R9589" s="7"/>
      <c r="S9589" s="7"/>
      <c r="T9589" s="7"/>
      <c r="U9589" s="7"/>
      <c r="V9589" s="7"/>
      <c r="W9589" s="7"/>
      <c r="X9589" s="7"/>
      <c r="Y9589" s="7"/>
      <c r="Z9589" s="7"/>
    </row>
    <row r="9590" hidden="1">
      <c r="A9590" s="7"/>
      <c r="B9590" s="7"/>
      <c r="C9590" s="7"/>
      <c r="D9590" s="7"/>
      <c r="E9590" s="7"/>
      <c r="F9590" s="7"/>
      <c r="G9590" s="7"/>
      <c r="H9590" s="8"/>
      <c r="I9590" s="8"/>
      <c r="J9590" s="7"/>
      <c r="K9590" s="7"/>
      <c r="L9590" s="7"/>
      <c r="M9590" s="7"/>
      <c r="N9590" s="7"/>
      <c r="O9590" s="7"/>
      <c r="P9590" s="7"/>
      <c r="Q9590" s="7"/>
      <c r="R9590" s="7"/>
      <c r="S9590" s="7"/>
      <c r="T9590" s="7"/>
      <c r="U9590" s="7"/>
      <c r="V9590" s="7"/>
      <c r="W9590" s="7"/>
      <c r="X9590" s="7"/>
      <c r="Y9590" s="7"/>
      <c r="Z9590" s="7"/>
    </row>
    <row r="9591" hidden="1">
      <c r="A9591" s="7"/>
      <c r="B9591" s="7"/>
      <c r="C9591" s="7"/>
      <c r="D9591" s="7"/>
      <c r="E9591" s="7"/>
      <c r="F9591" s="7"/>
      <c r="G9591" s="7"/>
      <c r="H9591" s="8"/>
      <c r="I9591" s="8"/>
      <c r="J9591" s="7"/>
      <c r="K9591" s="7"/>
      <c r="L9591" s="7"/>
      <c r="M9591" s="7"/>
      <c r="N9591" s="7"/>
      <c r="O9591" s="7"/>
      <c r="P9591" s="7"/>
      <c r="Q9591" s="7"/>
      <c r="R9591" s="7"/>
      <c r="S9591" s="7"/>
      <c r="T9591" s="7"/>
      <c r="U9591" s="7"/>
      <c r="V9591" s="7"/>
      <c r="W9591" s="7"/>
      <c r="X9591" s="7"/>
      <c r="Y9591" s="7"/>
      <c r="Z9591" s="7"/>
    </row>
    <row r="9592" hidden="1">
      <c r="A9592" s="7"/>
      <c r="B9592" s="7"/>
      <c r="C9592" s="7"/>
      <c r="D9592" s="7"/>
      <c r="E9592" s="7"/>
      <c r="F9592" s="7"/>
      <c r="G9592" s="7"/>
      <c r="H9592" s="8"/>
      <c r="I9592" s="8"/>
      <c r="J9592" s="7"/>
      <c r="K9592" s="7"/>
      <c r="L9592" s="7"/>
      <c r="M9592" s="7"/>
      <c r="N9592" s="7"/>
      <c r="O9592" s="7"/>
      <c r="P9592" s="7"/>
      <c r="Q9592" s="7"/>
      <c r="R9592" s="7"/>
      <c r="S9592" s="7"/>
      <c r="T9592" s="7"/>
      <c r="U9592" s="7"/>
      <c r="V9592" s="7"/>
      <c r="W9592" s="7"/>
      <c r="X9592" s="7"/>
      <c r="Y9592" s="7"/>
      <c r="Z9592" s="7"/>
    </row>
    <row r="9593" hidden="1">
      <c r="A9593" s="7"/>
      <c r="B9593" s="7"/>
      <c r="C9593" s="7"/>
      <c r="D9593" s="7"/>
      <c r="E9593" s="7"/>
      <c r="F9593" s="7"/>
      <c r="G9593" s="7"/>
      <c r="H9593" s="8"/>
      <c r="I9593" s="8"/>
      <c r="J9593" s="7"/>
      <c r="K9593" s="7"/>
      <c r="L9593" s="7"/>
      <c r="M9593" s="7"/>
      <c r="N9593" s="7"/>
      <c r="O9593" s="7"/>
      <c r="P9593" s="7"/>
      <c r="Q9593" s="7"/>
      <c r="R9593" s="7"/>
      <c r="S9593" s="7"/>
      <c r="T9593" s="7"/>
      <c r="U9593" s="7"/>
      <c r="V9593" s="7"/>
      <c r="W9593" s="7"/>
      <c r="X9593" s="7"/>
      <c r="Y9593" s="7"/>
      <c r="Z9593" s="7"/>
    </row>
    <row r="9594" hidden="1">
      <c r="A9594" s="7"/>
      <c r="B9594" s="7"/>
      <c r="C9594" s="7"/>
      <c r="D9594" s="7"/>
      <c r="E9594" s="7"/>
      <c r="F9594" s="7"/>
      <c r="G9594" s="7"/>
      <c r="H9594" s="8"/>
      <c r="I9594" s="8"/>
      <c r="J9594" s="7"/>
      <c r="K9594" s="7"/>
      <c r="L9594" s="7"/>
      <c r="M9594" s="7"/>
      <c r="N9594" s="7"/>
      <c r="O9594" s="7"/>
      <c r="P9594" s="7"/>
      <c r="Q9594" s="7"/>
      <c r="R9594" s="7"/>
      <c r="S9594" s="7"/>
      <c r="T9594" s="7"/>
      <c r="U9594" s="7"/>
      <c r="V9594" s="7"/>
      <c r="W9594" s="7"/>
      <c r="X9594" s="7"/>
      <c r="Y9594" s="7"/>
      <c r="Z9594" s="7"/>
    </row>
    <row r="9595" hidden="1">
      <c r="A9595" s="7"/>
      <c r="B9595" s="7"/>
      <c r="C9595" s="7"/>
      <c r="D9595" s="7"/>
      <c r="E9595" s="7"/>
      <c r="F9595" s="7"/>
      <c r="G9595" s="7"/>
      <c r="H9595" s="8"/>
      <c r="I9595" s="8"/>
      <c r="J9595" s="7"/>
      <c r="K9595" s="7"/>
      <c r="L9595" s="7"/>
      <c r="M9595" s="7"/>
      <c r="N9595" s="7"/>
      <c r="O9595" s="7"/>
      <c r="P9595" s="7"/>
      <c r="Q9595" s="7"/>
      <c r="R9595" s="7"/>
      <c r="S9595" s="7"/>
      <c r="T9595" s="7"/>
      <c r="U9595" s="7"/>
      <c r="V9595" s="7"/>
      <c r="W9595" s="7"/>
      <c r="X9595" s="7"/>
      <c r="Y9595" s="7"/>
      <c r="Z9595" s="7"/>
    </row>
    <row r="9596" hidden="1">
      <c r="A9596" s="7"/>
      <c r="B9596" s="7"/>
      <c r="C9596" s="7"/>
      <c r="D9596" s="7"/>
      <c r="E9596" s="7"/>
      <c r="F9596" s="7"/>
      <c r="G9596" s="7"/>
      <c r="H9596" s="8"/>
      <c r="I9596" s="8"/>
      <c r="J9596" s="7"/>
      <c r="K9596" s="7"/>
      <c r="L9596" s="7"/>
      <c r="M9596" s="7"/>
      <c r="N9596" s="7"/>
      <c r="O9596" s="7"/>
      <c r="P9596" s="7"/>
      <c r="Q9596" s="7"/>
      <c r="R9596" s="7"/>
      <c r="S9596" s="7"/>
      <c r="T9596" s="7"/>
      <c r="U9596" s="7"/>
      <c r="V9596" s="7"/>
      <c r="W9596" s="7"/>
      <c r="X9596" s="7"/>
      <c r="Y9596" s="7"/>
      <c r="Z9596" s="7"/>
    </row>
    <row r="9597" hidden="1">
      <c r="A9597" s="7"/>
      <c r="B9597" s="7"/>
      <c r="C9597" s="7"/>
      <c r="D9597" s="7"/>
      <c r="E9597" s="7"/>
      <c r="F9597" s="7"/>
      <c r="G9597" s="7"/>
      <c r="H9597" s="8"/>
      <c r="I9597" s="8"/>
      <c r="J9597" s="7"/>
      <c r="K9597" s="7"/>
      <c r="L9597" s="7"/>
      <c r="M9597" s="7"/>
      <c r="N9597" s="7"/>
      <c r="O9597" s="7"/>
      <c r="P9597" s="7"/>
      <c r="Q9597" s="7"/>
      <c r="R9597" s="7"/>
      <c r="S9597" s="7"/>
      <c r="T9597" s="7"/>
      <c r="U9597" s="7"/>
      <c r="V9597" s="7"/>
      <c r="W9597" s="7"/>
      <c r="X9597" s="7"/>
      <c r="Y9597" s="7"/>
      <c r="Z9597" s="7"/>
    </row>
    <row r="9598" hidden="1">
      <c r="A9598" s="7"/>
      <c r="B9598" s="7"/>
      <c r="C9598" s="7"/>
      <c r="D9598" s="7"/>
      <c r="E9598" s="7"/>
      <c r="F9598" s="7"/>
      <c r="G9598" s="7"/>
      <c r="H9598" s="8"/>
      <c r="I9598" s="8"/>
      <c r="J9598" s="7"/>
      <c r="K9598" s="7"/>
      <c r="L9598" s="7"/>
      <c r="M9598" s="7"/>
      <c r="N9598" s="7"/>
      <c r="O9598" s="7"/>
      <c r="P9598" s="7"/>
      <c r="Q9598" s="7"/>
      <c r="R9598" s="7"/>
      <c r="S9598" s="7"/>
      <c r="T9598" s="7"/>
      <c r="U9598" s="7"/>
      <c r="V9598" s="7"/>
      <c r="W9598" s="7"/>
      <c r="X9598" s="7"/>
      <c r="Y9598" s="7"/>
      <c r="Z9598" s="7"/>
    </row>
    <row r="9599" hidden="1">
      <c r="A9599" s="7"/>
      <c r="B9599" s="7"/>
      <c r="C9599" s="7"/>
      <c r="D9599" s="7"/>
      <c r="E9599" s="7"/>
      <c r="F9599" s="7"/>
      <c r="G9599" s="7"/>
      <c r="H9599" s="8"/>
      <c r="I9599" s="8"/>
      <c r="J9599" s="7"/>
      <c r="K9599" s="7"/>
      <c r="L9599" s="7"/>
      <c r="M9599" s="7"/>
      <c r="N9599" s="7"/>
      <c r="O9599" s="7"/>
      <c r="P9599" s="7"/>
      <c r="Q9599" s="7"/>
      <c r="R9599" s="7"/>
      <c r="S9599" s="7"/>
      <c r="T9599" s="7"/>
      <c r="U9599" s="7"/>
      <c r="V9599" s="7"/>
      <c r="W9599" s="7"/>
      <c r="X9599" s="7"/>
      <c r="Y9599" s="7"/>
      <c r="Z9599" s="7"/>
    </row>
    <row r="9600" hidden="1">
      <c r="A9600" s="7"/>
      <c r="B9600" s="7"/>
      <c r="C9600" s="7"/>
      <c r="D9600" s="7"/>
      <c r="E9600" s="7"/>
      <c r="F9600" s="7"/>
      <c r="G9600" s="7"/>
      <c r="H9600" s="8"/>
      <c r="I9600" s="8"/>
      <c r="J9600" s="7"/>
      <c r="K9600" s="7"/>
      <c r="L9600" s="7"/>
      <c r="M9600" s="7"/>
      <c r="N9600" s="7"/>
      <c r="O9600" s="7"/>
      <c r="P9600" s="7"/>
      <c r="Q9600" s="7"/>
      <c r="R9600" s="7"/>
      <c r="S9600" s="7"/>
      <c r="T9600" s="7"/>
      <c r="U9600" s="7"/>
      <c r="V9600" s="7"/>
      <c r="W9600" s="7"/>
      <c r="X9600" s="7"/>
      <c r="Y9600" s="7"/>
      <c r="Z9600" s="7"/>
    </row>
    <row r="9601" hidden="1">
      <c r="A9601" s="7"/>
      <c r="B9601" s="7"/>
      <c r="C9601" s="7"/>
      <c r="D9601" s="7"/>
      <c r="E9601" s="7"/>
      <c r="F9601" s="7"/>
      <c r="G9601" s="7"/>
      <c r="H9601" s="8"/>
      <c r="I9601" s="8"/>
      <c r="J9601" s="7"/>
      <c r="K9601" s="7"/>
      <c r="L9601" s="7"/>
      <c r="M9601" s="7"/>
      <c r="N9601" s="7"/>
      <c r="O9601" s="7"/>
      <c r="P9601" s="7"/>
      <c r="Q9601" s="7"/>
      <c r="R9601" s="7"/>
      <c r="S9601" s="7"/>
      <c r="T9601" s="7"/>
      <c r="U9601" s="7"/>
      <c r="V9601" s="7"/>
      <c r="W9601" s="7"/>
      <c r="X9601" s="7"/>
      <c r="Y9601" s="7"/>
      <c r="Z9601" s="7"/>
    </row>
    <row r="9602" hidden="1">
      <c r="A9602" s="7"/>
      <c r="B9602" s="7"/>
      <c r="C9602" s="7"/>
      <c r="D9602" s="7"/>
      <c r="E9602" s="7"/>
      <c r="F9602" s="7"/>
      <c r="G9602" s="7"/>
      <c r="H9602" s="8"/>
      <c r="I9602" s="8"/>
      <c r="J9602" s="7"/>
      <c r="K9602" s="7"/>
      <c r="L9602" s="7"/>
      <c r="M9602" s="7"/>
      <c r="N9602" s="7"/>
      <c r="O9602" s="7"/>
      <c r="P9602" s="7"/>
      <c r="Q9602" s="7"/>
      <c r="R9602" s="7"/>
      <c r="S9602" s="7"/>
      <c r="T9602" s="7"/>
      <c r="U9602" s="7"/>
      <c r="V9602" s="7"/>
      <c r="W9602" s="7"/>
      <c r="X9602" s="7"/>
      <c r="Y9602" s="7"/>
      <c r="Z9602" s="7"/>
    </row>
    <row r="9603" hidden="1">
      <c r="A9603" s="7"/>
      <c r="B9603" s="7"/>
      <c r="C9603" s="7"/>
      <c r="D9603" s="7"/>
      <c r="E9603" s="7"/>
      <c r="F9603" s="7"/>
      <c r="G9603" s="7"/>
      <c r="H9603" s="8"/>
      <c r="I9603" s="8"/>
      <c r="J9603" s="7"/>
      <c r="K9603" s="7"/>
      <c r="L9603" s="7"/>
      <c r="M9603" s="7"/>
      <c r="N9603" s="7"/>
      <c r="O9603" s="7"/>
      <c r="P9603" s="7"/>
      <c r="Q9603" s="7"/>
      <c r="R9603" s="7"/>
      <c r="S9603" s="7"/>
      <c r="T9603" s="7"/>
      <c r="U9603" s="7"/>
      <c r="V9603" s="7"/>
      <c r="W9603" s="7"/>
      <c r="X9603" s="7"/>
      <c r="Y9603" s="7"/>
      <c r="Z9603" s="7"/>
    </row>
    <row r="9604" hidden="1">
      <c r="A9604" s="7"/>
      <c r="B9604" s="7"/>
      <c r="C9604" s="7"/>
      <c r="D9604" s="7"/>
      <c r="E9604" s="7"/>
      <c r="F9604" s="7"/>
      <c r="G9604" s="7"/>
      <c r="H9604" s="8"/>
      <c r="I9604" s="8"/>
      <c r="J9604" s="7"/>
      <c r="K9604" s="7"/>
      <c r="L9604" s="7"/>
      <c r="M9604" s="7"/>
      <c r="N9604" s="7"/>
      <c r="O9604" s="7"/>
      <c r="P9604" s="7"/>
      <c r="Q9604" s="7"/>
      <c r="R9604" s="7"/>
      <c r="S9604" s="7"/>
      <c r="T9604" s="7"/>
      <c r="U9604" s="7"/>
      <c r="V9604" s="7"/>
      <c r="W9604" s="7"/>
      <c r="X9604" s="7"/>
      <c r="Y9604" s="7"/>
      <c r="Z9604" s="7"/>
    </row>
    <row r="9605" hidden="1">
      <c r="A9605" s="7"/>
      <c r="B9605" s="7"/>
      <c r="C9605" s="7"/>
      <c r="D9605" s="7"/>
      <c r="E9605" s="7"/>
      <c r="F9605" s="7"/>
      <c r="G9605" s="7"/>
      <c r="H9605" s="8"/>
      <c r="I9605" s="8"/>
      <c r="J9605" s="7"/>
      <c r="K9605" s="7"/>
      <c r="L9605" s="7"/>
      <c r="M9605" s="7"/>
      <c r="N9605" s="7"/>
      <c r="O9605" s="7"/>
      <c r="P9605" s="7"/>
      <c r="Q9605" s="7"/>
      <c r="R9605" s="7"/>
      <c r="S9605" s="7"/>
      <c r="T9605" s="7"/>
      <c r="U9605" s="7"/>
      <c r="V9605" s="7"/>
      <c r="W9605" s="7"/>
      <c r="X9605" s="7"/>
      <c r="Y9605" s="7"/>
      <c r="Z9605" s="7"/>
    </row>
    <row r="9606" hidden="1">
      <c r="A9606" s="7"/>
      <c r="B9606" s="7"/>
      <c r="C9606" s="7"/>
      <c r="D9606" s="7"/>
      <c r="E9606" s="7"/>
      <c r="F9606" s="7"/>
      <c r="G9606" s="7"/>
      <c r="H9606" s="8"/>
      <c r="I9606" s="8"/>
      <c r="J9606" s="7"/>
      <c r="K9606" s="7"/>
      <c r="L9606" s="7"/>
      <c r="M9606" s="7"/>
      <c r="N9606" s="7"/>
      <c r="O9606" s="7"/>
      <c r="P9606" s="7"/>
      <c r="Q9606" s="7"/>
      <c r="R9606" s="7"/>
      <c r="S9606" s="7"/>
      <c r="T9606" s="7"/>
      <c r="U9606" s="7"/>
      <c r="V9606" s="7"/>
      <c r="W9606" s="7"/>
      <c r="X9606" s="7"/>
      <c r="Y9606" s="7"/>
      <c r="Z9606" s="7"/>
    </row>
    <row r="9607" hidden="1">
      <c r="A9607" s="7"/>
      <c r="B9607" s="7"/>
      <c r="C9607" s="7"/>
      <c r="D9607" s="7"/>
      <c r="E9607" s="7"/>
      <c r="F9607" s="7"/>
      <c r="G9607" s="7"/>
      <c r="H9607" s="8"/>
      <c r="I9607" s="8"/>
      <c r="J9607" s="7"/>
      <c r="K9607" s="7"/>
      <c r="L9607" s="7"/>
      <c r="M9607" s="7"/>
      <c r="N9607" s="7"/>
      <c r="O9607" s="7"/>
      <c r="P9607" s="7"/>
      <c r="Q9607" s="7"/>
      <c r="R9607" s="7"/>
      <c r="S9607" s="7"/>
      <c r="T9607" s="7"/>
      <c r="U9607" s="7"/>
      <c r="V9607" s="7"/>
      <c r="W9607" s="7"/>
      <c r="X9607" s="7"/>
      <c r="Y9607" s="7"/>
      <c r="Z9607" s="7"/>
    </row>
    <row r="9608" hidden="1">
      <c r="A9608" s="7"/>
      <c r="B9608" s="7"/>
      <c r="C9608" s="7"/>
      <c r="D9608" s="7"/>
      <c r="E9608" s="7"/>
      <c r="F9608" s="7"/>
      <c r="G9608" s="7"/>
      <c r="H9608" s="8"/>
      <c r="I9608" s="8"/>
      <c r="J9608" s="7"/>
      <c r="K9608" s="7"/>
      <c r="L9608" s="7"/>
      <c r="M9608" s="7"/>
      <c r="N9608" s="7"/>
      <c r="O9608" s="7"/>
      <c r="P9608" s="7"/>
      <c r="Q9608" s="7"/>
      <c r="R9608" s="7"/>
      <c r="S9608" s="7"/>
      <c r="T9608" s="7"/>
      <c r="U9608" s="7"/>
      <c r="V9608" s="7"/>
      <c r="W9608" s="7"/>
      <c r="X9608" s="7"/>
      <c r="Y9608" s="7"/>
      <c r="Z9608" s="7"/>
    </row>
    <row r="9609" hidden="1">
      <c r="A9609" s="7"/>
      <c r="B9609" s="7"/>
      <c r="C9609" s="7"/>
      <c r="D9609" s="7"/>
      <c r="E9609" s="7"/>
      <c r="F9609" s="7"/>
      <c r="G9609" s="7"/>
      <c r="H9609" s="8"/>
      <c r="I9609" s="8"/>
      <c r="J9609" s="7"/>
      <c r="K9609" s="7"/>
      <c r="L9609" s="7"/>
      <c r="M9609" s="7"/>
      <c r="N9609" s="7"/>
      <c r="O9609" s="7"/>
      <c r="P9609" s="7"/>
      <c r="Q9609" s="7"/>
      <c r="R9609" s="7"/>
      <c r="S9609" s="7"/>
      <c r="T9609" s="7"/>
      <c r="U9609" s="7"/>
      <c r="V9609" s="7"/>
      <c r="W9609" s="7"/>
      <c r="X9609" s="7"/>
      <c r="Y9609" s="7"/>
      <c r="Z9609" s="7"/>
    </row>
    <row r="9610" hidden="1">
      <c r="A9610" s="7"/>
      <c r="B9610" s="7"/>
      <c r="C9610" s="7"/>
      <c r="D9610" s="7"/>
      <c r="E9610" s="7"/>
      <c r="F9610" s="7"/>
      <c r="G9610" s="7"/>
      <c r="H9610" s="8"/>
      <c r="I9610" s="8"/>
      <c r="J9610" s="7"/>
      <c r="K9610" s="7"/>
      <c r="L9610" s="7"/>
      <c r="M9610" s="7"/>
      <c r="N9610" s="7"/>
      <c r="O9610" s="7"/>
      <c r="P9610" s="7"/>
      <c r="Q9610" s="7"/>
      <c r="R9610" s="7"/>
      <c r="S9610" s="7"/>
      <c r="T9610" s="7"/>
      <c r="U9610" s="7"/>
      <c r="V9610" s="7"/>
      <c r="W9610" s="7"/>
      <c r="X9610" s="7"/>
      <c r="Y9610" s="7"/>
      <c r="Z9610" s="7"/>
    </row>
    <row r="9611" hidden="1">
      <c r="A9611" s="7"/>
      <c r="B9611" s="7"/>
      <c r="C9611" s="7"/>
      <c r="D9611" s="7"/>
      <c r="E9611" s="7"/>
      <c r="F9611" s="7"/>
      <c r="G9611" s="7"/>
      <c r="H9611" s="8"/>
      <c r="I9611" s="8"/>
      <c r="J9611" s="7"/>
      <c r="K9611" s="7"/>
      <c r="L9611" s="7"/>
      <c r="M9611" s="7"/>
      <c r="N9611" s="7"/>
      <c r="O9611" s="7"/>
      <c r="P9611" s="7"/>
      <c r="Q9611" s="7"/>
      <c r="R9611" s="7"/>
      <c r="S9611" s="7"/>
      <c r="T9611" s="7"/>
      <c r="U9611" s="7"/>
      <c r="V9611" s="7"/>
      <c r="W9611" s="7"/>
      <c r="X9611" s="7"/>
      <c r="Y9611" s="7"/>
      <c r="Z9611" s="7"/>
    </row>
    <row r="9612" hidden="1">
      <c r="A9612" s="7"/>
      <c r="B9612" s="7"/>
      <c r="C9612" s="7"/>
      <c r="D9612" s="7"/>
      <c r="E9612" s="7"/>
      <c r="F9612" s="7"/>
      <c r="G9612" s="7"/>
      <c r="H9612" s="8"/>
      <c r="I9612" s="8"/>
      <c r="J9612" s="7"/>
      <c r="K9612" s="7"/>
      <c r="L9612" s="7"/>
      <c r="M9612" s="7"/>
      <c r="N9612" s="7"/>
      <c r="O9612" s="7"/>
      <c r="P9612" s="7"/>
      <c r="Q9612" s="7"/>
      <c r="R9612" s="7"/>
      <c r="S9612" s="7"/>
      <c r="T9612" s="7"/>
      <c r="U9612" s="7"/>
      <c r="V9612" s="7"/>
      <c r="W9612" s="7"/>
      <c r="X9612" s="7"/>
      <c r="Y9612" s="7"/>
      <c r="Z9612" s="7"/>
    </row>
    <row r="9613" hidden="1">
      <c r="A9613" s="7"/>
      <c r="B9613" s="7"/>
      <c r="C9613" s="7"/>
      <c r="D9613" s="7"/>
      <c r="E9613" s="7"/>
      <c r="F9613" s="7"/>
      <c r="G9613" s="7"/>
      <c r="H9613" s="8"/>
      <c r="I9613" s="8"/>
      <c r="J9613" s="7"/>
      <c r="K9613" s="7"/>
      <c r="L9613" s="7"/>
      <c r="M9613" s="7"/>
      <c r="N9613" s="7"/>
      <c r="O9613" s="7"/>
      <c r="P9613" s="7"/>
      <c r="Q9613" s="7"/>
      <c r="R9613" s="7"/>
      <c r="S9613" s="7"/>
      <c r="T9613" s="7"/>
      <c r="U9613" s="7"/>
      <c r="V9613" s="7"/>
      <c r="W9613" s="7"/>
      <c r="X9613" s="7"/>
      <c r="Y9613" s="7"/>
      <c r="Z9613" s="7"/>
    </row>
    <row r="9614" hidden="1">
      <c r="A9614" s="7"/>
      <c r="B9614" s="7"/>
      <c r="C9614" s="7"/>
      <c r="D9614" s="7"/>
      <c r="E9614" s="7"/>
      <c r="F9614" s="7"/>
      <c r="G9614" s="7"/>
      <c r="H9614" s="8"/>
      <c r="I9614" s="8"/>
      <c r="J9614" s="7"/>
      <c r="K9614" s="7"/>
      <c r="L9614" s="7"/>
      <c r="M9614" s="7"/>
      <c r="N9614" s="7"/>
      <c r="O9614" s="7"/>
      <c r="P9614" s="7"/>
      <c r="Q9614" s="7"/>
      <c r="R9614" s="7"/>
      <c r="S9614" s="7"/>
      <c r="T9614" s="7"/>
      <c r="U9614" s="7"/>
      <c r="V9614" s="7"/>
      <c r="W9614" s="7"/>
      <c r="X9614" s="7"/>
      <c r="Y9614" s="7"/>
      <c r="Z9614" s="7"/>
    </row>
    <row r="9615" hidden="1">
      <c r="A9615" s="7"/>
      <c r="B9615" s="7"/>
      <c r="C9615" s="7"/>
      <c r="D9615" s="7"/>
      <c r="E9615" s="7"/>
      <c r="F9615" s="7"/>
      <c r="G9615" s="7"/>
      <c r="H9615" s="8"/>
      <c r="I9615" s="8"/>
      <c r="J9615" s="7"/>
      <c r="K9615" s="7"/>
      <c r="L9615" s="7"/>
      <c r="M9615" s="7"/>
      <c r="N9615" s="7"/>
      <c r="O9615" s="7"/>
      <c r="P9615" s="7"/>
      <c r="Q9615" s="7"/>
      <c r="R9615" s="7"/>
      <c r="S9615" s="7"/>
      <c r="T9615" s="7"/>
      <c r="U9615" s="7"/>
      <c r="V9615" s="7"/>
      <c r="W9615" s="7"/>
      <c r="X9615" s="7"/>
      <c r="Y9615" s="7"/>
      <c r="Z9615" s="7"/>
    </row>
    <row r="9616" hidden="1">
      <c r="A9616" s="7"/>
      <c r="B9616" s="7"/>
      <c r="C9616" s="7"/>
      <c r="D9616" s="7"/>
      <c r="E9616" s="7"/>
      <c r="F9616" s="7"/>
      <c r="G9616" s="7"/>
      <c r="H9616" s="8"/>
      <c r="I9616" s="8"/>
      <c r="J9616" s="7"/>
      <c r="K9616" s="7"/>
      <c r="L9616" s="7"/>
      <c r="M9616" s="7"/>
      <c r="N9616" s="7"/>
      <c r="O9616" s="7"/>
      <c r="P9616" s="7"/>
      <c r="Q9616" s="7"/>
      <c r="R9616" s="7"/>
      <c r="S9616" s="7"/>
      <c r="T9616" s="7"/>
      <c r="U9616" s="7"/>
      <c r="V9616" s="7"/>
      <c r="W9616" s="7"/>
      <c r="X9616" s="7"/>
      <c r="Y9616" s="7"/>
      <c r="Z9616" s="7"/>
    </row>
    <row r="9617" hidden="1">
      <c r="A9617" s="7"/>
      <c r="B9617" s="7"/>
      <c r="C9617" s="7"/>
      <c r="D9617" s="7"/>
      <c r="E9617" s="7"/>
      <c r="F9617" s="7"/>
      <c r="G9617" s="7"/>
      <c r="H9617" s="8"/>
      <c r="I9617" s="8"/>
      <c r="J9617" s="7"/>
      <c r="K9617" s="7"/>
      <c r="L9617" s="7"/>
      <c r="M9617" s="7"/>
      <c r="N9617" s="7"/>
      <c r="O9617" s="7"/>
      <c r="P9617" s="7"/>
      <c r="Q9617" s="7"/>
      <c r="R9617" s="7"/>
      <c r="S9617" s="7"/>
      <c r="T9617" s="7"/>
      <c r="U9617" s="7"/>
      <c r="V9617" s="7"/>
      <c r="W9617" s="7"/>
      <c r="X9617" s="7"/>
      <c r="Y9617" s="7"/>
      <c r="Z9617" s="7"/>
    </row>
    <row r="9618" hidden="1">
      <c r="A9618" s="7"/>
      <c r="B9618" s="7"/>
      <c r="C9618" s="7"/>
      <c r="D9618" s="7"/>
      <c r="E9618" s="7"/>
      <c r="F9618" s="7"/>
      <c r="G9618" s="7"/>
      <c r="H9618" s="8"/>
      <c r="I9618" s="8"/>
      <c r="J9618" s="7"/>
      <c r="K9618" s="7"/>
      <c r="L9618" s="7"/>
      <c r="M9618" s="7"/>
      <c r="N9618" s="7"/>
      <c r="O9618" s="7"/>
      <c r="P9618" s="7"/>
      <c r="Q9618" s="7"/>
      <c r="R9618" s="7"/>
      <c r="S9618" s="7"/>
      <c r="T9618" s="7"/>
      <c r="U9618" s="7"/>
      <c r="V9618" s="7"/>
      <c r="W9618" s="7"/>
      <c r="X9618" s="7"/>
      <c r="Y9618" s="7"/>
      <c r="Z9618" s="7"/>
    </row>
    <row r="9619" hidden="1">
      <c r="A9619" s="7"/>
      <c r="B9619" s="7"/>
      <c r="C9619" s="7"/>
      <c r="D9619" s="7"/>
      <c r="E9619" s="7"/>
      <c r="F9619" s="7"/>
      <c r="G9619" s="7"/>
      <c r="H9619" s="8"/>
      <c r="I9619" s="8"/>
      <c r="J9619" s="7"/>
      <c r="K9619" s="7"/>
      <c r="L9619" s="7"/>
      <c r="M9619" s="7"/>
      <c r="N9619" s="7"/>
      <c r="O9619" s="7"/>
      <c r="P9619" s="7"/>
      <c r="Q9619" s="7"/>
      <c r="R9619" s="7"/>
      <c r="S9619" s="7"/>
      <c r="T9619" s="7"/>
      <c r="U9619" s="7"/>
      <c r="V9619" s="7"/>
      <c r="W9619" s="7"/>
      <c r="X9619" s="7"/>
      <c r="Y9619" s="7"/>
      <c r="Z9619" s="7"/>
    </row>
    <row r="9620" hidden="1">
      <c r="A9620" s="7"/>
      <c r="B9620" s="7"/>
      <c r="C9620" s="7"/>
      <c r="D9620" s="7"/>
      <c r="E9620" s="7"/>
      <c r="F9620" s="7"/>
      <c r="G9620" s="7"/>
      <c r="H9620" s="8"/>
      <c r="I9620" s="8"/>
      <c r="J9620" s="7"/>
      <c r="K9620" s="7"/>
      <c r="L9620" s="7"/>
      <c r="M9620" s="7"/>
      <c r="N9620" s="7"/>
      <c r="O9620" s="7"/>
      <c r="P9620" s="7"/>
      <c r="Q9620" s="7"/>
      <c r="R9620" s="7"/>
      <c r="S9620" s="7"/>
      <c r="T9620" s="7"/>
      <c r="U9620" s="7"/>
      <c r="V9620" s="7"/>
      <c r="W9620" s="7"/>
      <c r="X9620" s="7"/>
      <c r="Y9620" s="7"/>
      <c r="Z9620" s="7"/>
    </row>
    <row r="9621" hidden="1">
      <c r="A9621" s="7"/>
      <c r="B9621" s="7"/>
      <c r="C9621" s="7"/>
      <c r="D9621" s="7"/>
      <c r="E9621" s="7"/>
      <c r="F9621" s="7"/>
      <c r="G9621" s="7"/>
      <c r="H9621" s="8"/>
      <c r="I9621" s="8"/>
      <c r="J9621" s="7"/>
      <c r="K9621" s="7"/>
      <c r="L9621" s="7"/>
      <c r="M9621" s="7"/>
      <c r="N9621" s="7"/>
      <c r="O9621" s="7"/>
      <c r="P9621" s="7"/>
      <c r="Q9621" s="7"/>
      <c r="R9621" s="7"/>
      <c r="S9621" s="7"/>
      <c r="T9621" s="7"/>
      <c r="U9621" s="7"/>
      <c r="V9621" s="7"/>
      <c r="W9621" s="7"/>
      <c r="X9621" s="7"/>
      <c r="Y9621" s="7"/>
      <c r="Z9621" s="7"/>
    </row>
    <row r="9622" hidden="1">
      <c r="A9622" s="7"/>
      <c r="B9622" s="7"/>
      <c r="C9622" s="7"/>
      <c r="D9622" s="7"/>
      <c r="E9622" s="7"/>
      <c r="F9622" s="7"/>
      <c r="G9622" s="7"/>
      <c r="H9622" s="8"/>
      <c r="I9622" s="8"/>
      <c r="J9622" s="7"/>
      <c r="K9622" s="7"/>
      <c r="L9622" s="7"/>
      <c r="M9622" s="7"/>
      <c r="N9622" s="7"/>
      <c r="O9622" s="7"/>
      <c r="P9622" s="7"/>
      <c r="Q9622" s="7"/>
      <c r="R9622" s="7"/>
      <c r="S9622" s="7"/>
      <c r="T9622" s="7"/>
      <c r="U9622" s="7"/>
      <c r="V9622" s="7"/>
      <c r="W9622" s="7"/>
      <c r="X9622" s="7"/>
      <c r="Y9622" s="7"/>
      <c r="Z9622" s="7"/>
    </row>
    <row r="9623" hidden="1">
      <c r="A9623" s="7"/>
      <c r="B9623" s="7"/>
      <c r="C9623" s="7"/>
      <c r="D9623" s="7"/>
      <c r="E9623" s="7"/>
      <c r="F9623" s="7"/>
      <c r="G9623" s="7"/>
      <c r="H9623" s="8"/>
      <c r="I9623" s="8"/>
      <c r="J9623" s="7"/>
      <c r="K9623" s="7"/>
      <c r="L9623" s="7"/>
      <c r="M9623" s="7"/>
      <c r="N9623" s="7"/>
      <c r="O9623" s="7"/>
      <c r="P9623" s="7"/>
      <c r="Q9623" s="7"/>
      <c r="R9623" s="7"/>
      <c r="S9623" s="7"/>
      <c r="T9623" s="7"/>
      <c r="U9623" s="7"/>
      <c r="V9623" s="7"/>
      <c r="W9623" s="7"/>
      <c r="X9623" s="7"/>
      <c r="Y9623" s="7"/>
      <c r="Z9623" s="7"/>
    </row>
    <row r="9624" hidden="1">
      <c r="A9624" s="7"/>
      <c r="B9624" s="7"/>
      <c r="C9624" s="7"/>
      <c r="D9624" s="7"/>
      <c r="E9624" s="7"/>
      <c r="F9624" s="7"/>
      <c r="G9624" s="7"/>
      <c r="H9624" s="8"/>
      <c r="I9624" s="8"/>
      <c r="J9624" s="7"/>
      <c r="K9624" s="7"/>
      <c r="L9624" s="7"/>
      <c r="M9624" s="7"/>
      <c r="N9624" s="7"/>
      <c r="O9624" s="7"/>
      <c r="P9624" s="7"/>
      <c r="Q9624" s="7"/>
      <c r="R9624" s="7"/>
      <c r="S9624" s="7"/>
      <c r="T9624" s="7"/>
      <c r="U9624" s="7"/>
      <c r="V9624" s="7"/>
      <c r="W9624" s="7"/>
      <c r="X9624" s="7"/>
      <c r="Y9624" s="7"/>
      <c r="Z9624" s="7"/>
    </row>
    <row r="9625" hidden="1">
      <c r="A9625" s="7"/>
      <c r="B9625" s="7"/>
      <c r="C9625" s="7"/>
      <c r="D9625" s="7"/>
      <c r="E9625" s="7"/>
      <c r="F9625" s="7"/>
      <c r="G9625" s="7"/>
      <c r="H9625" s="8"/>
      <c r="I9625" s="8"/>
      <c r="J9625" s="7"/>
      <c r="K9625" s="7"/>
      <c r="L9625" s="7"/>
      <c r="M9625" s="7"/>
      <c r="N9625" s="7"/>
      <c r="O9625" s="7"/>
      <c r="P9625" s="7"/>
      <c r="Q9625" s="7"/>
      <c r="R9625" s="7"/>
      <c r="S9625" s="7"/>
      <c r="T9625" s="7"/>
      <c r="U9625" s="7"/>
      <c r="V9625" s="7"/>
      <c r="W9625" s="7"/>
      <c r="X9625" s="7"/>
      <c r="Y9625" s="7"/>
      <c r="Z9625" s="7"/>
    </row>
    <row r="9626" hidden="1">
      <c r="A9626" s="7"/>
      <c r="B9626" s="7"/>
      <c r="C9626" s="7"/>
      <c r="D9626" s="7"/>
      <c r="E9626" s="7"/>
      <c r="F9626" s="7"/>
      <c r="G9626" s="7"/>
      <c r="H9626" s="8"/>
      <c r="I9626" s="8"/>
      <c r="J9626" s="7"/>
      <c r="K9626" s="7"/>
      <c r="L9626" s="7"/>
      <c r="M9626" s="7"/>
      <c r="N9626" s="7"/>
      <c r="O9626" s="7"/>
      <c r="P9626" s="7"/>
      <c r="Q9626" s="7"/>
      <c r="R9626" s="7"/>
      <c r="S9626" s="7"/>
      <c r="T9626" s="7"/>
      <c r="U9626" s="7"/>
      <c r="V9626" s="7"/>
      <c r="W9626" s="7"/>
      <c r="X9626" s="7"/>
      <c r="Y9626" s="7"/>
      <c r="Z9626" s="7"/>
    </row>
    <row r="9627" hidden="1">
      <c r="A9627" s="7"/>
      <c r="B9627" s="7"/>
      <c r="C9627" s="7"/>
      <c r="D9627" s="7"/>
      <c r="E9627" s="7"/>
      <c r="F9627" s="7"/>
      <c r="G9627" s="7"/>
      <c r="H9627" s="8"/>
      <c r="I9627" s="8"/>
      <c r="J9627" s="7"/>
      <c r="K9627" s="7"/>
      <c r="L9627" s="7"/>
      <c r="M9627" s="7"/>
      <c r="N9627" s="7"/>
      <c r="O9627" s="7"/>
      <c r="P9627" s="7"/>
      <c r="Q9627" s="7"/>
      <c r="R9627" s="7"/>
      <c r="S9627" s="7"/>
      <c r="T9627" s="7"/>
      <c r="U9627" s="7"/>
      <c r="V9627" s="7"/>
      <c r="W9627" s="7"/>
      <c r="X9627" s="7"/>
      <c r="Y9627" s="7"/>
      <c r="Z9627" s="7"/>
    </row>
    <row r="9628" hidden="1">
      <c r="A9628" s="7"/>
      <c r="B9628" s="7"/>
      <c r="C9628" s="7"/>
      <c r="D9628" s="7"/>
      <c r="E9628" s="7"/>
      <c r="F9628" s="7"/>
      <c r="G9628" s="7"/>
      <c r="H9628" s="8"/>
      <c r="I9628" s="8"/>
      <c r="J9628" s="7"/>
      <c r="K9628" s="7"/>
      <c r="L9628" s="7"/>
      <c r="M9628" s="7"/>
      <c r="N9628" s="7"/>
      <c r="O9628" s="7"/>
      <c r="P9628" s="7"/>
      <c r="Q9628" s="7"/>
      <c r="R9628" s="7"/>
      <c r="S9628" s="7"/>
      <c r="T9628" s="7"/>
      <c r="U9628" s="7"/>
      <c r="V9628" s="7"/>
      <c r="W9628" s="7"/>
      <c r="X9628" s="7"/>
      <c r="Y9628" s="7"/>
      <c r="Z9628" s="7"/>
    </row>
    <row r="9629" hidden="1">
      <c r="A9629" s="7"/>
      <c r="B9629" s="7"/>
      <c r="C9629" s="7"/>
      <c r="D9629" s="7"/>
      <c r="E9629" s="7"/>
      <c r="F9629" s="7"/>
      <c r="G9629" s="7"/>
      <c r="H9629" s="8"/>
      <c r="I9629" s="8"/>
      <c r="J9629" s="7"/>
      <c r="K9629" s="7"/>
      <c r="L9629" s="7"/>
      <c r="M9629" s="7"/>
      <c r="N9629" s="7"/>
      <c r="O9629" s="7"/>
      <c r="P9629" s="7"/>
      <c r="Q9629" s="7"/>
      <c r="R9629" s="7"/>
      <c r="S9629" s="7"/>
      <c r="T9629" s="7"/>
      <c r="U9629" s="7"/>
      <c r="V9629" s="7"/>
      <c r="W9629" s="7"/>
      <c r="X9629" s="7"/>
      <c r="Y9629" s="7"/>
      <c r="Z9629" s="7"/>
    </row>
    <row r="9630" hidden="1">
      <c r="A9630" s="7"/>
      <c r="B9630" s="7"/>
      <c r="C9630" s="7"/>
      <c r="D9630" s="7"/>
      <c r="E9630" s="7"/>
      <c r="F9630" s="7"/>
      <c r="G9630" s="7"/>
      <c r="H9630" s="8"/>
      <c r="I9630" s="8"/>
      <c r="J9630" s="7"/>
      <c r="K9630" s="7"/>
      <c r="L9630" s="7"/>
      <c r="M9630" s="7"/>
      <c r="N9630" s="7"/>
      <c r="O9630" s="7"/>
      <c r="P9630" s="7"/>
      <c r="Q9630" s="7"/>
      <c r="R9630" s="7"/>
      <c r="S9630" s="7"/>
      <c r="T9630" s="7"/>
      <c r="U9630" s="7"/>
      <c r="V9630" s="7"/>
      <c r="W9630" s="7"/>
      <c r="X9630" s="7"/>
      <c r="Y9630" s="7"/>
      <c r="Z9630" s="7"/>
    </row>
    <row r="9631" hidden="1">
      <c r="A9631" s="7"/>
      <c r="B9631" s="7"/>
      <c r="C9631" s="7"/>
      <c r="D9631" s="7"/>
      <c r="E9631" s="7"/>
      <c r="F9631" s="7"/>
      <c r="G9631" s="7"/>
      <c r="H9631" s="8"/>
      <c r="I9631" s="8"/>
      <c r="J9631" s="7"/>
      <c r="K9631" s="7"/>
      <c r="L9631" s="7"/>
      <c r="M9631" s="7"/>
      <c r="N9631" s="7"/>
      <c r="O9631" s="7"/>
      <c r="P9631" s="7"/>
      <c r="Q9631" s="7"/>
      <c r="R9631" s="7"/>
      <c r="S9631" s="7"/>
      <c r="T9631" s="7"/>
      <c r="U9631" s="7"/>
      <c r="V9631" s="7"/>
      <c r="W9631" s="7"/>
      <c r="X9631" s="7"/>
      <c r="Y9631" s="7"/>
      <c r="Z9631" s="7"/>
    </row>
    <row r="9632" hidden="1">
      <c r="A9632" s="7"/>
      <c r="B9632" s="7"/>
      <c r="C9632" s="7"/>
      <c r="D9632" s="7"/>
      <c r="E9632" s="7"/>
      <c r="F9632" s="7"/>
      <c r="G9632" s="7"/>
      <c r="H9632" s="8"/>
      <c r="I9632" s="8"/>
      <c r="J9632" s="7"/>
      <c r="K9632" s="7"/>
      <c r="L9632" s="7"/>
      <c r="M9632" s="7"/>
      <c r="N9632" s="7"/>
      <c r="O9632" s="7"/>
      <c r="P9632" s="7"/>
      <c r="Q9632" s="7"/>
      <c r="R9632" s="7"/>
      <c r="S9632" s="7"/>
      <c r="T9632" s="7"/>
      <c r="U9632" s="7"/>
      <c r="V9632" s="7"/>
      <c r="W9632" s="7"/>
      <c r="X9632" s="7"/>
      <c r="Y9632" s="7"/>
      <c r="Z9632" s="7"/>
    </row>
    <row r="9633" hidden="1">
      <c r="A9633" s="7"/>
      <c r="B9633" s="7"/>
      <c r="C9633" s="7"/>
      <c r="D9633" s="7"/>
      <c r="E9633" s="7"/>
      <c r="F9633" s="7"/>
      <c r="G9633" s="7"/>
      <c r="H9633" s="8"/>
      <c r="I9633" s="8"/>
      <c r="J9633" s="7"/>
      <c r="K9633" s="7"/>
      <c r="L9633" s="7"/>
      <c r="M9633" s="7"/>
      <c r="N9633" s="7"/>
      <c r="O9633" s="7"/>
      <c r="P9633" s="7"/>
      <c r="Q9633" s="7"/>
      <c r="R9633" s="7"/>
      <c r="S9633" s="7"/>
      <c r="T9633" s="7"/>
      <c r="U9633" s="7"/>
      <c r="V9633" s="7"/>
      <c r="W9633" s="7"/>
      <c r="X9633" s="7"/>
      <c r="Y9633" s="7"/>
      <c r="Z9633" s="7"/>
    </row>
    <row r="9634" hidden="1">
      <c r="A9634" s="7"/>
      <c r="B9634" s="7"/>
      <c r="C9634" s="7"/>
      <c r="D9634" s="7"/>
      <c r="E9634" s="7"/>
      <c r="F9634" s="7"/>
      <c r="G9634" s="7"/>
      <c r="H9634" s="8"/>
      <c r="I9634" s="8"/>
      <c r="J9634" s="7"/>
      <c r="K9634" s="7"/>
      <c r="L9634" s="7"/>
      <c r="M9634" s="7"/>
      <c r="N9634" s="7"/>
      <c r="O9634" s="7"/>
      <c r="P9634" s="7"/>
      <c r="Q9634" s="7"/>
      <c r="R9634" s="7"/>
      <c r="S9634" s="7"/>
      <c r="T9634" s="7"/>
      <c r="U9634" s="7"/>
      <c r="V9634" s="7"/>
      <c r="W9634" s="7"/>
      <c r="X9634" s="7"/>
      <c r="Y9634" s="7"/>
      <c r="Z9634" s="7"/>
    </row>
    <row r="9635" hidden="1">
      <c r="A9635" s="7"/>
      <c r="B9635" s="7"/>
      <c r="C9635" s="7"/>
      <c r="D9635" s="7"/>
      <c r="E9635" s="7"/>
      <c r="F9635" s="7"/>
      <c r="G9635" s="7"/>
      <c r="H9635" s="8"/>
      <c r="I9635" s="8"/>
      <c r="J9635" s="7"/>
      <c r="K9635" s="7"/>
      <c r="L9635" s="7"/>
      <c r="M9635" s="7"/>
      <c r="N9635" s="7"/>
      <c r="O9635" s="7"/>
      <c r="P9635" s="7"/>
      <c r="Q9635" s="7"/>
      <c r="R9635" s="7"/>
      <c r="S9635" s="7"/>
      <c r="T9635" s="7"/>
      <c r="U9635" s="7"/>
      <c r="V9635" s="7"/>
      <c r="W9635" s="7"/>
      <c r="X9635" s="7"/>
      <c r="Y9635" s="7"/>
      <c r="Z9635" s="7"/>
    </row>
    <row r="9636" hidden="1">
      <c r="A9636" s="7"/>
      <c r="B9636" s="7"/>
      <c r="C9636" s="7"/>
      <c r="D9636" s="7"/>
      <c r="E9636" s="7"/>
      <c r="F9636" s="7"/>
      <c r="G9636" s="7"/>
      <c r="H9636" s="8"/>
      <c r="I9636" s="8"/>
      <c r="J9636" s="7"/>
      <c r="K9636" s="7"/>
      <c r="L9636" s="7"/>
      <c r="M9636" s="7"/>
      <c r="N9636" s="7"/>
      <c r="O9636" s="7"/>
      <c r="P9636" s="7"/>
      <c r="Q9636" s="7"/>
      <c r="R9636" s="7"/>
      <c r="S9636" s="7"/>
      <c r="T9636" s="7"/>
      <c r="U9636" s="7"/>
      <c r="V9636" s="7"/>
      <c r="W9636" s="7"/>
      <c r="X9636" s="7"/>
      <c r="Y9636" s="7"/>
      <c r="Z9636" s="7"/>
    </row>
    <row r="9637" hidden="1">
      <c r="A9637" s="7"/>
      <c r="B9637" s="7"/>
      <c r="C9637" s="7"/>
      <c r="D9637" s="7"/>
      <c r="E9637" s="7"/>
      <c r="F9637" s="7"/>
      <c r="G9637" s="7"/>
      <c r="H9637" s="8"/>
      <c r="I9637" s="8"/>
      <c r="J9637" s="7"/>
      <c r="K9637" s="7"/>
      <c r="L9637" s="7"/>
      <c r="M9637" s="7"/>
      <c r="N9637" s="7"/>
      <c r="O9637" s="7"/>
      <c r="P9637" s="7"/>
      <c r="Q9637" s="7"/>
      <c r="R9637" s="7"/>
      <c r="S9637" s="7"/>
      <c r="T9637" s="7"/>
      <c r="U9637" s="7"/>
      <c r="V9637" s="7"/>
      <c r="W9637" s="7"/>
      <c r="X9637" s="7"/>
      <c r="Y9637" s="7"/>
      <c r="Z9637" s="7"/>
    </row>
    <row r="9638" hidden="1">
      <c r="A9638" s="7"/>
      <c r="B9638" s="7"/>
      <c r="C9638" s="7"/>
      <c r="D9638" s="7"/>
      <c r="E9638" s="7"/>
      <c r="F9638" s="7"/>
      <c r="G9638" s="7"/>
      <c r="H9638" s="8"/>
      <c r="I9638" s="8"/>
      <c r="J9638" s="7"/>
      <c r="K9638" s="7"/>
      <c r="L9638" s="7"/>
      <c r="M9638" s="7"/>
      <c r="N9638" s="7"/>
      <c r="O9638" s="7"/>
      <c r="P9638" s="7"/>
      <c r="Q9638" s="7"/>
      <c r="R9638" s="7"/>
      <c r="S9638" s="7"/>
      <c r="T9638" s="7"/>
      <c r="U9638" s="7"/>
      <c r="V9638" s="7"/>
      <c r="W9638" s="7"/>
      <c r="X9638" s="7"/>
      <c r="Y9638" s="7"/>
      <c r="Z9638" s="7"/>
    </row>
    <row r="9639" hidden="1">
      <c r="A9639" s="7"/>
      <c r="B9639" s="7"/>
      <c r="C9639" s="7"/>
      <c r="D9639" s="7"/>
      <c r="E9639" s="7"/>
      <c r="F9639" s="7"/>
      <c r="G9639" s="7"/>
      <c r="H9639" s="8"/>
      <c r="I9639" s="8"/>
      <c r="J9639" s="7"/>
      <c r="K9639" s="7"/>
      <c r="L9639" s="7"/>
      <c r="M9639" s="7"/>
      <c r="N9639" s="7"/>
      <c r="O9639" s="7"/>
      <c r="P9639" s="7"/>
      <c r="Q9639" s="7"/>
      <c r="R9639" s="7"/>
      <c r="S9639" s="7"/>
      <c r="T9639" s="7"/>
      <c r="U9639" s="7"/>
      <c r="V9639" s="7"/>
      <c r="W9639" s="7"/>
      <c r="X9639" s="7"/>
      <c r="Y9639" s="7"/>
      <c r="Z9639" s="7"/>
    </row>
    <row r="9640" hidden="1">
      <c r="A9640" s="7"/>
      <c r="B9640" s="7"/>
      <c r="C9640" s="7"/>
      <c r="D9640" s="7"/>
      <c r="E9640" s="7"/>
      <c r="F9640" s="7"/>
      <c r="G9640" s="7"/>
      <c r="H9640" s="8"/>
      <c r="I9640" s="8"/>
      <c r="J9640" s="7"/>
      <c r="K9640" s="7"/>
      <c r="L9640" s="7"/>
      <c r="M9640" s="7"/>
      <c r="N9640" s="7"/>
      <c r="O9640" s="7"/>
      <c r="P9640" s="7"/>
      <c r="Q9640" s="7"/>
      <c r="R9640" s="7"/>
      <c r="S9640" s="7"/>
      <c r="T9640" s="7"/>
      <c r="U9640" s="7"/>
      <c r="V9640" s="7"/>
      <c r="W9640" s="7"/>
      <c r="X9640" s="7"/>
      <c r="Y9640" s="7"/>
      <c r="Z9640" s="7"/>
    </row>
    <row r="9641" hidden="1">
      <c r="A9641" s="7"/>
      <c r="B9641" s="7"/>
      <c r="C9641" s="7"/>
      <c r="D9641" s="7"/>
      <c r="E9641" s="7"/>
      <c r="F9641" s="7"/>
      <c r="G9641" s="7"/>
      <c r="H9641" s="8"/>
      <c r="I9641" s="8"/>
      <c r="J9641" s="7"/>
      <c r="K9641" s="7"/>
      <c r="L9641" s="7"/>
      <c r="M9641" s="7"/>
      <c r="N9641" s="7"/>
      <c r="O9641" s="7"/>
      <c r="P9641" s="7"/>
      <c r="Q9641" s="7"/>
      <c r="R9641" s="7"/>
      <c r="S9641" s="7"/>
      <c r="T9641" s="7"/>
      <c r="U9641" s="7"/>
      <c r="V9641" s="7"/>
      <c r="W9641" s="7"/>
      <c r="X9641" s="7"/>
      <c r="Y9641" s="7"/>
      <c r="Z9641" s="7"/>
    </row>
    <row r="9642" hidden="1">
      <c r="A9642" s="7"/>
      <c r="B9642" s="7"/>
      <c r="C9642" s="7"/>
      <c r="D9642" s="7"/>
      <c r="E9642" s="7"/>
      <c r="F9642" s="7"/>
      <c r="G9642" s="7"/>
      <c r="H9642" s="8"/>
      <c r="I9642" s="8"/>
      <c r="J9642" s="7"/>
      <c r="K9642" s="7"/>
      <c r="L9642" s="7"/>
      <c r="M9642" s="7"/>
      <c r="N9642" s="7"/>
      <c r="O9642" s="7"/>
      <c r="P9642" s="7"/>
      <c r="Q9642" s="7"/>
      <c r="R9642" s="7"/>
      <c r="S9642" s="7"/>
      <c r="T9642" s="7"/>
      <c r="U9642" s="7"/>
      <c r="V9642" s="7"/>
      <c r="W9642" s="7"/>
      <c r="X9642" s="7"/>
      <c r="Y9642" s="7"/>
      <c r="Z9642" s="7"/>
    </row>
    <row r="9643" hidden="1">
      <c r="A9643" s="7"/>
      <c r="B9643" s="7"/>
      <c r="C9643" s="7"/>
      <c r="D9643" s="7"/>
      <c r="E9643" s="7"/>
      <c r="F9643" s="7"/>
      <c r="G9643" s="7"/>
      <c r="H9643" s="8"/>
      <c r="I9643" s="8"/>
      <c r="J9643" s="7"/>
      <c r="K9643" s="7"/>
      <c r="L9643" s="7"/>
      <c r="M9643" s="7"/>
      <c r="N9643" s="7"/>
      <c r="O9643" s="7"/>
      <c r="P9643" s="7"/>
      <c r="Q9643" s="7"/>
      <c r="R9643" s="7"/>
      <c r="S9643" s="7"/>
      <c r="T9643" s="7"/>
      <c r="U9643" s="7"/>
      <c r="V9643" s="7"/>
      <c r="W9643" s="7"/>
      <c r="X9643" s="7"/>
      <c r="Y9643" s="7"/>
      <c r="Z9643" s="7"/>
    </row>
    <row r="9644" hidden="1">
      <c r="A9644" s="7"/>
      <c r="B9644" s="7"/>
      <c r="C9644" s="7"/>
      <c r="D9644" s="7"/>
      <c r="E9644" s="7"/>
      <c r="F9644" s="7"/>
      <c r="G9644" s="7"/>
      <c r="H9644" s="8"/>
      <c r="I9644" s="8"/>
      <c r="J9644" s="7"/>
      <c r="K9644" s="7"/>
      <c r="L9644" s="7"/>
      <c r="M9644" s="7"/>
      <c r="N9644" s="7"/>
      <c r="O9644" s="7"/>
      <c r="P9644" s="7"/>
      <c r="Q9644" s="7"/>
      <c r="R9644" s="7"/>
      <c r="S9644" s="7"/>
      <c r="T9644" s="7"/>
      <c r="U9644" s="7"/>
      <c r="V9644" s="7"/>
      <c r="W9644" s="7"/>
      <c r="X9644" s="7"/>
      <c r="Y9644" s="7"/>
      <c r="Z9644" s="7"/>
    </row>
    <row r="9645" hidden="1">
      <c r="A9645" s="7"/>
      <c r="B9645" s="7"/>
      <c r="C9645" s="7"/>
      <c r="D9645" s="7"/>
      <c r="E9645" s="7"/>
      <c r="F9645" s="7"/>
      <c r="G9645" s="7"/>
      <c r="H9645" s="8"/>
      <c r="I9645" s="8"/>
      <c r="J9645" s="7"/>
      <c r="K9645" s="7"/>
      <c r="L9645" s="7"/>
      <c r="M9645" s="7"/>
      <c r="N9645" s="7"/>
      <c r="O9645" s="7"/>
      <c r="P9645" s="7"/>
      <c r="Q9645" s="7"/>
      <c r="R9645" s="7"/>
      <c r="S9645" s="7"/>
      <c r="T9645" s="7"/>
      <c r="U9645" s="7"/>
      <c r="V9645" s="7"/>
      <c r="W9645" s="7"/>
      <c r="X9645" s="7"/>
      <c r="Y9645" s="7"/>
      <c r="Z9645" s="7"/>
    </row>
    <row r="9646" hidden="1">
      <c r="A9646" s="7"/>
      <c r="B9646" s="7"/>
      <c r="C9646" s="7"/>
      <c r="D9646" s="7"/>
      <c r="E9646" s="7"/>
      <c r="F9646" s="7"/>
      <c r="G9646" s="7"/>
      <c r="H9646" s="8"/>
      <c r="I9646" s="8"/>
      <c r="J9646" s="7"/>
      <c r="K9646" s="7"/>
      <c r="L9646" s="7"/>
      <c r="M9646" s="7"/>
      <c r="N9646" s="7"/>
      <c r="O9646" s="7"/>
      <c r="P9646" s="7"/>
      <c r="Q9646" s="7"/>
      <c r="R9646" s="7"/>
      <c r="S9646" s="7"/>
      <c r="T9646" s="7"/>
      <c r="U9646" s="7"/>
      <c r="V9646" s="7"/>
      <c r="W9646" s="7"/>
      <c r="X9646" s="7"/>
      <c r="Y9646" s="7"/>
      <c r="Z9646" s="7"/>
    </row>
    <row r="9647" hidden="1">
      <c r="A9647" s="7"/>
      <c r="B9647" s="7"/>
      <c r="C9647" s="7"/>
      <c r="D9647" s="7"/>
      <c r="E9647" s="7"/>
      <c r="F9647" s="7"/>
      <c r="G9647" s="7"/>
      <c r="H9647" s="8"/>
      <c r="I9647" s="8"/>
      <c r="J9647" s="7"/>
      <c r="K9647" s="7"/>
      <c r="L9647" s="7"/>
      <c r="M9647" s="7"/>
      <c r="N9647" s="7"/>
      <c r="O9647" s="7"/>
      <c r="P9647" s="7"/>
      <c r="Q9647" s="7"/>
      <c r="R9647" s="7"/>
      <c r="S9647" s="7"/>
      <c r="T9647" s="7"/>
      <c r="U9647" s="7"/>
      <c r="V9647" s="7"/>
      <c r="W9647" s="7"/>
      <c r="X9647" s="7"/>
      <c r="Y9647" s="7"/>
      <c r="Z9647" s="7"/>
    </row>
    <row r="9648" hidden="1">
      <c r="A9648" s="7"/>
      <c r="B9648" s="7"/>
      <c r="C9648" s="7"/>
      <c r="D9648" s="7"/>
      <c r="E9648" s="7"/>
      <c r="F9648" s="7"/>
      <c r="G9648" s="7"/>
      <c r="H9648" s="8"/>
      <c r="I9648" s="8"/>
      <c r="J9648" s="7"/>
      <c r="K9648" s="7"/>
      <c r="L9648" s="7"/>
      <c r="M9648" s="7"/>
      <c r="N9648" s="7"/>
      <c r="O9648" s="7"/>
      <c r="P9648" s="7"/>
      <c r="Q9648" s="7"/>
      <c r="R9648" s="7"/>
      <c r="S9648" s="7"/>
      <c r="T9648" s="7"/>
      <c r="U9648" s="7"/>
      <c r="V9648" s="7"/>
      <c r="W9648" s="7"/>
      <c r="X9648" s="7"/>
      <c r="Y9648" s="7"/>
      <c r="Z9648" s="7"/>
    </row>
    <row r="9649" hidden="1">
      <c r="A9649" s="7"/>
      <c r="B9649" s="7"/>
      <c r="C9649" s="7"/>
      <c r="D9649" s="7"/>
      <c r="E9649" s="7"/>
      <c r="F9649" s="7"/>
      <c r="G9649" s="7"/>
      <c r="H9649" s="8"/>
      <c r="I9649" s="8"/>
      <c r="J9649" s="7"/>
      <c r="K9649" s="7"/>
      <c r="L9649" s="7"/>
      <c r="M9649" s="7"/>
      <c r="N9649" s="7"/>
      <c r="O9649" s="7"/>
      <c r="P9649" s="7"/>
      <c r="Q9649" s="7"/>
      <c r="R9649" s="7"/>
      <c r="S9649" s="7"/>
      <c r="T9649" s="7"/>
      <c r="U9649" s="7"/>
      <c r="V9649" s="7"/>
      <c r="W9649" s="7"/>
      <c r="X9649" s="7"/>
      <c r="Y9649" s="7"/>
      <c r="Z9649" s="7"/>
    </row>
    <row r="9650" hidden="1">
      <c r="A9650" s="7"/>
      <c r="B9650" s="7"/>
      <c r="C9650" s="7"/>
      <c r="D9650" s="7"/>
      <c r="E9650" s="7"/>
      <c r="F9650" s="7"/>
      <c r="G9650" s="7"/>
      <c r="H9650" s="8"/>
      <c r="I9650" s="8"/>
      <c r="J9650" s="7"/>
      <c r="K9650" s="7"/>
      <c r="L9650" s="7"/>
      <c r="M9650" s="7"/>
      <c r="N9650" s="7"/>
      <c r="O9650" s="7"/>
      <c r="P9650" s="7"/>
      <c r="Q9650" s="7"/>
      <c r="R9650" s="7"/>
      <c r="S9650" s="7"/>
      <c r="T9650" s="7"/>
      <c r="U9650" s="7"/>
      <c r="V9650" s="7"/>
      <c r="W9650" s="7"/>
      <c r="X9650" s="7"/>
      <c r="Y9650" s="7"/>
      <c r="Z9650" s="7"/>
    </row>
    <row r="9651" hidden="1">
      <c r="A9651" s="7"/>
      <c r="B9651" s="7"/>
      <c r="C9651" s="7"/>
      <c r="D9651" s="7"/>
      <c r="E9651" s="7"/>
      <c r="F9651" s="7"/>
      <c r="G9651" s="7"/>
      <c r="H9651" s="8"/>
      <c r="I9651" s="8"/>
      <c r="J9651" s="7"/>
      <c r="K9651" s="7"/>
      <c r="L9651" s="7"/>
      <c r="M9651" s="7"/>
      <c r="N9651" s="7"/>
      <c r="O9651" s="7"/>
      <c r="P9651" s="7"/>
      <c r="Q9651" s="7"/>
      <c r="R9651" s="7"/>
      <c r="S9651" s="7"/>
      <c r="T9651" s="7"/>
      <c r="U9651" s="7"/>
      <c r="V9651" s="7"/>
      <c r="W9651" s="7"/>
      <c r="X9651" s="7"/>
      <c r="Y9651" s="7"/>
      <c r="Z9651" s="7"/>
    </row>
    <row r="9652" hidden="1">
      <c r="A9652" s="7"/>
      <c r="B9652" s="7"/>
      <c r="C9652" s="7"/>
      <c r="D9652" s="7"/>
      <c r="E9652" s="7"/>
      <c r="F9652" s="7"/>
      <c r="G9652" s="7"/>
      <c r="H9652" s="8"/>
      <c r="I9652" s="8"/>
      <c r="J9652" s="7"/>
      <c r="K9652" s="7"/>
      <c r="L9652" s="7"/>
      <c r="M9652" s="7"/>
      <c r="N9652" s="7"/>
      <c r="O9652" s="7"/>
      <c r="P9652" s="7"/>
      <c r="Q9652" s="7"/>
      <c r="R9652" s="7"/>
      <c r="S9652" s="7"/>
      <c r="T9652" s="7"/>
      <c r="U9652" s="7"/>
      <c r="V9652" s="7"/>
      <c r="W9652" s="7"/>
      <c r="X9652" s="7"/>
      <c r="Y9652" s="7"/>
      <c r="Z9652" s="7"/>
    </row>
    <row r="9653" hidden="1">
      <c r="A9653" s="7"/>
      <c r="B9653" s="7"/>
      <c r="C9653" s="7"/>
      <c r="D9653" s="7"/>
      <c r="E9653" s="7"/>
      <c r="F9653" s="7"/>
      <c r="G9653" s="7"/>
      <c r="H9653" s="8"/>
      <c r="I9653" s="8"/>
      <c r="J9653" s="7"/>
      <c r="K9653" s="7"/>
      <c r="L9653" s="7"/>
      <c r="M9653" s="7"/>
      <c r="N9653" s="7"/>
      <c r="O9653" s="7"/>
      <c r="P9653" s="7"/>
      <c r="Q9653" s="7"/>
      <c r="R9653" s="7"/>
      <c r="S9653" s="7"/>
      <c r="T9653" s="7"/>
      <c r="U9653" s="7"/>
      <c r="V9653" s="7"/>
      <c r="W9653" s="7"/>
      <c r="X9653" s="7"/>
      <c r="Y9653" s="7"/>
      <c r="Z9653" s="7"/>
    </row>
    <row r="9654" hidden="1">
      <c r="A9654" s="7"/>
      <c r="B9654" s="7"/>
      <c r="C9654" s="7"/>
      <c r="D9654" s="7"/>
      <c r="E9654" s="7"/>
      <c r="F9654" s="7"/>
      <c r="G9654" s="7"/>
      <c r="H9654" s="8"/>
      <c r="I9654" s="8"/>
      <c r="J9654" s="7"/>
      <c r="K9654" s="7"/>
      <c r="L9654" s="7"/>
      <c r="M9654" s="7"/>
      <c r="N9654" s="7"/>
      <c r="O9654" s="7"/>
      <c r="P9654" s="7"/>
      <c r="Q9654" s="7"/>
      <c r="R9654" s="7"/>
      <c r="S9654" s="7"/>
      <c r="T9654" s="7"/>
      <c r="U9654" s="7"/>
      <c r="V9654" s="7"/>
      <c r="W9654" s="7"/>
      <c r="X9654" s="7"/>
      <c r="Y9654" s="7"/>
      <c r="Z9654" s="7"/>
    </row>
    <row r="9655" hidden="1">
      <c r="A9655" s="7"/>
      <c r="B9655" s="7"/>
      <c r="C9655" s="7"/>
      <c r="D9655" s="7"/>
      <c r="E9655" s="7"/>
      <c r="F9655" s="7"/>
      <c r="G9655" s="7"/>
      <c r="H9655" s="8"/>
      <c r="I9655" s="8"/>
      <c r="J9655" s="7"/>
      <c r="K9655" s="7"/>
      <c r="L9655" s="7"/>
      <c r="M9655" s="7"/>
      <c r="N9655" s="7"/>
      <c r="O9655" s="7"/>
      <c r="P9655" s="7"/>
      <c r="Q9655" s="7"/>
      <c r="R9655" s="7"/>
      <c r="S9655" s="7"/>
      <c r="T9655" s="7"/>
      <c r="U9655" s="7"/>
      <c r="V9655" s="7"/>
      <c r="W9655" s="7"/>
      <c r="X9655" s="7"/>
      <c r="Y9655" s="7"/>
      <c r="Z9655" s="7"/>
    </row>
    <row r="9656" hidden="1">
      <c r="A9656" s="7"/>
      <c r="B9656" s="7"/>
      <c r="C9656" s="7"/>
      <c r="D9656" s="7"/>
      <c r="E9656" s="7"/>
      <c r="F9656" s="7"/>
      <c r="G9656" s="7"/>
      <c r="H9656" s="8"/>
      <c r="I9656" s="8"/>
      <c r="J9656" s="7"/>
      <c r="K9656" s="7"/>
      <c r="L9656" s="7"/>
      <c r="M9656" s="7"/>
      <c r="N9656" s="7"/>
      <c r="O9656" s="7"/>
      <c r="P9656" s="7"/>
      <c r="Q9656" s="7"/>
      <c r="R9656" s="7"/>
      <c r="S9656" s="7"/>
      <c r="T9656" s="7"/>
      <c r="U9656" s="7"/>
      <c r="V9656" s="7"/>
      <c r="W9656" s="7"/>
      <c r="X9656" s="7"/>
      <c r="Y9656" s="7"/>
      <c r="Z9656" s="7"/>
    </row>
    <row r="9657" hidden="1">
      <c r="A9657" s="7"/>
      <c r="B9657" s="7"/>
      <c r="C9657" s="7"/>
      <c r="D9657" s="7"/>
      <c r="E9657" s="7"/>
      <c r="F9657" s="7"/>
      <c r="G9657" s="7"/>
      <c r="H9657" s="8"/>
      <c r="I9657" s="8"/>
      <c r="J9657" s="7"/>
      <c r="K9657" s="7"/>
      <c r="L9657" s="7"/>
      <c r="M9657" s="7"/>
      <c r="N9657" s="7"/>
      <c r="O9657" s="7"/>
      <c r="P9657" s="7"/>
      <c r="Q9657" s="7"/>
      <c r="R9657" s="7"/>
      <c r="S9657" s="7"/>
      <c r="T9657" s="7"/>
      <c r="U9657" s="7"/>
      <c r="V9657" s="7"/>
      <c r="W9657" s="7"/>
      <c r="X9657" s="7"/>
      <c r="Y9657" s="7"/>
      <c r="Z9657" s="7"/>
    </row>
    <row r="9658" hidden="1">
      <c r="A9658" s="7"/>
      <c r="B9658" s="7"/>
      <c r="C9658" s="7"/>
      <c r="D9658" s="7"/>
      <c r="E9658" s="7"/>
      <c r="F9658" s="7"/>
      <c r="G9658" s="7"/>
      <c r="H9658" s="8"/>
      <c r="I9658" s="8"/>
      <c r="J9658" s="7"/>
      <c r="K9658" s="7"/>
      <c r="L9658" s="7"/>
      <c r="M9658" s="7"/>
      <c r="N9658" s="7"/>
      <c r="O9658" s="7"/>
      <c r="P9658" s="7"/>
      <c r="Q9658" s="7"/>
      <c r="R9658" s="7"/>
      <c r="S9658" s="7"/>
      <c r="T9658" s="7"/>
      <c r="U9658" s="7"/>
      <c r="V9658" s="7"/>
      <c r="W9658" s="7"/>
      <c r="X9658" s="7"/>
      <c r="Y9658" s="7"/>
      <c r="Z9658" s="7"/>
    </row>
    <row r="9659" hidden="1">
      <c r="A9659" s="7"/>
      <c r="B9659" s="7"/>
      <c r="C9659" s="7"/>
      <c r="D9659" s="7"/>
      <c r="E9659" s="7"/>
      <c r="F9659" s="7"/>
      <c r="G9659" s="7"/>
      <c r="H9659" s="8"/>
      <c r="I9659" s="8"/>
      <c r="J9659" s="7"/>
      <c r="K9659" s="7"/>
      <c r="L9659" s="7"/>
      <c r="M9659" s="7"/>
      <c r="N9659" s="7"/>
      <c r="O9659" s="7"/>
      <c r="P9659" s="7"/>
      <c r="Q9659" s="7"/>
      <c r="R9659" s="7"/>
      <c r="S9659" s="7"/>
      <c r="T9659" s="7"/>
      <c r="U9659" s="7"/>
      <c r="V9659" s="7"/>
      <c r="W9659" s="7"/>
      <c r="X9659" s="7"/>
      <c r="Y9659" s="7"/>
      <c r="Z9659" s="7"/>
    </row>
    <row r="9660" hidden="1">
      <c r="A9660" s="7"/>
      <c r="B9660" s="7"/>
      <c r="C9660" s="7"/>
      <c r="D9660" s="7"/>
      <c r="E9660" s="7"/>
      <c r="F9660" s="7"/>
      <c r="G9660" s="7"/>
      <c r="H9660" s="8"/>
      <c r="I9660" s="8"/>
      <c r="J9660" s="7"/>
      <c r="K9660" s="7"/>
      <c r="L9660" s="7"/>
      <c r="M9660" s="7"/>
      <c r="N9660" s="7"/>
      <c r="O9660" s="7"/>
      <c r="P9660" s="7"/>
      <c r="Q9660" s="7"/>
      <c r="R9660" s="7"/>
      <c r="S9660" s="7"/>
      <c r="T9660" s="7"/>
      <c r="U9660" s="7"/>
      <c r="V9660" s="7"/>
      <c r="W9660" s="7"/>
      <c r="X9660" s="7"/>
      <c r="Y9660" s="7"/>
      <c r="Z9660" s="7"/>
    </row>
    <row r="9661" hidden="1">
      <c r="A9661" s="7"/>
      <c r="B9661" s="7"/>
      <c r="C9661" s="7"/>
      <c r="D9661" s="7"/>
      <c r="E9661" s="7"/>
      <c r="F9661" s="7"/>
      <c r="G9661" s="7"/>
      <c r="H9661" s="8"/>
      <c r="I9661" s="8"/>
      <c r="J9661" s="7"/>
      <c r="K9661" s="7"/>
      <c r="L9661" s="7"/>
      <c r="M9661" s="7"/>
      <c r="N9661" s="7"/>
      <c r="O9661" s="7"/>
      <c r="P9661" s="7"/>
      <c r="Q9661" s="7"/>
      <c r="R9661" s="7"/>
      <c r="S9661" s="7"/>
      <c r="T9661" s="7"/>
      <c r="U9661" s="7"/>
      <c r="V9661" s="7"/>
      <c r="W9661" s="7"/>
      <c r="X9661" s="7"/>
      <c r="Y9661" s="7"/>
      <c r="Z9661" s="7"/>
    </row>
    <row r="9662" hidden="1">
      <c r="A9662" s="7"/>
      <c r="B9662" s="7"/>
      <c r="C9662" s="7"/>
      <c r="D9662" s="7"/>
      <c r="E9662" s="7"/>
      <c r="F9662" s="7"/>
      <c r="G9662" s="7"/>
      <c r="H9662" s="8"/>
      <c r="I9662" s="8"/>
      <c r="J9662" s="7"/>
      <c r="K9662" s="7"/>
      <c r="L9662" s="7"/>
      <c r="M9662" s="7"/>
      <c r="N9662" s="7"/>
      <c r="O9662" s="7"/>
      <c r="P9662" s="7"/>
      <c r="Q9662" s="7"/>
      <c r="R9662" s="7"/>
      <c r="S9662" s="7"/>
      <c r="T9662" s="7"/>
      <c r="U9662" s="7"/>
      <c r="V9662" s="7"/>
      <c r="W9662" s="7"/>
      <c r="X9662" s="7"/>
      <c r="Y9662" s="7"/>
      <c r="Z9662" s="7"/>
    </row>
    <row r="9663" hidden="1">
      <c r="A9663" s="7"/>
      <c r="B9663" s="7"/>
      <c r="C9663" s="7"/>
      <c r="D9663" s="7"/>
      <c r="E9663" s="7"/>
      <c r="F9663" s="7"/>
      <c r="G9663" s="7"/>
      <c r="H9663" s="8"/>
      <c r="I9663" s="8"/>
      <c r="J9663" s="7"/>
      <c r="K9663" s="7"/>
      <c r="L9663" s="7"/>
      <c r="M9663" s="7"/>
      <c r="N9663" s="7"/>
      <c r="O9663" s="7"/>
      <c r="P9663" s="7"/>
      <c r="Q9663" s="7"/>
      <c r="R9663" s="7"/>
      <c r="S9663" s="7"/>
      <c r="T9663" s="7"/>
      <c r="U9663" s="7"/>
      <c r="V9663" s="7"/>
      <c r="W9663" s="7"/>
      <c r="X9663" s="7"/>
      <c r="Y9663" s="7"/>
      <c r="Z9663" s="7"/>
    </row>
    <row r="9664" hidden="1">
      <c r="A9664" s="7"/>
      <c r="B9664" s="7"/>
      <c r="C9664" s="7"/>
      <c r="D9664" s="7"/>
      <c r="E9664" s="7"/>
      <c r="F9664" s="7"/>
      <c r="G9664" s="7"/>
      <c r="H9664" s="8"/>
      <c r="I9664" s="8"/>
      <c r="J9664" s="7"/>
      <c r="K9664" s="7"/>
      <c r="L9664" s="7"/>
      <c r="M9664" s="7"/>
      <c r="N9664" s="7"/>
      <c r="O9664" s="7"/>
      <c r="P9664" s="7"/>
      <c r="Q9664" s="7"/>
      <c r="R9664" s="7"/>
      <c r="S9664" s="7"/>
      <c r="T9664" s="7"/>
      <c r="U9664" s="7"/>
      <c r="V9664" s="7"/>
      <c r="W9664" s="7"/>
      <c r="X9664" s="7"/>
      <c r="Y9664" s="7"/>
      <c r="Z9664" s="7"/>
    </row>
    <row r="9665" hidden="1">
      <c r="A9665" s="7"/>
      <c r="B9665" s="7"/>
      <c r="C9665" s="7"/>
      <c r="D9665" s="7"/>
      <c r="E9665" s="7"/>
      <c r="F9665" s="7"/>
      <c r="G9665" s="7"/>
      <c r="H9665" s="8"/>
      <c r="I9665" s="8"/>
      <c r="J9665" s="7"/>
      <c r="K9665" s="7"/>
      <c r="L9665" s="7"/>
      <c r="M9665" s="7"/>
      <c r="N9665" s="7"/>
      <c r="O9665" s="7"/>
      <c r="P9665" s="7"/>
      <c r="Q9665" s="7"/>
      <c r="R9665" s="7"/>
      <c r="S9665" s="7"/>
      <c r="T9665" s="7"/>
      <c r="U9665" s="7"/>
      <c r="V9665" s="7"/>
      <c r="W9665" s="7"/>
      <c r="X9665" s="7"/>
      <c r="Y9665" s="7"/>
      <c r="Z9665" s="7"/>
    </row>
    <row r="9666" hidden="1">
      <c r="A9666" s="7"/>
      <c r="B9666" s="7"/>
      <c r="C9666" s="7"/>
      <c r="D9666" s="7"/>
      <c r="E9666" s="7"/>
      <c r="F9666" s="7"/>
      <c r="G9666" s="7"/>
      <c r="H9666" s="8"/>
      <c r="I9666" s="8"/>
      <c r="J9666" s="7"/>
      <c r="K9666" s="7"/>
      <c r="L9666" s="7"/>
      <c r="M9666" s="7"/>
      <c r="N9666" s="7"/>
      <c r="O9666" s="7"/>
      <c r="P9666" s="7"/>
      <c r="Q9666" s="7"/>
      <c r="R9666" s="7"/>
      <c r="S9666" s="7"/>
      <c r="T9666" s="7"/>
      <c r="U9666" s="7"/>
      <c r="V9666" s="7"/>
      <c r="W9666" s="7"/>
      <c r="X9666" s="7"/>
      <c r="Y9666" s="7"/>
      <c r="Z9666" s="7"/>
    </row>
    <row r="9667" hidden="1">
      <c r="A9667" s="7"/>
      <c r="B9667" s="7"/>
      <c r="C9667" s="7"/>
      <c r="D9667" s="7"/>
      <c r="E9667" s="7"/>
      <c r="F9667" s="7"/>
      <c r="G9667" s="7"/>
      <c r="H9667" s="8"/>
      <c r="I9667" s="8"/>
      <c r="J9667" s="7"/>
      <c r="K9667" s="7"/>
      <c r="L9667" s="7"/>
      <c r="M9667" s="7"/>
      <c r="N9667" s="7"/>
      <c r="O9667" s="7"/>
      <c r="P9667" s="7"/>
      <c r="Q9667" s="7"/>
      <c r="R9667" s="7"/>
      <c r="S9667" s="7"/>
      <c r="T9667" s="7"/>
      <c r="U9667" s="7"/>
      <c r="V9667" s="7"/>
      <c r="W9667" s="7"/>
      <c r="X9667" s="7"/>
      <c r="Y9667" s="7"/>
      <c r="Z9667" s="7"/>
    </row>
    <row r="9668" hidden="1">
      <c r="A9668" s="7"/>
      <c r="B9668" s="7"/>
      <c r="C9668" s="7"/>
      <c r="D9668" s="7"/>
      <c r="E9668" s="7"/>
      <c r="F9668" s="7"/>
      <c r="G9668" s="7"/>
      <c r="H9668" s="8"/>
      <c r="I9668" s="8"/>
      <c r="J9668" s="7"/>
      <c r="K9668" s="7"/>
      <c r="L9668" s="7"/>
      <c r="M9668" s="7"/>
      <c r="N9668" s="7"/>
      <c r="O9668" s="7"/>
      <c r="P9668" s="7"/>
      <c r="Q9668" s="7"/>
      <c r="R9668" s="7"/>
      <c r="S9668" s="7"/>
      <c r="T9668" s="7"/>
      <c r="U9668" s="7"/>
      <c r="V9668" s="7"/>
      <c r="W9668" s="7"/>
      <c r="X9668" s="7"/>
      <c r="Y9668" s="7"/>
      <c r="Z9668" s="7"/>
    </row>
    <row r="9669" hidden="1">
      <c r="A9669" s="7"/>
      <c r="B9669" s="7"/>
      <c r="C9669" s="7"/>
      <c r="D9669" s="7"/>
      <c r="E9669" s="7"/>
      <c r="F9669" s="7"/>
      <c r="G9669" s="7"/>
      <c r="H9669" s="8"/>
      <c r="I9669" s="8"/>
      <c r="J9669" s="7"/>
      <c r="K9669" s="7"/>
      <c r="L9669" s="7"/>
      <c r="M9669" s="7"/>
      <c r="N9669" s="7"/>
      <c r="O9669" s="7"/>
      <c r="P9669" s="7"/>
      <c r="Q9669" s="7"/>
      <c r="R9669" s="7"/>
      <c r="S9669" s="7"/>
      <c r="T9669" s="7"/>
      <c r="U9669" s="7"/>
      <c r="V9669" s="7"/>
      <c r="W9669" s="7"/>
      <c r="X9669" s="7"/>
      <c r="Y9669" s="7"/>
      <c r="Z9669" s="7"/>
    </row>
    <row r="9670" hidden="1">
      <c r="A9670" s="7"/>
      <c r="B9670" s="7"/>
      <c r="C9670" s="7"/>
      <c r="D9670" s="7"/>
      <c r="E9670" s="7"/>
      <c r="F9670" s="7"/>
      <c r="G9670" s="7"/>
      <c r="H9670" s="8"/>
      <c r="I9670" s="8"/>
      <c r="J9670" s="7"/>
      <c r="K9670" s="7"/>
      <c r="L9670" s="7"/>
      <c r="M9670" s="7"/>
      <c r="N9670" s="7"/>
      <c r="O9670" s="7"/>
      <c r="P9670" s="7"/>
      <c r="Q9670" s="7"/>
      <c r="R9670" s="7"/>
      <c r="S9670" s="7"/>
      <c r="T9670" s="7"/>
      <c r="U9670" s="7"/>
      <c r="V9670" s="7"/>
      <c r="W9670" s="7"/>
      <c r="X9670" s="7"/>
      <c r="Y9670" s="7"/>
      <c r="Z9670" s="7"/>
    </row>
    <row r="9671" hidden="1">
      <c r="A9671" s="7"/>
      <c r="B9671" s="7"/>
      <c r="C9671" s="7"/>
      <c r="D9671" s="7"/>
      <c r="E9671" s="7"/>
      <c r="F9671" s="7"/>
      <c r="G9671" s="7"/>
      <c r="H9671" s="8"/>
      <c r="I9671" s="8"/>
      <c r="J9671" s="7"/>
      <c r="K9671" s="7"/>
      <c r="L9671" s="7"/>
      <c r="M9671" s="7"/>
      <c r="N9671" s="7"/>
      <c r="O9671" s="7"/>
      <c r="P9671" s="7"/>
      <c r="Q9671" s="7"/>
      <c r="R9671" s="7"/>
      <c r="S9671" s="7"/>
      <c r="T9671" s="7"/>
      <c r="U9671" s="7"/>
      <c r="V9671" s="7"/>
      <c r="W9671" s="7"/>
      <c r="X9671" s="7"/>
      <c r="Y9671" s="7"/>
      <c r="Z9671" s="7"/>
    </row>
    <row r="9672" hidden="1">
      <c r="A9672" s="7"/>
      <c r="B9672" s="7"/>
      <c r="C9672" s="7"/>
      <c r="D9672" s="7"/>
      <c r="E9672" s="7"/>
      <c r="F9672" s="7"/>
      <c r="G9672" s="7"/>
      <c r="H9672" s="8"/>
      <c r="I9672" s="8"/>
      <c r="J9672" s="7"/>
      <c r="K9672" s="7"/>
      <c r="L9672" s="7"/>
      <c r="M9672" s="7"/>
      <c r="N9672" s="7"/>
      <c r="O9672" s="7"/>
      <c r="P9672" s="7"/>
      <c r="Q9672" s="7"/>
      <c r="R9672" s="7"/>
      <c r="S9672" s="7"/>
      <c r="T9672" s="7"/>
      <c r="U9672" s="7"/>
      <c r="V9672" s="7"/>
      <c r="W9672" s="7"/>
      <c r="X9672" s="7"/>
      <c r="Y9672" s="7"/>
      <c r="Z9672" s="7"/>
    </row>
    <row r="9673" hidden="1">
      <c r="A9673" s="7"/>
      <c r="B9673" s="7"/>
      <c r="C9673" s="7"/>
      <c r="D9673" s="7"/>
      <c r="E9673" s="7"/>
      <c r="F9673" s="7"/>
      <c r="G9673" s="7"/>
      <c r="H9673" s="8"/>
      <c r="I9673" s="8"/>
      <c r="J9673" s="7"/>
      <c r="K9673" s="7"/>
      <c r="L9673" s="7"/>
      <c r="M9673" s="7"/>
      <c r="N9673" s="7"/>
      <c r="O9673" s="7"/>
      <c r="P9673" s="7"/>
      <c r="Q9673" s="7"/>
      <c r="R9673" s="7"/>
      <c r="S9673" s="7"/>
      <c r="T9673" s="7"/>
      <c r="U9673" s="7"/>
      <c r="V9673" s="7"/>
      <c r="W9673" s="7"/>
      <c r="X9673" s="7"/>
      <c r="Y9673" s="7"/>
      <c r="Z9673" s="7"/>
    </row>
    <row r="9674" hidden="1">
      <c r="A9674" s="7"/>
      <c r="B9674" s="7"/>
      <c r="C9674" s="7"/>
      <c r="D9674" s="7"/>
      <c r="E9674" s="7"/>
      <c r="F9674" s="7"/>
      <c r="G9674" s="7"/>
      <c r="H9674" s="8"/>
      <c r="I9674" s="8"/>
      <c r="J9674" s="7"/>
      <c r="K9674" s="7"/>
      <c r="L9674" s="7"/>
      <c r="M9674" s="7"/>
      <c r="N9674" s="7"/>
      <c r="O9674" s="7"/>
      <c r="P9674" s="7"/>
      <c r="Q9674" s="7"/>
      <c r="R9674" s="7"/>
      <c r="S9674" s="7"/>
      <c r="T9674" s="7"/>
      <c r="U9674" s="7"/>
      <c r="V9674" s="7"/>
      <c r="W9674" s="7"/>
      <c r="X9674" s="7"/>
      <c r="Y9674" s="7"/>
      <c r="Z9674" s="7"/>
    </row>
    <row r="9675" hidden="1">
      <c r="A9675" s="7"/>
      <c r="B9675" s="7"/>
      <c r="C9675" s="7"/>
      <c r="D9675" s="7"/>
      <c r="E9675" s="7"/>
      <c r="F9675" s="7"/>
      <c r="G9675" s="7"/>
      <c r="H9675" s="8"/>
      <c r="I9675" s="8"/>
      <c r="J9675" s="7"/>
      <c r="K9675" s="7"/>
      <c r="L9675" s="7"/>
      <c r="M9675" s="7"/>
      <c r="N9675" s="7"/>
      <c r="O9675" s="7"/>
      <c r="P9675" s="7"/>
      <c r="Q9675" s="7"/>
      <c r="R9675" s="7"/>
      <c r="S9675" s="7"/>
      <c r="T9675" s="7"/>
      <c r="U9675" s="7"/>
      <c r="V9675" s="7"/>
      <c r="W9675" s="7"/>
      <c r="X9675" s="7"/>
      <c r="Y9675" s="7"/>
      <c r="Z9675" s="7"/>
    </row>
    <row r="9676" hidden="1">
      <c r="A9676" s="7"/>
      <c r="B9676" s="7"/>
      <c r="C9676" s="7"/>
      <c r="D9676" s="7"/>
      <c r="E9676" s="7"/>
      <c r="F9676" s="7"/>
      <c r="G9676" s="7"/>
      <c r="H9676" s="8"/>
      <c r="I9676" s="8"/>
      <c r="J9676" s="7"/>
      <c r="K9676" s="7"/>
      <c r="L9676" s="7"/>
      <c r="M9676" s="7"/>
      <c r="N9676" s="7"/>
      <c r="O9676" s="7"/>
      <c r="P9676" s="7"/>
      <c r="Q9676" s="7"/>
      <c r="R9676" s="7"/>
      <c r="S9676" s="7"/>
      <c r="T9676" s="7"/>
      <c r="U9676" s="7"/>
      <c r="V9676" s="7"/>
      <c r="W9676" s="7"/>
      <c r="X9676" s="7"/>
      <c r="Y9676" s="7"/>
      <c r="Z9676" s="7"/>
    </row>
    <row r="9677" hidden="1">
      <c r="A9677" s="7"/>
      <c r="B9677" s="7"/>
      <c r="C9677" s="7"/>
      <c r="D9677" s="7"/>
      <c r="E9677" s="7"/>
      <c r="F9677" s="7"/>
      <c r="G9677" s="7"/>
      <c r="H9677" s="8"/>
      <c r="I9677" s="8"/>
      <c r="J9677" s="7"/>
      <c r="K9677" s="7"/>
      <c r="L9677" s="7"/>
      <c r="M9677" s="7"/>
      <c r="N9677" s="7"/>
      <c r="O9677" s="7"/>
      <c r="P9677" s="7"/>
      <c r="Q9677" s="7"/>
      <c r="R9677" s="7"/>
      <c r="S9677" s="7"/>
      <c r="T9677" s="7"/>
      <c r="U9677" s="7"/>
      <c r="V9677" s="7"/>
      <c r="W9677" s="7"/>
      <c r="X9677" s="7"/>
      <c r="Y9677" s="7"/>
      <c r="Z9677" s="7"/>
    </row>
    <row r="9678" hidden="1">
      <c r="A9678" s="7"/>
      <c r="B9678" s="7"/>
      <c r="C9678" s="7"/>
      <c r="D9678" s="7"/>
      <c r="E9678" s="7"/>
      <c r="F9678" s="7"/>
      <c r="G9678" s="7"/>
      <c r="H9678" s="8"/>
      <c r="I9678" s="8"/>
      <c r="J9678" s="7"/>
      <c r="K9678" s="7"/>
      <c r="L9678" s="7"/>
      <c r="M9678" s="7"/>
      <c r="N9678" s="7"/>
      <c r="O9678" s="7"/>
      <c r="P9678" s="7"/>
      <c r="Q9678" s="7"/>
      <c r="R9678" s="7"/>
      <c r="S9678" s="7"/>
      <c r="T9678" s="7"/>
      <c r="U9678" s="7"/>
      <c r="V9678" s="7"/>
      <c r="W9678" s="7"/>
      <c r="X9678" s="7"/>
      <c r="Y9678" s="7"/>
      <c r="Z9678" s="7"/>
    </row>
    <row r="9679" hidden="1">
      <c r="A9679" s="7"/>
      <c r="B9679" s="7"/>
      <c r="C9679" s="7"/>
      <c r="D9679" s="7"/>
      <c r="E9679" s="7"/>
      <c r="F9679" s="7"/>
      <c r="G9679" s="7"/>
      <c r="H9679" s="8"/>
      <c r="I9679" s="8"/>
      <c r="J9679" s="7"/>
      <c r="K9679" s="7"/>
      <c r="L9679" s="7"/>
      <c r="M9679" s="7"/>
      <c r="N9679" s="7"/>
      <c r="O9679" s="7"/>
      <c r="P9679" s="7"/>
      <c r="Q9679" s="7"/>
      <c r="R9679" s="7"/>
      <c r="S9679" s="7"/>
      <c r="T9679" s="7"/>
      <c r="U9679" s="7"/>
      <c r="V9679" s="7"/>
      <c r="W9679" s="7"/>
      <c r="X9679" s="7"/>
      <c r="Y9679" s="7"/>
      <c r="Z9679" s="7"/>
    </row>
    <row r="9680" hidden="1">
      <c r="A9680" s="7"/>
      <c r="B9680" s="7"/>
      <c r="C9680" s="7"/>
      <c r="D9680" s="7"/>
      <c r="E9680" s="7"/>
      <c r="F9680" s="7"/>
      <c r="G9680" s="7"/>
      <c r="H9680" s="8"/>
      <c r="I9680" s="8"/>
      <c r="J9680" s="7"/>
      <c r="K9680" s="7"/>
      <c r="L9680" s="7"/>
      <c r="M9680" s="7"/>
      <c r="N9680" s="7"/>
      <c r="O9680" s="7"/>
      <c r="P9680" s="7"/>
      <c r="Q9680" s="7"/>
      <c r="R9680" s="7"/>
      <c r="S9680" s="7"/>
      <c r="T9680" s="7"/>
      <c r="U9680" s="7"/>
      <c r="V9680" s="7"/>
      <c r="W9680" s="7"/>
      <c r="X9680" s="7"/>
      <c r="Y9680" s="7"/>
      <c r="Z9680" s="7"/>
    </row>
    <row r="9681" hidden="1">
      <c r="A9681" s="7"/>
      <c r="B9681" s="7"/>
      <c r="C9681" s="7"/>
      <c r="D9681" s="7"/>
      <c r="E9681" s="7"/>
      <c r="F9681" s="7"/>
      <c r="G9681" s="7"/>
      <c r="H9681" s="8"/>
      <c r="I9681" s="8"/>
      <c r="J9681" s="7"/>
      <c r="K9681" s="7"/>
      <c r="L9681" s="7"/>
      <c r="M9681" s="7"/>
      <c r="N9681" s="7"/>
      <c r="O9681" s="7"/>
      <c r="P9681" s="7"/>
      <c r="Q9681" s="7"/>
      <c r="R9681" s="7"/>
      <c r="S9681" s="7"/>
      <c r="T9681" s="7"/>
      <c r="U9681" s="7"/>
      <c r="V9681" s="7"/>
      <c r="W9681" s="7"/>
      <c r="X9681" s="7"/>
      <c r="Y9681" s="7"/>
      <c r="Z9681" s="7"/>
    </row>
    <row r="9682" hidden="1">
      <c r="A9682" s="7"/>
      <c r="B9682" s="7"/>
      <c r="C9682" s="7"/>
      <c r="D9682" s="7"/>
      <c r="E9682" s="7"/>
      <c r="F9682" s="7"/>
      <c r="G9682" s="7"/>
      <c r="H9682" s="8"/>
      <c r="I9682" s="8"/>
      <c r="J9682" s="7"/>
      <c r="K9682" s="7"/>
      <c r="L9682" s="7"/>
      <c r="M9682" s="7"/>
      <c r="N9682" s="7"/>
      <c r="O9682" s="7"/>
      <c r="P9682" s="7"/>
      <c r="Q9682" s="7"/>
      <c r="R9682" s="7"/>
      <c r="S9682" s="7"/>
      <c r="T9682" s="7"/>
      <c r="U9682" s="7"/>
      <c r="V9682" s="7"/>
      <c r="W9682" s="7"/>
      <c r="X9682" s="7"/>
      <c r="Y9682" s="7"/>
      <c r="Z9682" s="7"/>
    </row>
    <row r="9683" hidden="1">
      <c r="A9683" s="7"/>
      <c r="B9683" s="7"/>
      <c r="C9683" s="7"/>
      <c r="D9683" s="7"/>
      <c r="E9683" s="7"/>
      <c r="F9683" s="7"/>
      <c r="G9683" s="7"/>
      <c r="H9683" s="8"/>
      <c r="I9683" s="8"/>
      <c r="J9683" s="7"/>
      <c r="K9683" s="7"/>
      <c r="L9683" s="7"/>
      <c r="M9683" s="7"/>
      <c r="N9683" s="7"/>
      <c r="O9683" s="7"/>
      <c r="P9683" s="7"/>
      <c r="Q9683" s="7"/>
      <c r="R9683" s="7"/>
      <c r="S9683" s="7"/>
      <c r="T9683" s="7"/>
      <c r="U9683" s="7"/>
      <c r="V9683" s="7"/>
      <c r="W9683" s="7"/>
      <c r="X9683" s="7"/>
      <c r="Y9683" s="7"/>
      <c r="Z9683" s="7"/>
    </row>
    <row r="9684" hidden="1">
      <c r="A9684" s="7"/>
      <c r="B9684" s="7"/>
      <c r="C9684" s="7"/>
      <c r="D9684" s="7"/>
      <c r="E9684" s="7"/>
      <c r="F9684" s="7"/>
      <c r="G9684" s="7"/>
      <c r="H9684" s="8"/>
      <c r="I9684" s="8"/>
      <c r="J9684" s="7"/>
      <c r="K9684" s="7"/>
      <c r="L9684" s="7"/>
      <c r="M9684" s="7"/>
      <c r="N9684" s="7"/>
      <c r="O9684" s="7"/>
      <c r="P9684" s="7"/>
      <c r="Q9684" s="7"/>
      <c r="R9684" s="7"/>
      <c r="S9684" s="7"/>
      <c r="T9684" s="7"/>
      <c r="U9684" s="7"/>
      <c r="V9684" s="7"/>
      <c r="W9684" s="7"/>
      <c r="X9684" s="7"/>
      <c r="Y9684" s="7"/>
      <c r="Z9684" s="7"/>
    </row>
    <row r="9685" hidden="1">
      <c r="A9685" s="7"/>
      <c r="B9685" s="7"/>
      <c r="C9685" s="7"/>
      <c r="D9685" s="7"/>
      <c r="E9685" s="7"/>
      <c r="F9685" s="7"/>
      <c r="G9685" s="7"/>
      <c r="H9685" s="8"/>
      <c r="I9685" s="8"/>
      <c r="J9685" s="7"/>
      <c r="K9685" s="7"/>
      <c r="L9685" s="7"/>
      <c r="M9685" s="7"/>
      <c r="N9685" s="7"/>
      <c r="O9685" s="7"/>
      <c r="P9685" s="7"/>
      <c r="Q9685" s="7"/>
      <c r="R9685" s="7"/>
      <c r="S9685" s="7"/>
      <c r="T9685" s="7"/>
      <c r="U9685" s="7"/>
      <c r="V9685" s="7"/>
      <c r="W9685" s="7"/>
      <c r="X9685" s="7"/>
      <c r="Y9685" s="7"/>
      <c r="Z9685" s="7"/>
    </row>
    <row r="9686" hidden="1">
      <c r="A9686" s="7"/>
      <c r="B9686" s="7"/>
      <c r="C9686" s="7"/>
      <c r="D9686" s="7"/>
      <c r="E9686" s="7"/>
      <c r="F9686" s="7"/>
      <c r="G9686" s="7"/>
      <c r="H9686" s="8"/>
      <c r="I9686" s="8"/>
      <c r="J9686" s="7"/>
      <c r="K9686" s="7"/>
      <c r="L9686" s="7"/>
      <c r="M9686" s="7"/>
      <c r="N9686" s="7"/>
      <c r="O9686" s="7"/>
      <c r="P9686" s="7"/>
      <c r="Q9686" s="7"/>
      <c r="R9686" s="7"/>
      <c r="S9686" s="7"/>
      <c r="T9686" s="7"/>
      <c r="U9686" s="7"/>
      <c r="V9686" s="7"/>
      <c r="W9686" s="7"/>
      <c r="X9686" s="7"/>
      <c r="Y9686" s="7"/>
      <c r="Z9686" s="7"/>
    </row>
    <row r="9687" hidden="1">
      <c r="A9687" s="7"/>
      <c r="B9687" s="7"/>
      <c r="C9687" s="7"/>
      <c r="D9687" s="7"/>
      <c r="E9687" s="7"/>
      <c r="F9687" s="7"/>
      <c r="G9687" s="7"/>
      <c r="H9687" s="8"/>
      <c r="I9687" s="8"/>
      <c r="J9687" s="7"/>
      <c r="K9687" s="7"/>
      <c r="L9687" s="7"/>
      <c r="M9687" s="7"/>
      <c r="N9687" s="7"/>
      <c r="O9687" s="7"/>
      <c r="P9687" s="7"/>
      <c r="Q9687" s="7"/>
      <c r="R9687" s="7"/>
      <c r="S9687" s="7"/>
      <c r="T9687" s="7"/>
      <c r="U9687" s="7"/>
      <c r="V9687" s="7"/>
      <c r="W9687" s="7"/>
      <c r="X9687" s="7"/>
      <c r="Y9687" s="7"/>
      <c r="Z9687" s="7"/>
    </row>
    <row r="9688" hidden="1">
      <c r="A9688" s="7"/>
      <c r="B9688" s="7"/>
      <c r="C9688" s="7"/>
      <c r="D9688" s="7"/>
      <c r="E9688" s="7"/>
      <c r="F9688" s="7"/>
      <c r="G9688" s="7"/>
      <c r="H9688" s="8"/>
      <c r="I9688" s="8"/>
      <c r="J9688" s="7"/>
      <c r="K9688" s="7"/>
      <c r="L9688" s="7"/>
      <c r="M9688" s="7"/>
      <c r="N9688" s="7"/>
      <c r="O9688" s="7"/>
      <c r="P9688" s="7"/>
      <c r="Q9688" s="7"/>
      <c r="R9688" s="7"/>
      <c r="S9688" s="7"/>
      <c r="T9688" s="7"/>
      <c r="U9688" s="7"/>
      <c r="V9688" s="7"/>
      <c r="W9688" s="7"/>
      <c r="X9688" s="7"/>
      <c r="Y9688" s="7"/>
      <c r="Z9688" s="7"/>
    </row>
    <row r="9689" hidden="1">
      <c r="A9689" s="7"/>
      <c r="B9689" s="7"/>
      <c r="C9689" s="7"/>
      <c r="D9689" s="7"/>
      <c r="E9689" s="7"/>
      <c r="F9689" s="7"/>
      <c r="G9689" s="7"/>
      <c r="H9689" s="8"/>
      <c r="I9689" s="8"/>
      <c r="J9689" s="7"/>
      <c r="K9689" s="7"/>
      <c r="L9689" s="7"/>
      <c r="M9689" s="7"/>
      <c r="N9689" s="7"/>
      <c r="O9689" s="7"/>
      <c r="P9689" s="7"/>
      <c r="Q9689" s="7"/>
      <c r="R9689" s="7"/>
      <c r="S9689" s="7"/>
      <c r="T9689" s="7"/>
      <c r="U9689" s="7"/>
      <c r="V9689" s="7"/>
      <c r="W9689" s="7"/>
      <c r="X9689" s="7"/>
      <c r="Y9689" s="7"/>
      <c r="Z9689" s="7"/>
    </row>
    <row r="9690" hidden="1">
      <c r="A9690" s="7"/>
      <c r="B9690" s="7"/>
      <c r="C9690" s="7"/>
      <c r="D9690" s="7"/>
      <c r="E9690" s="7"/>
      <c r="F9690" s="7"/>
      <c r="G9690" s="7"/>
      <c r="H9690" s="8"/>
      <c r="I9690" s="8"/>
      <c r="J9690" s="7"/>
      <c r="K9690" s="7"/>
      <c r="L9690" s="7"/>
      <c r="M9690" s="7"/>
      <c r="N9690" s="7"/>
      <c r="O9690" s="7"/>
      <c r="P9690" s="7"/>
      <c r="Q9690" s="7"/>
      <c r="R9690" s="7"/>
      <c r="S9690" s="7"/>
      <c r="T9690" s="7"/>
      <c r="U9690" s="7"/>
      <c r="V9690" s="7"/>
      <c r="W9690" s="7"/>
      <c r="X9690" s="7"/>
      <c r="Y9690" s="7"/>
      <c r="Z9690" s="7"/>
    </row>
    <row r="9691" hidden="1">
      <c r="A9691" s="7"/>
      <c r="B9691" s="7"/>
      <c r="C9691" s="7"/>
      <c r="D9691" s="7"/>
      <c r="E9691" s="7"/>
      <c r="F9691" s="7"/>
      <c r="G9691" s="7"/>
      <c r="H9691" s="8"/>
      <c r="I9691" s="8"/>
      <c r="J9691" s="7"/>
      <c r="K9691" s="7"/>
      <c r="L9691" s="7"/>
      <c r="M9691" s="7"/>
      <c r="N9691" s="7"/>
      <c r="O9691" s="7"/>
      <c r="P9691" s="7"/>
      <c r="Q9691" s="7"/>
      <c r="R9691" s="7"/>
      <c r="S9691" s="7"/>
      <c r="T9691" s="7"/>
      <c r="U9691" s="7"/>
      <c r="V9691" s="7"/>
      <c r="W9691" s="7"/>
      <c r="X9691" s="7"/>
      <c r="Y9691" s="7"/>
      <c r="Z9691" s="7"/>
    </row>
    <row r="9692" hidden="1">
      <c r="A9692" s="7"/>
      <c r="B9692" s="7"/>
      <c r="C9692" s="7"/>
      <c r="D9692" s="7"/>
      <c r="E9692" s="7"/>
      <c r="F9692" s="7"/>
      <c r="G9692" s="7"/>
      <c r="H9692" s="8"/>
      <c r="I9692" s="8"/>
      <c r="J9692" s="7"/>
      <c r="K9692" s="7"/>
      <c r="L9692" s="7"/>
      <c r="M9692" s="7"/>
      <c r="N9692" s="7"/>
      <c r="O9692" s="7"/>
      <c r="P9692" s="7"/>
      <c r="Q9692" s="7"/>
      <c r="R9692" s="7"/>
      <c r="S9692" s="7"/>
      <c r="T9692" s="7"/>
      <c r="U9692" s="7"/>
      <c r="V9692" s="7"/>
      <c r="W9692" s="7"/>
      <c r="X9692" s="7"/>
      <c r="Y9692" s="7"/>
      <c r="Z9692" s="7"/>
    </row>
    <row r="9693" hidden="1">
      <c r="A9693" s="7"/>
      <c r="B9693" s="7"/>
      <c r="C9693" s="7"/>
      <c r="D9693" s="7"/>
      <c r="E9693" s="7"/>
      <c r="F9693" s="7"/>
      <c r="G9693" s="7"/>
      <c r="H9693" s="8"/>
      <c r="I9693" s="8"/>
      <c r="J9693" s="7"/>
      <c r="K9693" s="7"/>
      <c r="L9693" s="7"/>
      <c r="M9693" s="7"/>
      <c r="N9693" s="7"/>
      <c r="O9693" s="7"/>
      <c r="P9693" s="7"/>
      <c r="Q9693" s="7"/>
      <c r="R9693" s="7"/>
      <c r="S9693" s="7"/>
      <c r="T9693" s="7"/>
      <c r="U9693" s="7"/>
      <c r="V9693" s="7"/>
      <c r="W9693" s="7"/>
      <c r="X9693" s="7"/>
      <c r="Y9693" s="7"/>
      <c r="Z9693" s="7"/>
    </row>
    <row r="9694" hidden="1">
      <c r="A9694" s="7"/>
      <c r="B9694" s="7"/>
      <c r="C9694" s="7"/>
      <c r="D9694" s="7"/>
      <c r="E9694" s="7"/>
      <c r="F9694" s="7"/>
      <c r="G9694" s="7"/>
      <c r="H9694" s="8"/>
      <c r="I9694" s="8"/>
      <c r="J9694" s="7"/>
      <c r="K9694" s="7"/>
      <c r="L9694" s="7"/>
      <c r="M9694" s="7"/>
      <c r="N9694" s="7"/>
      <c r="O9694" s="7"/>
      <c r="P9694" s="7"/>
      <c r="Q9694" s="7"/>
      <c r="R9694" s="7"/>
      <c r="S9694" s="7"/>
      <c r="T9694" s="7"/>
      <c r="U9694" s="7"/>
      <c r="V9694" s="7"/>
      <c r="W9694" s="7"/>
      <c r="X9694" s="7"/>
      <c r="Y9694" s="7"/>
      <c r="Z9694" s="7"/>
    </row>
    <row r="9695" hidden="1">
      <c r="A9695" s="7"/>
      <c r="B9695" s="7"/>
      <c r="C9695" s="7"/>
      <c r="D9695" s="7"/>
      <c r="E9695" s="7"/>
      <c r="F9695" s="7"/>
      <c r="G9695" s="7"/>
      <c r="H9695" s="8"/>
      <c r="I9695" s="8"/>
      <c r="J9695" s="7"/>
      <c r="K9695" s="7"/>
      <c r="L9695" s="7"/>
      <c r="M9695" s="7"/>
      <c r="N9695" s="7"/>
      <c r="O9695" s="7"/>
      <c r="P9695" s="7"/>
      <c r="Q9695" s="7"/>
      <c r="R9695" s="7"/>
      <c r="S9695" s="7"/>
      <c r="T9695" s="7"/>
      <c r="U9695" s="7"/>
      <c r="V9695" s="7"/>
      <c r="W9695" s="7"/>
      <c r="X9695" s="7"/>
      <c r="Y9695" s="7"/>
      <c r="Z9695" s="7"/>
    </row>
    <row r="9696" hidden="1">
      <c r="A9696" s="7"/>
      <c r="B9696" s="7"/>
      <c r="C9696" s="7"/>
      <c r="D9696" s="7"/>
      <c r="E9696" s="7"/>
      <c r="F9696" s="7"/>
      <c r="G9696" s="7"/>
      <c r="H9696" s="8"/>
      <c r="I9696" s="8"/>
      <c r="J9696" s="7"/>
      <c r="K9696" s="7"/>
      <c r="L9696" s="7"/>
      <c r="M9696" s="7"/>
      <c r="N9696" s="7"/>
      <c r="O9696" s="7"/>
      <c r="P9696" s="7"/>
      <c r="Q9696" s="7"/>
      <c r="R9696" s="7"/>
      <c r="S9696" s="7"/>
      <c r="T9696" s="7"/>
      <c r="U9696" s="7"/>
      <c r="V9696" s="7"/>
      <c r="W9696" s="7"/>
      <c r="X9696" s="7"/>
      <c r="Y9696" s="7"/>
      <c r="Z9696" s="7"/>
    </row>
    <row r="9697" hidden="1">
      <c r="A9697" s="7"/>
      <c r="B9697" s="7"/>
      <c r="C9697" s="7"/>
      <c r="D9697" s="7"/>
      <c r="E9697" s="7"/>
      <c r="F9697" s="7"/>
      <c r="G9697" s="7"/>
      <c r="H9697" s="8"/>
      <c r="I9697" s="8"/>
      <c r="J9697" s="7"/>
      <c r="K9697" s="7"/>
      <c r="L9697" s="7"/>
      <c r="M9697" s="7"/>
      <c r="N9697" s="7"/>
      <c r="O9697" s="7"/>
      <c r="P9697" s="7"/>
      <c r="Q9697" s="7"/>
      <c r="R9697" s="7"/>
      <c r="S9697" s="7"/>
      <c r="T9697" s="7"/>
      <c r="U9697" s="7"/>
      <c r="V9697" s="7"/>
      <c r="W9697" s="7"/>
      <c r="X9697" s="7"/>
      <c r="Y9697" s="7"/>
      <c r="Z9697" s="7"/>
    </row>
    <row r="9698" hidden="1">
      <c r="A9698" s="7"/>
      <c r="B9698" s="7"/>
      <c r="C9698" s="7"/>
      <c r="D9698" s="7"/>
      <c r="E9698" s="7"/>
      <c r="F9698" s="7"/>
      <c r="G9698" s="7"/>
      <c r="H9698" s="8"/>
      <c r="I9698" s="8"/>
      <c r="J9698" s="7"/>
      <c r="K9698" s="7"/>
      <c r="L9698" s="7"/>
      <c r="M9698" s="7"/>
      <c r="N9698" s="7"/>
      <c r="O9698" s="7"/>
      <c r="P9698" s="7"/>
      <c r="Q9698" s="7"/>
      <c r="R9698" s="7"/>
      <c r="S9698" s="7"/>
      <c r="T9698" s="7"/>
      <c r="U9698" s="7"/>
      <c r="V9698" s="7"/>
      <c r="W9698" s="7"/>
      <c r="X9698" s="7"/>
      <c r="Y9698" s="7"/>
      <c r="Z9698" s="7"/>
    </row>
    <row r="9699" hidden="1">
      <c r="A9699" s="7"/>
      <c r="B9699" s="7"/>
      <c r="C9699" s="7"/>
      <c r="D9699" s="7"/>
      <c r="E9699" s="7"/>
      <c r="F9699" s="7"/>
      <c r="G9699" s="7"/>
      <c r="H9699" s="8"/>
      <c r="I9699" s="8"/>
      <c r="J9699" s="7"/>
      <c r="K9699" s="7"/>
      <c r="L9699" s="7"/>
      <c r="M9699" s="7"/>
      <c r="N9699" s="7"/>
      <c r="O9699" s="7"/>
      <c r="P9699" s="7"/>
      <c r="Q9699" s="7"/>
      <c r="R9699" s="7"/>
      <c r="S9699" s="7"/>
      <c r="T9699" s="7"/>
      <c r="U9699" s="7"/>
      <c r="V9699" s="7"/>
      <c r="W9699" s="7"/>
      <c r="X9699" s="7"/>
      <c r="Y9699" s="7"/>
      <c r="Z9699" s="7"/>
    </row>
    <row r="9700" hidden="1">
      <c r="A9700" s="7"/>
      <c r="B9700" s="7"/>
      <c r="C9700" s="7"/>
      <c r="D9700" s="7"/>
      <c r="E9700" s="7"/>
      <c r="F9700" s="7"/>
      <c r="G9700" s="7"/>
      <c r="H9700" s="8"/>
      <c r="I9700" s="8"/>
      <c r="J9700" s="7"/>
      <c r="K9700" s="7"/>
      <c r="L9700" s="7"/>
      <c r="M9700" s="7"/>
      <c r="N9700" s="7"/>
      <c r="O9700" s="7"/>
      <c r="P9700" s="7"/>
      <c r="Q9700" s="7"/>
      <c r="R9700" s="7"/>
      <c r="S9700" s="7"/>
      <c r="T9700" s="7"/>
      <c r="U9700" s="7"/>
      <c r="V9700" s="7"/>
      <c r="W9700" s="7"/>
      <c r="X9700" s="7"/>
      <c r="Y9700" s="7"/>
      <c r="Z9700" s="7"/>
    </row>
    <row r="9701" hidden="1">
      <c r="A9701" s="7"/>
      <c r="B9701" s="7"/>
      <c r="C9701" s="7"/>
      <c r="D9701" s="7"/>
      <c r="E9701" s="7"/>
      <c r="F9701" s="7"/>
      <c r="G9701" s="7"/>
      <c r="H9701" s="8"/>
      <c r="I9701" s="8"/>
      <c r="J9701" s="7"/>
      <c r="K9701" s="7"/>
      <c r="L9701" s="7"/>
      <c r="M9701" s="7"/>
      <c r="N9701" s="7"/>
      <c r="O9701" s="7"/>
      <c r="P9701" s="7"/>
      <c r="Q9701" s="7"/>
      <c r="R9701" s="7"/>
      <c r="S9701" s="7"/>
      <c r="T9701" s="7"/>
      <c r="U9701" s="7"/>
      <c r="V9701" s="7"/>
      <c r="W9701" s="7"/>
      <c r="X9701" s="7"/>
      <c r="Y9701" s="7"/>
      <c r="Z9701" s="7"/>
    </row>
    <row r="9702" hidden="1">
      <c r="A9702" s="7"/>
      <c r="B9702" s="7"/>
      <c r="C9702" s="7"/>
      <c r="D9702" s="7"/>
      <c r="E9702" s="7"/>
      <c r="F9702" s="7"/>
      <c r="G9702" s="7"/>
      <c r="H9702" s="8"/>
      <c r="I9702" s="8"/>
      <c r="J9702" s="7"/>
      <c r="K9702" s="7"/>
      <c r="L9702" s="7"/>
      <c r="M9702" s="7"/>
      <c r="N9702" s="7"/>
      <c r="O9702" s="7"/>
      <c r="P9702" s="7"/>
      <c r="Q9702" s="7"/>
      <c r="R9702" s="7"/>
      <c r="S9702" s="7"/>
      <c r="T9702" s="7"/>
      <c r="U9702" s="7"/>
      <c r="V9702" s="7"/>
      <c r="W9702" s="7"/>
      <c r="X9702" s="7"/>
      <c r="Y9702" s="7"/>
      <c r="Z9702" s="7"/>
    </row>
    <row r="9703" hidden="1">
      <c r="A9703" s="7"/>
      <c r="B9703" s="7"/>
      <c r="C9703" s="7"/>
      <c r="D9703" s="7"/>
      <c r="E9703" s="7"/>
      <c r="F9703" s="7"/>
      <c r="G9703" s="7"/>
      <c r="H9703" s="8"/>
      <c r="I9703" s="8"/>
      <c r="J9703" s="7"/>
      <c r="K9703" s="7"/>
      <c r="L9703" s="7"/>
      <c r="M9703" s="7"/>
      <c r="N9703" s="7"/>
      <c r="O9703" s="7"/>
      <c r="P9703" s="7"/>
      <c r="Q9703" s="7"/>
      <c r="R9703" s="7"/>
      <c r="S9703" s="7"/>
      <c r="T9703" s="7"/>
      <c r="U9703" s="7"/>
      <c r="V9703" s="7"/>
      <c r="W9703" s="7"/>
      <c r="X9703" s="7"/>
      <c r="Y9703" s="7"/>
      <c r="Z9703" s="7"/>
    </row>
    <row r="9704" hidden="1">
      <c r="A9704" s="7"/>
      <c r="B9704" s="7"/>
      <c r="C9704" s="7"/>
      <c r="D9704" s="7"/>
      <c r="E9704" s="7"/>
      <c r="F9704" s="7"/>
      <c r="G9704" s="7"/>
      <c r="H9704" s="8"/>
      <c r="I9704" s="8"/>
      <c r="J9704" s="7"/>
      <c r="K9704" s="7"/>
      <c r="L9704" s="7"/>
      <c r="M9704" s="7"/>
      <c r="N9704" s="7"/>
      <c r="O9704" s="7"/>
      <c r="P9704" s="7"/>
      <c r="Q9704" s="7"/>
      <c r="R9704" s="7"/>
      <c r="S9704" s="7"/>
      <c r="T9704" s="7"/>
      <c r="U9704" s="7"/>
      <c r="V9704" s="7"/>
      <c r="W9704" s="7"/>
      <c r="X9704" s="7"/>
      <c r="Y9704" s="7"/>
      <c r="Z9704" s="7"/>
    </row>
    <row r="9705" hidden="1">
      <c r="A9705" s="7"/>
      <c r="B9705" s="7"/>
      <c r="C9705" s="7"/>
      <c r="D9705" s="7"/>
      <c r="E9705" s="7"/>
      <c r="F9705" s="7"/>
      <c r="G9705" s="7"/>
      <c r="H9705" s="8"/>
      <c r="I9705" s="8"/>
      <c r="J9705" s="7"/>
      <c r="K9705" s="7"/>
      <c r="L9705" s="7"/>
      <c r="M9705" s="7"/>
      <c r="N9705" s="7"/>
      <c r="O9705" s="7"/>
      <c r="P9705" s="7"/>
      <c r="Q9705" s="7"/>
      <c r="R9705" s="7"/>
      <c r="S9705" s="7"/>
      <c r="T9705" s="7"/>
      <c r="U9705" s="7"/>
      <c r="V9705" s="7"/>
      <c r="W9705" s="7"/>
      <c r="X9705" s="7"/>
      <c r="Y9705" s="7"/>
      <c r="Z9705" s="7"/>
    </row>
    <row r="9706" hidden="1">
      <c r="A9706" s="7"/>
      <c r="B9706" s="7"/>
      <c r="C9706" s="7"/>
      <c r="D9706" s="7"/>
      <c r="E9706" s="7"/>
      <c r="F9706" s="7"/>
      <c r="G9706" s="7"/>
      <c r="H9706" s="8"/>
      <c r="I9706" s="8"/>
      <c r="J9706" s="7"/>
      <c r="K9706" s="7"/>
      <c r="L9706" s="7"/>
      <c r="M9706" s="7"/>
      <c r="N9706" s="7"/>
      <c r="O9706" s="7"/>
      <c r="P9706" s="7"/>
      <c r="Q9706" s="7"/>
      <c r="R9706" s="7"/>
      <c r="S9706" s="7"/>
      <c r="T9706" s="7"/>
      <c r="U9706" s="7"/>
      <c r="V9706" s="7"/>
      <c r="W9706" s="7"/>
      <c r="X9706" s="7"/>
      <c r="Y9706" s="7"/>
      <c r="Z9706" s="7"/>
    </row>
    <row r="9707" hidden="1">
      <c r="A9707" s="7"/>
      <c r="B9707" s="7"/>
      <c r="C9707" s="7"/>
      <c r="D9707" s="7"/>
      <c r="E9707" s="7"/>
      <c r="F9707" s="7"/>
      <c r="G9707" s="7"/>
      <c r="H9707" s="8"/>
      <c r="I9707" s="8"/>
      <c r="J9707" s="7"/>
      <c r="K9707" s="7"/>
      <c r="L9707" s="7"/>
      <c r="M9707" s="7"/>
      <c r="N9707" s="7"/>
      <c r="O9707" s="7"/>
      <c r="P9707" s="7"/>
      <c r="Q9707" s="7"/>
      <c r="R9707" s="7"/>
      <c r="S9707" s="7"/>
      <c r="T9707" s="7"/>
      <c r="U9707" s="7"/>
      <c r="V9707" s="7"/>
      <c r="W9707" s="7"/>
      <c r="X9707" s="7"/>
      <c r="Y9707" s="7"/>
      <c r="Z9707" s="7"/>
    </row>
    <row r="9708" hidden="1">
      <c r="A9708" s="7"/>
      <c r="B9708" s="7"/>
      <c r="C9708" s="7"/>
      <c r="D9708" s="7"/>
      <c r="E9708" s="7"/>
      <c r="F9708" s="7"/>
      <c r="G9708" s="7"/>
      <c r="H9708" s="8"/>
      <c r="I9708" s="8"/>
      <c r="J9708" s="7"/>
      <c r="K9708" s="7"/>
      <c r="L9708" s="7"/>
      <c r="M9708" s="7"/>
      <c r="N9708" s="7"/>
      <c r="O9708" s="7"/>
      <c r="P9708" s="7"/>
      <c r="Q9708" s="7"/>
      <c r="R9708" s="7"/>
      <c r="S9708" s="7"/>
      <c r="T9708" s="7"/>
      <c r="U9708" s="7"/>
      <c r="V9708" s="7"/>
      <c r="W9708" s="7"/>
      <c r="X9708" s="7"/>
      <c r="Y9708" s="7"/>
      <c r="Z9708" s="7"/>
    </row>
    <row r="9709" hidden="1">
      <c r="A9709" s="7"/>
      <c r="B9709" s="7"/>
      <c r="C9709" s="7"/>
      <c r="D9709" s="7"/>
      <c r="E9709" s="7"/>
      <c r="F9709" s="7"/>
      <c r="G9709" s="7"/>
      <c r="H9709" s="8"/>
      <c r="I9709" s="8"/>
      <c r="J9709" s="7"/>
      <c r="K9709" s="7"/>
      <c r="L9709" s="7"/>
      <c r="M9709" s="7"/>
      <c r="N9709" s="7"/>
      <c r="O9709" s="7"/>
      <c r="P9709" s="7"/>
      <c r="Q9709" s="7"/>
      <c r="R9709" s="7"/>
      <c r="S9709" s="7"/>
      <c r="T9709" s="7"/>
      <c r="U9709" s="7"/>
      <c r="V9709" s="7"/>
      <c r="W9709" s="7"/>
      <c r="X9709" s="7"/>
      <c r="Y9709" s="7"/>
      <c r="Z9709" s="7"/>
    </row>
    <row r="9710" hidden="1">
      <c r="A9710" s="7"/>
      <c r="B9710" s="7"/>
      <c r="C9710" s="7"/>
      <c r="D9710" s="7"/>
      <c r="E9710" s="7"/>
      <c r="F9710" s="7"/>
      <c r="G9710" s="7"/>
      <c r="H9710" s="8"/>
      <c r="I9710" s="8"/>
      <c r="J9710" s="7"/>
      <c r="K9710" s="7"/>
      <c r="L9710" s="7"/>
      <c r="M9710" s="7"/>
      <c r="N9710" s="7"/>
      <c r="O9710" s="7"/>
      <c r="P9710" s="7"/>
      <c r="Q9710" s="7"/>
      <c r="R9710" s="7"/>
      <c r="S9710" s="7"/>
      <c r="T9710" s="7"/>
      <c r="U9710" s="7"/>
      <c r="V9710" s="7"/>
      <c r="W9710" s="7"/>
      <c r="X9710" s="7"/>
      <c r="Y9710" s="7"/>
      <c r="Z9710" s="7"/>
    </row>
    <row r="9711" hidden="1">
      <c r="A9711" s="7"/>
      <c r="B9711" s="7"/>
      <c r="C9711" s="7"/>
      <c r="D9711" s="7"/>
      <c r="E9711" s="7"/>
      <c r="F9711" s="7"/>
      <c r="G9711" s="7"/>
      <c r="H9711" s="8"/>
      <c r="I9711" s="8"/>
      <c r="J9711" s="7"/>
      <c r="K9711" s="7"/>
      <c r="L9711" s="7"/>
      <c r="M9711" s="7"/>
      <c r="N9711" s="7"/>
      <c r="O9711" s="7"/>
      <c r="P9711" s="7"/>
      <c r="Q9711" s="7"/>
      <c r="R9711" s="7"/>
      <c r="S9711" s="7"/>
      <c r="T9711" s="7"/>
      <c r="U9711" s="7"/>
      <c r="V9711" s="7"/>
      <c r="W9711" s="7"/>
      <c r="X9711" s="7"/>
      <c r="Y9711" s="7"/>
      <c r="Z9711" s="7"/>
    </row>
    <row r="9712" hidden="1">
      <c r="A9712" s="7"/>
      <c r="B9712" s="7"/>
      <c r="C9712" s="7"/>
      <c r="D9712" s="7"/>
      <c r="E9712" s="7"/>
      <c r="F9712" s="7"/>
      <c r="G9712" s="7"/>
      <c r="H9712" s="8"/>
      <c r="I9712" s="8"/>
      <c r="J9712" s="7"/>
      <c r="K9712" s="7"/>
      <c r="L9712" s="7"/>
      <c r="M9712" s="7"/>
      <c r="N9712" s="7"/>
      <c r="O9712" s="7"/>
      <c r="P9712" s="7"/>
      <c r="Q9712" s="7"/>
      <c r="R9712" s="7"/>
      <c r="S9712" s="7"/>
      <c r="T9712" s="7"/>
      <c r="U9712" s="7"/>
      <c r="V9712" s="7"/>
      <c r="W9712" s="7"/>
      <c r="X9712" s="7"/>
      <c r="Y9712" s="7"/>
      <c r="Z9712" s="7"/>
    </row>
    <row r="9713" hidden="1">
      <c r="A9713" s="7"/>
      <c r="B9713" s="7"/>
      <c r="C9713" s="7"/>
      <c r="D9713" s="7"/>
      <c r="E9713" s="7"/>
      <c r="F9713" s="7"/>
      <c r="G9713" s="7"/>
      <c r="H9713" s="8"/>
      <c r="I9713" s="8"/>
      <c r="J9713" s="7"/>
      <c r="K9713" s="7"/>
      <c r="L9713" s="7"/>
      <c r="M9713" s="7"/>
      <c r="N9713" s="7"/>
      <c r="O9713" s="7"/>
      <c r="P9713" s="7"/>
      <c r="Q9713" s="7"/>
      <c r="R9713" s="7"/>
      <c r="S9713" s="7"/>
      <c r="T9713" s="7"/>
      <c r="U9713" s="7"/>
      <c r="V9713" s="7"/>
      <c r="W9713" s="7"/>
      <c r="X9713" s="7"/>
      <c r="Y9713" s="7"/>
      <c r="Z9713" s="7"/>
    </row>
    <row r="9714" hidden="1">
      <c r="A9714" s="7"/>
      <c r="B9714" s="7"/>
      <c r="C9714" s="7"/>
      <c r="D9714" s="7"/>
      <c r="E9714" s="7"/>
      <c r="F9714" s="7"/>
      <c r="G9714" s="7"/>
      <c r="H9714" s="8"/>
      <c r="I9714" s="8"/>
      <c r="J9714" s="7"/>
      <c r="K9714" s="7"/>
      <c r="L9714" s="7"/>
      <c r="M9714" s="7"/>
      <c r="N9714" s="7"/>
      <c r="O9714" s="7"/>
      <c r="P9714" s="7"/>
      <c r="Q9714" s="7"/>
      <c r="R9714" s="7"/>
      <c r="S9714" s="7"/>
      <c r="T9714" s="7"/>
      <c r="U9714" s="7"/>
      <c r="V9714" s="7"/>
      <c r="W9714" s="7"/>
      <c r="X9714" s="7"/>
      <c r="Y9714" s="7"/>
      <c r="Z9714" s="7"/>
    </row>
    <row r="9715" hidden="1">
      <c r="A9715" s="7"/>
      <c r="B9715" s="7"/>
      <c r="C9715" s="7"/>
      <c r="D9715" s="7"/>
      <c r="E9715" s="7"/>
      <c r="F9715" s="7"/>
      <c r="G9715" s="7"/>
      <c r="H9715" s="8"/>
      <c r="I9715" s="8"/>
      <c r="J9715" s="7"/>
      <c r="K9715" s="7"/>
      <c r="L9715" s="7"/>
      <c r="M9715" s="7"/>
      <c r="N9715" s="7"/>
      <c r="O9715" s="7"/>
      <c r="P9715" s="7"/>
      <c r="Q9715" s="7"/>
      <c r="R9715" s="7"/>
      <c r="S9715" s="7"/>
      <c r="T9715" s="7"/>
      <c r="U9715" s="7"/>
      <c r="V9715" s="7"/>
      <c r="W9715" s="7"/>
      <c r="X9715" s="7"/>
      <c r="Y9715" s="7"/>
      <c r="Z9715" s="7"/>
    </row>
    <row r="9716" hidden="1">
      <c r="A9716" s="7"/>
      <c r="B9716" s="7"/>
      <c r="C9716" s="7"/>
      <c r="D9716" s="7"/>
      <c r="E9716" s="7"/>
      <c r="F9716" s="7"/>
      <c r="G9716" s="7"/>
      <c r="H9716" s="8"/>
      <c r="I9716" s="8"/>
      <c r="J9716" s="7"/>
      <c r="K9716" s="7"/>
      <c r="L9716" s="7"/>
      <c r="M9716" s="7"/>
      <c r="N9716" s="7"/>
      <c r="O9716" s="7"/>
      <c r="P9716" s="7"/>
      <c r="Q9716" s="7"/>
      <c r="R9716" s="7"/>
      <c r="S9716" s="7"/>
      <c r="T9716" s="7"/>
      <c r="U9716" s="7"/>
      <c r="V9716" s="7"/>
      <c r="W9716" s="7"/>
      <c r="X9716" s="7"/>
      <c r="Y9716" s="7"/>
      <c r="Z9716" s="7"/>
    </row>
    <row r="9717" hidden="1">
      <c r="A9717" s="7"/>
      <c r="B9717" s="7"/>
      <c r="C9717" s="7"/>
      <c r="D9717" s="7"/>
      <c r="E9717" s="7"/>
      <c r="F9717" s="7"/>
      <c r="G9717" s="7"/>
      <c r="H9717" s="8"/>
      <c r="I9717" s="8"/>
      <c r="J9717" s="7"/>
      <c r="K9717" s="7"/>
      <c r="L9717" s="7"/>
      <c r="M9717" s="7"/>
      <c r="N9717" s="7"/>
      <c r="O9717" s="7"/>
      <c r="P9717" s="7"/>
      <c r="Q9717" s="7"/>
      <c r="R9717" s="7"/>
      <c r="S9717" s="7"/>
      <c r="T9717" s="7"/>
      <c r="U9717" s="7"/>
      <c r="V9717" s="7"/>
      <c r="W9717" s="7"/>
      <c r="X9717" s="7"/>
      <c r="Y9717" s="7"/>
      <c r="Z9717" s="7"/>
    </row>
    <row r="9718" hidden="1">
      <c r="A9718" s="7"/>
      <c r="B9718" s="7"/>
      <c r="C9718" s="7"/>
      <c r="D9718" s="7"/>
      <c r="E9718" s="7"/>
      <c r="F9718" s="7"/>
      <c r="G9718" s="7"/>
      <c r="H9718" s="8"/>
      <c r="I9718" s="8"/>
      <c r="J9718" s="7"/>
      <c r="K9718" s="7"/>
      <c r="L9718" s="7"/>
      <c r="M9718" s="7"/>
      <c r="N9718" s="7"/>
      <c r="O9718" s="7"/>
      <c r="P9718" s="7"/>
      <c r="Q9718" s="7"/>
      <c r="R9718" s="7"/>
      <c r="S9718" s="7"/>
      <c r="T9718" s="7"/>
      <c r="U9718" s="7"/>
      <c r="V9718" s="7"/>
      <c r="W9718" s="7"/>
      <c r="X9718" s="7"/>
      <c r="Y9718" s="7"/>
      <c r="Z9718" s="7"/>
    </row>
    <row r="9719" hidden="1">
      <c r="A9719" s="7"/>
      <c r="B9719" s="7"/>
      <c r="C9719" s="7"/>
      <c r="D9719" s="7"/>
      <c r="E9719" s="7"/>
      <c r="F9719" s="7"/>
      <c r="G9719" s="7"/>
      <c r="H9719" s="8"/>
      <c r="I9719" s="8"/>
      <c r="J9719" s="7"/>
      <c r="K9719" s="7"/>
      <c r="L9719" s="7"/>
      <c r="M9719" s="7"/>
      <c r="N9719" s="7"/>
      <c r="O9719" s="7"/>
      <c r="P9719" s="7"/>
      <c r="Q9719" s="7"/>
      <c r="R9719" s="7"/>
      <c r="S9719" s="7"/>
      <c r="T9719" s="7"/>
      <c r="U9719" s="7"/>
      <c r="V9719" s="7"/>
      <c r="W9719" s="7"/>
      <c r="X9719" s="7"/>
      <c r="Y9719" s="7"/>
      <c r="Z9719" s="7"/>
    </row>
    <row r="9720" hidden="1">
      <c r="A9720" s="7"/>
      <c r="B9720" s="7"/>
      <c r="C9720" s="7"/>
      <c r="D9720" s="7"/>
      <c r="E9720" s="7"/>
      <c r="F9720" s="7"/>
      <c r="G9720" s="7"/>
      <c r="H9720" s="8"/>
      <c r="I9720" s="8"/>
      <c r="J9720" s="7"/>
      <c r="K9720" s="7"/>
      <c r="L9720" s="7"/>
      <c r="M9720" s="7"/>
      <c r="N9720" s="7"/>
      <c r="O9720" s="7"/>
      <c r="P9720" s="7"/>
      <c r="Q9720" s="7"/>
      <c r="R9720" s="7"/>
      <c r="S9720" s="7"/>
      <c r="T9720" s="7"/>
      <c r="U9720" s="7"/>
      <c r="V9720" s="7"/>
      <c r="W9720" s="7"/>
      <c r="X9720" s="7"/>
      <c r="Y9720" s="7"/>
      <c r="Z9720" s="7"/>
    </row>
    <row r="9721" hidden="1">
      <c r="A9721" s="7"/>
      <c r="B9721" s="7"/>
      <c r="C9721" s="7"/>
      <c r="D9721" s="7"/>
      <c r="E9721" s="7"/>
      <c r="F9721" s="7"/>
      <c r="G9721" s="7"/>
      <c r="H9721" s="8"/>
      <c r="I9721" s="8"/>
      <c r="J9721" s="7"/>
      <c r="K9721" s="7"/>
      <c r="L9721" s="7"/>
      <c r="M9721" s="7"/>
      <c r="N9721" s="7"/>
      <c r="O9721" s="7"/>
      <c r="P9721" s="7"/>
      <c r="Q9721" s="7"/>
      <c r="R9721" s="7"/>
      <c r="S9721" s="7"/>
      <c r="T9721" s="7"/>
      <c r="U9721" s="7"/>
      <c r="V9721" s="7"/>
      <c r="W9721" s="7"/>
      <c r="X9721" s="7"/>
      <c r="Y9721" s="7"/>
      <c r="Z9721" s="7"/>
    </row>
    <row r="9722" hidden="1">
      <c r="A9722" s="7"/>
      <c r="B9722" s="7"/>
      <c r="C9722" s="7"/>
      <c r="D9722" s="7"/>
      <c r="E9722" s="7"/>
      <c r="F9722" s="7"/>
      <c r="G9722" s="7"/>
      <c r="H9722" s="8"/>
      <c r="I9722" s="8"/>
      <c r="J9722" s="7"/>
      <c r="K9722" s="7"/>
      <c r="L9722" s="7"/>
      <c r="M9722" s="7"/>
      <c r="N9722" s="7"/>
      <c r="O9722" s="7"/>
      <c r="P9722" s="7"/>
      <c r="Q9722" s="7"/>
      <c r="R9722" s="7"/>
      <c r="S9722" s="7"/>
      <c r="T9722" s="7"/>
      <c r="U9722" s="7"/>
      <c r="V9722" s="7"/>
      <c r="W9722" s="7"/>
      <c r="X9722" s="7"/>
      <c r="Y9722" s="7"/>
      <c r="Z9722" s="7"/>
    </row>
    <row r="9723" hidden="1">
      <c r="A9723" s="7"/>
      <c r="B9723" s="7"/>
      <c r="C9723" s="7"/>
      <c r="D9723" s="7"/>
      <c r="E9723" s="7"/>
      <c r="F9723" s="7"/>
      <c r="G9723" s="7"/>
      <c r="H9723" s="8"/>
      <c r="I9723" s="8"/>
      <c r="J9723" s="7"/>
      <c r="K9723" s="7"/>
      <c r="L9723" s="7"/>
      <c r="M9723" s="7"/>
      <c r="N9723" s="7"/>
      <c r="O9723" s="7"/>
      <c r="P9723" s="7"/>
      <c r="Q9723" s="7"/>
      <c r="R9723" s="7"/>
      <c r="S9723" s="7"/>
      <c r="T9723" s="7"/>
      <c r="U9723" s="7"/>
      <c r="V9723" s="7"/>
      <c r="W9723" s="7"/>
      <c r="X9723" s="7"/>
      <c r="Y9723" s="7"/>
      <c r="Z9723" s="7"/>
    </row>
    <row r="9724" hidden="1">
      <c r="A9724" s="7"/>
      <c r="B9724" s="7"/>
      <c r="C9724" s="7"/>
      <c r="D9724" s="7"/>
      <c r="E9724" s="7"/>
      <c r="F9724" s="7"/>
      <c r="G9724" s="7"/>
      <c r="H9724" s="8"/>
      <c r="I9724" s="8"/>
      <c r="J9724" s="7"/>
      <c r="K9724" s="7"/>
      <c r="L9724" s="7"/>
      <c r="M9724" s="7"/>
      <c r="N9724" s="7"/>
      <c r="O9724" s="7"/>
      <c r="P9724" s="7"/>
      <c r="Q9724" s="7"/>
      <c r="R9724" s="7"/>
      <c r="S9724" s="7"/>
      <c r="T9724" s="7"/>
      <c r="U9724" s="7"/>
      <c r="V9724" s="7"/>
      <c r="W9724" s="7"/>
      <c r="X9724" s="7"/>
      <c r="Y9724" s="7"/>
      <c r="Z9724" s="7"/>
    </row>
    <row r="9725" hidden="1">
      <c r="A9725" s="7"/>
      <c r="B9725" s="7"/>
      <c r="C9725" s="7"/>
      <c r="D9725" s="7"/>
      <c r="E9725" s="7"/>
      <c r="F9725" s="7"/>
      <c r="G9725" s="7"/>
      <c r="H9725" s="8"/>
      <c r="I9725" s="8"/>
      <c r="J9725" s="7"/>
      <c r="K9725" s="7"/>
      <c r="L9725" s="7"/>
      <c r="M9725" s="7"/>
      <c r="N9725" s="7"/>
      <c r="O9725" s="7"/>
      <c r="P9725" s="7"/>
      <c r="Q9725" s="7"/>
      <c r="R9725" s="7"/>
      <c r="S9725" s="7"/>
      <c r="T9725" s="7"/>
      <c r="U9725" s="7"/>
      <c r="V9725" s="7"/>
      <c r="W9725" s="7"/>
      <c r="X9725" s="7"/>
      <c r="Y9725" s="7"/>
      <c r="Z9725" s="7"/>
    </row>
    <row r="9726" hidden="1">
      <c r="A9726" s="7"/>
      <c r="B9726" s="7"/>
      <c r="C9726" s="7"/>
      <c r="D9726" s="7"/>
      <c r="E9726" s="7"/>
      <c r="F9726" s="7"/>
      <c r="G9726" s="7"/>
      <c r="H9726" s="8"/>
      <c r="I9726" s="8"/>
      <c r="J9726" s="7"/>
      <c r="K9726" s="7"/>
      <c r="L9726" s="7"/>
      <c r="M9726" s="7"/>
      <c r="N9726" s="7"/>
      <c r="O9726" s="7"/>
      <c r="P9726" s="7"/>
      <c r="Q9726" s="7"/>
      <c r="R9726" s="7"/>
      <c r="S9726" s="7"/>
      <c r="T9726" s="7"/>
      <c r="U9726" s="7"/>
      <c r="V9726" s="7"/>
      <c r="W9726" s="7"/>
      <c r="X9726" s="7"/>
      <c r="Y9726" s="7"/>
      <c r="Z9726" s="7"/>
    </row>
    <row r="9727" hidden="1">
      <c r="A9727" s="7"/>
      <c r="B9727" s="7"/>
      <c r="C9727" s="7"/>
      <c r="D9727" s="7"/>
      <c r="E9727" s="7"/>
      <c r="F9727" s="7"/>
      <c r="G9727" s="7"/>
      <c r="H9727" s="8"/>
      <c r="I9727" s="8"/>
      <c r="J9727" s="7"/>
      <c r="K9727" s="7"/>
      <c r="L9727" s="7"/>
      <c r="M9727" s="7"/>
      <c r="N9727" s="7"/>
      <c r="O9727" s="7"/>
      <c r="P9727" s="7"/>
      <c r="Q9727" s="7"/>
      <c r="R9727" s="7"/>
      <c r="S9727" s="7"/>
      <c r="T9727" s="7"/>
      <c r="U9727" s="7"/>
      <c r="V9727" s="7"/>
      <c r="W9727" s="7"/>
      <c r="X9727" s="7"/>
      <c r="Y9727" s="7"/>
      <c r="Z9727" s="7"/>
    </row>
    <row r="9728" hidden="1">
      <c r="A9728" s="7"/>
      <c r="B9728" s="7"/>
      <c r="C9728" s="7"/>
      <c r="D9728" s="7"/>
      <c r="E9728" s="7"/>
      <c r="F9728" s="7"/>
      <c r="G9728" s="7"/>
      <c r="H9728" s="8"/>
      <c r="I9728" s="8"/>
      <c r="J9728" s="7"/>
      <c r="K9728" s="7"/>
      <c r="L9728" s="7"/>
      <c r="M9728" s="7"/>
      <c r="N9728" s="7"/>
      <c r="O9728" s="7"/>
      <c r="P9728" s="7"/>
      <c r="Q9728" s="7"/>
      <c r="R9728" s="7"/>
      <c r="S9728" s="7"/>
      <c r="T9728" s="7"/>
      <c r="U9728" s="7"/>
      <c r="V9728" s="7"/>
      <c r="W9728" s="7"/>
      <c r="X9728" s="7"/>
      <c r="Y9728" s="7"/>
      <c r="Z9728" s="7"/>
    </row>
    <row r="9729" hidden="1">
      <c r="A9729" s="7"/>
      <c r="B9729" s="7"/>
      <c r="C9729" s="7"/>
      <c r="D9729" s="7"/>
      <c r="E9729" s="7"/>
      <c r="F9729" s="7"/>
      <c r="G9729" s="7"/>
      <c r="H9729" s="8"/>
      <c r="I9729" s="8"/>
      <c r="J9729" s="7"/>
      <c r="K9729" s="7"/>
      <c r="L9729" s="7"/>
      <c r="M9729" s="7"/>
      <c r="N9729" s="7"/>
      <c r="O9729" s="7"/>
      <c r="P9729" s="7"/>
      <c r="Q9729" s="7"/>
      <c r="R9729" s="7"/>
      <c r="S9729" s="7"/>
      <c r="T9729" s="7"/>
      <c r="U9729" s="7"/>
      <c r="V9729" s="7"/>
      <c r="W9729" s="7"/>
      <c r="X9729" s="7"/>
      <c r="Y9729" s="7"/>
      <c r="Z9729" s="7"/>
    </row>
    <row r="9730" hidden="1">
      <c r="A9730" s="7"/>
      <c r="B9730" s="7"/>
      <c r="C9730" s="7"/>
      <c r="D9730" s="7"/>
      <c r="E9730" s="7"/>
      <c r="F9730" s="7"/>
      <c r="G9730" s="7"/>
      <c r="H9730" s="8"/>
      <c r="I9730" s="8"/>
      <c r="J9730" s="7"/>
      <c r="K9730" s="7"/>
      <c r="L9730" s="7"/>
      <c r="M9730" s="7"/>
      <c r="N9730" s="7"/>
      <c r="O9730" s="7"/>
      <c r="P9730" s="7"/>
      <c r="Q9730" s="7"/>
      <c r="R9730" s="7"/>
      <c r="S9730" s="7"/>
      <c r="T9730" s="7"/>
      <c r="U9730" s="7"/>
      <c r="V9730" s="7"/>
      <c r="W9730" s="7"/>
      <c r="X9730" s="7"/>
      <c r="Y9730" s="7"/>
      <c r="Z9730" s="7"/>
    </row>
    <row r="9731" hidden="1">
      <c r="A9731" s="7"/>
      <c r="B9731" s="7"/>
      <c r="C9731" s="7"/>
      <c r="D9731" s="7"/>
      <c r="E9731" s="7"/>
      <c r="F9731" s="7"/>
      <c r="G9731" s="7"/>
      <c r="H9731" s="8"/>
      <c r="I9731" s="8"/>
      <c r="J9731" s="7"/>
      <c r="K9731" s="7"/>
      <c r="L9731" s="7"/>
      <c r="M9731" s="7"/>
      <c r="N9731" s="7"/>
      <c r="O9731" s="7"/>
      <c r="P9731" s="7"/>
      <c r="Q9731" s="7"/>
      <c r="R9731" s="7"/>
      <c r="S9731" s="7"/>
      <c r="T9731" s="7"/>
      <c r="U9731" s="7"/>
      <c r="V9731" s="7"/>
      <c r="W9731" s="7"/>
      <c r="X9731" s="7"/>
      <c r="Y9731" s="7"/>
      <c r="Z9731" s="7"/>
    </row>
    <row r="9732" hidden="1">
      <c r="A9732" s="7"/>
      <c r="B9732" s="7"/>
      <c r="C9732" s="7"/>
      <c r="D9732" s="7"/>
      <c r="E9732" s="7"/>
      <c r="F9732" s="7"/>
      <c r="G9732" s="7"/>
      <c r="H9732" s="8"/>
      <c r="I9732" s="8"/>
      <c r="J9732" s="7"/>
      <c r="K9732" s="7"/>
      <c r="L9732" s="7"/>
      <c r="M9732" s="7"/>
      <c r="N9732" s="7"/>
      <c r="O9732" s="7"/>
      <c r="P9732" s="7"/>
      <c r="Q9732" s="7"/>
      <c r="R9732" s="7"/>
      <c r="S9732" s="7"/>
      <c r="T9732" s="7"/>
      <c r="U9732" s="7"/>
      <c r="V9732" s="7"/>
      <c r="W9732" s="7"/>
      <c r="X9732" s="7"/>
      <c r="Y9732" s="7"/>
      <c r="Z9732" s="7"/>
    </row>
    <row r="9733" hidden="1">
      <c r="A9733" s="7"/>
      <c r="B9733" s="7"/>
      <c r="C9733" s="7"/>
      <c r="D9733" s="7"/>
      <c r="E9733" s="7"/>
      <c r="F9733" s="7"/>
      <c r="G9733" s="7"/>
      <c r="H9733" s="8"/>
      <c r="I9733" s="8"/>
      <c r="J9733" s="7"/>
      <c r="K9733" s="7"/>
      <c r="L9733" s="7"/>
      <c r="M9733" s="7"/>
      <c r="N9733" s="7"/>
      <c r="O9733" s="7"/>
      <c r="P9733" s="7"/>
      <c r="Q9733" s="7"/>
      <c r="R9733" s="7"/>
      <c r="S9733" s="7"/>
      <c r="T9733" s="7"/>
      <c r="U9733" s="7"/>
      <c r="V9733" s="7"/>
      <c r="W9733" s="7"/>
      <c r="X9733" s="7"/>
      <c r="Y9733" s="7"/>
      <c r="Z9733" s="7"/>
    </row>
    <row r="9734" hidden="1">
      <c r="A9734" s="7"/>
      <c r="B9734" s="7"/>
      <c r="C9734" s="7"/>
      <c r="D9734" s="7"/>
      <c r="E9734" s="7"/>
      <c r="F9734" s="7"/>
      <c r="G9734" s="7"/>
      <c r="H9734" s="8"/>
      <c r="I9734" s="8"/>
      <c r="J9734" s="7"/>
      <c r="K9734" s="7"/>
      <c r="L9734" s="7"/>
      <c r="M9734" s="7"/>
      <c r="N9734" s="7"/>
      <c r="O9734" s="7"/>
      <c r="P9734" s="7"/>
      <c r="Q9734" s="7"/>
      <c r="R9734" s="7"/>
      <c r="S9734" s="7"/>
      <c r="T9734" s="7"/>
      <c r="U9734" s="7"/>
      <c r="V9734" s="7"/>
      <c r="W9734" s="7"/>
      <c r="X9734" s="7"/>
      <c r="Y9734" s="7"/>
      <c r="Z9734" s="7"/>
    </row>
    <row r="9735" hidden="1">
      <c r="A9735" s="7"/>
      <c r="B9735" s="7"/>
      <c r="C9735" s="7"/>
      <c r="D9735" s="7"/>
      <c r="E9735" s="7"/>
      <c r="F9735" s="7"/>
      <c r="G9735" s="7"/>
      <c r="H9735" s="8"/>
      <c r="I9735" s="8"/>
      <c r="J9735" s="7"/>
      <c r="K9735" s="7"/>
      <c r="L9735" s="7"/>
      <c r="M9735" s="7"/>
      <c r="N9735" s="7"/>
      <c r="O9735" s="7"/>
      <c r="P9735" s="7"/>
      <c r="Q9735" s="7"/>
      <c r="R9735" s="7"/>
      <c r="S9735" s="7"/>
      <c r="T9735" s="7"/>
      <c r="U9735" s="7"/>
      <c r="V9735" s="7"/>
      <c r="W9735" s="7"/>
      <c r="X9735" s="7"/>
      <c r="Y9735" s="7"/>
      <c r="Z9735" s="7"/>
    </row>
    <row r="9736" hidden="1">
      <c r="A9736" s="7"/>
      <c r="B9736" s="7"/>
      <c r="C9736" s="7"/>
      <c r="D9736" s="7"/>
      <c r="E9736" s="7"/>
      <c r="F9736" s="7"/>
      <c r="G9736" s="7"/>
      <c r="H9736" s="8"/>
      <c r="I9736" s="8"/>
      <c r="J9736" s="7"/>
      <c r="K9736" s="7"/>
      <c r="L9736" s="7"/>
      <c r="M9736" s="7"/>
      <c r="N9736" s="7"/>
      <c r="O9736" s="7"/>
      <c r="P9736" s="7"/>
      <c r="Q9736" s="7"/>
      <c r="R9736" s="7"/>
      <c r="S9736" s="7"/>
      <c r="T9736" s="7"/>
      <c r="U9736" s="7"/>
      <c r="V9736" s="7"/>
      <c r="W9736" s="7"/>
      <c r="X9736" s="7"/>
      <c r="Y9736" s="7"/>
      <c r="Z9736" s="7"/>
    </row>
    <row r="9737" hidden="1">
      <c r="A9737" s="7"/>
      <c r="B9737" s="7"/>
      <c r="C9737" s="7"/>
      <c r="D9737" s="7"/>
      <c r="E9737" s="7"/>
      <c r="F9737" s="7"/>
      <c r="G9737" s="7"/>
      <c r="H9737" s="8"/>
      <c r="I9737" s="8"/>
      <c r="J9737" s="7"/>
      <c r="K9737" s="7"/>
      <c r="L9737" s="7"/>
      <c r="M9737" s="7"/>
      <c r="N9737" s="7"/>
      <c r="O9737" s="7"/>
      <c r="P9737" s="7"/>
      <c r="Q9737" s="7"/>
      <c r="R9737" s="7"/>
      <c r="S9737" s="7"/>
      <c r="T9737" s="7"/>
      <c r="U9737" s="7"/>
      <c r="V9737" s="7"/>
      <c r="W9737" s="7"/>
      <c r="X9737" s="7"/>
      <c r="Y9737" s="7"/>
      <c r="Z9737" s="7"/>
    </row>
    <row r="9738" hidden="1">
      <c r="A9738" s="7"/>
      <c r="B9738" s="7"/>
      <c r="C9738" s="7"/>
      <c r="D9738" s="7"/>
      <c r="E9738" s="7"/>
      <c r="F9738" s="7"/>
      <c r="G9738" s="7"/>
      <c r="H9738" s="8"/>
      <c r="I9738" s="8"/>
      <c r="J9738" s="7"/>
      <c r="K9738" s="7"/>
      <c r="L9738" s="7"/>
      <c r="M9738" s="7"/>
      <c r="N9738" s="7"/>
      <c r="O9738" s="7"/>
      <c r="P9738" s="7"/>
      <c r="Q9738" s="7"/>
      <c r="R9738" s="7"/>
      <c r="S9738" s="7"/>
      <c r="T9738" s="7"/>
      <c r="U9738" s="7"/>
      <c r="V9738" s="7"/>
      <c r="W9738" s="7"/>
      <c r="X9738" s="7"/>
      <c r="Y9738" s="7"/>
      <c r="Z9738" s="7"/>
    </row>
    <row r="9739" hidden="1">
      <c r="A9739" s="7"/>
      <c r="B9739" s="7"/>
      <c r="C9739" s="7"/>
      <c r="D9739" s="7"/>
      <c r="E9739" s="7"/>
      <c r="F9739" s="7"/>
      <c r="G9739" s="7"/>
      <c r="H9739" s="8"/>
      <c r="I9739" s="8"/>
      <c r="J9739" s="7"/>
      <c r="K9739" s="7"/>
      <c r="L9739" s="7"/>
      <c r="M9739" s="7"/>
      <c r="N9739" s="7"/>
      <c r="O9739" s="7"/>
      <c r="P9739" s="7"/>
      <c r="Q9739" s="7"/>
      <c r="R9739" s="7"/>
      <c r="S9739" s="7"/>
      <c r="T9739" s="7"/>
      <c r="U9739" s="7"/>
      <c r="V9739" s="7"/>
      <c r="W9739" s="7"/>
      <c r="X9739" s="7"/>
      <c r="Y9739" s="7"/>
      <c r="Z9739" s="7"/>
    </row>
    <row r="9740" hidden="1">
      <c r="A9740" s="7"/>
      <c r="B9740" s="7"/>
      <c r="C9740" s="7"/>
      <c r="D9740" s="7"/>
      <c r="E9740" s="7"/>
      <c r="F9740" s="7"/>
      <c r="G9740" s="7"/>
      <c r="H9740" s="8"/>
      <c r="I9740" s="8"/>
      <c r="J9740" s="7"/>
      <c r="K9740" s="7"/>
      <c r="L9740" s="7"/>
      <c r="M9740" s="7"/>
      <c r="N9740" s="7"/>
      <c r="O9740" s="7"/>
      <c r="P9740" s="7"/>
      <c r="Q9740" s="7"/>
      <c r="R9740" s="7"/>
      <c r="S9740" s="7"/>
      <c r="T9740" s="7"/>
      <c r="U9740" s="7"/>
      <c r="V9740" s="7"/>
      <c r="W9740" s="7"/>
      <c r="X9740" s="7"/>
      <c r="Y9740" s="7"/>
      <c r="Z9740" s="7"/>
    </row>
    <row r="9741" hidden="1">
      <c r="A9741" s="7"/>
      <c r="B9741" s="7"/>
      <c r="C9741" s="7"/>
      <c r="D9741" s="7"/>
      <c r="E9741" s="7"/>
      <c r="F9741" s="7"/>
      <c r="G9741" s="7"/>
      <c r="H9741" s="8"/>
      <c r="I9741" s="8"/>
      <c r="J9741" s="7"/>
      <c r="K9741" s="7"/>
      <c r="L9741" s="7"/>
      <c r="M9741" s="7"/>
      <c r="N9741" s="7"/>
      <c r="O9741" s="7"/>
      <c r="P9741" s="7"/>
      <c r="Q9741" s="7"/>
      <c r="R9741" s="7"/>
      <c r="S9741" s="7"/>
      <c r="T9741" s="7"/>
      <c r="U9741" s="7"/>
      <c r="V9741" s="7"/>
      <c r="W9741" s="7"/>
      <c r="X9741" s="7"/>
      <c r="Y9741" s="7"/>
      <c r="Z9741" s="7"/>
    </row>
    <row r="9742" hidden="1">
      <c r="A9742" s="7"/>
      <c r="B9742" s="7"/>
      <c r="C9742" s="7"/>
      <c r="D9742" s="7"/>
      <c r="E9742" s="7"/>
      <c r="F9742" s="7"/>
      <c r="G9742" s="7"/>
      <c r="H9742" s="8"/>
      <c r="I9742" s="8"/>
      <c r="J9742" s="7"/>
      <c r="K9742" s="7"/>
      <c r="L9742" s="7"/>
      <c r="M9742" s="7"/>
      <c r="N9742" s="7"/>
      <c r="O9742" s="7"/>
      <c r="P9742" s="7"/>
      <c r="Q9742" s="7"/>
      <c r="R9742" s="7"/>
      <c r="S9742" s="7"/>
      <c r="T9742" s="7"/>
      <c r="U9742" s="7"/>
      <c r="V9742" s="7"/>
      <c r="W9742" s="7"/>
      <c r="X9742" s="7"/>
      <c r="Y9742" s="7"/>
      <c r="Z9742" s="7"/>
    </row>
    <row r="9743" hidden="1">
      <c r="A9743" s="7"/>
      <c r="B9743" s="7"/>
      <c r="C9743" s="7"/>
      <c r="D9743" s="7"/>
      <c r="E9743" s="7"/>
      <c r="F9743" s="7"/>
      <c r="G9743" s="7"/>
      <c r="H9743" s="8"/>
      <c r="I9743" s="8"/>
      <c r="J9743" s="7"/>
      <c r="K9743" s="7"/>
      <c r="L9743" s="7"/>
      <c r="M9743" s="7"/>
      <c r="N9743" s="7"/>
      <c r="O9743" s="7"/>
      <c r="P9743" s="7"/>
      <c r="Q9743" s="7"/>
      <c r="R9743" s="7"/>
      <c r="S9743" s="7"/>
      <c r="T9743" s="7"/>
      <c r="U9743" s="7"/>
      <c r="V9743" s="7"/>
      <c r="W9743" s="7"/>
      <c r="X9743" s="7"/>
      <c r="Y9743" s="7"/>
      <c r="Z9743" s="7"/>
    </row>
    <row r="9744" hidden="1">
      <c r="A9744" s="7"/>
      <c r="B9744" s="7"/>
      <c r="C9744" s="7"/>
      <c r="D9744" s="7"/>
      <c r="E9744" s="7"/>
      <c r="F9744" s="7"/>
      <c r="G9744" s="7"/>
      <c r="H9744" s="8"/>
      <c r="I9744" s="8"/>
      <c r="J9744" s="7"/>
      <c r="K9744" s="7"/>
      <c r="L9744" s="7"/>
      <c r="M9744" s="7"/>
      <c r="N9744" s="7"/>
      <c r="O9744" s="7"/>
      <c r="P9744" s="7"/>
      <c r="Q9744" s="7"/>
      <c r="R9744" s="7"/>
      <c r="S9744" s="7"/>
      <c r="T9744" s="7"/>
      <c r="U9744" s="7"/>
      <c r="V9744" s="7"/>
      <c r="W9744" s="7"/>
      <c r="X9744" s="7"/>
      <c r="Y9744" s="7"/>
      <c r="Z9744" s="7"/>
    </row>
    <row r="9745" hidden="1">
      <c r="A9745" s="7"/>
      <c r="B9745" s="7"/>
      <c r="C9745" s="7"/>
      <c r="D9745" s="7"/>
      <c r="E9745" s="7"/>
      <c r="F9745" s="7"/>
      <c r="G9745" s="7"/>
      <c r="H9745" s="8"/>
      <c r="I9745" s="8"/>
      <c r="J9745" s="7"/>
      <c r="K9745" s="7"/>
      <c r="L9745" s="7"/>
      <c r="M9745" s="7"/>
      <c r="N9745" s="7"/>
      <c r="O9745" s="7"/>
      <c r="P9745" s="7"/>
      <c r="Q9745" s="7"/>
      <c r="R9745" s="7"/>
      <c r="S9745" s="7"/>
      <c r="T9745" s="7"/>
      <c r="U9745" s="7"/>
      <c r="V9745" s="7"/>
      <c r="W9745" s="7"/>
      <c r="X9745" s="7"/>
      <c r="Y9745" s="7"/>
      <c r="Z9745" s="7"/>
    </row>
    <row r="9746" hidden="1">
      <c r="A9746" s="7"/>
      <c r="B9746" s="7"/>
      <c r="C9746" s="7"/>
      <c r="D9746" s="7"/>
      <c r="E9746" s="7"/>
      <c r="F9746" s="7"/>
      <c r="G9746" s="7"/>
      <c r="H9746" s="8"/>
      <c r="I9746" s="8"/>
      <c r="J9746" s="7"/>
      <c r="K9746" s="7"/>
      <c r="L9746" s="7"/>
      <c r="M9746" s="7"/>
      <c r="N9746" s="7"/>
      <c r="O9746" s="7"/>
      <c r="P9746" s="7"/>
      <c r="Q9746" s="7"/>
      <c r="R9746" s="7"/>
      <c r="S9746" s="7"/>
      <c r="T9746" s="7"/>
      <c r="U9746" s="7"/>
      <c r="V9746" s="7"/>
      <c r="W9746" s="7"/>
      <c r="X9746" s="7"/>
      <c r="Y9746" s="7"/>
      <c r="Z9746" s="7"/>
    </row>
    <row r="9747" hidden="1">
      <c r="A9747" s="7"/>
      <c r="B9747" s="7"/>
      <c r="C9747" s="7"/>
      <c r="D9747" s="7"/>
      <c r="E9747" s="7"/>
      <c r="F9747" s="7"/>
      <c r="G9747" s="7"/>
      <c r="H9747" s="8"/>
      <c r="I9747" s="8"/>
      <c r="J9747" s="7"/>
      <c r="K9747" s="7"/>
      <c r="L9747" s="7"/>
      <c r="M9747" s="7"/>
      <c r="N9747" s="7"/>
      <c r="O9747" s="7"/>
      <c r="P9747" s="7"/>
      <c r="Q9747" s="7"/>
      <c r="R9747" s="7"/>
      <c r="S9747" s="7"/>
      <c r="T9747" s="7"/>
      <c r="U9747" s="7"/>
      <c r="V9747" s="7"/>
      <c r="W9747" s="7"/>
      <c r="X9747" s="7"/>
      <c r="Y9747" s="7"/>
      <c r="Z9747" s="7"/>
    </row>
    <row r="9748" hidden="1">
      <c r="A9748" s="7"/>
      <c r="B9748" s="7"/>
      <c r="C9748" s="7"/>
      <c r="D9748" s="7"/>
      <c r="E9748" s="7"/>
      <c r="F9748" s="7"/>
      <c r="G9748" s="7"/>
      <c r="H9748" s="8"/>
      <c r="I9748" s="8"/>
      <c r="J9748" s="7"/>
      <c r="K9748" s="7"/>
      <c r="L9748" s="7"/>
      <c r="M9748" s="7"/>
      <c r="N9748" s="7"/>
      <c r="O9748" s="7"/>
      <c r="P9748" s="7"/>
      <c r="Q9748" s="7"/>
      <c r="R9748" s="7"/>
      <c r="S9748" s="7"/>
      <c r="T9748" s="7"/>
      <c r="U9748" s="7"/>
      <c r="V9748" s="7"/>
      <c r="W9748" s="7"/>
      <c r="X9748" s="7"/>
      <c r="Y9748" s="7"/>
      <c r="Z9748" s="7"/>
    </row>
    <row r="9749" hidden="1">
      <c r="A9749" s="7"/>
      <c r="B9749" s="7"/>
      <c r="C9749" s="7"/>
      <c r="D9749" s="7"/>
      <c r="E9749" s="7"/>
      <c r="F9749" s="7"/>
      <c r="G9749" s="7"/>
      <c r="H9749" s="8"/>
      <c r="I9749" s="8"/>
      <c r="J9749" s="7"/>
      <c r="K9749" s="7"/>
      <c r="L9749" s="7"/>
      <c r="M9749" s="7"/>
      <c r="N9749" s="7"/>
      <c r="O9749" s="7"/>
      <c r="P9749" s="7"/>
      <c r="Q9749" s="7"/>
      <c r="R9749" s="7"/>
      <c r="S9749" s="7"/>
      <c r="T9749" s="7"/>
      <c r="U9749" s="7"/>
      <c r="V9749" s="7"/>
      <c r="W9749" s="7"/>
      <c r="X9749" s="7"/>
      <c r="Y9749" s="7"/>
      <c r="Z9749" s="7"/>
    </row>
    <row r="9750" hidden="1">
      <c r="A9750" s="7"/>
      <c r="B9750" s="7"/>
      <c r="C9750" s="7"/>
      <c r="D9750" s="7"/>
      <c r="E9750" s="7"/>
      <c r="F9750" s="7"/>
      <c r="G9750" s="7"/>
      <c r="H9750" s="8"/>
      <c r="I9750" s="8"/>
      <c r="J9750" s="7"/>
      <c r="K9750" s="7"/>
      <c r="L9750" s="7"/>
      <c r="M9750" s="7"/>
      <c r="N9750" s="7"/>
      <c r="O9750" s="7"/>
      <c r="P9750" s="7"/>
      <c r="Q9750" s="7"/>
      <c r="R9750" s="7"/>
      <c r="S9750" s="7"/>
      <c r="T9750" s="7"/>
      <c r="U9750" s="7"/>
      <c r="V9750" s="7"/>
      <c r="W9750" s="7"/>
      <c r="X9750" s="7"/>
      <c r="Y9750" s="7"/>
      <c r="Z9750" s="7"/>
    </row>
    <row r="9751" hidden="1">
      <c r="A9751" s="7"/>
      <c r="B9751" s="7"/>
      <c r="C9751" s="7"/>
      <c r="D9751" s="7"/>
      <c r="E9751" s="7"/>
      <c r="F9751" s="7"/>
      <c r="G9751" s="7"/>
      <c r="H9751" s="8"/>
      <c r="I9751" s="8"/>
      <c r="J9751" s="7"/>
      <c r="K9751" s="7"/>
      <c r="L9751" s="7"/>
      <c r="M9751" s="7"/>
      <c r="N9751" s="7"/>
      <c r="O9751" s="7"/>
      <c r="P9751" s="7"/>
      <c r="Q9751" s="7"/>
      <c r="R9751" s="7"/>
      <c r="S9751" s="7"/>
      <c r="T9751" s="7"/>
      <c r="U9751" s="7"/>
      <c r="V9751" s="7"/>
      <c r="W9751" s="7"/>
      <c r="X9751" s="7"/>
      <c r="Y9751" s="7"/>
      <c r="Z9751" s="7"/>
    </row>
    <row r="9752" hidden="1">
      <c r="A9752" s="7"/>
      <c r="B9752" s="7"/>
      <c r="C9752" s="7"/>
      <c r="D9752" s="7"/>
      <c r="E9752" s="7"/>
      <c r="F9752" s="7"/>
      <c r="G9752" s="7"/>
      <c r="H9752" s="8"/>
      <c r="I9752" s="8"/>
      <c r="J9752" s="7"/>
      <c r="K9752" s="7"/>
      <c r="L9752" s="7"/>
      <c r="M9752" s="7"/>
      <c r="N9752" s="7"/>
      <c r="O9752" s="7"/>
      <c r="P9752" s="7"/>
      <c r="Q9752" s="7"/>
      <c r="R9752" s="7"/>
      <c r="S9752" s="7"/>
      <c r="T9752" s="7"/>
      <c r="U9752" s="7"/>
      <c r="V9752" s="7"/>
      <c r="W9752" s="7"/>
      <c r="X9752" s="7"/>
      <c r="Y9752" s="7"/>
      <c r="Z9752" s="7"/>
    </row>
    <row r="9753" hidden="1">
      <c r="A9753" s="7"/>
      <c r="B9753" s="7"/>
      <c r="C9753" s="7"/>
      <c r="D9753" s="7"/>
      <c r="E9753" s="7"/>
      <c r="F9753" s="7"/>
      <c r="G9753" s="7"/>
      <c r="H9753" s="8"/>
      <c r="I9753" s="8"/>
      <c r="J9753" s="7"/>
      <c r="K9753" s="7"/>
      <c r="L9753" s="7"/>
      <c r="M9753" s="7"/>
      <c r="N9753" s="7"/>
      <c r="O9753" s="7"/>
      <c r="P9753" s="7"/>
      <c r="Q9753" s="7"/>
      <c r="R9753" s="7"/>
      <c r="S9753" s="7"/>
      <c r="T9753" s="7"/>
      <c r="U9753" s="7"/>
      <c r="V9753" s="7"/>
      <c r="W9753" s="7"/>
      <c r="X9753" s="7"/>
      <c r="Y9753" s="7"/>
      <c r="Z9753" s="7"/>
    </row>
    <row r="9754" hidden="1">
      <c r="A9754" s="7"/>
      <c r="B9754" s="7"/>
      <c r="C9754" s="7"/>
      <c r="D9754" s="7"/>
      <c r="E9754" s="7"/>
      <c r="F9754" s="7"/>
      <c r="G9754" s="7"/>
      <c r="H9754" s="8"/>
      <c r="I9754" s="8"/>
      <c r="J9754" s="7"/>
      <c r="K9754" s="7"/>
      <c r="L9754" s="7"/>
      <c r="M9754" s="7"/>
      <c r="N9754" s="7"/>
      <c r="O9754" s="7"/>
      <c r="P9754" s="7"/>
      <c r="Q9754" s="7"/>
      <c r="R9754" s="7"/>
      <c r="S9754" s="7"/>
      <c r="T9754" s="7"/>
      <c r="U9754" s="7"/>
      <c r="V9754" s="7"/>
      <c r="W9754" s="7"/>
      <c r="X9754" s="7"/>
      <c r="Y9754" s="7"/>
      <c r="Z9754" s="7"/>
    </row>
    <row r="9755" hidden="1">
      <c r="A9755" s="7"/>
      <c r="B9755" s="7"/>
      <c r="C9755" s="7"/>
      <c r="D9755" s="7"/>
      <c r="E9755" s="7"/>
      <c r="F9755" s="7"/>
      <c r="G9755" s="7"/>
      <c r="H9755" s="8"/>
      <c r="I9755" s="8"/>
      <c r="J9755" s="7"/>
      <c r="K9755" s="7"/>
      <c r="L9755" s="7"/>
      <c r="M9755" s="7"/>
      <c r="N9755" s="7"/>
      <c r="O9755" s="7"/>
      <c r="P9755" s="7"/>
      <c r="Q9755" s="7"/>
      <c r="R9755" s="7"/>
      <c r="S9755" s="7"/>
      <c r="T9755" s="7"/>
      <c r="U9755" s="7"/>
      <c r="V9755" s="7"/>
      <c r="W9755" s="7"/>
      <c r="X9755" s="7"/>
      <c r="Y9755" s="7"/>
      <c r="Z9755" s="7"/>
    </row>
    <row r="9756" hidden="1">
      <c r="A9756" s="7"/>
      <c r="B9756" s="7"/>
      <c r="C9756" s="7"/>
      <c r="D9756" s="7"/>
      <c r="E9756" s="7"/>
      <c r="F9756" s="7"/>
      <c r="G9756" s="7"/>
      <c r="H9756" s="8"/>
      <c r="I9756" s="8"/>
      <c r="J9756" s="7"/>
      <c r="K9756" s="7"/>
      <c r="L9756" s="7"/>
      <c r="M9756" s="7"/>
      <c r="N9756" s="7"/>
      <c r="O9756" s="7"/>
      <c r="P9756" s="7"/>
      <c r="Q9756" s="7"/>
      <c r="R9756" s="7"/>
      <c r="S9756" s="7"/>
      <c r="T9756" s="7"/>
      <c r="U9756" s="7"/>
      <c r="V9756" s="7"/>
      <c r="W9756" s="7"/>
      <c r="X9756" s="7"/>
      <c r="Y9756" s="7"/>
      <c r="Z9756" s="7"/>
    </row>
    <row r="9757" hidden="1">
      <c r="A9757" s="7"/>
      <c r="B9757" s="7"/>
      <c r="C9757" s="7"/>
      <c r="D9757" s="7"/>
      <c r="E9757" s="7"/>
      <c r="F9757" s="7"/>
      <c r="G9757" s="7"/>
      <c r="H9757" s="8"/>
      <c r="I9757" s="8"/>
      <c r="J9757" s="7"/>
      <c r="K9757" s="7"/>
      <c r="L9757" s="7"/>
      <c r="M9757" s="7"/>
      <c r="N9757" s="7"/>
      <c r="O9757" s="7"/>
      <c r="P9757" s="7"/>
      <c r="Q9757" s="7"/>
      <c r="R9757" s="7"/>
      <c r="S9757" s="7"/>
      <c r="T9757" s="7"/>
      <c r="U9757" s="7"/>
      <c r="V9757" s="7"/>
      <c r="W9757" s="7"/>
      <c r="X9757" s="7"/>
      <c r="Y9757" s="7"/>
      <c r="Z9757" s="7"/>
    </row>
    <row r="9758" hidden="1">
      <c r="A9758" s="7"/>
      <c r="B9758" s="7"/>
      <c r="C9758" s="7"/>
      <c r="D9758" s="7"/>
      <c r="E9758" s="7"/>
      <c r="F9758" s="7"/>
      <c r="G9758" s="7"/>
      <c r="H9758" s="8"/>
      <c r="I9758" s="8"/>
      <c r="J9758" s="7"/>
      <c r="K9758" s="7"/>
      <c r="L9758" s="7"/>
      <c r="M9758" s="7"/>
      <c r="N9758" s="7"/>
      <c r="O9758" s="7"/>
      <c r="P9758" s="7"/>
      <c r="Q9758" s="7"/>
      <c r="R9758" s="7"/>
      <c r="S9758" s="7"/>
      <c r="T9758" s="7"/>
      <c r="U9758" s="7"/>
      <c r="V9758" s="7"/>
      <c r="W9758" s="7"/>
      <c r="X9758" s="7"/>
      <c r="Y9758" s="7"/>
      <c r="Z9758" s="7"/>
    </row>
    <row r="9759" hidden="1">
      <c r="A9759" s="7"/>
      <c r="B9759" s="7"/>
      <c r="C9759" s="7"/>
      <c r="D9759" s="7"/>
      <c r="E9759" s="7"/>
      <c r="F9759" s="7"/>
      <c r="G9759" s="7"/>
      <c r="H9759" s="8"/>
      <c r="I9759" s="8"/>
      <c r="J9759" s="7"/>
      <c r="K9759" s="7"/>
      <c r="L9759" s="7"/>
      <c r="M9759" s="7"/>
      <c r="N9759" s="7"/>
      <c r="O9759" s="7"/>
      <c r="P9759" s="7"/>
      <c r="Q9759" s="7"/>
      <c r="R9759" s="7"/>
      <c r="S9759" s="7"/>
      <c r="T9759" s="7"/>
      <c r="U9759" s="7"/>
      <c r="V9759" s="7"/>
      <c r="W9759" s="7"/>
      <c r="X9759" s="7"/>
      <c r="Y9759" s="7"/>
      <c r="Z9759" s="7"/>
    </row>
    <row r="9760" hidden="1">
      <c r="A9760" s="7"/>
      <c r="B9760" s="7"/>
      <c r="C9760" s="7"/>
      <c r="D9760" s="7"/>
      <c r="E9760" s="7"/>
      <c r="F9760" s="7"/>
      <c r="G9760" s="7"/>
      <c r="H9760" s="8"/>
      <c r="I9760" s="8"/>
      <c r="J9760" s="7"/>
      <c r="K9760" s="7"/>
      <c r="L9760" s="7"/>
      <c r="M9760" s="7"/>
      <c r="N9760" s="7"/>
      <c r="O9760" s="7"/>
      <c r="P9760" s="7"/>
      <c r="Q9760" s="7"/>
      <c r="R9760" s="7"/>
      <c r="S9760" s="7"/>
      <c r="T9760" s="7"/>
      <c r="U9760" s="7"/>
      <c r="V9760" s="7"/>
      <c r="W9760" s="7"/>
      <c r="X9760" s="7"/>
      <c r="Y9760" s="7"/>
      <c r="Z9760" s="7"/>
    </row>
    <row r="9761" hidden="1">
      <c r="A9761" s="7"/>
      <c r="B9761" s="7"/>
      <c r="C9761" s="7"/>
      <c r="D9761" s="7"/>
      <c r="E9761" s="7"/>
      <c r="F9761" s="7"/>
      <c r="G9761" s="7"/>
      <c r="H9761" s="8"/>
      <c r="I9761" s="8"/>
      <c r="J9761" s="7"/>
      <c r="K9761" s="7"/>
      <c r="L9761" s="7"/>
      <c r="M9761" s="7"/>
      <c r="N9761" s="7"/>
      <c r="O9761" s="7"/>
      <c r="P9761" s="7"/>
      <c r="Q9761" s="7"/>
      <c r="R9761" s="7"/>
      <c r="S9761" s="7"/>
      <c r="T9761" s="7"/>
      <c r="U9761" s="7"/>
      <c r="V9761" s="7"/>
      <c r="W9761" s="7"/>
      <c r="X9761" s="7"/>
      <c r="Y9761" s="7"/>
      <c r="Z9761" s="7"/>
    </row>
    <row r="9762" hidden="1">
      <c r="A9762" s="7"/>
      <c r="B9762" s="7"/>
      <c r="C9762" s="7"/>
      <c r="D9762" s="7"/>
      <c r="E9762" s="7"/>
      <c r="F9762" s="7"/>
      <c r="G9762" s="7"/>
      <c r="H9762" s="8"/>
      <c r="I9762" s="8"/>
      <c r="J9762" s="7"/>
      <c r="K9762" s="7"/>
      <c r="L9762" s="7"/>
      <c r="M9762" s="7"/>
      <c r="N9762" s="7"/>
      <c r="O9762" s="7"/>
      <c r="P9762" s="7"/>
      <c r="Q9762" s="7"/>
      <c r="R9762" s="7"/>
      <c r="S9762" s="7"/>
      <c r="T9762" s="7"/>
      <c r="U9762" s="7"/>
      <c r="V9762" s="7"/>
      <c r="W9762" s="7"/>
      <c r="X9762" s="7"/>
      <c r="Y9762" s="7"/>
      <c r="Z9762" s="7"/>
    </row>
    <row r="9763" hidden="1">
      <c r="A9763" s="7"/>
      <c r="B9763" s="7"/>
      <c r="C9763" s="7"/>
      <c r="D9763" s="7"/>
      <c r="E9763" s="7"/>
      <c r="F9763" s="7"/>
      <c r="G9763" s="7"/>
      <c r="H9763" s="8"/>
      <c r="I9763" s="8"/>
      <c r="J9763" s="7"/>
      <c r="K9763" s="7"/>
      <c r="L9763" s="7"/>
      <c r="M9763" s="7"/>
      <c r="N9763" s="7"/>
      <c r="O9763" s="7"/>
      <c r="P9763" s="7"/>
      <c r="Q9763" s="7"/>
      <c r="R9763" s="7"/>
      <c r="S9763" s="7"/>
      <c r="T9763" s="7"/>
      <c r="U9763" s="7"/>
      <c r="V9763" s="7"/>
      <c r="W9763" s="7"/>
      <c r="X9763" s="7"/>
      <c r="Y9763" s="7"/>
      <c r="Z9763" s="7"/>
    </row>
    <row r="9764" hidden="1">
      <c r="A9764" s="7"/>
      <c r="B9764" s="7"/>
      <c r="C9764" s="7"/>
      <c r="D9764" s="7"/>
      <c r="E9764" s="7"/>
      <c r="F9764" s="7"/>
      <c r="G9764" s="7"/>
      <c r="H9764" s="8"/>
      <c r="I9764" s="8"/>
      <c r="J9764" s="7"/>
      <c r="K9764" s="7"/>
      <c r="L9764" s="7"/>
      <c r="M9764" s="7"/>
      <c r="N9764" s="7"/>
      <c r="O9764" s="7"/>
      <c r="P9764" s="7"/>
      <c r="Q9764" s="7"/>
      <c r="R9764" s="7"/>
      <c r="S9764" s="7"/>
      <c r="T9764" s="7"/>
      <c r="U9764" s="7"/>
      <c r="V9764" s="7"/>
      <c r="W9764" s="7"/>
      <c r="X9764" s="7"/>
      <c r="Y9764" s="7"/>
      <c r="Z9764" s="7"/>
    </row>
    <row r="9765" hidden="1">
      <c r="A9765" s="7"/>
      <c r="B9765" s="7"/>
      <c r="C9765" s="7"/>
      <c r="D9765" s="7"/>
      <c r="E9765" s="7"/>
      <c r="F9765" s="7"/>
      <c r="G9765" s="7"/>
      <c r="H9765" s="8"/>
      <c r="I9765" s="8"/>
      <c r="J9765" s="7"/>
      <c r="K9765" s="7"/>
      <c r="L9765" s="7"/>
      <c r="M9765" s="7"/>
      <c r="N9765" s="7"/>
      <c r="O9765" s="7"/>
      <c r="P9765" s="7"/>
      <c r="Q9765" s="7"/>
      <c r="R9765" s="7"/>
      <c r="S9765" s="7"/>
      <c r="T9765" s="7"/>
      <c r="U9765" s="7"/>
      <c r="V9765" s="7"/>
      <c r="W9765" s="7"/>
      <c r="X9765" s="7"/>
      <c r="Y9765" s="7"/>
      <c r="Z9765" s="7"/>
    </row>
    <row r="9766" hidden="1">
      <c r="A9766" s="7"/>
      <c r="B9766" s="7"/>
      <c r="C9766" s="7"/>
      <c r="D9766" s="7"/>
      <c r="E9766" s="7"/>
      <c r="F9766" s="7"/>
      <c r="G9766" s="7"/>
      <c r="H9766" s="8"/>
      <c r="I9766" s="8"/>
      <c r="J9766" s="7"/>
      <c r="K9766" s="7"/>
      <c r="L9766" s="7"/>
      <c r="M9766" s="7"/>
      <c r="N9766" s="7"/>
      <c r="O9766" s="7"/>
      <c r="P9766" s="7"/>
      <c r="Q9766" s="7"/>
      <c r="R9766" s="7"/>
      <c r="S9766" s="7"/>
      <c r="T9766" s="7"/>
      <c r="U9766" s="7"/>
      <c r="V9766" s="7"/>
      <c r="W9766" s="7"/>
      <c r="X9766" s="7"/>
      <c r="Y9766" s="7"/>
      <c r="Z9766" s="7"/>
    </row>
    <row r="9767" hidden="1">
      <c r="A9767" s="7"/>
      <c r="B9767" s="7"/>
      <c r="C9767" s="7"/>
      <c r="D9767" s="7"/>
      <c r="E9767" s="7"/>
      <c r="F9767" s="7"/>
      <c r="G9767" s="7"/>
      <c r="H9767" s="8"/>
      <c r="I9767" s="8"/>
      <c r="J9767" s="7"/>
      <c r="K9767" s="7"/>
      <c r="L9767" s="7"/>
      <c r="M9767" s="7"/>
      <c r="N9767" s="7"/>
      <c r="O9767" s="7"/>
      <c r="P9767" s="7"/>
      <c r="Q9767" s="7"/>
      <c r="R9767" s="7"/>
      <c r="S9767" s="7"/>
      <c r="T9767" s="7"/>
      <c r="U9767" s="7"/>
      <c r="V9767" s="7"/>
      <c r="W9767" s="7"/>
      <c r="X9767" s="7"/>
      <c r="Y9767" s="7"/>
      <c r="Z9767" s="7"/>
    </row>
    <row r="9768" hidden="1">
      <c r="A9768" s="7"/>
      <c r="B9768" s="7"/>
      <c r="C9768" s="7"/>
      <c r="D9768" s="7"/>
      <c r="E9768" s="7"/>
      <c r="F9768" s="7"/>
      <c r="G9768" s="7"/>
      <c r="H9768" s="8"/>
      <c r="I9768" s="8"/>
      <c r="J9768" s="7"/>
      <c r="K9768" s="7"/>
      <c r="L9768" s="7"/>
      <c r="M9768" s="7"/>
      <c r="N9768" s="7"/>
      <c r="O9768" s="7"/>
      <c r="P9768" s="7"/>
      <c r="Q9768" s="7"/>
      <c r="R9768" s="7"/>
      <c r="S9768" s="7"/>
      <c r="T9768" s="7"/>
      <c r="U9768" s="7"/>
      <c r="V9768" s="7"/>
      <c r="W9768" s="7"/>
      <c r="X9768" s="7"/>
      <c r="Y9768" s="7"/>
      <c r="Z9768" s="7"/>
    </row>
    <row r="9769" hidden="1">
      <c r="A9769" s="7"/>
      <c r="B9769" s="7"/>
      <c r="C9769" s="7"/>
      <c r="D9769" s="7"/>
      <c r="E9769" s="7"/>
      <c r="F9769" s="7"/>
      <c r="G9769" s="7"/>
      <c r="H9769" s="8"/>
      <c r="I9769" s="8"/>
      <c r="J9769" s="7"/>
      <c r="K9769" s="7"/>
      <c r="L9769" s="7"/>
      <c r="M9769" s="7"/>
      <c r="N9769" s="7"/>
      <c r="O9769" s="7"/>
      <c r="P9769" s="7"/>
      <c r="Q9769" s="7"/>
      <c r="R9769" s="7"/>
      <c r="S9769" s="7"/>
      <c r="T9769" s="7"/>
      <c r="U9769" s="7"/>
      <c r="V9769" s="7"/>
      <c r="W9769" s="7"/>
      <c r="X9769" s="7"/>
      <c r="Y9769" s="7"/>
      <c r="Z9769" s="7"/>
    </row>
    <row r="9770" hidden="1">
      <c r="A9770" s="7"/>
      <c r="B9770" s="7"/>
      <c r="C9770" s="7"/>
      <c r="D9770" s="7"/>
      <c r="E9770" s="7"/>
      <c r="F9770" s="7"/>
      <c r="G9770" s="7"/>
      <c r="H9770" s="8"/>
      <c r="I9770" s="8"/>
      <c r="J9770" s="7"/>
      <c r="K9770" s="7"/>
      <c r="L9770" s="7"/>
      <c r="M9770" s="7"/>
      <c r="N9770" s="7"/>
      <c r="O9770" s="7"/>
      <c r="P9770" s="7"/>
      <c r="Q9770" s="7"/>
      <c r="R9770" s="7"/>
      <c r="S9770" s="7"/>
      <c r="T9770" s="7"/>
      <c r="U9770" s="7"/>
      <c r="V9770" s="7"/>
      <c r="W9770" s="7"/>
      <c r="X9770" s="7"/>
      <c r="Y9770" s="7"/>
      <c r="Z9770" s="7"/>
    </row>
    <row r="9771" hidden="1">
      <c r="A9771" s="7"/>
      <c r="B9771" s="7"/>
      <c r="C9771" s="7"/>
      <c r="D9771" s="7"/>
      <c r="E9771" s="7"/>
      <c r="F9771" s="7"/>
      <c r="G9771" s="7"/>
      <c r="H9771" s="8"/>
      <c r="I9771" s="8"/>
      <c r="J9771" s="7"/>
      <c r="K9771" s="7"/>
      <c r="L9771" s="7"/>
      <c r="M9771" s="7"/>
      <c r="N9771" s="7"/>
      <c r="O9771" s="7"/>
      <c r="P9771" s="7"/>
      <c r="Q9771" s="7"/>
      <c r="R9771" s="7"/>
      <c r="S9771" s="7"/>
      <c r="T9771" s="7"/>
      <c r="U9771" s="7"/>
      <c r="V9771" s="7"/>
      <c r="W9771" s="7"/>
      <c r="X9771" s="7"/>
      <c r="Y9771" s="7"/>
      <c r="Z9771" s="7"/>
    </row>
    <row r="9772" hidden="1">
      <c r="A9772" s="7"/>
      <c r="B9772" s="7"/>
      <c r="C9772" s="7"/>
      <c r="D9772" s="7"/>
      <c r="E9772" s="7"/>
      <c r="F9772" s="7"/>
      <c r="G9772" s="7"/>
      <c r="H9772" s="8"/>
      <c r="I9772" s="8"/>
      <c r="J9772" s="7"/>
      <c r="K9772" s="7"/>
      <c r="L9772" s="7"/>
      <c r="M9772" s="7"/>
      <c r="N9772" s="7"/>
      <c r="O9772" s="7"/>
      <c r="P9772" s="7"/>
      <c r="Q9772" s="7"/>
      <c r="R9772" s="7"/>
      <c r="S9772" s="7"/>
      <c r="T9772" s="7"/>
      <c r="U9772" s="7"/>
      <c r="V9772" s="7"/>
      <c r="W9772" s="7"/>
      <c r="X9772" s="7"/>
      <c r="Y9772" s="7"/>
      <c r="Z9772" s="7"/>
    </row>
    <row r="9773" hidden="1">
      <c r="A9773" s="7"/>
      <c r="B9773" s="7"/>
      <c r="C9773" s="7"/>
      <c r="D9773" s="7"/>
      <c r="E9773" s="7"/>
      <c r="F9773" s="7"/>
      <c r="G9773" s="7"/>
      <c r="H9773" s="8"/>
      <c r="I9773" s="8"/>
      <c r="J9773" s="7"/>
      <c r="K9773" s="7"/>
      <c r="L9773" s="7"/>
      <c r="M9773" s="7"/>
      <c r="N9773" s="7"/>
      <c r="O9773" s="7"/>
      <c r="P9773" s="7"/>
      <c r="Q9773" s="7"/>
      <c r="R9773" s="7"/>
      <c r="S9773" s="7"/>
      <c r="T9773" s="7"/>
      <c r="U9773" s="7"/>
      <c r="V9773" s="7"/>
      <c r="W9773" s="7"/>
      <c r="X9773" s="7"/>
      <c r="Y9773" s="7"/>
      <c r="Z9773" s="7"/>
    </row>
    <row r="9774" hidden="1">
      <c r="A9774" s="7"/>
      <c r="B9774" s="7"/>
      <c r="C9774" s="7"/>
      <c r="D9774" s="7"/>
      <c r="E9774" s="7"/>
      <c r="F9774" s="7"/>
      <c r="G9774" s="7"/>
      <c r="H9774" s="8"/>
      <c r="I9774" s="8"/>
      <c r="J9774" s="7"/>
      <c r="K9774" s="7"/>
      <c r="L9774" s="7"/>
      <c r="M9774" s="7"/>
      <c r="N9774" s="7"/>
      <c r="O9774" s="7"/>
      <c r="P9774" s="7"/>
      <c r="Q9774" s="7"/>
      <c r="R9774" s="7"/>
      <c r="S9774" s="7"/>
      <c r="T9774" s="7"/>
      <c r="U9774" s="7"/>
      <c r="V9774" s="7"/>
      <c r="W9774" s="7"/>
      <c r="X9774" s="7"/>
      <c r="Y9774" s="7"/>
      <c r="Z9774" s="7"/>
    </row>
    <row r="9775" hidden="1">
      <c r="A9775" s="7"/>
      <c r="B9775" s="7"/>
      <c r="C9775" s="7"/>
      <c r="D9775" s="7"/>
      <c r="E9775" s="7"/>
      <c r="F9775" s="7"/>
      <c r="G9775" s="7"/>
      <c r="H9775" s="8"/>
      <c r="I9775" s="8"/>
      <c r="J9775" s="7"/>
      <c r="K9775" s="7"/>
      <c r="L9775" s="7"/>
      <c r="M9775" s="7"/>
      <c r="N9775" s="7"/>
      <c r="O9775" s="7"/>
      <c r="P9775" s="7"/>
      <c r="Q9775" s="7"/>
      <c r="R9775" s="7"/>
      <c r="S9775" s="7"/>
      <c r="T9775" s="7"/>
      <c r="U9775" s="7"/>
      <c r="V9775" s="7"/>
      <c r="W9775" s="7"/>
      <c r="X9775" s="7"/>
      <c r="Y9775" s="7"/>
      <c r="Z9775" s="7"/>
    </row>
    <row r="9776" hidden="1">
      <c r="A9776" s="7"/>
      <c r="B9776" s="7"/>
      <c r="C9776" s="7"/>
      <c r="D9776" s="7"/>
      <c r="E9776" s="7"/>
      <c r="F9776" s="7"/>
      <c r="G9776" s="7"/>
      <c r="H9776" s="8"/>
      <c r="I9776" s="8"/>
      <c r="J9776" s="7"/>
      <c r="K9776" s="7"/>
      <c r="L9776" s="7"/>
      <c r="M9776" s="7"/>
      <c r="N9776" s="7"/>
      <c r="O9776" s="7"/>
      <c r="P9776" s="7"/>
      <c r="Q9776" s="7"/>
      <c r="R9776" s="7"/>
      <c r="S9776" s="7"/>
      <c r="T9776" s="7"/>
      <c r="U9776" s="7"/>
      <c r="V9776" s="7"/>
      <c r="W9776" s="7"/>
      <c r="X9776" s="7"/>
      <c r="Y9776" s="7"/>
      <c r="Z9776" s="7"/>
    </row>
    <row r="9777" hidden="1">
      <c r="A9777" s="7"/>
      <c r="B9777" s="7"/>
      <c r="C9777" s="7"/>
      <c r="D9777" s="7"/>
      <c r="E9777" s="7"/>
      <c r="F9777" s="7"/>
      <c r="G9777" s="7"/>
      <c r="H9777" s="8"/>
      <c r="I9777" s="8"/>
      <c r="J9777" s="7"/>
      <c r="K9777" s="7"/>
      <c r="L9777" s="7"/>
      <c r="M9777" s="7"/>
      <c r="N9777" s="7"/>
      <c r="O9777" s="7"/>
      <c r="P9777" s="7"/>
      <c r="Q9777" s="7"/>
      <c r="R9777" s="7"/>
      <c r="S9777" s="7"/>
      <c r="T9777" s="7"/>
      <c r="U9777" s="7"/>
      <c r="V9777" s="7"/>
      <c r="W9777" s="7"/>
      <c r="X9777" s="7"/>
      <c r="Y9777" s="7"/>
      <c r="Z9777" s="7"/>
    </row>
    <row r="9778" hidden="1">
      <c r="A9778" s="7"/>
      <c r="B9778" s="7"/>
      <c r="C9778" s="7"/>
      <c r="D9778" s="7"/>
      <c r="E9778" s="7"/>
      <c r="F9778" s="7"/>
      <c r="G9778" s="7"/>
      <c r="H9778" s="8"/>
      <c r="I9778" s="8"/>
      <c r="J9778" s="7"/>
      <c r="K9778" s="7"/>
      <c r="L9778" s="7"/>
      <c r="M9778" s="7"/>
      <c r="N9778" s="7"/>
      <c r="O9778" s="7"/>
      <c r="P9778" s="7"/>
      <c r="Q9778" s="7"/>
      <c r="R9778" s="7"/>
      <c r="S9778" s="7"/>
      <c r="T9778" s="7"/>
      <c r="U9778" s="7"/>
      <c r="V9778" s="7"/>
      <c r="W9778" s="7"/>
      <c r="X9778" s="7"/>
      <c r="Y9778" s="7"/>
      <c r="Z9778" s="7"/>
    </row>
    <row r="9779" hidden="1">
      <c r="A9779" s="7"/>
      <c r="B9779" s="7"/>
      <c r="C9779" s="7"/>
      <c r="D9779" s="7"/>
      <c r="E9779" s="7"/>
      <c r="F9779" s="7"/>
      <c r="G9779" s="7"/>
      <c r="H9779" s="8"/>
      <c r="I9779" s="8"/>
      <c r="J9779" s="7"/>
      <c r="K9779" s="7"/>
      <c r="L9779" s="7"/>
      <c r="M9779" s="7"/>
      <c r="N9779" s="7"/>
      <c r="O9779" s="7"/>
      <c r="P9779" s="7"/>
      <c r="Q9779" s="7"/>
      <c r="R9779" s="7"/>
      <c r="S9779" s="7"/>
      <c r="T9779" s="7"/>
      <c r="U9779" s="7"/>
      <c r="V9779" s="7"/>
      <c r="W9779" s="7"/>
      <c r="X9779" s="7"/>
      <c r="Y9779" s="7"/>
      <c r="Z9779" s="7"/>
    </row>
    <row r="9780" hidden="1">
      <c r="A9780" s="7"/>
      <c r="B9780" s="7"/>
      <c r="C9780" s="7"/>
      <c r="D9780" s="7"/>
      <c r="E9780" s="7"/>
      <c r="F9780" s="7"/>
      <c r="G9780" s="7"/>
      <c r="H9780" s="8"/>
      <c r="I9780" s="8"/>
      <c r="J9780" s="7"/>
      <c r="K9780" s="7"/>
      <c r="L9780" s="7"/>
      <c r="M9780" s="7"/>
      <c r="N9780" s="7"/>
      <c r="O9780" s="7"/>
      <c r="P9780" s="7"/>
      <c r="Q9780" s="7"/>
      <c r="R9780" s="7"/>
      <c r="S9780" s="7"/>
      <c r="T9780" s="7"/>
      <c r="U9780" s="7"/>
      <c r="V9780" s="7"/>
      <c r="W9780" s="7"/>
      <c r="X9780" s="7"/>
      <c r="Y9780" s="7"/>
      <c r="Z9780" s="7"/>
    </row>
    <row r="9781" hidden="1">
      <c r="A9781" s="7"/>
      <c r="B9781" s="7"/>
      <c r="C9781" s="7"/>
      <c r="D9781" s="7"/>
      <c r="E9781" s="7"/>
      <c r="F9781" s="7"/>
      <c r="G9781" s="7"/>
      <c r="H9781" s="8"/>
      <c r="I9781" s="8"/>
      <c r="J9781" s="7"/>
      <c r="K9781" s="7"/>
      <c r="L9781" s="7"/>
      <c r="M9781" s="7"/>
      <c r="N9781" s="7"/>
      <c r="O9781" s="7"/>
      <c r="P9781" s="7"/>
      <c r="Q9781" s="7"/>
      <c r="R9781" s="7"/>
      <c r="S9781" s="7"/>
      <c r="T9781" s="7"/>
      <c r="U9781" s="7"/>
      <c r="V9781" s="7"/>
      <c r="W9781" s="7"/>
      <c r="X9781" s="7"/>
      <c r="Y9781" s="7"/>
      <c r="Z9781" s="7"/>
    </row>
    <row r="9782" hidden="1">
      <c r="A9782" s="7"/>
      <c r="B9782" s="7"/>
      <c r="C9782" s="7"/>
      <c r="D9782" s="7"/>
      <c r="E9782" s="7"/>
      <c r="F9782" s="7"/>
      <c r="G9782" s="7"/>
      <c r="H9782" s="8"/>
      <c r="I9782" s="8"/>
      <c r="J9782" s="7"/>
      <c r="K9782" s="7"/>
      <c r="L9782" s="7"/>
      <c r="M9782" s="7"/>
      <c r="N9782" s="7"/>
      <c r="O9782" s="7"/>
      <c r="P9782" s="7"/>
      <c r="Q9782" s="7"/>
      <c r="R9782" s="7"/>
      <c r="S9782" s="7"/>
      <c r="T9782" s="7"/>
      <c r="U9782" s="7"/>
      <c r="V9782" s="7"/>
      <c r="W9782" s="7"/>
      <c r="X9782" s="7"/>
      <c r="Y9782" s="7"/>
      <c r="Z9782" s="7"/>
    </row>
    <row r="9783" hidden="1">
      <c r="A9783" s="7"/>
      <c r="B9783" s="7"/>
      <c r="C9783" s="7"/>
      <c r="D9783" s="7"/>
      <c r="E9783" s="7"/>
      <c r="F9783" s="7"/>
      <c r="G9783" s="7"/>
      <c r="H9783" s="8"/>
      <c r="I9783" s="8"/>
      <c r="J9783" s="7"/>
      <c r="K9783" s="7"/>
      <c r="L9783" s="7"/>
      <c r="M9783" s="7"/>
      <c r="N9783" s="7"/>
      <c r="O9783" s="7"/>
      <c r="P9783" s="7"/>
      <c r="Q9783" s="7"/>
      <c r="R9783" s="7"/>
      <c r="S9783" s="7"/>
      <c r="T9783" s="7"/>
      <c r="U9783" s="7"/>
      <c r="V9783" s="7"/>
      <c r="W9783" s="7"/>
      <c r="X9783" s="7"/>
      <c r="Y9783" s="7"/>
      <c r="Z9783" s="7"/>
    </row>
    <row r="9784" hidden="1">
      <c r="A9784" s="7"/>
      <c r="B9784" s="7"/>
      <c r="C9784" s="7"/>
      <c r="D9784" s="7"/>
      <c r="E9784" s="7"/>
      <c r="F9784" s="7"/>
      <c r="G9784" s="7"/>
      <c r="H9784" s="8"/>
      <c r="I9784" s="8"/>
      <c r="J9784" s="7"/>
      <c r="K9784" s="7"/>
      <c r="L9784" s="7"/>
      <c r="M9784" s="7"/>
      <c r="N9784" s="7"/>
      <c r="O9784" s="7"/>
      <c r="P9784" s="7"/>
      <c r="Q9784" s="7"/>
      <c r="R9784" s="7"/>
      <c r="S9784" s="7"/>
      <c r="T9784" s="7"/>
      <c r="U9784" s="7"/>
      <c r="V9784" s="7"/>
      <c r="W9784" s="7"/>
      <c r="X9784" s="7"/>
      <c r="Y9784" s="7"/>
      <c r="Z9784" s="7"/>
    </row>
    <row r="9785" hidden="1">
      <c r="A9785" s="7"/>
      <c r="B9785" s="7"/>
      <c r="C9785" s="7"/>
      <c r="D9785" s="7"/>
      <c r="E9785" s="7"/>
      <c r="F9785" s="7"/>
      <c r="G9785" s="7"/>
      <c r="H9785" s="8"/>
      <c r="I9785" s="8"/>
      <c r="J9785" s="7"/>
      <c r="K9785" s="7"/>
      <c r="L9785" s="7"/>
      <c r="M9785" s="7"/>
      <c r="N9785" s="7"/>
      <c r="O9785" s="7"/>
      <c r="P9785" s="7"/>
      <c r="Q9785" s="7"/>
      <c r="R9785" s="7"/>
      <c r="S9785" s="7"/>
      <c r="T9785" s="7"/>
      <c r="U9785" s="7"/>
      <c r="V9785" s="7"/>
      <c r="W9785" s="7"/>
      <c r="X9785" s="7"/>
      <c r="Y9785" s="7"/>
      <c r="Z9785" s="7"/>
    </row>
    <row r="9786" hidden="1">
      <c r="A9786" s="7"/>
      <c r="B9786" s="7"/>
      <c r="C9786" s="7"/>
      <c r="D9786" s="7"/>
      <c r="E9786" s="7"/>
      <c r="F9786" s="7"/>
      <c r="G9786" s="7"/>
      <c r="H9786" s="8"/>
      <c r="I9786" s="8"/>
      <c r="J9786" s="7"/>
      <c r="K9786" s="7"/>
      <c r="L9786" s="7"/>
      <c r="M9786" s="7"/>
      <c r="N9786" s="7"/>
      <c r="O9786" s="7"/>
      <c r="P9786" s="7"/>
      <c r="Q9786" s="7"/>
      <c r="R9786" s="7"/>
      <c r="S9786" s="7"/>
      <c r="T9786" s="7"/>
      <c r="U9786" s="7"/>
      <c r="V9786" s="7"/>
      <c r="W9786" s="7"/>
      <c r="X9786" s="7"/>
      <c r="Y9786" s="7"/>
      <c r="Z9786" s="7"/>
    </row>
    <row r="9787" hidden="1">
      <c r="A9787" s="7"/>
      <c r="B9787" s="7"/>
      <c r="C9787" s="7"/>
      <c r="D9787" s="7"/>
      <c r="E9787" s="7"/>
      <c r="F9787" s="7"/>
      <c r="G9787" s="7"/>
      <c r="H9787" s="8"/>
      <c r="I9787" s="8"/>
      <c r="J9787" s="7"/>
      <c r="K9787" s="7"/>
      <c r="L9787" s="7"/>
      <c r="M9787" s="7"/>
      <c r="N9787" s="7"/>
      <c r="O9787" s="7"/>
      <c r="P9787" s="7"/>
      <c r="Q9787" s="7"/>
      <c r="R9787" s="7"/>
      <c r="S9787" s="7"/>
      <c r="T9787" s="7"/>
      <c r="U9787" s="7"/>
      <c r="V9787" s="7"/>
      <c r="W9787" s="7"/>
      <c r="X9787" s="7"/>
      <c r="Y9787" s="7"/>
      <c r="Z9787" s="7"/>
    </row>
    <row r="9788" hidden="1">
      <c r="A9788" s="7"/>
      <c r="B9788" s="7"/>
      <c r="C9788" s="7"/>
      <c r="D9788" s="7"/>
      <c r="E9788" s="7"/>
      <c r="F9788" s="7"/>
      <c r="G9788" s="7"/>
      <c r="H9788" s="8"/>
      <c r="I9788" s="8"/>
      <c r="J9788" s="7"/>
      <c r="K9788" s="7"/>
      <c r="L9788" s="7"/>
      <c r="M9788" s="7"/>
      <c r="N9788" s="7"/>
      <c r="O9788" s="7"/>
      <c r="P9788" s="7"/>
      <c r="Q9788" s="7"/>
      <c r="R9788" s="7"/>
      <c r="S9788" s="7"/>
      <c r="T9788" s="7"/>
      <c r="U9788" s="7"/>
      <c r="V9788" s="7"/>
      <c r="W9788" s="7"/>
      <c r="X9788" s="7"/>
      <c r="Y9788" s="7"/>
      <c r="Z9788" s="7"/>
    </row>
    <row r="9789" hidden="1">
      <c r="A9789" s="7"/>
      <c r="B9789" s="7"/>
      <c r="C9789" s="7"/>
      <c r="D9789" s="7"/>
      <c r="E9789" s="7"/>
      <c r="F9789" s="7"/>
      <c r="G9789" s="7"/>
      <c r="H9789" s="8"/>
      <c r="I9789" s="8"/>
      <c r="J9789" s="7"/>
      <c r="K9789" s="7"/>
      <c r="L9789" s="7"/>
      <c r="M9789" s="7"/>
      <c r="N9789" s="7"/>
      <c r="O9789" s="7"/>
      <c r="P9789" s="7"/>
      <c r="Q9789" s="7"/>
      <c r="R9789" s="7"/>
      <c r="S9789" s="7"/>
      <c r="T9789" s="7"/>
      <c r="U9789" s="7"/>
      <c r="V9789" s="7"/>
      <c r="W9789" s="7"/>
      <c r="X9789" s="7"/>
      <c r="Y9789" s="7"/>
      <c r="Z9789" s="7"/>
    </row>
    <row r="9790" hidden="1">
      <c r="A9790" s="7"/>
      <c r="B9790" s="7"/>
      <c r="C9790" s="7"/>
      <c r="D9790" s="7"/>
      <c r="E9790" s="7"/>
      <c r="F9790" s="7"/>
      <c r="G9790" s="7"/>
      <c r="H9790" s="8"/>
      <c r="I9790" s="8"/>
      <c r="J9790" s="7"/>
      <c r="K9790" s="7"/>
      <c r="L9790" s="7"/>
      <c r="M9790" s="7"/>
      <c r="N9790" s="7"/>
      <c r="O9790" s="7"/>
      <c r="P9790" s="7"/>
      <c r="Q9790" s="7"/>
      <c r="R9790" s="7"/>
      <c r="S9790" s="7"/>
      <c r="T9790" s="7"/>
      <c r="U9790" s="7"/>
      <c r="V9790" s="7"/>
      <c r="W9790" s="7"/>
      <c r="X9790" s="7"/>
      <c r="Y9790" s="7"/>
      <c r="Z9790" s="7"/>
    </row>
    <row r="9791" hidden="1">
      <c r="A9791" s="7"/>
      <c r="B9791" s="7"/>
      <c r="C9791" s="7"/>
      <c r="D9791" s="7"/>
      <c r="E9791" s="7"/>
      <c r="F9791" s="7"/>
      <c r="G9791" s="7"/>
      <c r="H9791" s="8"/>
      <c r="I9791" s="8"/>
      <c r="J9791" s="7"/>
      <c r="K9791" s="7"/>
      <c r="L9791" s="7"/>
      <c r="M9791" s="7"/>
      <c r="N9791" s="7"/>
      <c r="O9791" s="7"/>
      <c r="P9791" s="7"/>
      <c r="Q9791" s="7"/>
      <c r="R9791" s="7"/>
      <c r="S9791" s="7"/>
      <c r="T9791" s="7"/>
      <c r="U9791" s="7"/>
      <c r="V9791" s="7"/>
      <c r="W9791" s="7"/>
      <c r="X9791" s="7"/>
      <c r="Y9791" s="7"/>
      <c r="Z9791" s="7"/>
    </row>
    <row r="9792" hidden="1">
      <c r="A9792" s="7"/>
      <c r="B9792" s="7"/>
      <c r="C9792" s="7"/>
      <c r="D9792" s="7"/>
      <c r="E9792" s="7"/>
      <c r="F9792" s="7"/>
      <c r="G9792" s="7"/>
      <c r="H9792" s="8"/>
      <c r="I9792" s="8"/>
      <c r="J9792" s="7"/>
      <c r="K9792" s="7"/>
      <c r="L9792" s="7"/>
      <c r="M9792" s="7"/>
      <c r="N9792" s="7"/>
      <c r="O9792" s="7"/>
      <c r="P9792" s="7"/>
      <c r="Q9792" s="7"/>
      <c r="R9792" s="7"/>
      <c r="S9792" s="7"/>
      <c r="T9792" s="7"/>
      <c r="U9792" s="7"/>
      <c r="V9792" s="7"/>
      <c r="W9792" s="7"/>
      <c r="X9792" s="7"/>
      <c r="Y9792" s="7"/>
      <c r="Z9792" s="7"/>
    </row>
    <row r="9793" hidden="1">
      <c r="A9793" s="7"/>
      <c r="B9793" s="7"/>
      <c r="C9793" s="7"/>
      <c r="D9793" s="7"/>
      <c r="E9793" s="7"/>
      <c r="F9793" s="7"/>
      <c r="G9793" s="7"/>
      <c r="H9793" s="8"/>
      <c r="I9793" s="8"/>
      <c r="J9793" s="7"/>
      <c r="K9793" s="7"/>
      <c r="L9793" s="7"/>
      <c r="M9793" s="7"/>
      <c r="N9793" s="7"/>
      <c r="O9793" s="7"/>
      <c r="P9793" s="7"/>
      <c r="Q9793" s="7"/>
      <c r="R9793" s="7"/>
      <c r="S9793" s="7"/>
      <c r="T9793" s="7"/>
      <c r="U9793" s="7"/>
      <c r="V9793" s="7"/>
      <c r="W9793" s="7"/>
      <c r="X9793" s="7"/>
      <c r="Y9793" s="7"/>
      <c r="Z9793" s="7"/>
    </row>
    <row r="9794" hidden="1">
      <c r="A9794" s="7"/>
      <c r="B9794" s="7"/>
      <c r="C9794" s="7"/>
      <c r="D9794" s="7"/>
      <c r="E9794" s="7"/>
      <c r="F9794" s="7"/>
      <c r="G9794" s="7"/>
      <c r="H9794" s="8"/>
      <c r="I9794" s="8"/>
      <c r="J9794" s="7"/>
      <c r="K9794" s="7"/>
      <c r="L9794" s="7"/>
      <c r="M9794" s="7"/>
      <c r="N9794" s="7"/>
      <c r="O9794" s="7"/>
      <c r="P9794" s="7"/>
      <c r="Q9794" s="7"/>
      <c r="R9794" s="7"/>
      <c r="S9794" s="7"/>
      <c r="T9794" s="7"/>
      <c r="U9794" s="7"/>
      <c r="V9794" s="7"/>
      <c r="W9794" s="7"/>
      <c r="X9794" s="7"/>
      <c r="Y9794" s="7"/>
      <c r="Z9794" s="7"/>
    </row>
    <row r="9795" hidden="1">
      <c r="A9795" s="7"/>
      <c r="B9795" s="7"/>
      <c r="C9795" s="7"/>
      <c r="D9795" s="7"/>
      <c r="E9795" s="7"/>
      <c r="F9795" s="7"/>
      <c r="G9795" s="7"/>
      <c r="H9795" s="8"/>
      <c r="I9795" s="8"/>
      <c r="J9795" s="7"/>
      <c r="K9795" s="7"/>
      <c r="L9795" s="7"/>
      <c r="M9795" s="7"/>
      <c r="N9795" s="7"/>
      <c r="O9795" s="7"/>
      <c r="P9795" s="7"/>
      <c r="Q9795" s="7"/>
      <c r="R9795" s="7"/>
      <c r="S9795" s="7"/>
      <c r="T9795" s="7"/>
      <c r="U9795" s="7"/>
      <c r="V9795" s="7"/>
      <c r="W9795" s="7"/>
      <c r="X9795" s="7"/>
      <c r="Y9795" s="7"/>
      <c r="Z9795" s="7"/>
    </row>
    <row r="9796" hidden="1">
      <c r="A9796" s="7"/>
      <c r="B9796" s="7"/>
      <c r="C9796" s="7"/>
      <c r="D9796" s="7"/>
      <c r="E9796" s="7"/>
      <c r="F9796" s="7"/>
      <c r="G9796" s="7"/>
      <c r="H9796" s="8"/>
      <c r="I9796" s="8"/>
      <c r="J9796" s="7"/>
      <c r="K9796" s="7"/>
      <c r="L9796" s="7"/>
      <c r="M9796" s="7"/>
      <c r="N9796" s="7"/>
      <c r="O9796" s="7"/>
      <c r="P9796" s="7"/>
      <c r="Q9796" s="7"/>
      <c r="R9796" s="7"/>
      <c r="S9796" s="7"/>
      <c r="T9796" s="7"/>
      <c r="U9796" s="7"/>
      <c r="V9796" s="7"/>
      <c r="W9796" s="7"/>
      <c r="X9796" s="7"/>
      <c r="Y9796" s="7"/>
      <c r="Z9796" s="7"/>
    </row>
    <row r="9797" hidden="1">
      <c r="A9797" s="7"/>
      <c r="B9797" s="7"/>
      <c r="C9797" s="7"/>
      <c r="D9797" s="7"/>
      <c r="E9797" s="7"/>
      <c r="F9797" s="7"/>
      <c r="G9797" s="7"/>
      <c r="H9797" s="8"/>
      <c r="I9797" s="8"/>
      <c r="J9797" s="7"/>
      <c r="K9797" s="7"/>
      <c r="L9797" s="7"/>
      <c r="M9797" s="7"/>
      <c r="N9797" s="7"/>
      <c r="O9797" s="7"/>
      <c r="P9797" s="7"/>
      <c r="Q9797" s="7"/>
      <c r="R9797" s="7"/>
      <c r="S9797" s="7"/>
      <c r="T9797" s="7"/>
      <c r="U9797" s="7"/>
      <c r="V9797" s="7"/>
      <c r="W9797" s="7"/>
      <c r="X9797" s="7"/>
      <c r="Y9797" s="7"/>
      <c r="Z9797" s="7"/>
    </row>
    <row r="9798" hidden="1">
      <c r="A9798" s="7"/>
      <c r="B9798" s="7"/>
      <c r="C9798" s="7"/>
      <c r="D9798" s="7"/>
      <c r="E9798" s="7"/>
      <c r="F9798" s="7"/>
      <c r="G9798" s="7"/>
      <c r="H9798" s="8"/>
      <c r="I9798" s="8"/>
      <c r="J9798" s="7"/>
      <c r="K9798" s="7"/>
      <c r="L9798" s="7"/>
      <c r="M9798" s="7"/>
      <c r="N9798" s="7"/>
      <c r="O9798" s="7"/>
      <c r="P9798" s="7"/>
      <c r="Q9798" s="7"/>
      <c r="R9798" s="7"/>
      <c r="S9798" s="7"/>
      <c r="T9798" s="7"/>
      <c r="U9798" s="7"/>
      <c r="V9798" s="7"/>
      <c r="W9798" s="7"/>
      <c r="X9798" s="7"/>
      <c r="Y9798" s="7"/>
      <c r="Z9798" s="7"/>
    </row>
    <row r="9799" hidden="1">
      <c r="A9799" s="7"/>
      <c r="B9799" s="7"/>
      <c r="C9799" s="7"/>
      <c r="D9799" s="7"/>
      <c r="E9799" s="7"/>
      <c r="F9799" s="7"/>
      <c r="G9799" s="7"/>
      <c r="H9799" s="8"/>
      <c r="I9799" s="8"/>
      <c r="J9799" s="7"/>
      <c r="K9799" s="7"/>
      <c r="L9799" s="7"/>
      <c r="M9799" s="7"/>
      <c r="N9799" s="7"/>
      <c r="O9799" s="7"/>
      <c r="P9799" s="7"/>
      <c r="Q9799" s="7"/>
      <c r="R9799" s="7"/>
      <c r="S9799" s="7"/>
      <c r="T9799" s="7"/>
      <c r="U9799" s="7"/>
      <c r="V9799" s="7"/>
      <c r="W9799" s="7"/>
      <c r="X9799" s="7"/>
      <c r="Y9799" s="7"/>
      <c r="Z9799" s="7"/>
    </row>
    <row r="9800" hidden="1">
      <c r="A9800" s="7"/>
      <c r="B9800" s="7"/>
      <c r="C9800" s="7"/>
      <c r="D9800" s="7"/>
      <c r="E9800" s="7"/>
      <c r="F9800" s="7"/>
      <c r="G9800" s="7"/>
      <c r="H9800" s="8"/>
      <c r="I9800" s="8"/>
      <c r="J9800" s="7"/>
      <c r="K9800" s="7"/>
      <c r="L9800" s="7"/>
      <c r="M9800" s="7"/>
      <c r="N9800" s="7"/>
      <c r="O9800" s="7"/>
      <c r="P9800" s="7"/>
      <c r="Q9800" s="7"/>
      <c r="R9800" s="7"/>
      <c r="S9800" s="7"/>
      <c r="T9800" s="7"/>
      <c r="U9800" s="7"/>
      <c r="V9800" s="7"/>
      <c r="W9800" s="7"/>
      <c r="X9800" s="7"/>
      <c r="Y9800" s="7"/>
      <c r="Z9800" s="7"/>
    </row>
    <row r="9801" hidden="1">
      <c r="A9801" s="7"/>
      <c r="B9801" s="7"/>
      <c r="C9801" s="7"/>
      <c r="D9801" s="7"/>
      <c r="E9801" s="7"/>
      <c r="F9801" s="7"/>
      <c r="G9801" s="7"/>
      <c r="H9801" s="8"/>
      <c r="I9801" s="8"/>
      <c r="J9801" s="7"/>
      <c r="K9801" s="7"/>
      <c r="L9801" s="7"/>
      <c r="M9801" s="7"/>
      <c r="N9801" s="7"/>
      <c r="O9801" s="7"/>
      <c r="P9801" s="7"/>
      <c r="Q9801" s="7"/>
      <c r="R9801" s="7"/>
      <c r="S9801" s="7"/>
      <c r="T9801" s="7"/>
      <c r="U9801" s="7"/>
      <c r="V9801" s="7"/>
      <c r="W9801" s="7"/>
      <c r="X9801" s="7"/>
      <c r="Y9801" s="7"/>
      <c r="Z9801" s="7"/>
    </row>
    <row r="9802" hidden="1">
      <c r="A9802" s="7"/>
      <c r="B9802" s="7"/>
      <c r="C9802" s="7"/>
      <c r="D9802" s="7"/>
      <c r="E9802" s="7"/>
      <c r="F9802" s="7"/>
      <c r="G9802" s="7"/>
      <c r="H9802" s="8"/>
      <c r="I9802" s="8"/>
      <c r="J9802" s="7"/>
      <c r="K9802" s="7"/>
      <c r="L9802" s="7"/>
      <c r="M9802" s="7"/>
      <c r="N9802" s="7"/>
      <c r="O9802" s="7"/>
      <c r="P9802" s="7"/>
      <c r="Q9802" s="7"/>
      <c r="R9802" s="7"/>
      <c r="S9802" s="7"/>
      <c r="T9802" s="7"/>
      <c r="U9802" s="7"/>
      <c r="V9802" s="7"/>
      <c r="W9802" s="7"/>
      <c r="X9802" s="7"/>
      <c r="Y9802" s="7"/>
      <c r="Z9802" s="7"/>
    </row>
    <row r="9803" hidden="1">
      <c r="A9803" s="7"/>
      <c r="B9803" s="7"/>
      <c r="C9803" s="7"/>
      <c r="D9803" s="7"/>
      <c r="E9803" s="7"/>
      <c r="F9803" s="7"/>
      <c r="G9803" s="7"/>
      <c r="H9803" s="8"/>
      <c r="I9803" s="8"/>
      <c r="J9803" s="7"/>
      <c r="K9803" s="7"/>
      <c r="L9803" s="7"/>
      <c r="M9803" s="7"/>
      <c r="N9803" s="7"/>
      <c r="O9803" s="7"/>
      <c r="P9803" s="7"/>
      <c r="Q9803" s="7"/>
      <c r="R9803" s="7"/>
      <c r="S9803" s="7"/>
      <c r="T9803" s="7"/>
      <c r="U9803" s="7"/>
      <c r="V9803" s="7"/>
      <c r="W9803" s="7"/>
      <c r="X9803" s="7"/>
      <c r="Y9803" s="7"/>
      <c r="Z9803" s="7"/>
    </row>
    <row r="9804" hidden="1">
      <c r="A9804" s="7"/>
      <c r="B9804" s="7"/>
      <c r="C9804" s="7"/>
      <c r="D9804" s="7"/>
      <c r="E9804" s="7"/>
      <c r="F9804" s="7"/>
      <c r="G9804" s="7"/>
      <c r="H9804" s="8"/>
      <c r="I9804" s="8"/>
      <c r="J9804" s="7"/>
      <c r="K9804" s="7"/>
      <c r="L9804" s="7"/>
      <c r="M9804" s="7"/>
      <c r="N9804" s="7"/>
      <c r="O9804" s="7"/>
      <c r="P9804" s="7"/>
      <c r="Q9804" s="7"/>
      <c r="R9804" s="7"/>
      <c r="S9804" s="7"/>
      <c r="T9804" s="7"/>
      <c r="U9804" s="7"/>
      <c r="V9804" s="7"/>
      <c r="W9804" s="7"/>
      <c r="X9804" s="7"/>
      <c r="Y9804" s="7"/>
      <c r="Z9804" s="7"/>
    </row>
    <row r="9805" hidden="1">
      <c r="A9805" s="7"/>
      <c r="B9805" s="7"/>
      <c r="C9805" s="7"/>
      <c r="D9805" s="7"/>
      <c r="E9805" s="7"/>
      <c r="F9805" s="7"/>
      <c r="G9805" s="7"/>
      <c r="H9805" s="8"/>
      <c r="I9805" s="8"/>
      <c r="J9805" s="7"/>
      <c r="K9805" s="7"/>
      <c r="L9805" s="7"/>
      <c r="M9805" s="7"/>
      <c r="N9805" s="7"/>
      <c r="O9805" s="7"/>
      <c r="P9805" s="7"/>
      <c r="Q9805" s="7"/>
      <c r="R9805" s="7"/>
      <c r="S9805" s="7"/>
      <c r="T9805" s="7"/>
      <c r="U9805" s="7"/>
      <c r="V9805" s="7"/>
      <c r="W9805" s="7"/>
      <c r="X9805" s="7"/>
      <c r="Y9805" s="7"/>
      <c r="Z9805" s="7"/>
    </row>
    <row r="9806" hidden="1">
      <c r="A9806" s="7"/>
      <c r="B9806" s="7"/>
      <c r="C9806" s="7"/>
      <c r="D9806" s="7"/>
      <c r="E9806" s="7"/>
      <c r="F9806" s="7"/>
      <c r="G9806" s="7"/>
      <c r="H9806" s="8"/>
      <c r="I9806" s="8"/>
      <c r="J9806" s="7"/>
      <c r="K9806" s="7"/>
      <c r="L9806" s="7"/>
      <c r="M9806" s="7"/>
      <c r="N9806" s="7"/>
      <c r="O9806" s="7"/>
      <c r="P9806" s="7"/>
      <c r="Q9806" s="7"/>
      <c r="R9806" s="7"/>
      <c r="S9806" s="7"/>
      <c r="T9806" s="7"/>
      <c r="U9806" s="7"/>
      <c r="V9806" s="7"/>
      <c r="W9806" s="7"/>
      <c r="X9806" s="7"/>
      <c r="Y9806" s="7"/>
      <c r="Z9806" s="7"/>
    </row>
    <row r="9807" hidden="1">
      <c r="A9807" s="7"/>
      <c r="B9807" s="7"/>
      <c r="C9807" s="7"/>
      <c r="D9807" s="7"/>
      <c r="E9807" s="7"/>
      <c r="F9807" s="7"/>
      <c r="G9807" s="7"/>
      <c r="H9807" s="8"/>
      <c r="I9807" s="8"/>
      <c r="J9807" s="7"/>
      <c r="K9807" s="7"/>
      <c r="L9807" s="7"/>
      <c r="M9807" s="7"/>
      <c r="N9807" s="7"/>
      <c r="O9807" s="7"/>
      <c r="P9807" s="7"/>
      <c r="Q9807" s="7"/>
      <c r="R9807" s="7"/>
      <c r="S9807" s="7"/>
      <c r="T9807" s="7"/>
      <c r="U9807" s="7"/>
      <c r="V9807" s="7"/>
      <c r="W9807" s="7"/>
      <c r="X9807" s="7"/>
      <c r="Y9807" s="7"/>
      <c r="Z9807" s="7"/>
    </row>
    <row r="9808" hidden="1">
      <c r="A9808" s="7"/>
      <c r="B9808" s="7"/>
      <c r="C9808" s="7"/>
      <c r="D9808" s="7"/>
      <c r="E9808" s="7"/>
      <c r="F9808" s="7"/>
      <c r="G9808" s="7"/>
      <c r="H9808" s="8"/>
      <c r="I9808" s="8"/>
      <c r="J9808" s="7"/>
      <c r="K9808" s="7"/>
      <c r="L9808" s="7"/>
      <c r="M9808" s="7"/>
      <c r="N9808" s="7"/>
      <c r="O9808" s="7"/>
      <c r="P9808" s="7"/>
      <c r="Q9808" s="7"/>
      <c r="R9808" s="7"/>
      <c r="S9808" s="7"/>
      <c r="T9808" s="7"/>
      <c r="U9808" s="7"/>
      <c r="V9808" s="7"/>
      <c r="W9808" s="7"/>
      <c r="X9808" s="7"/>
      <c r="Y9808" s="7"/>
      <c r="Z9808" s="7"/>
    </row>
    <row r="9809" hidden="1">
      <c r="A9809" s="7"/>
      <c r="B9809" s="7"/>
      <c r="C9809" s="7"/>
      <c r="D9809" s="7"/>
      <c r="E9809" s="7"/>
      <c r="F9809" s="7"/>
      <c r="G9809" s="7"/>
      <c r="H9809" s="8"/>
      <c r="I9809" s="8"/>
      <c r="J9809" s="7"/>
      <c r="K9809" s="7"/>
      <c r="L9809" s="7"/>
      <c r="M9809" s="7"/>
      <c r="N9809" s="7"/>
      <c r="O9809" s="7"/>
      <c r="P9809" s="7"/>
      <c r="Q9809" s="7"/>
      <c r="R9809" s="7"/>
      <c r="S9809" s="7"/>
      <c r="T9809" s="7"/>
      <c r="U9809" s="7"/>
      <c r="V9809" s="7"/>
      <c r="W9809" s="7"/>
      <c r="X9809" s="7"/>
      <c r="Y9809" s="7"/>
      <c r="Z9809" s="7"/>
    </row>
    <row r="9810" hidden="1">
      <c r="A9810" s="7"/>
      <c r="B9810" s="7"/>
      <c r="C9810" s="7"/>
      <c r="D9810" s="7"/>
      <c r="E9810" s="7"/>
      <c r="F9810" s="7"/>
      <c r="G9810" s="7"/>
      <c r="H9810" s="8"/>
      <c r="I9810" s="8"/>
      <c r="J9810" s="7"/>
      <c r="K9810" s="7"/>
      <c r="L9810" s="7"/>
      <c r="M9810" s="7"/>
      <c r="N9810" s="7"/>
      <c r="O9810" s="7"/>
      <c r="P9810" s="7"/>
      <c r="Q9810" s="7"/>
      <c r="R9810" s="7"/>
      <c r="S9810" s="7"/>
      <c r="T9810" s="7"/>
      <c r="U9810" s="7"/>
      <c r="V9810" s="7"/>
      <c r="W9810" s="7"/>
      <c r="X9810" s="7"/>
      <c r="Y9810" s="7"/>
      <c r="Z9810" s="7"/>
    </row>
    <row r="9811" hidden="1">
      <c r="A9811" s="7"/>
      <c r="B9811" s="7"/>
      <c r="C9811" s="7"/>
      <c r="D9811" s="7"/>
      <c r="E9811" s="7"/>
      <c r="F9811" s="7"/>
      <c r="G9811" s="7"/>
      <c r="H9811" s="8"/>
      <c r="I9811" s="8"/>
      <c r="J9811" s="7"/>
      <c r="K9811" s="7"/>
      <c r="L9811" s="7"/>
      <c r="M9811" s="7"/>
      <c r="N9811" s="7"/>
      <c r="O9811" s="7"/>
      <c r="P9811" s="7"/>
      <c r="Q9811" s="7"/>
      <c r="R9811" s="7"/>
      <c r="S9811" s="7"/>
      <c r="T9811" s="7"/>
      <c r="U9811" s="7"/>
      <c r="V9811" s="7"/>
      <c r="W9811" s="7"/>
      <c r="X9811" s="7"/>
      <c r="Y9811" s="7"/>
      <c r="Z9811" s="7"/>
    </row>
    <row r="9812" hidden="1">
      <c r="A9812" s="7"/>
      <c r="B9812" s="7"/>
      <c r="C9812" s="7"/>
      <c r="D9812" s="7"/>
      <c r="E9812" s="7"/>
      <c r="F9812" s="7"/>
      <c r="G9812" s="7"/>
      <c r="H9812" s="8"/>
      <c r="I9812" s="8"/>
      <c r="J9812" s="7"/>
      <c r="K9812" s="7"/>
      <c r="L9812" s="7"/>
      <c r="M9812" s="7"/>
      <c r="N9812" s="7"/>
      <c r="O9812" s="7"/>
      <c r="P9812" s="7"/>
      <c r="Q9812" s="7"/>
      <c r="R9812" s="7"/>
      <c r="S9812" s="7"/>
      <c r="T9812" s="7"/>
      <c r="U9812" s="7"/>
      <c r="V9812" s="7"/>
      <c r="W9812" s="7"/>
      <c r="X9812" s="7"/>
      <c r="Y9812" s="7"/>
      <c r="Z9812" s="7"/>
    </row>
    <row r="9813" hidden="1">
      <c r="A9813" s="7"/>
      <c r="B9813" s="7"/>
      <c r="C9813" s="7"/>
      <c r="D9813" s="7"/>
      <c r="E9813" s="7"/>
      <c r="F9813" s="7"/>
      <c r="G9813" s="7"/>
      <c r="H9813" s="8"/>
      <c r="I9813" s="8"/>
      <c r="J9813" s="7"/>
      <c r="K9813" s="7"/>
      <c r="L9813" s="7"/>
      <c r="M9813" s="7"/>
      <c r="N9813" s="7"/>
      <c r="O9813" s="7"/>
      <c r="P9813" s="7"/>
      <c r="Q9813" s="7"/>
      <c r="R9813" s="7"/>
      <c r="S9813" s="7"/>
      <c r="T9813" s="7"/>
      <c r="U9813" s="7"/>
      <c r="V9813" s="7"/>
      <c r="W9813" s="7"/>
      <c r="X9813" s="7"/>
      <c r="Y9813" s="7"/>
      <c r="Z9813" s="7"/>
    </row>
    <row r="9814" hidden="1">
      <c r="A9814" s="7"/>
      <c r="B9814" s="7"/>
      <c r="C9814" s="7"/>
      <c r="D9814" s="7"/>
      <c r="E9814" s="7"/>
      <c r="F9814" s="7"/>
      <c r="G9814" s="7"/>
      <c r="H9814" s="8"/>
      <c r="I9814" s="8"/>
      <c r="J9814" s="7"/>
      <c r="K9814" s="7"/>
      <c r="L9814" s="7"/>
      <c r="M9814" s="7"/>
      <c r="N9814" s="7"/>
      <c r="O9814" s="7"/>
      <c r="P9814" s="7"/>
      <c r="Q9814" s="7"/>
      <c r="R9814" s="7"/>
      <c r="S9814" s="7"/>
      <c r="T9814" s="7"/>
      <c r="U9814" s="7"/>
      <c r="V9814" s="7"/>
      <c r="W9814" s="7"/>
      <c r="X9814" s="7"/>
      <c r="Y9814" s="7"/>
      <c r="Z9814" s="7"/>
    </row>
    <row r="9815" hidden="1">
      <c r="A9815" s="7"/>
      <c r="B9815" s="7"/>
      <c r="C9815" s="7"/>
      <c r="D9815" s="7"/>
      <c r="E9815" s="7"/>
      <c r="F9815" s="7"/>
      <c r="G9815" s="7"/>
      <c r="H9815" s="8"/>
      <c r="I9815" s="8"/>
      <c r="J9815" s="7"/>
      <c r="K9815" s="7"/>
      <c r="L9815" s="7"/>
      <c r="M9815" s="7"/>
      <c r="N9815" s="7"/>
      <c r="O9815" s="7"/>
      <c r="P9815" s="7"/>
      <c r="Q9815" s="7"/>
      <c r="R9815" s="7"/>
      <c r="S9815" s="7"/>
      <c r="T9815" s="7"/>
      <c r="U9815" s="7"/>
      <c r="V9815" s="7"/>
      <c r="W9815" s="7"/>
      <c r="X9815" s="7"/>
      <c r="Y9815" s="7"/>
      <c r="Z9815" s="7"/>
    </row>
    <row r="9816" hidden="1">
      <c r="A9816" s="7"/>
      <c r="B9816" s="7"/>
      <c r="C9816" s="7"/>
      <c r="D9816" s="7"/>
      <c r="E9816" s="7"/>
      <c r="F9816" s="7"/>
      <c r="G9816" s="7"/>
      <c r="H9816" s="8"/>
      <c r="I9816" s="8"/>
      <c r="J9816" s="7"/>
      <c r="K9816" s="7"/>
      <c r="L9816" s="7"/>
      <c r="M9816" s="7"/>
      <c r="N9816" s="7"/>
      <c r="O9816" s="7"/>
      <c r="P9816" s="7"/>
      <c r="Q9816" s="7"/>
      <c r="R9816" s="7"/>
      <c r="S9816" s="7"/>
      <c r="T9816" s="7"/>
      <c r="U9816" s="7"/>
      <c r="V9816" s="7"/>
      <c r="W9816" s="7"/>
      <c r="X9816" s="7"/>
      <c r="Y9816" s="7"/>
      <c r="Z9816" s="7"/>
    </row>
    <row r="9817" hidden="1">
      <c r="A9817" s="7"/>
      <c r="B9817" s="7"/>
      <c r="C9817" s="7"/>
      <c r="D9817" s="7"/>
      <c r="E9817" s="7"/>
      <c r="F9817" s="7"/>
      <c r="G9817" s="7"/>
      <c r="H9817" s="8"/>
      <c r="I9817" s="8"/>
      <c r="J9817" s="7"/>
      <c r="K9817" s="7"/>
      <c r="L9817" s="7"/>
      <c r="M9817" s="7"/>
      <c r="N9817" s="7"/>
      <c r="O9817" s="7"/>
      <c r="P9817" s="7"/>
      <c r="Q9817" s="7"/>
      <c r="R9817" s="7"/>
      <c r="S9817" s="7"/>
      <c r="T9817" s="7"/>
      <c r="U9817" s="7"/>
      <c r="V9817" s="7"/>
      <c r="W9817" s="7"/>
      <c r="X9817" s="7"/>
      <c r="Y9817" s="7"/>
      <c r="Z9817" s="7"/>
    </row>
    <row r="9818" hidden="1">
      <c r="A9818" s="7"/>
      <c r="B9818" s="7"/>
      <c r="C9818" s="7"/>
      <c r="D9818" s="7"/>
      <c r="E9818" s="7"/>
      <c r="F9818" s="7"/>
      <c r="G9818" s="7"/>
      <c r="H9818" s="8"/>
      <c r="I9818" s="8"/>
      <c r="J9818" s="7"/>
      <c r="K9818" s="7"/>
      <c r="L9818" s="7"/>
      <c r="M9818" s="7"/>
      <c r="N9818" s="7"/>
      <c r="O9818" s="7"/>
      <c r="P9818" s="7"/>
      <c r="Q9818" s="7"/>
      <c r="R9818" s="7"/>
      <c r="S9818" s="7"/>
      <c r="T9818" s="7"/>
      <c r="U9818" s="7"/>
      <c r="V9818" s="7"/>
      <c r="W9818" s="7"/>
      <c r="X9818" s="7"/>
      <c r="Y9818" s="7"/>
      <c r="Z9818" s="7"/>
    </row>
    <row r="9819" hidden="1">
      <c r="A9819" s="7"/>
      <c r="B9819" s="7"/>
      <c r="C9819" s="7"/>
      <c r="D9819" s="7"/>
      <c r="E9819" s="7"/>
      <c r="F9819" s="7"/>
      <c r="G9819" s="7"/>
      <c r="H9819" s="8"/>
      <c r="I9819" s="8"/>
      <c r="J9819" s="7"/>
      <c r="K9819" s="7"/>
      <c r="L9819" s="7"/>
      <c r="M9819" s="7"/>
      <c r="N9819" s="7"/>
      <c r="O9819" s="7"/>
      <c r="P9819" s="7"/>
      <c r="Q9819" s="7"/>
      <c r="R9819" s="7"/>
      <c r="S9819" s="7"/>
      <c r="T9819" s="7"/>
      <c r="U9819" s="7"/>
      <c r="V9819" s="7"/>
      <c r="W9819" s="7"/>
      <c r="X9819" s="7"/>
      <c r="Y9819" s="7"/>
      <c r="Z9819" s="7"/>
    </row>
    <row r="9820" hidden="1">
      <c r="A9820" s="7"/>
      <c r="B9820" s="7"/>
      <c r="C9820" s="7"/>
      <c r="D9820" s="7"/>
      <c r="E9820" s="7"/>
      <c r="F9820" s="7"/>
      <c r="G9820" s="7"/>
      <c r="H9820" s="8"/>
      <c r="I9820" s="8"/>
      <c r="J9820" s="7"/>
      <c r="K9820" s="7"/>
      <c r="L9820" s="7"/>
      <c r="M9820" s="7"/>
      <c r="N9820" s="7"/>
      <c r="O9820" s="7"/>
      <c r="P9820" s="7"/>
      <c r="Q9820" s="7"/>
      <c r="R9820" s="7"/>
      <c r="S9820" s="7"/>
      <c r="T9820" s="7"/>
      <c r="U9820" s="7"/>
      <c r="V9820" s="7"/>
      <c r="W9820" s="7"/>
      <c r="X9820" s="7"/>
      <c r="Y9820" s="7"/>
      <c r="Z9820" s="7"/>
    </row>
    <row r="9821" hidden="1">
      <c r="A9821" s="7"/>
      <c r="B9821" s="7"/>
      <c r="C9821" s="7"/>
      <c r="D9821" s="7"/>
      <c r="E9821" s="7"/>
      <c r="F9821" s="7"/>
      <c r="G9821" s="7"/>
      <c r="H9821" s="8"/>
      <c r="I9821" s="8"/>
      <c r="J9821" s="7"/>
      <c r="K9821" s="7"/>
      <c r="L9821" s="7"/>
      <c r="M9821" s="7"/>
      <c r="N9821" s="7"/>
      <c r="O9821" s="7"/>
      <c r="P9821" s="7"/>
      <c r="Q9821" s="7"/>
      <c r="R9821" s="7"/>
      <c r="S9821" s="7"/>
      <c r="T9821" s="7"/>
      <c r="U9821" s="7"/>
      <c r="V9821" s="7"/>
      <c r="W9821" s="7"/>
      <c r="X9821" s="7"/>
      <c r="Y9821" s="7"/>
      <c r="Z9821" s="7"/>
    </row>
    <row r="9822" hidden="1">
      <c r="A9822" s="7"/>
      <c r="B9822" s="7"/>
      <c r="C9822" s="7"/>
      <c r="D9822" s="7"/>
      <c r="E9822" s="7"/>
      <c r="F9822" s="7"/>
      <c r="G9822" s="7"/>
      <c r="H9822" s="8"/>
      <c r="I9822" s="8"/>
      <c r="J9822" s="7"/>
      <c r="K9822" s="7"/>
      <c r="L9822" s="7"/>
      <c r="M9822" s="7"/>
      <c r="N9822" s="7"/>
      <c r="O9822" s="7"/>
      <c r="P9822" s="7"/>
      <c r="Q9822" s="7"/>
      <c r="R9822" s="7"/>
      <c r="S9822" s="7"/>
      <c r="T9822" s="7"/>
      <c r="U9822" s="7"/>
      <c r="V9822" s="7"/>
      <c r="W9822" s="7"/>
      <c r="X9822" s="7"/>
      <c r="Y9822" s="7"/>
      <c r="Z9822" s="7"/>
    </row>
    <row r="9823" hidden="1">
      <c r="A9823" s="7"/>
      <c r="B9823" s="7"/>
      <c r="C9823" s="7"/>
      <c r="D9823" s="7"/>
      <c r="E9823" s="7"/>
      <c r="F9823" s="7"/>
      <c r="G9823" s="7"/>
      <c r="H9823" s="8"/>
      <c r="I9823" s="8"/>
      <c r="J9823" s="7"/>
      <c r="K9823" s="7"/>
      <c r="L9823" s="7"/>
      <c r="M9823" s="7"/>
      <c r="N9823" s="7"/>
      <c r="O9823" s="7"/>
      <c r="P9823" s="7"/>
      <c r="Q9823" s="7"/>
      <c r="R9823" s="7"/>
      <c r="S9823" s="7"/>
      <c r="T9823" s="7"/>
      <c r="U9823" s="7"/>
      <c r="V9823" s="7"/>
      <c r="W9823" s="7"/>
      <c r="X9823" s="7"/>
      <c r="Y9823" s="7"/>
      <c r="Z9823" s="7"/>
    </row>
    <row r="9824" hidden="1">
      <c r="A9824" s="7"/>
      <c r="B9824" s="7"/>
      <c r="C9824" s="7"/>
      <c r="D9824" s="7"/>
      <c r="E9824" s="7"/>
      <c r="F9824" s="7"/>
      <c r="G9824" s="7"/>
      <c r="H9824" s="8"/>
      <c r="I9824" s="8"/>
      <c r="J9824" s="7"/>
      <c r="K9824" s="7"/>
      <c r="L9824" s="7"/>
      <c r="M9824" s="7"/>
      <c r="N9824" s="7"/>
      <c r="O9824" s="7"/>
      <c r="P9824" s="7"/>
      <c r="Q9824" s="7"/>
      <c r="R9824" s="7"/>
      <c r="S9824" s="7"/>
      <c r="T9824" s="7"/>
      <c r="U9824" s="7"/>
      <c r="V9824" s="7"/>
      <c r="W9824" s="7"/>
      <c r="X9824" s="7"/>
      <c r="Y9824" s="7"/>
      <c r="Z9824" s="7"/>
    </row>
    <row r="9825" hidden="1">
      <c r="A9825" s="7"/>
      <c r="B9825" s="7"/>
      <c r="C9825" s="7"/>
      <c r="D9825" s="7"/>
      <c r="E9825" s="7"/>
      <c r="F9825" s="7"/>
      <c r="G9825" s="7"/>
      <c r="H9825" s="8"/>
      <c r="I9825" s="8"/>
      <c r="J9825" s="7"/>
      <c r="K9825" s="7"/>
      <c r="L9825" s="7"/>
      <c r="M9825" s="7"/>
      <c r="N9825" s="7"/>
      <c r="O9825" s="7"/>
      <c r="P9825" s="7"/>
      <c r="Q9825" s="7"/>
      <c r="R9825" s="7"/>
      <c r="S9825" s="7"/>
      <c r="T9825" s="7"/>
      <c r="U9825" s="7"/>
      <c r="V9825" s="7"/>
      <c r="W9825" s="7"/>
      <c r="X9825" s="7"/>
      <c r="Y9825" s="7"/>
      <c r="Z9825" s="7"/>
    </row>
    <row r="9826" hidden="1">
      <c r="A9826" s="7"/>
      <c r="B9826" s="7"/>
      <c r="C9826" s="7"/>
      <c r="D9826" s="7"/>
      <c r="E9826" s="7"/>
      <c r="F9826" s="7"/>
      <c r="G9826" s="7"/>
      <c r="H9826" s="8"/>
      <c r="I9826" s="8"/>
      <c r="J9826" s="7"/>
      <c r="K9826" s="7"/>
      <c r="L9826" s="7"/>
      <c r="M9826" s="7"/>
      <c r="N9826" s="7"/>
      <c r="O9826" s="7"/>
      <c r="P9826" s="7"/>
      <c r="Q9826" s="7"/>
      <c r="R9826" s="7"/>
      <c r="S9826" s="7"/>
      <c r="T9826" s="7"/>
      <c r="U9826" s="7"/>
      <c r="V9826" s="7"/>
      <c r="W9826" s="7"/>
      <c r="X9826" s="7"/>
      <c r="Y9826" s="7"/>
      <c r="Z9826" s="7"/>
    </row>
    <row r="9827" hidden="1">
      <c r="A9827" s="7"/>
      <c r="B9827" s="7"/>
      <c r="C9827" s="7"/>
      <c r="D9827" s="7"/>
      <c r="E9827" s="7"/>
      <c r="F9827" s="7"/>
      <c r="G9827" s="7"/>
      <c r="H9827" s="8"/>
      <c r="I9827" s="8"/>
      <c r="J9827" s="7"/>
      <c r="K9827" s="7"/>
      <c r="L9827" s="7"/>
      <c r="M9827" s="7"/>
      <c r="N9827" s="7"/>
      <c r="O9827" s="7"/>
      <c r="P9827" s="7"/>
      <c r="Q9827" s="7"/>
      <c r="R9827" s="7"/>
      <c r="S9827" s="7"/>
      <c r="T9827" s="7"/>
      <c r="U9827" s="7"/>
      <c r="V9827" s="7"/>
      <c r="W9827" s="7"/>
      <c r="X9827" s="7"/>
      <c r="Y9827" s="7"/>
      <c r="Z9827" s="7"/>
    </row>
    <row r="9828" hidden="1">
      <c r="A9828" s="7"/>
      <c r="B9828" s="7"/>
      <c r="C9828" s="7"/>
      <c r="D9828" s="7"/>
      <c r="E9828" s="7"/>
      <c r="F9828" s="7"/>
      <c r="G9828" s="7"/>
      <c r="H9828" s="8"/>
      <c r="I9828" s="8"/>
      <c r="J9828" s="7"/>
      <c r="K9828" s="7"/>
      <c r="L9828" s="7"/>
      <c r="M9828" s="7"/>
      <c r="N9828" s="7"/>
      <c r="O9828" s="7"/>
      <c r="P9828" s="7"/>
      <c r="Q9828" s="7"/>
      <c r="R9828" s="7"/>
      <c r="S9828" s="7"/>
      <c r="T9828" s="7"/>
      <c r="U9828" s="7"/>
      <c r="V9828" s="7"/>
      <c r="W9828" s="7"/>
      <c r="X9828" s="7"/>
      <c r="Y9828" s="7"/>
      <c r="Z9828" s="7"/>
    </row>
    <row r="9829" hidden="1">
      <c r="A9829" s="7"/>
      <c r="B9829" s="7"/>
      <c r="C9829" s="7"/>
      <c r="D9829" s="7"/>
      <c r="E9829" s="7"/>
      <c r="F9829" s="7"/>
      <c r="G9829" s="7"/>
      <c r="H9829" s="8"/>
      <c r="I9829" s="8"/>
      <c r="J9829" s="7"/>
      <c r="K9829" s="7"/>
      <c r="L9829" s="7"/>
      <c r="M9829" s="7"/>
      <c r="N9829" s="7"/>
      <c r="O9829" s="7"/>
      <c r="P9829" s="7"/>
      <c r="Q9829" s="7"/>
      <c r="R9829" s="7"/>
      <c r="S9829" s="7"/>
      <c r="T9829" s="7"/>
      <c r="U9829" s="7"/>
      <c r="V9829" s="7"/>
      <c r="W9829" s="7"/>
      <c r="X9829" s="7"/>
      <c r="Y9829" s="7"/>
      <c r="Z9829" s="7"/>
    </row>
    <row r="9830" hidden="1">
      <c r="A9830" s="7"/>
      <c r="B9830" s="7"/>
      <c r="C9830" s="7"/>
      <c r="D9830" s="7"/>
      <c r="E9830" s="7"/>
      <c r="F9830" s="7"/>
      <c r="G9830" s="7"/>
      <c r="H9830" s="8"/>
      <c r="I9830" s="8"/>
      <c r="J9830" s="7"/>
      <c r="K9830" s="7"/>
      <c r="L9830" s="7"/>
      <c r="M9830" s="7"/>
      <c r="N9830" s="7"/>
      <c r="O9830" s="7"/>
      <c r="P9830" s="7"/>
      <c r="Q9830" s="7"/>
      <c r="R9830" s="7"/>
      <c r="S9830" s="7"/>
      <c r="T9830" s="7"/>
      <c r="U9830" s="7"/>
      <c r="V9830" s="7"/>
      <c r="W9830" s="7"/>
      <c r="X9830" s="7"/>
      <c r="Y9830" s="7"/>
      <c r="Z9830" s="7"/>
    </row>
    <row r="9831" hidden="1">
      <c r="A9831" s="7"/>
      <c r="B9831" s="7"/>
      <c r="C9831" s="7"/>
      <c r="D9831" s="7"/>
      <c r="E9831" s="7"/>
      <c r="F9831" s="7"/>
      <c r="G9831" s="7"/>
      <c r="H9831" s="8"/>
      <c r="I9831" s="8"/>
      <c r="J9831" s="7"/>
      <c r="K9831" s="7"/>
      <c r="L9831" s="7"/>
      <c r="M9831" s="7"/>
      <c r="N9831" s="7"/>
      <c r="O9831" s="7"/>
      <c r="P9831" s="7"/>
      <c r="Q9831" s="7"/>
      <c r="R9831" s="7"/>
      <c r="S9831" s="7"/>
      <c r="T9831" s="7"/>
      <c r="U9831" s="7"/>
      <c r="V9831" s="7"/>
      <c r="W9831" s="7"/>
      <c r="X9831" s="7"/>
      <c r="Y9831" s="7"/>
      <c r="Z9831" s="7"/>
    </row>
    <row r="9832" hidden="1">
      <c r="A9832" s="7"/>
      <c r="B9832" s="7"/>
      <c r="C9832" s="7"/>
      <c r="D9832" s="7"/>
      <c r="E9832" s="7"/>
      <c r="F9832" s="7"/>
      <c r="G9832" s="7"/>
      <c r="H9832" s="8"/>
      <c r="I9832" s="8"/>
      <c r="J9832" s="7"/>
      <c r="K9832" s="7"/>
      <c r="L9832" s="7"/>
      <c r="M9832" s="7"/>
      <c r="N9832" s="7"/>
      <c r="O9832" s="7"/>
      <c r="P9832" s="7"/>
      <c r="Q9832" s="7"/>
      <c r="R9832" s="7"/>
      <c r="S9832" s="7"/>
      <c r="T9832" s="7"/>
      <c r="U9832" s="7"/>
      <c r="V9832" s="7"/>
      <c r="W9832" s="7"/>
      <c r="X9832" s="7"/>
      <c r="Y9832" s="7"/>
      <c r="Z9832" s="7"/>
    </row>
    <row r="9833" hidden="1">
      <c r="A9833" s="7"/>
      <c r="B9833" s="7"/>
      <c r="C9833" s="7"/>
      <c r="D9833" s="7"/>
      <c r="E9833" s="7"/>
      <c r="F9833" s="7"/>
      <c r="G9833" s="7"/>
      <c r="H9833" s="8"/>
      <c r="I9833" s="8"/>
      <c r="J9833" s="7"/>
      <c r="K9833" s="7"/>
      <c r="L9833" s="7"/>
      <c r="M9833" s="7"/>
      <c r="N9833" s="7"/>
      <c r="O9833" s="7"/>
      <c r="P9833" s="7"/>
      <c r="Q9833" s="7"/>
      <c r="R9833" s="7"/>
      <c r="S9833" s="7"/>
      <c r="T9833" s="7"/>
      <c r="U9833" s="7"/>
      <c r="V9833" s="7"/>
      <c r="W9833" s="7"/>
      <c r="X9833" s="7"/>
      <c r="Y9833" s="7"/>
      <c r="Z9833" s="7"/>
    </row>
    <row r="9834" hidden="1">
      <c r="A9834" s="7"/>
      <c r="B9834" s="7"/>
      <c r="C9834" s="7"/>
      <c r="D9834" s="7"/>
      <c r="E9834" s="7"/>
      <c r="F9834" s="7"/>
      <c r="G9834" s="7"/>
      <c r="H9834" s="8"/>
      <c r="I9834" s="8"/>
      <c r="J9834" s="7"/>
      <c r="K9834" s="7"/>
      <c r="L9834" s="7"/>
      <c r="M9834" s="7"/>
      <c r="N9834" s="7"/>
      <c r="O9834" s="7"/>
      <c r="P9834" s="7"/>
      <c r="Q9834" s="7"/>
      <c r="R9834" s="7"/>
      <c r="S9834" s="7"/>
      <c r="T9834" s="7"/>
      <c r="U9834" s="7"/>
      <c r="V9834" s="7"/>
      <c r="W9834" s="7"/>
      <c r="X9834" s="7"/>
      <c r="Y9834" s="7"/>
      <c r="Z9834" s="7"/>
    </row>
    <row r="9835" hidden="1">
      <c r="A9835" s="7"/>
      <c r="B9835" s="7"/>
      <c r="C9835" s="7"/>
      <c r="D9835" s="7"/>
      <c r="E9835" s="7"/>
      <c r="F9835" s="7"/>
      <c r="G9835" s="7"/>
      <c r="H9835" s="8"/>
      <c r="I9835" s="8"/>
      <c r="J9835" s="7"/>
      <c r="K9835" s="7"/>
      <c r="L9835" s="7"/>
      <c r="M9835" s="7"/>
      <c r="N9835" s="7"/>
      <c r="O9835" s="7"/>
      <c r="P9835" s="7"/>
      <c r="Q9835" s="7"/>
      <c r="R9835" s="7"/>
      <c r="S9835" s="7"/>
      <c r="T9835" s="7"/>
      <c r="U9835" s="7"/>
      <c r="V9835" s="7"/>
      <c r="W9835" s="7"/>
      <c r="X9835" s="7"/>
      <c r="Y9835" s="7"/>
      <c r="Z9835" s="7"/>
    </row>
    <row r="9836" hidden="1">
      <c r="A9836" s="7"/>
      <c r="B9836" s="7"/>
      <c r="C9836" s="7"/>
      <c r="D9836" s="7"/>
      <c r="E9836" s="7"/>
      <c r="F9836" s="7"/>
      <c r="G9836" s="7"/>
      <c r="H9836" s="8"/>
      <c r="I9836" s="8"/>
      <c r="J9836" s="7"/>
      <c r="K9836" s="7"/>
      <c r="L9836" s="7"/>
      <c r="M9836" s="7"/>
      <c r="N9836" s="7"/>
      <c r="O9836" s="7"/>
      <c r="P9836" s="7"/>
      <c r="Q9836" s="7"/>
      <c r="R9836" s="7"/>
      <c r="S9836" s="7"/>
      <c r="T9836" s="7"/>
      <c r="U9836" s="7"/>
      <c r="V9836" s="7"/>
      <c r="W9836" s="7"/>
      <c r="X9836" s="7"/>
      <c r="Y9836" s="7"/>
      <c r="Z9836" s="7"/>
    </row>
    <row r="9837" hidden="1">
      <c r="A9837" s="7"/>
      <c r="B9837" s="7"/>
      <c r="C9837" s="7"/>
      <c r="D9837" s="7"/>
      <c r="E9837" s="7"/>
      <c r="F9837" s="7"/>
      <c r="G9837" s="7"/>
      <c r="H9837" s="8"/>
      <c r="I9837" s="8"/>
      <c r="J9837" s="7"/>
      <c r="K9837" s="7"/>
      <c r="L9837" s="7"/>
      <c r="M9837" s="7"/>
      <c r="N9837" s="7"/>
      <c r="O9837" s="7"/>
      <c r="P9837" s="7"/>
      <c r="Q9837" s="7"/>
      <c r="R9837" s="7"/>
      <c r="S9837" s="7"/>
      <c r="T9837" s="7"/>
      <c r="U9837" s="7"/>
      <c r="V9837" s="7"/>
      <c r="W9837" s="7"/>
      <c r="X9837" s="7"/>
      <c r="Y9837" s="7"/>
      <c r="Z9837" s="7"/>
    </row>
    <row r="9838" hidden="1">
      <c r="A9838" s="7"/>
      <c r="B9838" s="7"/>
      <c r="C9838" s="7"/>
      <c r="D9838" s="7"/>
      <c r="E9838" s="7"/>
      <c r="F9838" s="7"/>
      <c r="G9838" s="7"/>
      <c r="H9838" s="8"/>
      <c r="I9838" s="8"/>
      <c r="J9838" s="7"/>
      <c r="K9838" s="7"/>
      <c r="L9838" s="7"/>
      <c r="M9838" s="7"/>
      <c r="N9838" s="7"/>
      <c r="O9838" s="7"/>
      <c r="P9838" s="7"/>
      <c r="Q9838" s="7"/>
      <c r="R9838" s="7"/>
      <c r="S9838" s="7"/>
      <c r="T9838" s="7"/>
      <c r="U9838" s="7"/>
      <c r="V9838" s="7"/>
      <c r="W9838" s="7"/>
      <c r="X9838" s="7"/>
      <c r="Y9838" s="7"/>
      <c r="Z9838" s="7"/>
    </row>
    <row r="9839" hidden="1">
      <c r="A9839" s="7"/>
      <c r="B9839" s="7"/>
      <c r="C9839" s="7"/>
      <c r="D9839" s="7"/>
      <c r="E9839" s="7"/>
      <c r="F9839" s="7"/>
      <c r="G9839" s="7"/>
      <c r="H9839" s="8"/>
      <c r="I9839" s="8"/>
      <c r="J9839" s="7"/>
      <c r="K9839" s="7"/>
      <c r="L9839" s="7"/>
      <c r="M9839" s="7"/>
      <c r="N9839" s="7"/>
      <c r="O9839" s="7"/>
      <c r="P9839" s="7"/>
      <c r="Q9839" s="7"/>
      <c r="R9839" s="7"/>
      <c r="S9839" s="7"/>
      <c r="T9839" s="7"/>
      <c r="U9839" s="7"/>
      <c r="V9839" s="7"/>
      <c r="W9839" s="7"/>
      <c r="X9839" s="7"/>
      <c r="Y9839" s="7"/>
      <c r="Z9839" s="7"/>
    </row>
    <row r="9840" hidden="1">
      <c r="A9840" s="7"/>
      <c r="B9840" s="7"/>
      <c r="C9840" s="7"/>
      <c r="D9840" s="7"/>
      <c r="E9840" s="7"/>
      <c r="F9840" s="7"/>
      <c r="G9840" s="7"/>
      <c r="H9840" s="8"/>
      <c r="I9840" s="8"/>
      <c r="J9840" s="7"/>
      <c r="K9840" s="7"/>
      <c r="L9840" s="7"/>
      <c r="M9840" s="7"/>
      <c r="N9840" s="7"/>
      <c r="O9840" s="7"/>
      <c r="P9840" s="7"/>
      <c r="Q9840" s="7"/>
      <c r="R9840" s="7"/>
      <c r="S9840" s="7"/>
      <c r="T9840" s="7"/>
      <c r="U9840" s="7"/>
      <c r="V9840" s="7"/>
      <c r="W9840" s="7"/>
      <c r="X9840" s="7"/>
      <c r="Y9840" s="7"/>
      <c r="Z9840" s="7"/>
    </row>
    <row r="9841" hidden="1">
      <c r="A9841" s="7"/>
      <c r="B9841" s="7"/>
      <c r="C9841" s="7"/>
      <c r="D9841" s="7"/>
      <c r="E9841" s="7"/>
      <c r="F9841" s="7"/>
      <c r="G9841" s="7"/>
      <c r="H9841" s="8"/>
      <c r="I9841" s="8"/>
      <c r="J9841" s="7"/>
      <c r="K9841" s="7"/>
      <c r="L9841" s="7"/>
      <c r="M9841" s="7"/>
      <c r="N9841" s="7"/>
      <c r="O9841" s="7"/>
      <c r="P9841" s="7"/>
      <c r="Q9841" s="7"/>
      <c r="R9841" s="7"/>
      <c r="S9841" s="7"/>
      <c r="T9841" s="7"/>
      <c r="U9841" s="7"/>
      <c r="V9841" s="7"/>
      <c r="W9841" s="7"/>
      <c r="X9841" s="7"/>
      <c r="Y9841" s="7"/>
      <c r="Z9841" s="7"/>
    </row>
    <row r="9842" hidden="1">
      <c r="A9842" s="7"/>
      <c r="B9842" s="7"/>
      <c r="C9842" s="7"/>
      <c r="D9842" s="7"/>
      <c r="E9842" s="7"/>
      <c r="F9842" s="7"/>
      <c r="G9842" s="7"/>
      <c r="H9842" s="8"/>
      <c r="I9842" s="8"/>
      <c r="J9842" s="7"/>
      <c r="K9842" s="7"/>
      <c r="L9842" s="7"/>
      <c r="M9842" s="7"/>
      <c r="N9842" s="7"/>
      <c r="O9842" s="7"/>
      <c r="P9842" s="7"/>
      <c r="Q9842" s="7"/>
      <c r="R9842" s="7"/>
      <c r="S9842" s="7"/>
      <c r="T9842" s="7"/>
      <c r="U9842" s="7"/>
      <c r="V9842" s="7"/>
      <c r="W9842" s="7"/>
      <c r="X9842" s="7"/>
      <c r="Y9842" s="7"/>
      <c r="Z9842" s="7"/>
    </row>
    <row r="9843" hidden="1">
      <c r="A9843" s="7"/>
      <c r="B9843" s="7"/>
      <c r="C9843" s="7"/>
      <c r="D9843" s="7"/>
      <c r="E9843" s="7"/>
      <c r="F9843" s="7"/>
      <c r="G9843" s="7"/>
      <c r="H9843" s="8"/>
      <c r="I9843" s="8"/>
      <c r="J9843" s="7"/>
      <c r="K9843" s="7"/>
      <c r="L9843" s="7"/>
      <c r="M9843" s="7"/>
      <c r="N9843" s="7"/>
      <c r="O9843" s="7"/>
      <c r="P9843" s="7"/>
      <c r="Q9843" s="7"/>
      <c r="R9843" s="7"/>
      <c r="S9843" s="7"/>
      <c r="T9843" s="7"/>
      <c r="U9843" s="7"/>
      <c r="V9843" s="7"/>
      <c r="W9843" s="7"/>
      <c r="X9843" s="7"/>
      <c r="Y9843" s="7"/>
      <c r="Z9843" s="7"/>
    </row>
    <row r="9844" hidden="1">
      <c r="A9844" s="7"/>
      <c r="B9844" s="7"/>
      <c r="C9844" s="7"/>
      <c r="D9844" s="7"/>
      <c r="E9844" s="7"/>
      <c r="F9844" s="7"/>
      <c r="G9844" s="7"/>
      <c r="H9844" s="8"/>
      <c r="I9844" s="8"/>
      <c r="J9844" s="7"/>
      <c r="K9844" s="7"/>
      <c r="L9844" s="7"/>
      <c r="M9844" s="7"/>
      <c r="N9844" s="7"/>
      <c r="O9844" s="7"/>
      <c r="P9844" s="7"/>
      <c r="Q9844" s="7"/>
      <c r="R9844" s="7"/>
      <c r="S9844" s="7"/>
      <c r="T9844" s="7"/>
      <c r="U9844" s="7"/>
      <c r="V9844" s="7"/>
      <c r="W9844" s="7"/>
      <c r="X9844" s="7"/>
      <c r="Y9844" s="7"/>
      <c r="Z9844" s="7"/>
    </row>
    <row r="9845" hidden="1">
      <c r="A9845" s="7"/>
      <c r="B9845" s="7"/>
      <c r="C9845" s="7"/>
      <c r="D9845" s="7"/>
      <c r="E9845" s="7"/>
      <c r="F9845" s="7"/>
      <c r="G9845" s="7"/>
      <c r="H9845" s="8"/>
      <c r="I9845" s="8"/>
      <c r="J9845" s="7"/>
      <c r="K9845" s="7"/>
      <c r="L9845" s="7"/>
      <c r="M9845" s="7"/>
      <c r="N9845" s="7"/>
      <c r="O9845" s="7"/>
      <c r="P9845" s="7"/>
      <c r="Q9845" s="7"/>
      <c r="R9845" s="7"/>
      <c r="S9845" s="7"/>
      <c r="T9845" s="7"/>
      <c r="U9845" s="7"/>
      <c r="V9845" s="7"/>
      <c r="W9845" s="7"/>
      <c r="X9845" s="7"/>
      <c r="Y9845" s="7"/>
      <c r="Z9845" s="7"/>
    </row>
    <row r="9846" hidden="1">
      <c r="A9846" s="7"/>
      <c r="B9846" s="7"/>
      <c r="C9846" s="7"/>
      <c r="D9846" s="7"/>
      <c r="E9846" s="7"/>
      <c r="F9846" s="7"/>
      <c r="G9846" s="7"/>
      <c r="H9846" s="8"/>
      <c r="I9846" s="8"/>
      <c r="J9846" s="7"/>
      <c r="K9846" s="7"/>
      <c r="L9846" s="7"/>
      <c r="M9846" s="7"/>
      <c r="N9846" s="7"/>
      <c r="O9846" s="7"/>
      <c r="P9846" s="7"/>
      <c r="Q9846" s="7"/>
      <c r="R9846" s="7"/>
      <c r="S9846" s="7"/>
      <c r="T9846" s="7"/>
      <c r="U9846" s="7"/>
      <c r="V9846" s="7"/>
      <c r="W9846" s="7"/>
      <c r="X9846" s="7"/>
      <c r="Y9846" s="7"/>
      <c r="Z9846" s="7"/>
    </row>
    <row r="9847" hidden="1">
      <c r="A9847" s="7"/>
      <c r="B9847" s="7"/>
      <c r="C9847" s="7"/>
      <c r="D9847" s="7"/>
      <c r="E9847" s="7"/>
      <c r="F9847" s="7"/>
      <c r="G9847" s="7"/>
      <c r="H9847" s="8"/>
      <c r="I9847" s="8"/>
      <c r="J9847" s="7"/>
      <c r="K9847" s="7"/>
      <c r="L9847" s="7"/>
      <c r="M9847" s="7"/>
      <c r="N9847" s="7"/>
      <c r="O9847" s="7"/>
      <c r="P9847" s="7"/>
      <c r="Q9847" s="7"/>
      <c r="R9847" s="7"/>
      <c r="S9847" s="7"/>
      <c r="T9847" s="7"/>
      <c r="U9847" s="7"/>
      <c r="V9847" s="7"/>
      <c r="W9847" s="7"/>
      <c r="X9847" s="7"/>
      <c r="Y9847" s="7"/>
      <c r="Z9847" s="7"/>
    </row>
    <row r="9848" hidden="1">
      <c r="A9848" s="7"/>
      <c r="B9848" s="7"/>
      <c r="C9848" s="7"/>
      <c r="D9848" s="7"/>
      <c r="E9848" s="7"/>
      <c r="F9848" s="7"/>
      <c r="G9848" s="7"/>
      <c r="H9848" s="8"/>
      <c r="I9848" s="8"/>
      <c r="J9848" s="7"/>
      <c r="K9848" s="7"/>
      <c r="L9848" s="7"/>
      <c r="M9848" s="7"/>
      <c r="N9848" s="7"/>
      <c r="O9848" s="7"/>
      <c r="P9848" s="7"/>
      <c r="Q9848" s="7"/>
      <c r="R9848" s="7"/>
      <c r="S9848" s="7"/>
      <c r="T9848" s="7"/>
      <c r="U9848" s="7"/>
      <c r="V9848" s="7"/>
      <c r="W9848" s="7"/>
      <c r="X9848" s="7"/>
      <c r="Y9848" s="7"/>
      <c r="Z9848" s="7"/>
    </row>
    <row r="9849" hidden="1">
      <c r="A9849" s="7"/>
      <c r="B9849" s="7"/>
      <c r="C9849" s="7"/>
      <c r="D9849" s="7"/>
      <c r="E9849" s="7"/>
      <c r="F9849" s="7"/>
      <c r="G9849" s="7"/>
      <c r="H9849" s="8"/>
      <c r="I9849" s="8"/>
      <c r="J9849" s="7"/>
      <c r="K9849" s="7"/>
      <c r="L9849" s="7"/>
      <c r="M9849" s="7"/>
      <c r="N9849" s="7"/>
      <c r="O9849" s="7"/>
      <c r="P9849" s="7"/>
      <c r="Q9849" s="7"/>
      <c r="R9849" s="7"/>
      <c r="S9849" s="7"/>
      <c r="T9849" s="7"/>
      <c r="U9849" s="7"/>
      <c r="V9849" s="7"/>
      <c r="W9849" s="7"/>
      <c r="X9849" s="7"/>
      <c r="Y9849" s="7"/>
      <c r="Z9849" s="7"/>
    </row>
    <row r="9850" hidden="1">
      <c r="A9850" s="7"/>
      <c r="B9850" s="7"/>
      <c r="C9850" s="7"/>
      <c r="D9850" s="7"/>
      <c r="E9850" s="7"/>
      <c r="F9850" s="7"/>
      <c r="G9850" s="7"/>
      <c r="H9850" s="8"/>
      <c r="I9850" s="8"/>
      <c r="J9850" s="7"/>
      <c r="K9850" s="7"/>
      <c r="L9850" s="7"/>
      <c r="M9850" s="7"/>
      <c r="N9850" s="7"/>
      <c r="O9850" s="7"/>
      <c r="P9850" s="7"/>
      <c r="Q9850" s="7"/>
      <c r="R9850" s="7"/>
      <c r="S9850" s="7"/>
      <c r="T9850" s="7"/>
      <c r="U9850" s="7"/>
      <c r="V9850" s="7"/>
      <c r="W9850" s="7"/>
      <c r="X9850" s="7"/>
      <c r="Y9850" s="7"/>
      <c r="Z9850" s="7"/>
    </row>
    <row r="9851" hidden="1">
      <c r="A9851" s="7"/>
      <c r="B9851" s="7"/>
      <c r="C9851" s="7"/>
      <c r="D9851" s="7"/>
      <c r="E9851" s="7"/>
      <c r="F9851" s="7"/>
      <c r="G9851" s="7"/>
      <c r="H9851" s="8"/>
      <c r="I9851" s="8"/>
      <c r="J9851" s="7"/>
      <c r="K9851" s="7"/>
      <c r="L9851" s="7"/>
      <c r="M9851" s="7"/>
      <c r="N9851" s="7"/>
      <c r="O9851" s="7"/>
      <c r="P9851" s="7"/>
      <c r="Q9851" s="7"/>
      <c r="R9851" s="7"/>
      <c r="S9851" s="7"/>
      <c r="T9851" s="7"/>
      <c r="U9851" s="7"/>
      <c r="V9851" s="7"/>
      <c r="W9851" s="7"/>
      <c r="X9851" s="7"/>
      <c r="Y9851" s="7"/>
      <c r="Z9851" s="7"/>
    </row>
    <row r="9852" hidden="1">
      <c r="A9852" s="7"/>
      <c r="B9852" s="7"/>
      <c r="C9852" s="7"/>
      <c r="D9852" s="7"/>
      <c r="E9852" s="7"/>
      <c r="F9852" s="7"/>
      <c r="G9852" s="7"/>
      <c r="H9852" s="8"/>
      <c r="I9852" s="8"/>
      <c r="J9852" s="7"/>
      <c r="K9852" s="7"/>
      <c r="L9852" s="7"/>
      <c r="M9852" s="7"/>
      <c r="N9852" s="7"/>
      <c r="O9852" s="7"/>
      <c r="P9852" s="7"/>
      <c r="Q9852" s="7"/>
      <c r="R9852" s="7"/>
      <c r="S9852" s="7"/>
      <c r="T9852" s="7"/>
      <c r="U9852" s="7"/>
      <c r="V9852" s="7"/>
      <c r="W9852" s="7"/>
      <c r="X9852" s="7"/>
      <c r="Y9852" s="7"/>
      <c r="Z9852" s="7"/>
    </row>
    <row r="9853" hidden="1">
      <c r="A9853" s="7"/>
      <c r="B9853" s="7"/>
      <c r="C9853" s="7"/>
      <c r="D9853" s="7"/>
      <c r="E9853" s="7"/>
      <c r="F9853" s="7"/>
      <c r="G9853" s="7"/>
      <c r="H9853" s="8"/>
      <c r="I9853" s="8"/>
      <c r="J9853" s="7"/>
      <c r="K9853" s="7"/>
      <c r="L9853" s="7"/>
      <c r="M9853" s="7"/>
      <c r="N9853" s="7"/>
      <c r="O9853" s="7"/>
      <c r="P9853" s="7"/>
      <c r="Q9853" s="7"/>
      <c r="R9853" s="7"/>
      <c r="S9853" s="7"/>
      <c r="T9853" s="7"/>
      <c r="U9853" s="7"/>
      <c r="V9853" s="7"/>
      <c r="W9853" s="7"/>
      <c r="X9853" s="7"/>
      <c r="Y9853" s="7"/>
      <c r="Z9853" s="7"/>
    </row>
    <row r="9854" hidden="1">
      <c r="A9854" s="7"/>
      <c r="B9854" s="7"/>
      <c r="C9854" s="7"/>
      <c r="D9854" s="7"/>
      <c r="E9854" s="7"/>
      <c r="F9854" s="7"/>
      <c r="G9854" s="7"/>
      <c r="H9854" s="8"/>
      <c r="I9854" s="8"/>
      <c r="J9854" s="7"/>
      <c r="K9854" s="7"/>
      <c r="L9854" s="7"/>
      <c r="M9854" s="7"/>
      <c r="N9854" s="7"/>
      <c r="O9854" s="7"/>
      <c r="P9854" s="7"/>
      <c r="Q9854" s="7"/>
      <c r="R9854" s="7"/>
      <c r="S9854" s="7"/>
      <c r="T9854" s="7"/>
      <c r="U9854" s="7"/>
      <c r="V9854" s="7"/>
      <c r="W9854" s="7"/>
      <c r="X9854" s="7"/>
      <c r="Y9854" s="7"/>
      <c r="Z9854" s="7"/>
    </row>
    <row r="9855" hidden="1">
      <c r="A9855" s="7"/>
      <c r="B9855" s="7"/>
      <c r="C9855" s="7"/>
      <c r="D9855" s="7"/>
      <c r="E9855" s="7"/>
      <c r="F9855" s="7"/>
      <c r="G9855" s="7"/>
      <c r="H9855" s="8"/>
      <c r="I9855" s="8"/>
      <c r="J9855" s="7"/>
      <c r="K9855" s="7"/>
      <c r="L9855" s="7"/>
      <c r="M9855" s="7"/>
      <c r="N9855" s="7"/>
      <c r="O9855" s="7"/>
      <c r="P9855" s="7"/>
      <c r="Q9855" s="7"/>
      <c r="R9855" s="7"/>
      <c r="S9855" s="7"/>
      <c r="T9855" s="7"/>
      <c r="U9855" s="7"/>
      <c r="V9855" s="7"/>
      <c r="W9855" s="7"/>
      <c r="X9855" s="7"/>
      <c r="Y9855" s="7"/>
      <c r="Z9855" s="7"/>
    </row>
    <row r="9856" hidden="1">
      <c r="A9856" s="7"/>
      <c r="B9856" s="7"/>
      <c r="C9856" s="7"/>
      <c r="D9856" s="7"/>
      <c r="E9856" s="7"/>
      <c r="F9856" s="7"/>
      <c r="G9856" s="7"/>
      <c r="H9856" s="8"/>
      <c r="I9856" s="8"/>
      <c r="J9856" s="7"/>
      <c r="K9856" s="7"/>
      <c r="L9856" s="7"/>
      <c r="M9856" s="7"/>
      <c r="N9856" s="7"/>
      <c r="O9856" s="7"/>
      <c r="P9856" s="7"/>
      <c r="Q9856" s="7"/>
      <c r="R9856" s="7"/>
      <c r="S9856" s="7"/>
      <c r="T9856" s="7"/>
      <c r="U9856" s="7"/>
      <c r="V9856" s="7"/>
      <c r="W9856" s="7"/>
      <c r="X9856" s="7"/>
      <c r="Y9856" s="7"/>
      <c r="Z9856" s="7"/>
    </row>
    <row r="9857" hidden="1">
      <c r="A9857" s="7"/>
      <c r="B9857" s="7"/>
      <c r="C9857" s="7"/>
      <c r="D9857" s="7"/>
      <c r="E9857" s="7"/>
      <c r="F9857" s="7"/>
      <c r="G9857" s="7"/>
      <c r="H9857" s="8"/>
      <c r="I9857" s="8"/>
      <c r="J9857" s="7"/>
      <c r="K9857" s="7"/>
      <c r="L9857" s="7"/>
      <c r="M9857" s="7"/>
      <c r="N9857" s="7"/>
      <c r="O9857" s="7"/>
      <c r="P9857" s="7"/>
      <c r="Q9857" s="7"/>
      <c r="R9857" s="7"/>
      <c r="S9857" s="7"/>
      <c r="T9857" s="7"/>
      <c r="U9857" s="7"/>
      <c r="V9857" s="7"/>
      <c r="W9857" s="7"/>
      <c r="X9857" s="7"/>
      <c r="Y9857" s="7"/>
      <c r="Z9857" s="7"/>
    </row>
    <row r="9858" hidden="1">
      <c r="A9858" s="7"/>
      <c r="B9858" s="7"/>
      <c r="C9858" s="7"/>
      <c r="D9858" s="7"/>
      <c r="E9858" s="7"/>
      <c r="F9858" s="7"/>
      <c r="G9858" s="7"/>
      <c r="H9858" s="8"/>
      <c r="I9858" s="8"/>
      <c r="J9858" s="7"/>
      <c r="K9858" s="7"/>
      <c r="L9858" s="7"/>
      <c r="M9858" s="7"/>
      <c r="N9858" s="7"/>
      <c r="O9858" s="7"/>
      <c r="P9858" s="7"/>
      <c r="Q9858" s="7"/>
      <c r="R9858" s="7"/>
      <c r="S9858" s="7"/>
      <c r="T9858" s="7"/>
      <c r="U9858" s="7"/>
      <c r="V9858" s="7"/>
      <c r="W9858" s="7"/>
      <c r="X9858" s="7"/>
      <c r="Y9858" s="7"/>
      <c r="Z9858" s="7"/>
    </row>
    <row r="9859" hidden="1">
      <c r="A9859" s="7"/>
      <c r="B9859" s="7"/>
      <c r="C9859" s="7"/>
      <c r="D9859" s="7"/>
      <c r="E9859" s="7"/>
      <c r="F9859" s="7"/>
      <c r="G9859" s="7"/>
      <c r="H9859" s="8"/>
      <c r="I9859" s="8"/>
      <c r="J9859" s="7"/>
      <c r="K9859" s="7"/>
      <c r="L9859" s="7"/>
      <c r="M9859" s="7"/>
      <c r="N9859" s="7"/>
      <c r="O9859" s="7"/>
      <c r="P9859" s="7"/>
      <c r="Q9859" s="7"/>
      <c r="R9859" s="7"/>
      <c r="S9859" s="7"/>
      <c r="T9859" s="7"/>
      <c r="U9859" s="7"/>
      <c r="V9859" s="7"/>
      <c r="W9859" s="7"/>
      <c r="X9859" s="7"/>
      <c r="Y9859" s="7"/>
      <c r="Z9859" s="7"/>
    </row>
    <row r="9860" hidden="1">
      <c r="A9860" s="7"/>
      <c r="B9860" s="7"/>
      <c r="C9860" s="7"/>
      <c r="D9860" s="7"/>
      <c r="E9860" s="7"/>
      <c r="F9860" s="7"/>
      <c r="G9860" s="7"/>
      <c r="H9860" s="8"/>
      <c r="I9860" s="8"/>
      <c r="J9860" s="7"/>
      <c r="K9860" s="7"/>
      <c r="L9860" s="7"/>
      <c r="M9860" s="7"/>
      <c r="N9860" s="7"/>
      <c r="O9860" s="7"/>
      <c r="P9860" s="7"/>
      <c r="Q9860" s="7"/>
      <c r="R9860" s="7"/>
      <c r="S9860" s="7"/>
      <c r="T9860" s="7"/>
      <c r="U9860" s="7"/>
      <c r="V9860" s="7"/>
      <c r="W9860" s="7"/>
      <c r="X9860" s="7"/>
      <c r="Y9860" s="7"/>
      <c r="Z9860" s="7"/>
    </row>
    <row r="9861" hidden="1">
      <c r="A9861" s="7"/>
      <c r="B9861" s="7"/>
      <c r="C9861" s="7"/>
      <c r="D9861" s="7"/>
      <c r="E9861" s="7"/>
      <c r="F9861" s="7"/>
      <c r="G9861" s="7"/>
      <c r="H9861" s="8"/>
      <c r="I9861" s="8"/>
      <c r="J9861" s="7"/>
      <c r="K9861" s="7"/>
      <c r="L9861" s="7"/>
      <c r="M9861" s="7"/>
      <c r="N9861" s="7"/>
      <c r="O9861" s="7"/>
      <c r="P9861" s="7"/>
      <c r="Q9861" s="7"/>
      <c r="R9861" s="7"/>
      <c r="S9861" s="7"/>
      <c r="T9861" s="7"/>
      <c r="U9861" s="7"/>
      <c r="V9861" s="7"/>
      <c r="W9861" s="7"/>
      <c r="X9861" s="7"/>
      <c r="Y9861" s="7"/>
      <c r="Z9861" s="7"/>
    </row>
    <row r="9862" hidden="1">
      <c r="A9862" s="7"/>
      <c r="B9862" s="7"/>
      <c r="C9862" s="7"/>
      <c r="D9862" s="7"/>
      <c r="E9862" s="7"/>
      <c r="F9862" s="7"/>
      <c r="G9862" s="7"/>
      <c r="H9862" s="8"/>
      <c r="I9862" s="8"/>
      <c r="J9862" s="7"/>
      <c r="K9862" s="7"/>
      <c r="L9862" s="7"/>
      <c r="M9862" s="7"/>
      <c r="N9862" s="7"/>
      <c r="O9862" s="7"/>
      <c r="P9862" s="7"/>
      <c r="Q9862" s="7"/>
      <c r="R9862" s="7"/>
      <c r="S9862" s="7"/>
      <c r="T9862" s="7"/>
      <c r="U9862" s="7"/>
      <c r="V9862" s="7"/>
      <c r="W9862" s="7"/>
      <c r="X9862" s="7"/>
      <c r="Y9862" s="7"/>
      <c r="Z9862" s="7"/>
    </row>
    <row r="9863" hidden="1">
      <c r="A9863" s="7"/>
      <c r="B9863" s="7"/>
      <c r="C9863" s="7"/>
      <c r="D9863" s="7"/>
      <c r="E9863" s="7"/>
      <c r="F9863" s="7"/>
      <c r="G9863" s="7"/>
      <c r="H9863" s="8"/>
      <c r="I9863" s="8"/>
      <c r="J9863" s="7"/>
      <c r="K9863" s="7"/>
      <c r="L9863" s="7"/>
      <c r="M9863" s="7"/>
      <c r="N9863" s="7"/>
      <c r="O9863" s="7"/>
      <c r="P9863" s="7"/>
      <c r="Q9863" s="7"/>
      <c r="R9863" s="7"/>
      <c r="S9863" s="7"/>
      <c r="T9863" s="7"/>
      <c r="U9863" s="7"/>
      <c r="V9863" s="7"/>
      <c r="W9863" s="7"/>
      <c r="X9863" s="7"/>
      <c r="Y9863" s="7"/>
      <c r="Z9863" s="7"/>
    </row>
    <row r="9864" hidden="1">
      <c r="A9864" s="7"/>
      <c r="B9864" s="7"/>
      <c r="C9864" s="7"/>
      <c r="D9864" s="7"/>
      <c r="E9864" s="7"/>
      <c r="F9864" s="7"/>
      <c r="G9864" s="7"/>
      <c r="H9864" s="8"/>
      <c r="I9864" s="8"/>
      <c r="J9864" s="7"/>
      <c r="K9864" s="7"/>
      <c r="L9864" s="7"/>
      <c r="M9864" s="7"/>
      <c r="N9864" s="7"/>
      <c r="O9864" s="7"/>
      <c r="P9864" s="7"/>
      <c r="Q9864" s="7"/>
      <c r="R9864" s="7"/>
      <c r="S9864" s="7"/>
      <c r="T9864" s="7"/>
      <c r="U9864" s="7"/>
      <c r="V9864" s="7"/>
      <c r="W9864" s="7"/>
      <c r="X9864" s="7"/>
      <c r="Y9864" s="7"/>
      <c r="Z9864" s="7"/>
    </row>
    <row r="9865" hidden="1">
      <c r="A9865" s="7"/>
      <c r="B9865" s="7"/>
      <c r="C9865" s="7"/>
      <c r="D9865" s="7"/>
      <c r="E9865" s="7"/>
      <c r="F9865" s="7"/>
      <c r="G9865" s="7"/>
      <c r="H9865" s="8"/>
      <c r="I9865" s="8"/>
      <c r="J9865" s="7"/>
      <c r="K9865" s="7"/>
      <c r="L9865" s="7"/>
      <c r="M9865" s="7"/>
      <c r="N9865" s="7"/>
      <c r="O9865" s="7"/>
      <c r="P9865" s="7"/>
      <c r="Q9865" s="7"/>
      <c r="R9865" s="7"/>
      <c r="S9865" s="7"/>
      <c r="T9865" s="7"/>
      <c r="U9865" s="7"/>
      <c r="V9865" s="7"/>
      <c r="W9865" s="7"/>
      <c r="X9865" s="7"/>
      <c r="Y9865" s="7"/>
      <c r="Z9865" s="7"/>
    </row>
    <row r="9866" hidden="1">
      <c r="A9866" s="7"/>
      <c r="B9866" s="7"/>
      <c r="C9866" s="7"/>
      <c r="D9866" s="7"/>
      <c r="E9866" s="7"/>
      <c r="F9866" s="7"/>
      <c r="G9866" s="7"/>
      <c r="H9866" s="8"/>
      <c r="I9866" s="8"/>
      <c r="J9866" s="7"/>
      <c r="K9866" s="7"/>
      <c r="L9866" s="7"/>
      <c r="M9866" s="7"/>
      <c r="N9866" s="7"/>
      <c r="O9866" s="7"/>
      <c r="P9866" s="7"/>
      <c r="Q9866" s="7"/>
      <c r="R9866" s="7"/>
      <c r="S9866" s="7"/>
      <c r="T9866" s="7"/>
      <c r="U9866" s="7"/>
      <c r="V9866" s="7"/>
      <c r="W9866" s="7"/>
      <c r="X9866" s="7"/>
      <c r="Y9866" s="7"/>
      <c r="Z9866" s="7"/>
    </row>
    <row r="9867" hidden="1">
      <c r="A9867" s="7"/>
      <c r="B9867" s="7"/>
      <c r="C9867" s="7"/>
      <c r="D9867" s="7"/>
      <c r="E9867" s="7"/>
      <c r="F9867" s="7"/>
      <c r="G9867" s="7"/>
      <c r="H9867" s="8"/>
      <c r="I9867" s="8"/>
      <c r="J9867" s="7"/>
      <c r="K9867" s="7"/>
      <c r="L9867" s="7"/>
      <c r="M9867" s="7"/>
      <c r="N9867" s="7"/>
      <c r="O9867" s="7"/>
      <c r="P9867" s="7"/>
      <c r="Q9867" s="7"/>
      <c r="R9867" s="7"/>
      <c r="S9867" s="7"/>
      <c r="T9867" s="7"/>
      <c r="U9867" s="7"/>
      <c r="V9867" s="7"/>
      <c r="W9867" s="7"/>
      <c r="X9867" s="7"/>
      <c r="Y9867" s="7"/>
      <c r="Z9867" s="7"/>
    </row>
    <row r="9868" hidden="1">
      <c r="A9868" s="7"/>
      <c r="B9868" s="7"/>
      <c r="C9868" s="7"/>
      <c r="D9868" s="7"/>
      <c r="E9868" s="7"/>
      <c r="F9868" s="7"/>
      <c r="G9868" s="7"/>
      <c r="H9868" s="8"/>
      <c r="I9868" s="8"/>
      <c r="J9868" s="7"/>
      <c r="K9868" s="7"/>
      <c r="L9868" s="7"/>
      <c r="M9868" s="7"/>
      <c r="N9868" s="7"/>
      <c r="O9868" s="7"/>
      <c r="P9868" s="7"/>
      <c r="Q9868" s="7"/>
      <c r="R9868" s="7"/>
      <c r="S9868" s="7"/>
      <c r="T9868" s="7"/>
      <c r="U9868" s="7"/>
      <c r="V9868" s="7"/>
      <c r="W9868" s="7"/>
      <c r="X9868" s="7"/>
      <c r="Y9868" s="7"/>
      <c r="Z9868" s="7"/>
    </row>
    <row r="9869" hidden="1">
      <c r="A9869" s="7"/>
      <c r="B9869" s="7"/>
      <c r="C9869" s="7"/>
      <c r="D9869" s="7"/>
      <c r="E9869" s="7"/>
      <c r="F9869" s="7"/>
      <c r="G9869" s="7"/>
      <c r="H9869" s="8"/>
      <c r="I9869" s="8"/>
      <c r="J9869" s="7"/>
      <c r="K9869" s="7"/>
      <c r="L9869" s="7"/>
      <c r="M9869" s="7"/>
      <c r="N9869" s="7"/>
      <c r="O9869" s="7"/>
      <c r="P9869" s="7"/>
      <c r="Q9869" s="7"/>
      <c r="R9869" s="7"/>
      <c r="S9869" s="7"/>
      <c r="T9869" s="7"/>
      <c r="U9869" s="7"/>
      <c r="V9869" s="7"/>
      <c r="W9869" s="7"/>
      <c r="X9869" s="7"/>
      <c r="Y9869" s="7"/>
      <c r="Z9869" s="7"/>
    </row>
    <row r="9870" hidden="1">
      <c r="A9870" s="7"/>
      <c r="B9870" s="7"/>
      <c r="C9870" s="7"/>
      <c r="D9870" s="7"/>
      <c r="E9870" s="7"/>
      <c r="F9870" s="7"/>
      <c r="G9870" s="7"/>
      <c r="H9870" s="8"/>
      <c r="I9870" s="8"/>
      <c r="J9870" s="7"/>
      <c r="K9870" s="7"/>
      <c r="L9870" s="7"/>
      <c r="M9870" s="7"/>
      <c r="N9870" s="7"/>
      <c r="O9870" s="7"/>
      <c r="P9870" s="7"/>
      <c r="Q9870" s="7"/>
      <c r="R9870" s="7"/>
      <c r="S9870" s="7"/>
      <c r="T9870" s="7"/>
      <c r="U9870" s="7"/>
      <c r="V9870" s="7"/>
      <c r="W9870" s="7"/>
      <c r="X9870" s="7"/>
      <c r="Y9870" s="7"/>
      <c r="Z9870" s="7"/>
    </row>
    <row r="9871" hidden="1">
      <c r="A9871" s="7"/>
      <c r="B9871" s="7"/>
      <c r="C9871" s="7"/>
      <c r="D9871" s="7"/>
      <c r="E9871" s="7"/>
      <c r="F9871" s="7"/>
      <c r="G9871" s="7"/>
      <c r="H9871" s="8"/>
      <c r="I9871" s="8"/>
      <c r="J9871" s="7"/>
      <c r="K9871" s="7"/>
      <c r="L9871" s="7"/>
      <c r="M9871" s="7"/>
      <c r="N9871" s="7"/>
      <c r="O9871" s="7"/>
      <c r="P9871" s="7"/>
      <c r="Q9871" s="7"/>
      <c r="R9871" s="7"/>
      <c r="S9871" s="7"/>
      <c r="T9871" s="7"/>
      <c r="U9871" s="7"/>
      <c r="V9871" s="7"/>
      <c r="W9871" s="7"/>
      <c r="X9871" s="7"/>
      <c r="Y9871" s="7"/>
      <c r="Z9871" s="7"/>
    </row>
    <row r="9872" hidden="1">
      <c r="A9872" s="7"/>
      <c r="B9872" s="7"/>
      <c r="C9872" s="7"/>
      <c r="D9872" s="7"/>
      <c r="E9872" s="7"/>
      <c r="F9872" s="7"/>
      <c r="G9872" s="7"/>
      <c r="H9872" s="8"/>
      <c r="I9872" s="8"/>
      <c r="J9872" s="7"/>
      <c r="K9872" s="7"/>
      <c r="L9872" s="7"/>
      <c r="M9872" s="7"/>
      <c r="N9872" s="7"/>
      <c r="O9872" s="7"/>
      <c r="P9872" s="7"/>
      <c r="Q9872" s="7"/>
      <c r="R9872" s="7"/>
      <c r="S9872" s="7"/>
      <c r="T9872" s="7"/>
      <c r="U9872" s="7"/>
      <c r="V9872" s="7"/>
      <c r="W9872" s="7"/>
      <c r="X9872" s="7"/>
      <c r="Y9872" s="7"/>
      <c r="Z9872" s="7"/>
    </row>
    <row r="9873" hidden="1">
      <c r="A9873" s="7"/>
      <c r="B9873" s="7"/>
      <c r="C9873" s="7"/>
      <c r="D9873" s="7"/>
      <c r="E9873" s="7"/>
      <c r="F9873" s="7"/>
      <c r="G9873" s="7"/>
      <c r="H9873" s="8"/>
      <c r="I9873" s="8"/>
      <c r="J9873" s="7"/>
      <c r="K9873" s="7"/>
      <c r="L9873" s="7"/>
      <c r="M9873" s="7"/>
      <c r="N9873" s="7"/>
      <c r="O9873" s="7"/>
      <c r="P9873" s="7"/>
      <c r="Q9873" s="7"/>
      <c r="R9873" s="7"/>
      <c r="S9873" s="7"/>
      <c r="T9873" s="7"/>
      <c r="U9873" s="7"/>
      <c r="V9873" s="7"/>
      <c r="W9873" s="7"/>
      <c r="X9873" s="7"/>
      <c r="Y9873" s="7"/>
      <c r="Z9873" s="7"/>
    </row>
    <row r="9874" hidden="1">
      <c r="A9874" s="7"/>
      <c r="B9874" s="7"/>
      <c r="C9874" s="7"/>
      <c r="D9874" s="7"/>
      <c r="E9874" s="7"/>
      <c r="F9874" s="7"/>
      <c r="G9874" s="7"/>
      <c r="H9874" s="8"/>
      <c r="I9874" s="8"/>
      <c r="J9874" s="7"/>
      <c r="K9874" s="7"/>
      <c r="L9874" s="7"/>
      <c r="M9874" s="7"/>
      <c r="N9874" s="7"/>
      <c r="O9874" s="7"/>
      <c r="P9874" s="7"/>
      <c r="Q9874" s="7"/>
      <c r="R9874" s="7"/>
      <c r="S9874" s="7"/>
      <c r="T9874" s="7"/>
      <c r="U9874" s="7"/>
      <c r="V9874" s="7"/>
      <c r="W9874" s="7"/>
      <c r="X9874" s="7"/>
      <c r="Y9874" s="7"/>
      <c r="Z9874" s="7"/>
    </row>
    <row r="9875" hidden="1">
      <c r="A9875" s="7"/>
      <c r="B9875" s="7"/>
      <c r="C9875" s="7"/>
      <c r="D9875" s="7"/>
      <c r="E9875" s="7"/>
      <c r="F9875" s="7"/>
      <c r="G9875" s="7"/>
      <c r="H9875" s="8"/>
      <c r="I9875" s="8"/>
      <c r="J9875" s="7"/>
      <c r="K9875" s="7"/>
      <c r="L9875" s="7"/>
      <c r="M9875" s="7"/>
      <c r="N9875" s="7"/>
      <c r="O9875" s="7"/>
      <c r="P9875" s="7"/>
      <c r="Q9875" s="7"/>
      <c r="R9875" s="7"/>
      <c r="S9875" s="7"/>
      <c r="T9875" s="7"/>
      <c r="U9875" s="7"/>
      <c r="V9875" s="7"/>
      <c r="W9875" s="7"/>
      <c r="X9875" s="7"/>
      <c r="Y9875" s="7"/>
      <c r="Z9875" s="7"/>
    </row>
    <row r="9876" hidden="1">
      <c r="A9876" s="7"/>
      <c r="B9876" s="7"/>
      <c r="C9876" s="7"/>
      <c r="D9876" s="7"/>
      <c r="E9876" s="7"/>
      <c r="F9876" s="7"/>
      <c r="G9876" s="7"/>
      <c r="H9876" s="8"/>
      <c r="I9876" s="8"/>
      <c r="J9876" s="7"/>
      <c r="K9876" s="7"/>
      <c r="L9876" s="7"/>
      <c r="M9876" s="7"/>
      <c r="N9876" s="7"/>
      <c r="O9876" s="7"/>
      <c r="P9876" s="7"/>
      <c r="Q9876" s="7"/>
      <c r="R9876" s="7"/>
      <c r="S9876" s="7"/>
      <c r="T9876" s="7"/>
      <c r="U9876" s="7"/>
      <c r="V9876" s="7"/>
      <c r="W9876" s="7"/>
      <c r="X9876" s="7"/>
      <c r="Y9876" s="7"/>
      <c r="Z9876" s="7"/>
    </row>
    <row r="9877" hidden="1">
      <c r="A9877" s="7"/>
      <c r="B9877" s="7"/>
      <c r="C9877" s="7"/>
      <c r="D9877" s="7"/>
      <c r="E9877" s="7"/>
      <c r="F9877" s="7"/>
      <c r="G9877" s="7"/>
      <c r="H9877" s="8"/>
      <c r="I9877" s="8"/>
      <c r="J9877" s="7"/>
      <c r="K9877" s="7"/>
      <c r="L9877" s="7"/>
      <c r="M9877" s="7"/>
      <c r="N9877" s="7"/>
      <c r="O9877" s="7"/>
      <c r="P9877" s="7"/>
      <c r="Q9877" s="7"/>
      <c r="R9877" s="7"/>
      <c r="S9877" s="7"/>
      <c r="T9877" s="7"/>
      <c r="U9877" s="7"/>
      <c r="V9877" s="7"/>
      <c r="W9877" s="7"/>
      <c r="X9877" s="7"/>
      <c r="Y9877" s="7"/>
      <c r="Z9877" s="7"/>
    </row>
    <row r="9878" hidden="1">
      <c r="A9878" s="7"/>
      <c r="B9878" s="7"/>
      <c r="C9878" s="7"/>
      <c r="D9878" s="7"/>
      <c r="E9878" s="7"/>
      <c r="F9878" s="7"/>
      <c r="G9878" s="7"/>
      <c r="H9878" s="8"/>
      <c r="I9878" s="8"/>
      <c r="J9878" s="7"/>
      <c r="K9878" s="7"/>
      <c r="L9878" s="7"/>
      <c r="M9878" s="7"/>
      <c r="N9878" s="7"/>
      <c r="O9878" s="7"/>
      <c r="P9878" s="7"/>
      <c r="Q9878" s="7"/>
      <c r="R9878" s="7"/>
      <c r="S9878" s="7"/>
      <c r="T9878" s="7"/>
      <c r="U9878" s="7"/>
      <c r="V9878" s="7"/>
      <c r="W9878" s="7"/>
      <c r="X9878" s="7"/>
      <c r="Y9878" s="7"/>
      <c r="Z9878" s="7"/>
    </row>
    <row r="9879" hidden="1">
      <c r="A9879" s="7"/>
      <c r="B9879" s="7"/>
      <c r="C9879" s="7"/>
      <c r="D9879" s="7"/>
      <c r="E9879" s="7"/>
      <c r="F9879" s="7"/>
      <c r="G9879" s="7"/>
      <c r="H9879" s="8"/>
      <c r="I9879" s="8"/>
      <c r="J9879" s="7"/>
      <c r="K9879" s="7"/>
      <c r="L9879" s="7"/>
      <c r="M9879" s="7"/>
      <c r="N9879" s="7"/>
      <c r="O9879" s="7"/>
      <c r="P9879" s="7"/>
      <c r="Q9879" s="7"/>
      <c r="R9879" s="7"/>
      <c r="S9879" s="7"/>
      <c r="T9879" s="7"/>
      <c r="U9879" s="7"/>
      <c r="V9879" s="7"/>
      <c r="W9879" s="7"/>
      <c r="X9879" s="7"/>
      <c r="Y9879" s="7"/>
      <c r="Z9879" s="7"/>
    </row>
    <row r="9880" hidden="1">
      <c r="A9880" s="7"/>
      <c r="B9880" s="7"/>
      <c r="C9880" s="7"/>
      <c r="D9880" s="7"/>
      <c r="E9880" s="7"/>
      <c r="F9880" s="7"/>
      <c r="G9880" s="7"/>
      <c r="H9880" s="8"/>
      <c r="I9880" s="8"/>
      <c r="J9880" s="7"/>
      <c r="K9880" s="7"/>
      <c r="L9880" s="7"/>
      <c r="M9880" s="7"/>
      <c r="N9880" s="7"/>
      <c r="O9880" s="7"/>
      <c r="P9880" s="7"/>
      <c r="Q9880" s="7"/>
      <c r="R9880" s="7"/>
      <c r="S9880" s="7"/>
      <c r="T9880" s="7"/>
      <c r="U9880" s="7"/>
      <c r="V9880" s="7"/>
      <c r="W9880" s="7"/>
      <c r="X9880" s="7"/>
      <c r="Y9880" s="7"/>
      <c r="Z9880" s="7"/>
    </row>
    <row r="9881" hidden="1">
      <c r="A9881" s="7"/>
      <c r="B9881" s="7"/>
      <c r="C9881" s="7"/>
      <c r="D9881" s="7"/>
      <c r="E9881" s="7"/>
      <c r="F9881" s="7"/>
      <c r="G9881" s="7"/>
      <c r="H9881" s="8"/>
      <c r="I9881" s="8"/>
      <c r="J9881" s="7"/>
      <c r="K9881" s="7"/>
      <c r="L9881" s="7"/>
      <c r="M9881" s="7"/>
      <c r="N9881" s="7"/>
      <c r="O9881" s="7"/>
      <c r="P9881" s="7"/>
      <c r="Q9881" s="7"/>
      <c r="R9881" s="7"/>
      <c r="S9881" s="7"/>
      <c r="T9881" s="7"/>
      <c r="U9881" s="7"/>
      <c r="V9881" s="7"/>
      <c r="W9881" s="7"/>
      <c r="X9881" s="7"/>
      <c r="Y9881" s="7"/>
      <c r="Z9881" s="7"/>
    </row>
    <row r="9882" hidden="1">
      <c r="A9882" s="7"/>
      <c r="B9882" s="7"/>
      <c r="C9882" s="7"/>
      <c r="D9882" s="7"/>
      <c r="E9882" s="7"/>
      <c r="F9882" s="7"/>
      <c r="G9882" s="7"/>
      <c r="H9882" s="8"/>
      <c r="I9882" s="8"/>
      <c r="J9882" s="7"/>
      <c r="K9882" s="7"/>
      <c r="L9882" s="7"/>
      <c r="M9882" s="7"/>
      <c r="N9882" s="7"/>
      <c r="O9882" s="7"/>
      <c r="P9882" s="7"/>
      <c r="Q9882" s="7"/>
      <c r="R9882" s="7"/>
      <c r="S9882" s="7"/>
      <c r="T9882" s="7"/>
      <c r="U9882" s="7"/>
      <c r="V9882" s="7"/>
      <c r="W9882" s="7"/>
      <c r="X9882" s="7"/>
      <c r="Y9882" s="7"/>
      <c r="Z9882" s="7"/>
    </row>
    <row r="9883" hidden="1">
      <c r="A9883" s="7"/>
      <c r="B9883" s="7"/>
      <c r="C9883" s="7"/>
      <c r="D9883" s="7"/>
      <c r="E9883" s="7"/>
      <c r="F9883" s="7"/>
      <c r="G9883" s="7"/>
      <c r="H9883" s="8"/>
      <c r="I9883" s="8"/>
      <c r="J9883" s="7"/>
      <c r="K9883" s="7"/>
      <c r="L9883" s="7"/>
      <c r="M9883" s="7"/>
      <c r="N9883" s="7"/>
      <c r="O9883" s="7"/>
      <c r="P9883" s="7"/>
      <c r="Q9883" s="7"/>
      <c r="R9883" s="7"/>
      <c r="S9883" s="7"/>
      <c r="T9883" s="7"/>
      <c r="U9883" s="7"/>
      <c r="V9883" s="7"/>
      <c r="W9883" s="7"/>
      <c r="X9883" s="7"/>
      <c r="Y9883" s="7"/>
      <c r="Z9883" s="7"/>
    </row>
    <row r="9884" hidden="1">
      <c r="A9884" s="7"/>
      <c r="B9884" s="7"/>
      <c r="C9884" s="7"/>
      <c r="D9884" s="7"/>
      <c r="E9884" s="7"/>
      <c r="F9884" s="7"/>
      <c r="G9884" s="7"/>
      <c r="H9884" s="8"/>
      <c r="I9884" s="8"/>
      <c r="J9884" s="7"/>
      <c r="K9884" s="7"/>
      <c r="L9884" s="7"/>
      <c r="M9884" s="7"/>
      <c r="N9884" s="7"/>
      <c r="O9884" s="7"/>
      <c r="P9884" s="7"/>
      <c r="Q9884" s="7"/>
      <c r="R9884" s="7"/>
      <c r="S9884" s="7"/>
      <c r="T9884" s="7"/>
      <c r="U9884" s="7"/>
      <c r="V9884" s="7"/>
      <c r="W9884" s="7"/>
      <c r="X9884" s="7"/>
      <c r="Y9884" s="7"/>
      <c r="Z9884" s="7"/>
    </row>
    <row r="9885" hidden="1">
      <c r="A9885" s="7"/>
      <c r="B9885" s="7"/>
      <c r="C9885" s="7"/>
      <c r="D9885" s="7"/>
      <c r="E9885" s="7"/>
      <c r="F9885" s="7"/>
      <c r="G9885" s="7"/>
      <c r="H9885" s="8"/>
      <c r="I9885" s="8"/>
      <c r="J9885" s="7"/>
      <c r="K9885" s="7"/>
      <c r="L9885" s="7"/>
      <c r="M9885" s="7"/>
      <c r="N9885" s="7"/>
      <c r="O9885" s="7"/>
      <c r="P9885" s="7"/>
      <c r="Q9885" s="7"/>
      <c r="R9885" s="7"/>
      <c r="S9885" s="7"/>
      <c r="T9885" s="7"/>
      <c r="U9885" s="7"/>
      <c r="V9885" s="7"/>
      <c r="W9885" s="7"/>
      <c r="X9885" s="7"/>
      <c r="Y9885" s="7"/>
      <c r="Z9885" s="7"/>
    </row>
    <row r="9886" hidden="1">
      <c r="A9886" s="7"/>
      <c r="B9886" s="7"/>
      <c r="C9886" s="7"/>
      <c r="D9886" s="7"/>
      <c r="E9886" s="7"/>
      <c r="F9886" s="7"/>
      <c r="G9886" s="7"/>
      <c r="H9886" s="8"/>
      <c r="I9886" s="8"/>
      <c r="J9886" s="7"/>
      <c r="K9886" s="7"/>
      <c r="L9886" s="7"/>
      <c r="M9886" s="7"/>
      <c r="N9886" s="7"/>
      <c r="O9886" s="7"/>
      <c r="P9886" s="7"/>
      <c r="Q9886" s="7"/>
      <c r="R9886" s="7"/>
      <c r="S9886" s="7"/>
      <c r="T9886" s="7"/>
      <c r="U9886" s="7"/>
      <c r="V9886" s="7"/>
      <c r="W9886" s="7"/>
      <c r="X9886" s="7"/>
      <c r="Y9886" s="7"/>
      <c r="Z9886" s="7"/>
    </row>
    <row r="9887" hidden="1">
      <c r="A9887" s="7"/>
      <c r="B9887" s="7"/>
      <c r="C9887" s="7"/>
      <c r="D9887" s="7"/>
      <c r="E9887" s="7"/>
      <c r="F9887" s="7"/>
      <c r="G9887" s="7"/>
      <c r="H9887" s="8"/>
      <c r="I9887" s="8"/>
      <c r="J9887" s="7"/>
      <c r="K9887" s="7"/>
      <c r="L9887" s="7"/>
      <c r="M9887" s="7"/>
      <c r="N9887" s="7"/>
      <c r="O9887" s="7"/>
      <c r="P9887" s="7"/>
      <c r="Q9887" s="7"/>
      <c r="R9887" s="7"/>
      <c r="S9887" s="7"/>
      <c r="T9887" s="7"/>
      <c r="U9887" s="7"/>
      <c r="V9887" s="7"/>
      <c r="W9887" s="7"/>
      <c r="X9887" s="7"/>
      <c r="Y9887" s="7"/>
      <c r="Z9887" s="7"/>
    </row>
    <row r="9888" hidden="1">
      <c r="A9888" s="7"/>
      <c r="B9888" s="7"/>
      <c r="C9888" s="7"/>
      <c r="D9888" s="7"/>
      <c r="E9888" s="7"/>
      <c r="F9888" s="7"/>
      <c r="G9888" s="7"/>
      <c r="H9888" s="8"/>
      <c r="I9888" s="8"/>
      <c r="J9888" s="7"/>
      <c r="K9888" s="7"/>
      <c r="L9888" s="7"/>
      <c r="M9888" s="7"/>
      <c r="N9888" s="7"/>
      <c r="O9888" s="7"/>
      <c r="P9888" s="7"/>
      <c r="Q9888" s="7"/>
      <c r="R9888" s="7"/>
      <c r="S9888" s="7"/>
      <c r="T9888" s="7"/>
      <c r="U9888" s="7"/>
      <c r="V9888" s="7"/>
      <c r="W9888" s="7"/>
      <c r="X9888" s="7"/>
      <c r="Y9888" s="7"/>
      <c r="Z9888" s="7"/>
    </row>
    <row r="9889" hidden="1">
      <c r="A9889" s="7"/>
      <c r="B9889" s="7"/>
      <c r="C9889" s="7"/>
      <c r="D9889" s="7"/>
      <c r="E9889" s="7"/>
      <c r="F9889" s="7"/>
      <c r="G9889" s="7"/>
      <c r="H9889" s="8"/>
      <c r="I9889" s="8"/>
      <c r="J9889" s="7"/>
      <c r="K9889" s="7"/>
      <c r="L9889" s="7"/>
      <c r="M9889" s="7"/>
      <c r="N9889" s="7"/>
      <c r="O9889" s="7"/>
      <c r="P9889" s="7"/>
      <c r="Q9889" s="7"/>
      <c r="R9889" s="7"/>
      <c r="S9889" s="7"/>
      <c r="T9889" s="7"/>
      <c r="U9889" s="7"/>
      <c r="V9889" s="7"/>
      <c r="W9889" s="7"/>
      <c r="X9889" s="7"/>
      <c r="Y9889" s="7"/>
      <c r="Z9889" s="7"/>
    </row>
    <row r="9890" hidden="1">
      <c r="A9890" s="7"/>
      <c r="B9890" s="7"/>
      <c r="C9890" s="7"/>
      <c r="D9890" s="7"/>
      <c r="E9890" s="7"/>
      <c r="F9890" s="7"/>
      <c r="G9890" s="7"/>
      <c r="H9890" s="8"/>
      <c r="I9890" s="8"/>
      <c r="J9890" s="7"/>
      <c r="K9890" s="7"/>
      <c r="L9890" s="7"/>
      <c r="M9890" s="7"/>
      <c r="N9890" s="7"/>
      <c r="O9890" s="7"/>
      <c r="P9890" s="7"/>
      <c r="Q9890" s="7"/>
      <c r="R9890" s="7"/>
      <c r="S9890" s="7"/>
      <c r="T9890" s="7"/>
      <c r="U9890" s="7"/>
      <c r="V9890" s="7"/>
      <c r="W9890" s="7"/>
      <c r="X9890" s="7"/>
      <c r="Y9890" s="7"/>
      <c r="Z9890" s="7"/>
    </row>
    <row r="9891" hidden="1">
      <c r="A9891" s="7"/>
      <c r="B9891" s="7"/>
      <c r="C9891" s="7"/>
      <c r="D9891" s="7"/>
      <c r="E9891" s="7"/>
      <c r="F9891" s="7"/>
      <c r="G9891" s="7"/>
      <c r="H9891" s="8"/>
      <c r="I9891" s="8"/>
      <c r="J9891" s="7"/>
      <c r="K9891" s="7"/>
      <c r="L9891" s="7"/>
      <c r="M9891" s="7"/>
      <c r="N9891" s="7"/>
      <c r="O9891" s="7"/>
      <c r="P9891" s="7"/>
      <c r="Q9891" s="7"/>
      <c r="R9891" s="7"/>
      <c r="S9891" s="7"/>
      <c r="T9891" s="7"/>
      <c r="U9891" s="7"/>
      <c r="V9891" s="7"/>
      <c r="W9891" s="7"/>
      <c r="X9891" s="7"/>
      <c r="Y9891" s="7"/>
      <c r="Z9891" s="7"/>
    </row>
    <row r="9892" hidden="1">
      <c r="A9892" s="7"/>
      <c r="B9892" s="7"/>
      <c r="C9892" s="7"/>
      <c r="D9892" s="7"/>
      <c r="E9892" s="7"/>
      <c r="F9892" s="7"/>
      <c r="G9892" s="7"/>
      <c r="H9892" s="8"/>
      <c r="I9892" s="8"/>
      <c r="J9892" s="7"/>
      <c r="K9892" s="7"/>
      <c r="L9892" s="7"/>
      <c r="M9892" s="7"/>
      <c r="N9892" s="7"/>
      <c r="O9892" s="7"/>
      <c r="P9892" s="7"/>
      <c r="Q9892" s="7"/>
      <c r="R9892" s="7"/>
      <c r="S9892" s="7"/>
      <c r="T9892" s="7"/>
      <c r="U9892" s="7"/>
      <c r="V9892" s="7"/>
      <c r="W9892" s="7"/>
      <c r="X9892" s="7"/>
      <c r="Y9892" s="7"/>
      <c r="Z9892" s="7"/>
    </row>
    <row r="9893" hidden="1">
      <c r="A9893" s="7"/>
      <c r="B9893" s="7"/>
      <c r="C9893" s="7"/>
      <c r="D9893" s="7"/>
      <c r="E9893" s="7"/>
      <c r="F9893" s="7"/>
      <c r="G9893" s="7"/>
      <c r="H9893" s="8"/>
      <c r="I9893" s="8"/>
      <c r="J9893" s="7"/>
      <c r="K9893" s="7"/>
      <c r="L9893" s="7"/>
      <c r="M9893" s="7"/>
      <c r="N9893" s="7"/>
      <c r="O9893" s="7"/>
      <c r="P9893" s="7"/>
      <c r="Q9893" s="7"/>
      <c r="R9893" s="7"/>
      <c r="S9893" s="7"/>
      <c r="T9893" s="7"/>
      <c r="U9893" s="7"/>
      <c r="V9893" s="7"/>
      <c r="W9893" s="7"/>
      <c r="X9893" s="7"/>
      <c r="Y9893" s="7"/>
      <c r="Z9893" s="7"/>
    </row>
    <row r="9894" hidden="1">
      <c r="A9894" s="7"/>
      <c r="B9894" s="7"/>
      <c r="C9894" s="7"/>
      <c r="D9894" s="7"/>
      <c r="E9894" s="7"/>
      <c r="F9894" s="7"/>
      <c r="G9894" s="7"/>
      <c r="H9894" s="8"/>
      <c r="I9894" s="8"/>
      <c r="J9894" s="7"/>
      <c r="K9894" s="7"/>
      <c r="L9894" s="7"/>
      <c r="M9894" s="7"/>
      <c r="N9894" s="7"/>
      <c r="O9894" s="7"/>
      <c r="P9894" s="7"/>
      <c r="Q9894" s="7"/>
      <c r="R9894" s="7"/>
      <c r="S9894" s="7"/>
      <c r="T9894" s="7"/>
      <c r="U9894" s="7"/>
      <c r="V9894" s="7"/>
      <c r="W9894" s="7"/>
      <c r="X9894" s="7"/>
      <c r="Y9894" s="7"/>
      <c r="Z9894" s="7"/>
    </row>
    <row r="9895" hidden="1">
      <c r="A9895" s="7"/>
      <c r="B9895" s="7"/>
      <c r="C9895" s="7"/>
      <c r="D9895" s="7"/>
      <c r="E9895" s="7"/>
      <c r="F9895" s="7"/>
      <c r="G9895" s="7"/>
      <c r="H9895" s="8"/>
      <c r="I9895" s="8"/>
      <c r="J9895" s="7"/>
      <c r="K9895" s="7"/>
      <c r="L9895" s="7"/>
      <c r="M9895" s="7"/>
      <c r="N9895" s="7"/>
      <c r="O9895" s="7"/>
      <c r="P9895" s="7"/>
      <c r="Q9895" s="7"/>
      <c r="R9895" s="7"/>
      <c r="S9895" s="7"/>
      <c r="T9895" s="7"/>
      <c r="U9895" s="7"/>
      <c r="V9895" s="7"/>
      <c r="W9895" s="7"/>
      <c r="X9895" s="7"/>
      <c r="Y9895" s="7"/>
      <c r="Z9895" s="7"/>
    </row>
    <row r="9896" hidden="1">
      <c r="A9896" s="7"/>
      <c r="B9896" s="7"/>
      <c r="C9896" s="7"/>
      <c r="D9896" s="7"/>
      <c r="E9896" s="7"/>
      <c r="F9896" s="7"/>
      <c r="G9896" s="7"/>
      <c r="H9896" s="8"/>
      <c r="I9896" s="8"/>
      <c r="J9896" s="7"/>
      <c r="K9896" s="7"/>
      <c r="L9896" s="7"/>
      <c r="M9896" s="7"/>
      <c r="N9896" s="7"/>
      <c r="O9896" s="7"/>
      <c r="P9896" s="7"/>
      <c r="Q9896" s="7"/>
      <c r="R9896" s="7"/>
      <c r="S9896" s="7"/>
      <c r="T9896" s="7"/>
      <c r="U9896" s="7"/>
      <c r="V9896" s="7"/>
      <c r="W9896" s="7"/>
      <c r="X9896" s="7"/>
      <c r="Y9896" s="7"/>
      <c r="Z9896" s="7"/>
    </row>
    <row r="9897" hidden="1">
      <c r="A9897" s="7"/>
      <c r="B9897" s="7"/>
      <c r="C9897" s="7"/>
      <c r="D9897" s="7"/>
      <c r="E9897" s="7"/>
      <c r="F9897" s="7"/>
      <c r="G9897" s="7"/>
      <c r="H9897" s="8"/>
      <c r="I9897" s="8"/>
      <c r="J9897" s="7"/>
      <c r="K9897" s="7"/>
      <c r="L9897" s="7"/>
      <c r="M9897" s="7"/>
      <c r="N9897" s="7"/>
      <c r="O9897" s="7"/>
      <c r="P9897" s="7"/>
      <c r="Q9897" s="7"/>
      <c r="R9897" s="7"/>
      <c r="S9897" s="7"/>
      <c r="T9897" s="7"/>
      <c r="U9897" s="7"/>
      <c r="V9897" s="7"/>
      <c r="W9897" s="7"/>
      <c r="X9897" s="7"/>
      <c r="Y9897" s="7"/>
      <c r="Z9897" s="7"/>
    </row>
    <row r="9898" hidden="1">
      <c r="A9898" s="7"/>
      <c r="B9898" s="7"/>
      <c r="C9898" s="7"/>
      <c r="D9898" s="7"/>
      <c r="E9898" s="7"/>
      <c r="F9898" s="7"/>
      <c r="G9898" s="7"/>
      <c r="H9898" s="8"/>
      <c r="I9898" s="8"/>
      <c r="J9898" s="7"/>
      <c r="K9898" s="7"/>
      <c r="L9898" s="7"/>
      <c r="M9898" s="7"/>
      <c r="N9898" s="7"/>
      <c r="O9898" s="7"/>
      <c r="P9898" s="7"/>
      <c r="Q9898" s="7"/>
      <c r="R9898" s="7"/>
      <c r="S9898" s="7"/>
      <c r="T9898" s="7"/>
      <c r="U9898" s="7"/>
      <c r="V9898" s="7"/>
      <c r="W9898" s="7"/>
      <c r="X9898" s="7"/>
      <c r="Y9898" s="7"/>
      <c r="Z9898" s="7"/>
    </row>
    <row r="9899" hidden="1">
      <c r="A9899" s="7"/>
      <c r="B9899" s="7"/>
      <c r="C9899" s="7"/>
      <c r="D9899" s="7"/>
      <c r="E9899" s="7"/>
      <c r="F9899" s="7"/>
      <c r="G9899" s="7"/>
      <c r="H9899" s="8"/>
      <c r="I9899" s="8"/>
      <c r="J9899" s="7"/>
      <c r="K9899" s="7"/>
      <c r="L9899" s="7"/>
      <c r="M9899" s="7"/>
      <c r="N9899" s="7"/>
      <c r="O9899" s="7"/>
      <c r="P9899" s="7"/>
      <c r="Q9899" s="7"/>
      <c r="R9899" s="7"/>
      <c r="S9899" s="7"/>
      <c r="T9899" s="7"/>
      <c r="U9899" s="7"/>
      <c r="V9899" s="7"/>
      <c r="W9899" s="7"/>
      <c r="X9899" s="7"/>
      <c r="Y9899" s="7"/>
      <c r="Z9899" s="7"/>
    </row>
    <row r="9900" hidden="1">
      <c r="A9900" s="7"/>
      <c r="B9900" s="7"/>
      <c r="C9900" s="7"/>
      <c r="D9900" s="7"/>
      <c r="E9900" s="7"/>
      <c r="F9900" s="7"/>
      <c r="G9900" s="7"/>
      <c r="H9900" s="8"/>
      <c r="I9900" s="8"/>
      <c r="J9900" s="7"/>
      <c r="K9900" s="7"/>
      <c r="L9900" s="7"/>
      <c r="M9900" s="7"/>
      <c r="N9900" s="7"/>
      <c r="O9900" s="7"/>
      <c r="P9900" s="7"/>
      <c r="Q9900" s="7"/>
      <c r="R9900" s="7"/>
      <c r="S9900" s="7"/>
      <c r="T9900" s="7"/>
      <c r="U9900" s="7"/>
      <c r="V9900" s="7"/>
      <c r="W9900" s="7"/>
      <c r="X9900" s="7"/>
      <c r="Y9900" s="7"/>
      <c r="Z9900" s="7"/>
    </row>
    <row r="9901" hidden="1">
      <c r="A9901" s="7"/>
      <c r="B9901" s="7"/>
      <c r="C9901" s="7"/>
      <c r="D9901" s="7"/>
      <c r="E9901" s="7"/>
      <c r="F9901" s="7"/>
      <c r="G9901" s="7"/>
      <c r="H9901" s="8"/>
      <c r="I9901" s="8"/>
      <c r="J9901" s="7"/>
      <c r="K9901" s="7"/>
      <c r="L9901" s="7"/>
      <c r="M9901" s="7"/>
      <c r="N9901" s="7"/>
      <c r="O9901" s="7"/>
      <c r="P9901" s="7"/>
      <c r="Q9901" s="7"/>
      <c r="R9901" s="7"/>
      <c r="S9901" s="7"/>
      <c r="T9901" s="7"/>
      <c r="U9901" s="7"/>
      <c r="V9901" s="7"/>
      <c r="W9901" s="7"/>
      <c r="X9901" s="7"/>
      <c r="Y9901" s="7"/>
      <c r="Z9901" s="7"/>
    </row>
    <row r="9902" hidden="1">
      <c r="A9902" s="7"/>
      <c r="B9902" s="7"/>
      <c r="C9902" s="7"/>
      <c r="D9902" s="7"/>
      <c r="E9902" s="7"/>
      <c r="F9902" s="7"/>
      <c r="G9902" s="7"/>
      <c r="H9902" s="8"/>
      <c r="I9902" s="8"/>
      <c r="J9902" s="7"/>
      <c r="K9902" s="7"/>
      <c r="L9902" s="7"/>
      <c r="M9902" s="7"/>
      <c r="N9902" s="7"/>
      <c r="O9902" s="7"/>
      <c r="P9902" s="7"/>
      <c r="Q9902" s="7"/>
      <c r="R9902" s="7"/>
      <c r="S9902" s="7"/>
      <c r="T9902" s="7"/>
      <c r="U9902" s="7"/>
      <c r="V9902" s="7"/>
      <c r="W9902" s="7"/>
      <c r="X9902" s="7"/>
      <c r="Y9902" s="7"/>
      <c r="Z9902" s="7"/>
    </row>
    <row r="9903" hidden="1">
      <c r="A9903" s="7"/>
      <c r="B9903" s="7"/>
      <c r="C9903" s="7"/>
      <c r="D9903" s="7"/>
      <c r="E9903" s="7"/>
      <c r="F9903" s="7"/>
      <c r="G9903" s="7"/>
      <c r="H9903" s="8"/>
      <c r="I9903" s="8"/>
      <c r="J9903" s="7"/>
      <c r="K9903" s="7"/>
      <c r="L9903" s="7"/>
      <c r="M9903" s="7"/>
      <c r="N9903" s="7"/>
      <c r="O9903" s="7"/>
      <c r="P9903" s="7"/>
      <c r="Q9903" s="7"/>
      <c r="R9903" s="7"/>
      <c r="S9903" s="7"/>
      <c r="T9903" s="7"/>
      <c r="U9903" s="7"/>
      <c r="V9903" s="7"/>
      <c r="W9903" s="7"/>
      <c r="X9903" s="7"/>
      <c r="Y9903" s="7"/>
      <c r="Z9903" s="7"/>
    </row>
    <row r="9904" hidden="1">
      <c r="A9904" s="7"/>
      <c r="B9904" s="7"/>
      <c r="C9904" s="7"/>
      <c r="D9904" s="7"/>
      <c r="E9904" s="7"/>
      <c r="F9904" s="7"/>
      <c r="G9904" s="7"/>
      <c r="H9904" s="8"/>
      <c r="I9904" s="8"/>
      <c r="J9904" s="7"/>
      <c r="K9904" s="7"/>
      <c r="L9904" s="7"/>
      <c r="M9904" s="7"/>
      <c r="N9904" s="7"/>
      <c r="O9904" s="7"/>
      <c r="P9904" s="7"/>
      <c r="Q9904" s="7"/>
      <c r="R9904" s="7"/>
      <c r="S9904" s="7"/>
      <c r="T9904" s="7"/>
      <c r="U9904" s="7"/>
      <c r="V9904" s="7"/>
      <c r="W9904" s="7"/>
      <c r="X9904" s="7"/>
      <c r="Y9904" s="7"/>
      <c r="Z9904" s="7"/>
    </row>
    <row r="9905" hidden="1">
      <c r="A9905" s="7"/>
      <c r="B9905" s="7"/>
      <c r="C9905" s="7"/>
      <c r="D9905" s="7"/>
      <c r="E9905" s="7"/>
      <c r="F9905" s="7"/>
      <c r="G9905" s="7"/>
      <c r="H9905" s="8"/>
      <c r="I9905" s="8"/>
      <c r="J9905" s="7"/>
      <c r="K9905" s="7"/>
      <c r="L9905" s="7"/>
      <c r="M9905" s="7"/>
      <c r="N9905" s="7"/>
      <c r="O9905" s="7"/>
      <c r="P9905" s="7"/>
      <c r="Q9905" s="7"/>
      <c r="R9905" s="7"/>
      <c r="S9905" s="7"/>
      <c r="T9905" s="7"/>
      <c r="U9905" s="7"/>
      <c r="V9905" s="7"/>
      <c r="W9905" s="7"/>
      <c r="X9905" s="7"/>
      <c r="Y9905" s="7"/>
      <c r="Z9905" s="7"/>
    </row>
    <row r="9906" hidden="1">
      <c r="A9906" s="7"/>
      <c r="B9906" s="7"/>
      <c r="C9906" s="7"/>
      <c r="D9906" s="7"/>
      <c r="E9906" s="7"/>
      <c r="F9906" s="7"/>
      <c r="G9906" s="7"/>
      <c r="H9906" s="8"/>
      <c r="I9906" s="8"/>
      <c r="J9906" s="7"/>
      <c r="K9906" s="7"/>
      <c r="L9906" s="7"/>
      <c r="M9906" s="7"/>
      <c r="N9906" s="7"/>
      <c r="O9906" s="7"/>
      <c r="P9906" s="7"/>
      <c r="Q9906" s="7"/>
      <c r="R9906" s="7"/>
      <c r="S9906" s="7"/>
      <c r="T9906" s="7"/>
      <c r="U9906" s="7"/>
      <c r="V9906" s="7"/>
      <c r="W9906" s="7"/>
      <c r="X9906" s="7"/>
      <c r="Y9906" s="7"/>
      <c r="Z9906" s="7"/>
    </row>
    <row r="9907" hidden="1">
      <c r="A9907" s="7"/>
      <c r="B9907" s="7"/>
      <c r="C9907" s="7"/>
      <c r="D9907" s="7"/>
      <c r="E9907" s="7"/>
      <c r="F9907" s="7"/>
      <c r="G9907" s="7"/>
      <c r="H9907" s="8"/>
      <c r="I9907" s="8"/>
      <c r="J9907" s="7"/>
      <c r="K9907" s="7"/>
      <c r="L9907" s="7"/>
      <c r="M9907" s="7"/>
      <c r="N9907" s="7"/>
      <c r="O9907" s="7"/>
      <c r="P9907" s="7"/>
      <c r="Q9907" s="7"/>
      <c r="R9907" s="7"/>
      <c r="S9907" s="7"/>
      <c r="T9907" s="7"/>
      <c r="U9907" s="7"/>
      <c r="V9907" s="7"/>
      <c r="W9907" s="7"/>
      <c r="X9907" s="7"/>
      <c r="Y9907" s="7"/>
      <c r="Z9907" s="7"/>
    </row>
    <row r="9908" hidden="1">
      <c r="A9908" s="7"/>
      <c r="B9908" s="7"/>
      <c r="C9908" s="7"/>
      <c r="D9908" s="7"/>
      <c r="E9908" s="7"/>
      <c r="F9908" s="7"/>
      <c r="G9908" s="7"/>
      <c r="H9908" s="8"/>
      <c r="I9908" s="8"/>
      <c r="J9908" s="7"/>
      <c r="K9908" s="7"/>
      <c r="L9908" s="7"/>
      <c r="M9908" s="7"/>
      <c r="N9908" s="7"/>
      <c r="O9908" s="7"/>
      <c r="P9908" s="7"/>
      <c r="Q9908" s="7"/>
      <c r="R9908" s="7"/>
      <c r="S9908" s="7"/>
      <c r="T9908" s="7"/>
      <c r="U9908" s="7"/>
      <c r="V9908" s="7"/>
      <c r="W9908" s="7"/>
      <c r="X9908" s="7"/>
      <c r="Y9908" s="7"/>
      <c r="Z9908" s="7"/>
    </row>
    <row r="9909" hidden="1">
      <c r="A9909" s="7"/>
      <c r="B9909" s="7"/>
      <c r="C9909" s="7"/>
      <c r="D9909" s="7"/>
      <c r="E9909" s="7"/>
      <c r="F9909" s="7"/>
      <c r="G9909" s="7"/>
      <c r="H9909" s="8"/>
      <c r="I9909" s="8"/>
      <c r="J9909" s="7"/>
      <c r="K9909" s="7"/>
      <c r="L9909" s="7"/>
      <c r="M9909" s="7"/>
      <c r="N9909" s="7"/>
      <c r="O9909" s="7"/>
      <c r="P9909" s="7"/>
      <c r="Q9909" s="7"/>
      <c r="R9909" s="7"/>
      <c r="S9909" s="7"/>
      <c r="T9909" s="7"/>
      <c r="U9909" s="7"/>
      <c r="V9909" s="7"/>
      <c r="W9909" s="7"/>
      <c r="X9909" s="7"/>
      <c r="Y9909" s="7"/>
      <c r="Z9909" s="7"/>
    </row>
    <row r="9910" hidden="1">
      <c r="A9910" s="7"/>
      <c r="B9910" s="7"/>
      <c r="C9910" s="7"/>
      <c r="D9910" s="7"/>
      <c r="E9910" s="7"/>
      <c r="F9910" s="7"/>
      <c r="G9910" s="7"/>
      <c r="H9910" s="8"/>
      <c r="I9910" s="8"/>
      <c r="J9910" s="7"/>
      <c r="K9910" s="7"/>
      <c r="L9910" s="7"/>
      <c r="M9910" s="7"/>
      <c r="N9910" s="7"/>
      <c r="O9910" s="7"/>
      <c r="P9910" s="7"/>
      <c r="Q9910" s="7"/>
      <c r="R9910" s="7"/>
      <c r="S9910" s="7"/>
      <c r="T9910" s="7"/>
      <c r="U9910" s="7"/>
      <c r="V9910" s="7"/>
      <c r="W9910" s="7"/>
      <c r="X9910" s="7"/>
      <c r="Y9910" s="7"/>
      <c r="Z9910" s="7"/>
    </row>
    <row r="9911" hidden="1">
      <c r="A9911" s="7"/>
      <c r="B9911" s="7"/>
      <c r="C9911" s="7"/>
      <c r="D9911" s="7"/>
      <c r="E9911" s="7"/>
      <c r="F9911" s="7"/>
      <c r="G9911" s="7"/>
      <c r="H9911" s="8"/>
      <c r="I9911" s="8"/>
      <c r="J9911" s="7"/>
      <c r="K9911" s="7"/>
      <c r="L9911" s="7"/>
      <c r="M9911" s="7"/>
      <c r="N9911" s="7"/>
      <c r="O9911" s="7"/>
      <c r="P9911" s="7"/>
      <c r="Q9911" s="7"/>
      <c r="R9911" s="7"/>
      <c r="S9911" s="7"/>
      <c r="T9911" s="7"/>
      <c r="U9911" s="7"/>
      <c r="V9911" s="7"/>
      <c r="W9911" s="7"/>
      <c r="X9911" s="7"/>
      <c r="Y9911" s="7"/>
      <c r="Z9911" s="7"/>
    </row>
    <row r="9912" hidden="1">
      <c r="A9912" s="7"/>
      <c r="B9912" s="7"/>
      <c r="C9912" s="7"/>
      <c r="D9912" s="7"/>
      <c r="E9912" s="7"/>
      <c r="F9912" s="7"/>
      <c r="G9912" s="7"/>
      <c r="H9912" s="8"/>
      <c r="I9912" s="8"/>
      <c r="J9912" s="7"/>
      <c r="K9912" s="7"/>
      <c r="L9912" s="7"/>
      <c r="M9912" s="7"/>
      <c r="N9912" s="7"/>
      <c r="O9912" s="7"/>
      <c r="P9912" s="7"/>
      <c r="Q9912" s="7"/>
      <c r="R9912" s="7"/>
      <c r="S9912" s="7"/>
      <c r="T9912" s="7"/>
      <c r="U9912" s="7"/>
      <c r="V9912" s="7"/>
      <c r="W9912" s="7"/>
      <c r="X9912" s="7"/>
      <c r="Y9912" s="7"/>
      <c r="Z9912" s="7"/>
    </row>
    <row r="9913" hidden="1">
      <c r="A9913" s="7"/>
      <c r="B9913" s="7"/>
      <c r="C9913" s="7"/>
      <c r="D9913" s="7"/>
      <c r="E9913" s="7"/>
      <c r="F9913" s="7"/>
      <c r="G9913" s="7"/>
      <c r="H9913" s="8"/>
      <c r="I9913" s="8"/>
      <c r="J9913" s="7"/>
      <c r="K9913" s="7"/>
      <c r="L9913" s="7"/>
      <c r="M9913" s="7"/>
      <c r="N9913" s="7"/>
      <c r="O9913" s="7"/>
      <c r="P9913" s="7"/>
      <c r="Q9913" s="7"/>
      <c r="R9913" s="7"/>
      <c r="S9913" s="7"/>
      <c r="T9913" s="7"/>
      <c r="U9913" s="7"/>
      <c r="V9913" s="7"/>
      <c r="W9913" s="7"/>
      <c r="X9913" s="7"/>
      <c r="Y9913" s="7"/>
      <c r="Z9913" s="7"/>
    </row>
    <row r="9914" hidden="1">
      <c r="A9914" s="7"/>
      <c r="B9914" s="7"/>
      <c r="C9914" s="7"/>
      <c r="D9914" s="7"/>
      <c r="E9914" s="7"/>
      <c r="F9914" s="7"/>
      <c r="G9914" s="7"/>
      <c r="H9914" s="8"/>
      <c r="I9914" s="8"/>
      <c r="J9914" s="7"/>
      <c r="K9914" s="7"/>
      <c r="L9914" s="7"/>
      <c r="M9914" s="7"/>
      <c r="N9914" s="7"/>
      <c r="O9914" s="7"/>
      <c r="P9914" s="7"/>
      <c r="Q9914" s="7"/>
      <c r="R9914" s="7"/>
      <c r="S9914" s="7"/>
      <c r="T9914" s="7"/>
      <c r="U9914" s="7"/>
      <c r="V9914" s="7"/>
      <c r="W9914" s="7"/>
      <c r="X9914" s="7"/>
      <c r="Y9914" s="7"/>
      <c r="Z9914" s="7"/>
    </row>
    <row r="9915" hidden="1">
      <c r="A9915" s="7"/>
      <c r="B9915" s="7"/>
      <c r="C9915" s="7"/>
      <c r="D9915" s="7"/>
      <c r="E9915" s="7"/>
      <c r="F9915" s="7"/>
      <c r="G9915" s="7"/>
      <c r="H9915" s="8"/>
      <c r="I9915" s="8"/>
      <c r="J9915" s="7"/>
      <c r="K9915" s="7"/>
      <c r="L9915" s="7"/>
      <c r="M9915" s="7"/>
      <c r="N9915" s="7"/>
      <c r="O9915" s="7"/>
      <c r="P9915" s="7"/>
      <c r="Q9915" s="7"/>
      <c r="R9915" s="7"/>
      <c r="S9915" s="7"/>
      <c r="T9915" s="7"/>
      <c r="U9915" s="7"/>
      <c r="V9915" s="7"/>
      <c r="W9915" s="7"/>
      <c r="X9915" s="7"/>
      <c r="Y9915" s="7"/>
      <c r="Z9915" s="7"/>
    </row>
    <row r="9916" hidden="1">
      <c r="A9916" s="7"/>
      <c r="B9916" s="7"/>
      <c r="C9916" s="7"/>
      <c r="D9916" s="7"/>
      <c r="E9916" s="7"/>
      <c r="F9916" s="7"/>
      <c r="G9916" s="7"/>
      <c r="H9916" s="8"/>
      <c r="I9916" s="8"/>
      <c r="J9916" s="7"/>
      <c r="K9916" s="7"/>
      <c r="L9916" s="7"/>
      <c r="M9916" s="7"/>
      <c r="N9916" s="7"/>
      <c r="O9916" s="7"/>
      <c r="P9916" s="7"/>
      <c r="Q9916" s="7"/>
      <c r="R9916" s="7"/>
      <c r="S9916" s="7"/>
      <c r="T9916" s="7"/>
      <c r="U9916" s="7"/>
      <c r="V9916" s="7"/>
      <c r="W9916" s="7"/>
      <c r="X9916" s="7"/>
      <c r="Y9916" s="7"/>
      <c r="Z9916" s="7"/>
    </row>
    <row r="9917" hidden="1">
      <c r="A9917" s="7"/>
      <c r="B9917" s="7"/>
      <c r="C9917" s="7"/>
      <c r="D9917" s="7"/>
      <c r="E9917" s="7"/>
      <c r="F9917" s="7"/>
      <c r="G9917" s="7"/>
      <c r="H9917" s="8"/>
      <c r="I9917" s="8"/>
      <c r="J9917" s="7"/>
      <c r="K9917" s="7"/>
      <c r="L9917" s="7"/>
      <c r="M9917" s="7"/>
      <c r="N9917" s="7"/>
      <c r="O9917" s="7"/>
      <c r="P9917" s="7"/>
      <c r="Q9917" s="7"/>
      <c r="R9917" s="7"/>
      <c r="S9917" s="7"/>
      <c r="T9917" s="7"/>
      <c r="U9917" s="7"/>
      <c r="V9917" s="7"/>
      <c r="W9917" s="7"/>
      <c r="X9917" s="7"/>
      <c r="Y9917" s="7"/>
      <c r="Z9917" s="7"/>
    </row>
    <row r="9918" hidden="1">
      <c r="A9918" s="7"/>
      <c r="B9918" s="7"/>
      <c r="C9918" s="7"/>
      <c r="D9918" s="7"/>
      <c r="E9918" s="7"/>
      <c r="F9918" s="7"/>
      <c r="G9918" s="7"/>
      <c r="H9918" s="8"/>
      <c r="I9918" s="8"/>
      <c r="J9918" s="7"/>
      <c r="K9918" s="7"/>
      <c r="L9918" s="7"/>
      <c r="M9918" s="7"/>
      <c r="N9918" s="7"/>
      <c r="O9918" s="7"/>
      <c r="P9918" s="7"/>
      <c r="Q9918" s="7"/>
      <c r="R9918" s="7"/>
      <c r="S9918" s="7"/>
      <c r="T9918" s="7"/>
      <c r="U9918" s="7"/>
      <c r="V9918" s="7"/>
      <c r="W9918" s="7"/>
      <c r="X9918" s="7"/>
      <c r="Y9918" s="7"/>
      <c r="Z9918" s="7"/>
    </row>
    <row r="9919" hidden="1">
      <c r="A9919" s="7"/>
      <c r="B9919" s="7"/>
      <c r="C9919" s="7"/>
      <c r="D9919" s="7"/>
      <c r="E9919" s="7"/>
      <c r="F9919" s="7"/>
      <c r="G9919" s="7"/>
      <c r="H9919" s="8"/>
      <c r="I9919" s="8"/>
      <c r="J9919" s="7"/>
      <c r="K9919" s="7"/>
      <c r="L9919" s="7"/>
      <c r="M9919" s="7"/>
      <c r="N9919" s="7"/>
      <c r="O9919" s="7"/>
      <c r="P9919" s="7"/>
      <c r="Q9919" s="7"/>
      <c r="R9919" s="7"/>
      <c r="S9919" s="7"/>
      <c r="T9919" s="7"/>
      <c r="U9919" s="7"/>
      <c r="V9919" s="7"/>
      <c r="W9919" s="7"/>
      <c r="X9919" s="7"/>
      <c r="Y9919" s="7"/>
      <c r="Z9919" s="7"/>
    </row>
    <row r="9920" hidden="1">
      <c r="A9920" s="7"/>
      <c r="B9920" s="7"/>
      <c r="C9920" s="7"/>
      <c r="D9920" s="7"/>
      <c r="E9920" s="7"/>
      <c r="F9920" s="7"/>
      <c r="G9920" s="7"/>
      <c r="H9920" s="8"/>
      <c r="I9920" s="8"/>
      <c r="J9920" s="7"/>
      <c r="K9920" s="7"/>
      <c r="L9920" s="7"/>
      <c r="M9920" s="7"/>
      <c r="N9920" s="7"/>
      <c r="O9920" s="7"/>
      <c r="P9920" s="7"/>
      <c r="Q9920" s="7"/>
      <c r="R9920" s="7"/>
      <c r="S9920" s="7"/>
      <c r="T9920" s="7"/>
      <c r="U9920" s="7"/>
      <c r="V9920" s="7"/>
      <c r="W9920" s="7"/>
      <c r="X9920" s="7"/>
      <c r="Y9920" s="7"/>
      <c r="Z9920" s="7"/>
    </row>
    <row r="9921" hidden="1">
      <c r="A9921" s="7"/>
      <c r="B9921" s="7"/>
      <c r="C9921" s="7"/>
      <c r="D9921" s="7"/>
      <c r="E9921" s="7"/>
      <c r="F9921" s="7"/>
      <c r="G9921" s="7"/>
      <c r="H9921" s="8"/>
      <c r="I9921" s="8"/>
      <c r="J9921" s="7"/>
      <c r="K9921" s="7"/>
      <c r="L9921" s="7"/>
      <c r="M9921" s="7"/>
      <c r="N9921" s="7"/>
      <c r="O9921" s="7"/>
      <c r="P9921" s="7"/>
      <c r="Q9921" s="7"/>
      <c r="R9921" s="7"/>
      <c r="S9921" s="7"/>
      <c r="T9921" s="7"/>
      <c r="U9921" s="7"/>
      <c r="V9921" s="7"/>
      <c r="W9921" s="7"/>
      <c r="X9921" s="7"/>
      <c r="Y9921" s="7"/>
      <c r="Z9921" s="7"/>
    </row>
    <row r="9922" hidden="1">
      <c r="A9922" s="7"/>
      <c r="B9922" s="7"/>
      <c r="C9922" s="7"/>
      <c r="D9922" s="7"/>
      <c r="E9922" s="7"/>
      <c r="F9922" s="7"/>
      <c r="G9922" s="7"/>
      <c r="H9922" s="8"/>
      <c r="I9922" s="8"/>
      <c r="J9922" s="7"/>
      <c r="K9922" s="7"/>
      <c r="L9922" s="7"/>
      <c r="M9922" s="7"/>
      <c r="N9922" s="7"/>
      <c r="O9922" s="7"/>
      <c r="P9922" s="7"/>
      <c r="Q9922" s="7"/>
      <c r="R9922" s="7"/>
      <c r="S9922" s="7"/>
      <c r="T9922" s="7"/>
      <c r="U9922" s="7"/>
      <c r="V9922" s="7"/>
      <c r="W9922" s="7"/>
      <c r="X9922" s="7"/>
      <c r="Y9922" s="7"/>
      <c r="Z9922" s="7"/>
    </row>
    <row r="9923" hidden="1">
      <c r="A9923" s="7"/>
      <c r="B9923" s="7"/>
      <c r="C9923" s="7"/>
      <c r="D9923" s="7"/>
      <c r="E9923" s="7"/>
      <c r="F9923" s="7"/>
      <c r="G9923" s="7"/>
      <c r="H9923" s="8"/>
      <c r="I9923" s="8"/>
      <c r="J9923" s="7"/>
      <c r="K9923" s="7"/>
      <c r="L9923" s="7"/>
      <c r="M9923" s="7"/>
      <c r="N9923" s="7"/>
      <c r="O9923" s="7"/>
      <c r="P9923" s="7"/>
      <c r="Q9923" s="7"/>
      <c r="R9923" s="7"/>
      <c r="S9923" s="7"/>
      <c r="T9923" s="7"/>
      <c r="U9923" s="7"/>
      <c r="V9923" s="7"/>
      <c r="W9923" s="7"/>
      <c r="X9923" s="7"/>
      <c r="Y9923" s="7"/>
      <c r="Z9923" s="7"/>
    </row>
    <row r="9924" hidden="1">
      <c r="A9924" s="7"/>
      <c r="B9924" s="7"/>
      <c r="C9924" s="7"/>
      <c r="D9924" s="7"/>
      <c r="E9924" s="7"/>
      <c r="F9924" s="7"/>
      <c r="G9924" s="7"/>
      <c r="H9924" s="8"/>
      <c r="I9924" s="8"/>
      <c r="J9924" s="7"/>
      <c r="K9924" s="7"/>
      <c r="L9924" s="7"/>
      <c r="M9924" s="7"/>
      <c r="N9924" s="7"/>
      <c r="O9924" s="7"/>
      <c r="P9924" s="7"/>
      <c r="Q9924" s="7"/>
      <c r="R9924" s="7"/>
      <c r="S9924" s="7"/>
      <c r="T9924" s="7"/>
      <c r="U9924" s="7"/>
      <c r="V9924" s="7"/>
      <c r="W9924" s="7"/>
      <c r="X9924" s="7"/>
      <c r="Y9924" s="7"/>
      <c r="Z9924" s="7"/>
    </row>
    <row r="9925" hidden="1">
      <c r="A9925" s="7"/>
      <c r="B9925" s="7"/>
      <c r="C9925" s="7"/>
      <c r="D9925" s="7"/>
      <c r="E9925" s="7"/>
      <c r="F9925" s="7"/>
      <c r="G9925" s="7"/>
      <c r="H9925" s="8"/>
      <c r="I9925" s="8"/>
      <c r="J9925" s="7"/>
      <c r="K9925" s="7"/>
      <c r="L9925" s="7"/>
      <c r="M9925" s="7"/>
      <c r="N9925" s="7"/>
      <c r="O9925" s="7"/>
      <c r="P9925" s="7"/>
      <c r="Q9925" s="7"/>
      <c r="R9925" s="7"/>
      <c r="S9925" s="7"/>
      <c r="T9925" s="7"/>
      <c r="U9925" s="7"/>
      <c r="V9925" s="7"/>
      <c r="W9925" s="7"/>
      <c r="X9925" s="7"/>
      <c r="Y9925" s="7"/>
      <c r="Z9925" s="7"/>
    </row>
    <row r="9926" hidden="1">
      <c r="A9926" s="7"/>
      <c r="B9926" s="7"/>
      <c r="C9926" s="7"/>
      <c r="D9926" s="7"/>
      <c r="E9926" s="7"/>
      <c r="F9926" s="7"/>
      <c r="G9926" s="7"/>
      <c r="H9926" s="8"/>
      <c r="I9926" s="8"/>
      <c r="J9926" s="7"/>
      <c r="K9926" s="7"/>
      <c r="L9926" s="7"/>
      <c r="M9926" s="7"/>
      <c r="N9926" s="7"/>
      <c r="O9926" s="7"/>
      <c r="P9926" s="7"/>
      <c r="Q9926" s="7"/>
      <c r="R9926" s="7"/>
      <c r="S9926" s="7"/>
      <c r="T9926" s="7"/>
      <c r="U9926" s="7"/>
      <c r="V9926" s="7"/>
      <c r="W9926" s="7"/>
      <c r="X9926" s="7"/>
      <c r="Y9926" s="7"/>
      <c r="Z9926" s="7"/>
    </row>
    <row r="9927" hidden="1">
      <c r="A9927" s="7"/>
      <c r="B9927" s="7"/>
      <c r="C9927" s="7"/>
      <c r="D9927" s="7"/>
      <c r="E9927" s="7"/>
      <c r="F9927" s="7"/>
      <c r="G9927" s="7"/>
      <c r="H9927" s="8"/>
      <c r="I9927" s="8"/>
      <c r="J9927" s="7"/>
      <c r="K9927" s="7"/>
      <c r="L9927" s="7"/>
      <c r="M9927" s="7"/>
      <c r="N9927" s="7"/>
      <c r="O9927" s="7"/>
      <c r="P9927" s="7"/>
      <c r="Q9927" s="7"/>
      <c r="R9927" s="7"/>
      <c r="S9927" s="7"/>
      <c r="T9927" s="7"/>
      <c r="U9927" s="7"/>
      <c r="V9927" s="7"/>
      <c r="W9927" s="7"/>
      <c r="X9927" s="7"/>
      <c r="Y9927" s="7"/>
      <c r="Z9927" s="7"/>
    </row>
    <row r="9928" hidden="1">
      <c r="A9928" s="7"/>
      <c r="B9928" s="7"/>
      <c r="C9928" s="7"/>
      <c r="D9928" s="7"/>
      <c r="E9928" s="7"/>
      <c r="F9928" s="7"/>
      <c r="G9928" s="7"/>
      <c r="H9928" s="8"/>
      <c r="I9928" s="8"/>
      <c r="J9928" s="7"/>
      <c r="K9928" s="7"/>
      <c r="L9928" s="7"/>
      <c r="M9928" s="7"/>
      <c r="N9928" s="7"/>
      <c r="O9928" s="7"/>
      <c r="P9928" s="7"/>
      <c r="Q9928" s="7"/>
      <c r="R9928" s="7"/>
      <c r="S9928" s="7"/>
      <c r="T9928" s="7"/>
      <c r="U9928" s="7"/>
      <c r="V9928" s="7"/>
      <c r="W9928" s="7"/>
      <c r="X9928" s="7"/>
      <c r="Y9928" s="7"/>
      <c r="Z9928" s="7"/>
    </row>
    <row r="9929" hidden="1">
      <c r="A9929" s="7"/>
      <c r="B9929" s="7"/>
      <c r="C9929" s="7"/>
      <c r="D9929" s="7"/>
      <c r="E9929" s="7"/>
      <c r="F9929" s="7"/>
      <c r="G9929" s="7"/>
      <c r="H9929" s="8"/>
      <c r="I9929" s="8"/>
      <c r="J9929" s="7"/>
      <c r="K9929" s="7"/>
      <c r="L9929" s="7"/>
      <c r="M9929" s="7"/>
      <c r="N9929" s="7"/>
      <c r="O9929" s="7"/>
      <c r="P9929" s="7"/>
      <c r="Q9929" s="7"/>
      <c r="R9929" s="7"/>
      <c r="S9929" s="7"/>
      <c r="T9929" s="7"/>
      <c r="U9929" s="7"/>
      <c r="V9929" s="7"/>
      <c r="W9929" s="7"/>
      <c r="X9929" s="7"/>
      <c r="Y9929" s="7"/>
      <c r="Z9929" s="7"/>
    </row>
    <row r="9930" hidden="1">
      <c r="A9930" s="7"/>
      <c r="B9930" s="7"/>
      <c r="C9930" s="7"/>
      <c r="D9930" s="7"/>
      <c r="E9930" s="7"/>
      <c r="F9930" s="7"/>
      <c r="G9930" s="7"/>
      <c r="H9930" s="8"/>
      <c r="I9930" s="8"/>
      <c r="J9930" s="7"/>
      <c r="K9930" s="7"/>
      <c r="L9930" s="7"/>
      <c r="M9930" s="7"/>
      <c r="N9930" s="7"/>
      <c r="O9930" s="7"/>
      <c r="P9930" s="7"/>
      <c r="Q9930" s="7"/>
      <c r="R9930" s="7"/>
      <c r="S9930" s="7"/>
      <c r="T9930" s="7"/>
      <c r="U9930" s="7"/>
      <c r="V9930" s="7"/>
      <c r="W9930" s="7"/>
      <c r="X9930" s="7"/>
      <c r="Y9930" s="7"/>
      <c r="Z9930" s="7"/>
    </row>
    <row r="9931" hidden="1">
      <c r="A9931" s="7"/>
      <c r="B9931" s="7"/>
      <c r="C9931" s="7"/>
      <c r="D9931" s="7"/>
      <c r="E9931" s="7"/>
      <c r="F9931" s="7"/>
      <c r="G9931" s="7"/>
      <c r="H9931" s="8"/>
      <c r="I9931" s="8"/>
      <c r="J9931" s="7"/>
      <c r="K9931" s="7"/>
      <c r="L9931" s="7"/>
      <c r="M9931" s="7"/>
      <c r="N9931" s="7"/>
      <c r="O9931" s="7"/>
      <c r="P9931" s="7"/>
      <c r="Q9931" s="7"/>
      <c r="R9931" s="7"/>
      <c r="S9931" s="7"/>
      <c r="T9931" s="7"/>
      <c r="U9931" s="7"/>
      <c r="V9931" s="7"/>
      <c r="W9931" s="7"/>
      <c r="X9931" s="7"/>
      <c r="Y9931" s="7"/>
      <c r="Z9931" s="7"/>
    </row>
    <row r="9932" hidden="1">
      <c r="A9932" s="7"/>
      <c r="B9932" s="7"/>
      <c r="C9932" s="7"/>
      <c r="D9932" s="7"/>
      <c r="E9932" s="7"/>
      <c r="F9932" s="7"/>
      <c r="G9932" s="7"/>
      <c r="H9932" s="8"/>
      <c r="I9932" s="8"/>
      <c r="J9932" s="7"/>
      <c r="K9932" s="7"/>
      <c r="L9932" s="7"/>
      <c r="M9932" s="7"/>
      <c r="N9932" s="7"/>
      <c r="O9932" s="7"/>
      <c r="P9932" s="7"/>
      <c r="Q9932" s="7"/>
      <c r="R9932" s="7"/>
      <c r="S9932" s="7"/>
      <c r="T9932" s="7"/>
      <c r="U9932" s="7"/>
      <c r="V9932" s="7"/>
      <c r="W9932" s="7"/>
      <c r="X9932" s="7"/>
      <c r="Y9932" s="7"/>
      <c r="Z9932" s="7"/>
    </row>
    <row r="9933" hidden="1">
      <c r="A9933" s="7"/>
      <c r="B9933" s="7"/>
      <c r="C9933" s="7"/>
      <c r="D9933" s="7"/>
      <c r="E9933" s="7"/>
      <c r="F9933" s="7"/>
      <c r="G9933" s="7"/>
      <c r="H9933" s="8"/>
      <c r="I9933" s="8"/>
      <c r="J9933" s="7"/>
      <c r="K9933" s="7"/>
      <c r="L9933" s="7"/>
      <c r="M9933" s="7"/>
      <c r="N9933" s="7"/>
      <c r="O9933" s="7"/>
      <c r="P9933" s="7"/>
      <c r="Q9933" s="7"/>
      <c r="R9933" s="7"/>
      <c r="S9933" s="7"/>
      <c r="T9933" s="7"/>
      <c r="U9933" s="7"/>
      <c r="V9933" s="7"/>
      <c r="W9933" s="7"/>
      <c r="X9933" s="7"/>
      <c r="Y9933" s="7"/>
      <c r="Z9933" s="7"/>
    </row>
    <row r="9934" hidden="1">
      <c r="A9934" s="7"/>
      <c r="B9934" s="7"/>
      <c r="C9934" s="7"/>
      <c r="D9934" s="7"/>
      <c r="E9934" s="7"/>
      <c r="F9934" s="7"/>
      <c r="G9934" s="7"/>
      <c r="H9934" s="8"/>
      <c r="I9934" s="8"/>
      <c r="J9934" s="7"/>
      <c r="K9934" s="7"/>
      <c r="L9934" s="7"/>
      <c r="M9934" s="7"/>
      <c r="N9934" s="7"/>
      <c r="O9934" s="7"/>
      <c r="P9934" s="7"/>
      <c r="Q9934" s="7"/>
      <c r="R9934" s="7"/>
      <c r="S9934" s="7"/>
      <c r="T9934" s="7"/>
      <c r="U9934" s="7"/>
      <c r="V9934" s="7"/>
      <c r="W9934" s="7"/>
      <c r="X9934" s="7"/>
      <c r="Y9934" s="7"/>
      <c r="Z9934" s="7"/>
    </row>
    <row r="9935" hidden="1">
      <c r="A9935" s="7"/>
      <c r="B9935" s="7"/>
      <c r="C9935" s="7"/>
      <c r="D9935" s="7"/>
      <c r="E9935" s="7"/>
      <c r="F9935" s="7"/>
      <c r="G9935" s="7"/>
      <c r="H9935" s="8"/>
      <c r="I9935" s="8"/>
      <c r="J9935" s="7"/>
      <c r="K9935" s="7"/>
      <c r="L9935" s="7"/>
      <c r="M9935" s="7"/>
      <c r="N9935" s="7"/>
      <c r="O9935" s="7"/>
      <c r="P9935" s="7"/>
      <c r="Q9935" s="7"/>
      <c r="R9935" s="7"/>
      <c r="S9935" s="7"/>
      <c r="T9935" s="7"/>
      <c r="U9935" s="7"/>
      <c r="V9935" s="7"/>
      <c r="W9935" s="7"/>
      <c r="X9935" s="7"/>
      <c r="Y9935" s="7"/>
      <c r="Z9935" s="7"/>
    </row>
    <row r="9936" hidden="1">
      <c r="A9936" s="7"/>
      <c r="B9936" s="7"/>
      <c r="C9936" s="7"/>
      <c r="D9936" s="7"/>
      <c r="E9936" s="7"/>
      <c r="F9936" s="7"/>
      <c r="G9936" s="7"/>
      <c r="H9936" s="8"/>
      <c r="I9936" s="8"/>
      <c r="J9936" s="7"/>
      <c r="K9936" s="7"/>
      <c r="L9936" s="7"/>
      <c r="M9936" s="7"/>
      <c r="N9936" s="7"/>
      <c r="O9936" s="7"/>
      <c r="P9936" s="7"/>
      <c r="Q9936" s="7"/>
      <c r="R9936" s="7"/>
      <c r="S9936" s="7"/>
      <c r="T9936" s="7"/>
      <c r="U9936" s="7"/>
      <c r="V9936" s="7"/>
      <c r="W9936" s="7"/>
      <c r="X9936" s="7"/>
      <c r="Y9936" s="7"/>
      <c r="Z9936" s="7"/>
    </row>
    <row r="9937" hidden="1">
      <c r="A9937" s="7"/>
      <c r="B9937" s="7"/>
      <c r="C9937" s="7"/>
      <c r="D9937" s="7"/>
      <c r="E9937" s="7"/>
      <c r="F9937" s="7"/>
      <c r="G9937" s="7"/>
      <c r="H9937" s="8"/>
      <c r="I9937" s="8"/>
      <c r="J9937" s="7"/>
      <c r="K9937" s="7"/>
      <c r="L9937" s="7"/>
      <c r="M9937" s="7"/>
      <c r="N9937" s="7"/>
      <c r="O9937" s="7"/>
      <c r="P9937" s="7"/>
      <c r="Q9937" s="7"/>
      <c r="R9937" s="7"/>
      <c r="S9937" s="7"/>
      <c r="T9937" s="7"/>
      <c r="U9937" s="7"/>
      <c r="V9937" s="7"/>
      <c r="W9937" s="7"/>
      <c r="X9937" s="7"/>
      <c r="Y9937" s="7"/>
      <c r="Z9937" s="7"/>
    </row>
    <row r="9938" hidden="1">
      <c r="A9938" s="7"/>
      <c r="B9938" s="7"/>
      <c r="C9938" s="7"/>
      <c r="D9938" s="7"/>
      <c r="E9938" s="7"/>
      <c r="F9938" s="7"/>
      <c r="G9938" s="7"/>
      <c r="H9938" s="8"/>
      <c r="I9938" s="8"/>
      <c r="J9938" s="7"/>
      <c r="K9938" s="7"/>
      <c r="L9938" s="7"/>
      <c r="M9938" s="7"/>
      <c r="N9938" s="7"/>
      <c r="O9938" s="7"/>
      <c r="P9938" s="7"/>
      <c r="Q9938" s="7"/>
      <c r="R9938" s="7"/>
      <c r="S9938" s="7"/>
      <c r="T9938" s="7"/>
      <c r="U9938" s="7"/>
      <c r="V9938" s="7"/>
      <c r="W9938" s="7"/>
      <c r="X9938" s="7"/>
      <c r="Y9938" s="7"/>
      <c r="Z9938" s="7"/>
    </row>
    <row r="9939" hidden="1">
      <c r="A9939" s="7"/>
      <c r="B9939" s="7"/>
      <c r="C9939" s="7"/>
      <c r="D9939" s="7"/>
      <c r="E9939" s="7"/>
      <c r="F9939" s="7"/>
      <c r="G9939" s="7"/>
      <c r="H9939" s="8"/>
      <c r="I9939" s="8"/>
      <c r="J9939" s="7"/>
      <c r="K9939" s="7"/>
      <c r="L9939" s="7"/>
      <c r="M9939" s="7"/>
      <c r="N9939" s="7"/>
      <c r="O9939" s="7"/>
      <c r="P9939" s="7"/>
      <c r="Q9939" s="7"/>
      <c r="R9939" s="7"/>
      <c r="S9939" s="7"/>
      <c r="T9939" s="7"/>
      <c r="U9939" s="7"/>
      <c r="V9939" s="7"/>
      <c r="W9939" s="7"/>
      <c r="X9939" s="7"/>
      <c r="Y9939" s="7"/>
      <c r="Z9939" s="7"/>
    </row>
    <row r="9940" hidden="1">
      <c r="A9940" s="7"/>
      <c r="B9940" s="7"/>
      <c r="C9940" s="7"/>
      <c r="D9940" s="7"/>
      <c r="E9940" s="7"/>
      <c r="F9940" s="7"/>
      <c r="G9940" s="7"/>
      <c r="H9940" s="8"/>
      <c r="I9940" s="8"/>
      <c r="J9940" s="7"/>
      <c r="K9940" s="7"/>
      <c r="L9940" s="7"/>
      <c r="M9940" s="7"/>
      <c r="N9940" s="7"/>
      <c r="O9940" s="7"/>
      <c r="P9940" s="7"/>
      <c r="Q9940" s="7"/>
      <c r="R9940" s="7"/>
      <c r="S9940" s="7"/>
      <c r="T9940" s="7"/>
      <c r="U9940" s="7"/>
      <c r="V9940" s="7"/>
      <c r="W9940" s="7"/>
      <c r="X9940" s="7"/>
      <c r="Y9940" s="7"/>
      <c r="Z9940" s="7"/>
    </row>
    <row r="9941" hidden="1">
      <c r="A9941" s="7"/>
      <c r="B9941" s="7"/>
      <c r="C9941" s="7"/>
      <c r="D9941" s="7"/>
      <c r="E9941" s="7"/>
      <c r="F9941" s="7"/>
      <c r="G9941" s="7"/>
      <c r="H9941" s="8"/>
      <c r="I9941" s="8"/>
      <c r="J9941" s="7"/>
      <c r="K9941" s="7"/>
      <c r="L9941" s="7"/>
      <c r="M9941" s="7"/>
      <c r="N9941" s="7"/>
      <c r="O9941" s="7"/>
      <c r="P9941" s="7"/>
      <c r="Q9941" s="7"/>
      <c r="R9941" s="7"/>
      <c r="S9941" s="7"/>
      <c r="T9941" s="7"/>
      <c r="U9941" s="7"/>
      <c r="V9941" s="7"/>
      <c r="W9941" s="7"/>
      <c r="X9941" s="7"/>
      <c r="Y9941" s="7"/>
      <c r="Z9941" s="7"/>
    </row>
    <row r="9942" hidden="1">
      <c r="A9942" s="7"/>
      <c r="B9942" s="7"/>
      <c r="C9942" s="7"/>
      <c r="D9942" s="7"/>
      <c r="E9942" s="7"/>
      <c r="F9942" s="7"/>
      <c r="G9942" s="7"/>
      <c r="H9942" s="8"/>
      <c r="I9942" s="8"/>
      <c r="J9942" s="7"/>
      <c r="K9942" s="7"/>
      <c r="L9942" s="7"/>
      <c r="M9942" s="7"/>
      <c r="N9942" s="7"/>
      <c r="O9942" s="7"/>
      <c r="P9942" s="7"/>
      <c r="Q9942" s="7"/>
      <c r="R9942" s="7"/>
      <c r="S9942" s="7"/>
      <c r="T9942" s="7"/>
      <c r="U9942" s="7"/>
      <c r="V9942" s="7"/>
      <c r="W9942" s="7"/>
      <c r="X9942" s="7"/>
      <c r="Y9942" s="7"/>
      <c r="Z9942" s="7"/>
    </row>
    <row r="9943" hidden="1">
      <c r="A9943" s="7"/>
      <c r="B9943" s="7"/>
      <c r="C9943" s="7"/>
      <c r="D9943" s="7"/>
      <c r="E9943" s="7"/>
      <c r="F9943" s="7"/>
      <c r="G9943" s="7"/>
      <c r="H9943" s="8"/>
      <c r="I9943" s="8"/>
      <c r="J9943" s="7"/>
      <c r="K9943" s="7"/>
      <c r="L9943" s="7"/>
      <c r="M9943" s="7"/>
      <c r="N9943" s="7"/>
      <c r="O9943" s="7"/>
      <c r="P9943" s="7"/>
      <c r="Q9943" s="7"/>
      <c r="R9943" s="7"/>
      <c r="S9943" s="7"/>
      <c r="T9943" s="7"/>
      <c r="U9943" s="7"/>
      <c r="V9943" s="7"/>
      <c r="W9943" s="7"/>
      <c r="X9943" s="7"/>
      <c r="Y9943" s="7"/>
      <c r="Z9943" s="7"/>
    </row>
    <row r="9944" hidden="1">
      <c r="A9944" s="7"/>
      <c r="B9944" s="7"/>
      <c r="C9944" s="7"/>
      <c r="D9944" s="7"/>
      <c r="E9944" s="7"/>
      <c r="F9944" s="7"/>
      <c r="G9944" s="7"/>
      <c r="H9944" s="8"/>
      <c r="I9944" s="8"/>
      <c r="J9944" s="7"/>
      <c r="K9944" s="7"/>
      <c r="L9944" s="7"/>
      <c r="M9944" s="7"/>
      <c r="N9944" s="7"/>
      <c r="O9944" s="7"/>
      <c r="P9944" s="7"/>
      <c r="Q9944" s="7"/>
      <c r="R9944" s="7"/>
      <c r="S9944" s="7"/>
      <c r="T9944" s="7"/>
      <c r="U9944" s="7"/>
      <c r="V9944" s="7"/>
      <c r="W9944" s="7"/>
      <c r="X9944" s="7"/>
      <c r="Y9944" s="7"/>
      <c r="Z9944" s="7"/>
    </row>
    <row r="9945" hidden="1">
      <c r="A9945" s="7"/>
      <c r="B9945" s="7"/>
      <c r="C9945" s="7"/>
      <c r="D9945" s="7"/>
      <c r="E9945" s="7"/>
      <c r="F9945" s="7"/>
      <c r="G9945" s="7"/>
      <c r="H9945" s="8"/>
      <c r="I9945" s="8"/>
      <c r="J9945" s="7"/>
      <c r="K9945" s="7"/>
      <c r="L9945" s="7"/>
      <c r="M9945" s="7"/>
      <c r="N9945" s="7"/>
      <c r="O9945" s="7"/>
      <c r="P9945" s="7"/>
      <c r="Q9945" s="7"/>
      <c r="R9945" s="7"/>
      <c r="S9945" s="7"/>
      <c r="T9945" s="7"/>
      <c r="U9945" s="7"/>
      <c r="V9945" s="7"/>
      <c r="W9945" s="7"/>
      <c r="X9945" s="7"/>
      <c r="Y9945" s="7"/>
      <c r="Z9945" s="7"/>
    </row>
    <row r="9946" hidden="1">
      <c r="A9946" s="7"/>
      <c r="B9946" s="7"/>
      <c r="C9946" s="7"/>
      <c r="D9946" s="7"/>
      <c r="E9946" s="7"/>
      <c r="F9946" s="7"/>
      <c r="G9946" s="7"/>
      <c r="H9946" s="8"/>
      <c r="I9946" s="8"/>
      <c r="J9946" s="7"/>
      <c r="K9946" s="7"/>
      <c r="L9946" s="7"/>
      <c r="M9946" s="7"/>
      <c r="N9946" s="7"/>
      <c r="O9946" s="7"/>
      <c r="P9946" s="7"/>
      <c r="Q9946" s="7"/>
      <c r="R9946" s="7"/>
      <c r="S9946" s="7"/>
      <c r="T9946" s="7"/>
      <c r="U9946" s="7"/>
      <c r="V9946" s="7"/>
      <c r="W9946" s="7"/>
      <c r="X9946" s="7"/>
      <c r="Y9946" s="7"/>
      <c r="Z9946" s="7"/>
    </row>
    <row r="9947" hidden="1">
      <c r="A9947" s="7"/>
      <c r="B9947" s="7"/>
      <c r="C9947" s="7"/>
      <c r="D9947" s="7"/>
      <c r="E9947" s="7"/>
      <c r="F9947" s="7"/>
      <c r="G9947" s="7"/>
      <c r="H9947" s="8"/>
      <c r="I9947" s="8"/>
      <c r="J9947" s="7"/>
      <c r="K9947" s="7"/>
      <c r="L9947" s="7"/>
      <c r="M9947" s="7"/>
      <c r="N9947" s="7"/>
      <c r="O9947" s="7"/>
      <c r="P9947" s="7"/>
      <c r="Q9947" s="7"/>
      <c r="R9947" s="7"/>
      <c r="S9947" s="7"/>
      <c r="T9947" s="7"/>
      <c r="U9947" s="7"/>
      <c r="V9947" s="7"/>
      <c r="W9947" s="7"/>
      <c r="X9947" s="7"/>
      <c r="Y9947" s="7"/>
      <c r="Z9947" s="7"/>
    </row>
    <row r="9948" hidden="1">
      <c r="A9948" s="7"/>
      <c r="B9948" s="7"/>
      <c r="C9948" s="7"/>
      <c r="D9948" s="7"/>
      <c r="E9948" s="7"/>
      <c r="F9948" s="7"/>
      <c r="G9948" s="7"/>
      <c r="H9948" s="8"/>
      <c r="I9948" s="8"/>
      <c r="J9948" s="7"/>
      <c r="K9948" s="7"/>
      <c r="L9948" s="7"/>
      <c r="M9948" s="7"/>
      <c r="N9948" s="7"/>
      <c r="O9948" s="7"/>
      <c r="P9948" s="7"/>
      <c r="Q9948" s="7"/>
      <c r="R9948" s="7"/>
      <c r="S9948" s="7"/>
      <c r="T9948" s="7"/>
      <c r="U9948" s="7"/>
      <c r="V9948" s="7"/>
      <c r="W9948" s="7"/>
      <c r="X9948" s="7"/>
      <c r="Y9948" s="7"/>
      <c r="Z9948" s="7"/>
    </row>
    <row r="9949" hidden="1">
      <c r="A9949" s="7"/>
      <c r="B9949" s="7"/>
      <c r="C9949" s="7"/>
      <c r="D9949" s="7"/>
      <c r="E9949" s="7"/>
      <c r="F9949" s="7"/>
      <c r="G9949" s="7"/>
      <c r="H9949" s="8"/>
      <c r="I9949" s="8"/>
      <c r="J9949" s="7"/>
      <c r="K9949" s="7"/>
      <c r="L9949" s="7"/>
      <c r="M9949" s="7"/>
      <c r="N9949" s="7"/>
      <c r="O9949" s="7"/>
      <c r="P9949" s="7"/>
      <c r="Q9949" s="7"/>
      <c r="R9949" s="7"/>
      <c r="S9949" s="7"/>
      <c r="T9949" s="7"/>
      <c r="U9949" s="7"/>
      <c r="V9949" s="7"/>
      <c r="W9949" s="7"/>
      <c r="X9949" s="7"/>
      <c r="Y9949" s="7"/>
      <c r="Z9949" s="7"/>
    </row>
    <row r="9950" hidden="1">
      <c r="A9950" s="7"/>
      <c r="B9950" s="7"/>
      <c r="C9950" s="7"/>
      <c r="D9950" s="7"/>
      <c r="E9950" s="7"/>
      <c r="F9950" s="7"/>
      <c r="G9950" s="7"/>
      <c r="H9950" s="8"/>
      <c r="I9950" s="8"/>
      <c r="J9950" s="7"/>
      <c r="K9950" s="7"/>
      <c r="L9950" s="7"/>
      <c r="M9950" s="7"/>
      <c r="N9950" s="7"/>
      <c r="O9950" s="7"/>
      <c r="P9950" s="7"/>
      <c r="Q9950" s="7"/>
      <c r="R9950" s="7"/>
      <c r="S9950" s="7"/>
      <c r="T9950" s="7"/>
      <c r="U9950" s="7"/>
      <c r="V9950" s="7"/>
      <c r="W9950" s="7"/>
      <c r="X9950" s="7"/>
      <c r="Y9950" s="7"/>
      <c r="Z9950" s="7"/>
    </row>
    <row r="9951" hidden="1">
      <c r="A9951" s="7"/>
      <c r="B9951" s="7"/>
      <c r="C9951" s="7"/>
      <c r="D9951" s="7"/>
      <c r="E9951" s="7"/>
      <c r="F9951" s="7"/>
      <c r="G9951" s="7"/>
      <c r="H9951" s="8"/>
      <c r="I9951" s="8"/>
      <c r="J9951" s="7"/>
      <c r="K9951" s="7"/>
      <c r="L9951" s="7"/>
      <c r="M9951" s="7"/>
      <c r="N9951" s="7"/>
      <c r="O9951" s="7"/>
      <c r="P9951" s="7"/>
      <c r="Q9951" s="7"/>
      <c r="R9951" s="7"/>
      <c r="S9951" s="7"/>
      <c r="T9951" s="7"/>
      <c r="U9951" s="7"/>
      <c r="V9951" s="7"/>
      <c r="W9951" s="7"/>
      <c r="X9951" s="7"/>
      <c r="Y9951" s="7"/>
      <c r="Z9951" s="7"/>
    </row>
    <row r="9952" hidden="1">
      <c r="A9952" s="7"/>
      <c r="B9952" s="7"/>
      <c r="C9952" s="7"/>
      <c r="D9952" s="7"/>
      <c r="E9952" s="7"/>
      <c r="F9952" s="7"/>
      <c r="G9952" s="7"/>
      <c r="H9952" s="8"/>
      <c r="I9952" s="8"/>
      <c r="J9952" s="7"/>
      <c r="K9952" s="7"/>
      <c r="L9952" s="7"/>
      <c r="M9952" s="7"/>
      <c r="N9952" s="7"/>
      <c r="O9952" s="7"/>
      <c r="P9952" s="7"/>
      <c r="Q9952" s="7"/>
      <c r="R9952" s="7"/>
      <c r="S9952" s="7"/>
      <c r="T9952" s="7"/>
      <c r="U9952" s="7"/>
      <c r="V9952" s="7"/>
      <c r="W9952" s="7"/>
      <c r="X9952" s="7"/>
      <c r="Y9952" s="7"/>
      <c r="Z9952" s="7"/>
    </row>
    <row r="9953" hidden="1">
      <c r="A9953" s="7"/>
      <c r="B9953" s="7"/>
      <c r="C9953" s="7"/>
      <c r="D9953" s="7"/>
      <c r="E9953" s="7"/>
      <c r="F9953" s="7"/>
      <c r="G9953" s="7"/>
      <c r="H9953" s="8"/>
      <c r="I9953" s="8"/>
      <c r="J9953" s="7"/>
      <c r="K9953" s="7"/>
      <c r="L9953" s="7"/>
      <c r="M9953" s="7"/>
      <c r="N9953" s="7"/>
      <c r="O9953" s="7"/>
      <c r="P9953" s="7"/>
      <c r="Q9953" s="7"/>
      <c r="R9953" s="7"/>
      <c r="S9953" s="7"/>
      <c r="T9953" s="7"/>
      <c r="U9953" s="7"/>
      <c r="V9953" s="7"/>
      <c r="W9953" s="7"/>
      <c r="X9953" s="7"/>
      <c r="Y9953" s="7"/>
      <c r="Z9953" s="7"/>
    </row>
    <row r="9954" hidden="1">
      <c r="A9954" s="7"/>
      <c r="B9954" s="7"/>
      <c r="C9954" s="7"/>
      <c r="D9954" s="7"/>
      <c r="E9954" s="7"/>
      <c r="F9954" s="7"/>
      <c r="G9954" s="7"/>
      <c r="H9954" s="8"/>
      <c r="I9954" s="8"/>
      <c r="J9954" s="7"/>
      <c r="K9954" s="7"/>
      <c r="L9954" s="7"/>
      <c r="M9954" s="7"/>
      <c r="N9954" s="7"/>
      <c r="O9954" s="7"/>
      <c r="P9954" s="7"/>
      <c r="Q9954" s="7"/>
      <c r="R9954" s="7"/>
      <c r="S9954" s="7"/>
      <c r="T9954" s="7"/>
      <c r="U9954" s="7"/>
      <c r="V9954" s="7"/>
      <c r="W9954" s="7"/>
      <c r="X9954" s="7"/>
      <c r="Y9954" s="7"/>
      <c r="Z9954" s="7"/>
    </row>
    <row r="9955" hidden="1">
      <c r="A9955" s="7"/>
      <c r="B9955" s="7"/>
      <c r="C9955" s="7"/>
      <c r="D9955" s="7"/>
      <c r="E9955" s="7"/>
      <c r="F9955" s="7"/>
      <c r="G9955" s="7"/>
      <c r="H9955" s="8"/>
      <c r="I9955" s="8"/>
      <c r="J9955" s="7"/>
      <c r="K9955" s="7"/>
      <c r="L9955" s="7"/>
      <c r="M9955" s="7"/>
      <c r="N9955" s="7"/>
      <c r="O9955" s="7"/>
      <c r="P9955" s="7"/>
      <c r="Q9955" s="7"/>
      <c r="R9955" s="7"/>
      <c r="S9955" s="7"/>
      <c r="T9955" s="7"/>
      <c r="U9955" s="7"/>
      <c r="V9955" s="7"/>
      <c r="W9955" s="7"/>
      <c r="X9955" s="7"/>
      <c r="Y9955" s="7"/>
      <c r="Z9955" s="7"/>
    </row>
    <row r="9956" hidden="1">
      <c r="A9956" s="7"/>
      <c r="B9956" s="7"/>
      <c r="C9956" s="7"/>
      <c r="D9956" s="7"/>
      <c r="E9956" s="7"/>
      <c r="F9956" s="7"/>
      <c r="G9956" s="7"/>
      <c r="H9956" s="8"/>
      <c r="I9956" s="8"/>
      <c r="J9956" s="7"/>
      <c r="K9956" s="7"/>
      <c r="L9956" s="7"/>
      <c r="M9956" s="7"/>
      <c r="N9956" s="7"/>
      <c r="O9956" s="7"/>
      <c r="P9956" s="7"/>
      <c r="Q9956" s="7"/>
      <c r="R9956" s="7"/>
      <c r="S9956" s="7"/>
      <c r="T9956" s="7"/>
      <c r="U9956" s="7"/>
      <c r="V9956" s="7"/>
      <c r="W9956" s="7"/>
      <c r="X9956" s="7"/>
      <c r="Y9956" s="7"/>
      <c r="Z9956" s="7"/>
    </row>
    <row r="9957" hidden="1">
      <c r="A9957" s="7"/>
      <c r="B9957" s="7"/>
      <c r="C9957" s="7"/>
      <c r="D9957" s="7"/>
      <c r="E9957" s="7"/>
      <c r="F9957" s="7"/>
      <c r="G9957" s="7"/>
      <c r="H9957" s="8"/>
      <c r="I9957" s="8"/>
      <c r="J9957" s="7"/>
      <c r="K9957" s="7"/>
      <c r="L9957" s="7"/>
      <c r="M9957" s="7"/>
      <c r="N9957" s="7"/>
      <c r="O9957" s="7"/>
      <c r="P9957" s="7"/>
      <c r="Q9957" s="7"/>
      <c r="R9957" s="7"/>
      <c r="S9957" s="7"/>
      <c r="T9957" s="7"/>
      <c r="U9957" s="7"/>
      <c r="V9957" s="7"/>
      <c r="W9957" s="7"/>
      <c r="X9957" s="7"/>
      <c r="Y9957" s="7"/>
      <c r="Z9957" s="7"/>
    </row>
    <row r="9958" hidden="1">
      <c r="A9958" s="7"/>
      <c r="B9958" s="7"/>
      <c r="C9958" s="7"/>
      <c r="D9958" s="7"/>
      <c r="E9958" s="7"/>
      <c r="F9958" s="7"/>
      <c r="G9958" s="7"/>
      <c r="H9958" s="8"/>
      <c r="I9958" s="8"/>
      <c r="J9958" s="7"/>
      <c r="K9958" s="7"/>
      <c r="L9958" s="7"/>
      <c r="M9958" s="7"/>
      <c r="N9958" s="7"/>
      <c r="O9958" s="7"/>
      <c r="P9958" s="7"/>
      <c r="Q9958" s="7"/>
      <c r="R9958" s="7"/>
      <c r="S9958" s="7"/>
      <c r="T9958" s="7"/>
      <c r="U9958" s="7"/>
      <c r="V9958" s="7"/>
      <c r="W9958" s="7"/>
      <c r="X9958" s="7"/>
      <c r="Y9958" s="7"/>
      <c r="Z9958" s="7"/>
    </row>
    <row r="9959" hidden="1">
      <c r="A9959" s="7"/>
      <c r="B9959" s="7"/>
      <c r="C9959" s="7"/>
      <c r="D9959" s="7"/>
      <c r="E9959" s="7"/>
      <c r="F9959" s="7"/>
      <c r="G9959" s="7"/>
      <c r="H9959" s="8"/>
      <c r="I9959" s="8"/>
      <c r="J9959" s="7"/>
      <c r="K9959" s="7"/>
      <c r="L9959" s="7"/>
      <c r="M9959" s="7"/>
      <c r="N9959" s="7"/>
      <c r="O9959" s="7"/>
      <c r="P9959" s="7"/>
      <c r="Q9959" s="7"/>
      <c r="R9959" s="7"/>
      <c r="S9959" s="7"/>
      <c r="T9959" s="7"/>
      <c r="U9959" s="7"/>
      <c r="V9959" s="7"/>
      <c r="W9959" s="7"/>
      <c r="X9959" s="7"/>
      <c r="Y9959" s="7"/>
      <c r="Z9959" s="7"/>
    </row>
    <row r="9960" hidden="1">
      <c r="A9960" s="7"/>
      <c r="B9960" s="7"/>
      <c r="C9960" s="7"/>
      <c r="D9960" s="7"/>
      <c r="E9960" s="7"/>
      <c r="F9960" s="7"/>
      <c r="G9960" s="7"/>
      <c r="H9960" s="8"/>
      <c r="I9960" s="8"/>
      <c r="J9960" s="7"/>
      <c r="K9960" s="7"/>
      <c r="L9960" s="7"/>
      <c r="M9960" s="7"/>
      <c r="N9960" s="7"/>
      <c r="O9960" s="7"/>
      <c r="P9960" s="7"/>
      <c r="Q9960" s="7"/>
      <c r="R9960" s="7"/>
      <c r="S9960" s="7"/>
      <c r="T9960" s="7"/>
      <c r="U9960" s="7"/>
      <c r="V9960" s="7"/>
      <c r="W9960" s="7"/>
      <c r="X9960" s="7"/>
      <c r="Y9960" s="7"/>
      <c r="Z9960" s="7"/>
    </row>
    <row r="9961" hidden="1">
      <c r="A9961" s="7"/>
      <c r="B9961" s="7"/>
      <c r="C9961" s="7"/>
      <c r="D9961" s="7"/>
      <c r="E9961" s="7"/>
      <c r="F9961" s="7"/>
      <c r="G9961" s="7"/>
      <c r="H9961" s="8"/>
      <c r="I9961" s="8"/>
      <c r="J9961" s="7"/>
      <c r="K9961" s="7"/>
      <c r="L9961" s="7"/>
      <c r="M9961" s="7"/>
      <c r="N9961" s="7"/>
      <c r="O9961" s="7"/>
      <c r="P9961" s="7"/>
      <c r="Q9961" s="7"/>
      <c r="R9961" s="7"/>
      <c r="S9961" s="7"/>
      <c r="T9961" s="7"/>
      <c r="U9961" s="7"/>
      <c r="V9961" s="7"/>
      <c r="W9961" s="7"/>
      <c r="X9961" s="7"/>
      <c r="Y9961" s="7"/>
      <c r="Z9961" s="7"/>
    </row>
    <row r="9962" hidden="1">
      <c r="A9962" s="7"/>
      <c r="B9962" s="7"/>
      <c r="C9962" s="7"/>
      <c r="D9962" s="7"/>
      <c r="E9962" s="7"/>
      <c r="F9962" s="7"/>
      <c r="G9962" s="7"/>
      <c r="H9962" s="8"/>
      <c r="I9962" s="8"/>
      <c r="J9962" s="7"/>
      <c r="K9962" s="7"/>
      <c r="L9962" s="7"/>
      <c r="M9962" s="7"/>
      <c r="N9962" s="7"/>
      <c r="O9962" s="7"/>
      <c r="P9962" s="7"/>
      <c r="Q9962" s="7"/>
      <c r="R9962" s="7"/>
      <c r="S9962" s="7"/>
      <c r="T9962" s="7"/>
      <c r="U9962" s="7"/>
      <c r="V9962" s="7"/>
      <c r="W9962" s="7"/>
      <c r="X9962" s="7"/>
      <c r="Y9962" s="7"/>
      <c r="Z9962" s="7"/>
    </row>
    <row r="9963" hidden="1">
      <c r="A9963" s="7"/>
      <c r="B9963" s="7"/>
      <c r="C9963" s="7"/>
      <c r="D9963" s="7"/>
      <c r="E9963" s="7"/>
      <c r="F9963" s="7"/>
      <c r="G9963" s="7"/>
      <c r="H9963" s="8"/>
      <c r="I9963" s="8"/>
      <c r="J9963" s="7"/>
      <c r="K9963" s="7"/>
      <c r="L9963" s="7"/>
      <c r="M9963" s="7"/>
      <c r="N9963" s="7"/>
      <c r="O9963" s="7"/>
      <c r="P9963" s="7"/>
      <c r="Q9963" s="7"/>
      <c r="R9963" s="7"/>
      <c r="S9963" s="7"/>
      <c r="T9963" s="7"/>
      <c r="U9963" s="7"/>
      <c r="V9963" s="7"/>
      <c r="W9963" s="7"/>
      <c r="X9963" s="7"/>
      <c r="Y9963" s="7"/>
      <c r="Z9963" s="7"/>
    </row>
    <row r="9964" hidden="1">
      <c r="A9964" s="7"/>
      <c r="B9964" s="7"/>
      <c r="C9964" s="7"/>
      <c r="D9964" s="7"/>
      <c r="E9964" s="7"/>
      <c r="F9964" s="7"/>
      <c r="G9964" s="7"/>
      <c r="H9964" s="8"/>
      <c r="I9964" s="8"/>
      <c r="J9964" s="7"/>
      <c r="K9964" s="7"/>
      <c r="L9964" s="7"/>
      <c r="M9964" s="7"/>
      <c r="N9964" s="7"/>
      <c r="O9964" s="7"/>
      <c r="P9964" s="7"/>
      <c r="Q9964" s="7"/>
      <c r="R9964" s="7"/>
      <c r="S9964" s="7"/>
      <c r="T9964" s="7"/>
      <c r="U9964" s="7"/>
      <c r="V9964" s="7"/>
      <c r="W9964" s="7"/>
      <c r="X9964" s="7"/>
      <c r="Y9964" s="7"/>
      <c r="Z9964" s="7"/>
    </row>
    <row r="9965" hidden="1">
      <c r="A9965" s="7"/>
      <c r="B9965" s="7"/>
      <c r="C9965" s="7"/>
      <c r="D9965" s="7"/>
      <c r="E9965" s="7"/>
      <c r="F9965" s="7"/>
      <c r="G9965" s="7"/>
      <c r="H9965" s="8"/>
      <c r="I9965" s="8"/>
      <c r="J9965" s="7"/>
      <c r="K9965" s="7"/>
      <c r="L9965" s="7"/>
      <c r="M9965" s="7"/>
      <c r="N9965" s="7"/>
      <c r="O9965" s="7"/>
      <c r="P9965" s="7"/>
      <c r="Q9965" s="7"/>
      <c r="R9965" s="7"/>
      <c r="S9965" s="7"/>
      <c r="T9965" s="7"/>
      <c r="U9965" s="7"/>
      <c r="V9965" s="7"/>
      <c r="W9965" s="7"/>
      <c r="X9965" s="7"/>
      <c r="Y9965" s="7"/>
      <c r="Z9965" s="7"/>
    </row>
    <row r="9966" hidden="1">
      <c r="A9966" s="7"/>
      <c r="B9966" s="7"/>
      <c r="C9966" s="7"/>
      <c r="D9966" s="7"/>
      <c r="E9966" s="7"/>
      <c r="F9966" s="7"/>
      <c r="G9966" s="7"/>
      <c r="H9966" s="8"/>
      <c r="I9966" s="8"/>
      <c r="J9966" s="7"/>
      <c r="K9966" s="7"/>
      <c r="L9966" s="7"/>
      <c r="M9966" s="7"/>
      <c r="N9966" s="7"/>
      <c r="O9966" s="7"/>
      <c r="P9966" s="7"/>
      <c r="Q9966" s="7"/>
      <c r="R9966" s="7"/>
      <c r="S9966" s="7"/>
      <c r="T9966" s="7"/>
      <c r="U9966" s="7"/>
      <c r="V9966" s="7"/>
      <c r="W9966" s="7"/>
      <c r="X9966" s="7"/>
      <c r="Y9966" s="7"/>
      <c r="Z9966" s="7"/>
    </row>
    <row r="9967" hidden="1">
      <c r="A9967" s="7"/>
      <c r="B9967" s="7"/>
      <c r="C9967" s="7"/>
      <c r="D9967" s="7"/>
      <c r="E9967" s="7"/>
      <c r="F9967" s="7"/>
      <c r="G9967" s="7"/>
      <c r="H9967" s="8"/>
      <c r="I9967" s="8"/>
      <c r="J9967" s="7"/>
      <c r="K9967" s="7"/>
      <c r="L9967" s="7"/>
      <c r="M9967" s="7"/>
      <c r="N9967" s="7"/>
      <c r="O9967" s="7"/>
      <c r="P9967" s="7"/>
      <c r="Q9967" s="7"/>
      <c r="R9967" s="7"/>
      <c r="S9967" s="7"/>
      <c r="T9967" s="7"/>
      <c r="U9967" s="7"/>
      <c r="V9967" s="7"/>
      <c r="W9967" s="7"/>
      <c r="X9967" s="7"/>
      <c r="Y9967" s="7"/>
      <c r="Z9967" s="7"/>
    </row>
    <row r="9968" hidden="1">
      <c r="A9968" s="7"/>
      <c r="B9968" s="7"/>
      <c r="C9968" s="7"/>
      <c r="D9968" s="7"/>
      <c r="E9968" s="7"/>
      <c r="F9968" s="7"/>
      <c r="G9968" s="7"/>
      <c r="H9968" s="8"/>
      <c r="I9968" s="8"/>
      <c r="J9968" s="7"/>
      <c r="K9968" s="7"/>
      <c r="L9968" s="7"/>
      <c r="M9968" s="7"/>
      <c r="N9968" s="7"/>
      <c r="O9968" s="7"/>
      <c r="P9968" s="7"/>
      <c r="Q9968" s="7"/>
      <c r="R9968" s="7"/>
      <c r="S9968" s="7"/>
      <c r="T9968" s="7"/>
      <c r="U9968" s="7"/>
      <c r="V9968" s="7"/>
      <c r="W9968" s="7"/>
      <c r="X9968" s="7"/>
      <c r="Y9968" s="7"/>
      <c r="Z9968" s="7"/>
    </row>
    <row r="9969" hidden="1">
      <c r="A9969" s="7"/>
      <c r="B9969" s="7"/>
      <c r="C9969" s="7"/>
      <c r="D9969" s="7"/>
      <c r="E9969" s="7"/>
      <c r="F9969" s="7"/>
      <c r="G9969" s="7"/>
      <c r="H9969" s="8"/>
      <c r="I9969" s="8"/>
      <c r="J9969" s="7"/>
      <c r="K9969" s="7"/>
      <c r="L9969" s="7"/>
      <c r="M9969" s="7"/>
      <c r="N9969" s="7"/>
      <c r="O9969" s="7"/>
      <c r="P9969" s="7"/>
      <c r="Q9969" s="7"/>
      <c r="R9969" s="7"/>
      <c r="S9969" s="7"/>
      <c r="T9969" s="7"/>
      <c r="U9969" s="7"/>
      <c r="V9969" s="7"/>
      <c r="W9969" s="7"/>
      <c r="X9969" s="7"/>
      <c r="Y9969" s="7"/>
      <c r="Z9969" s="7"/>
    </row>
    <row r="9970" hidden="1">
      <c r="A9970" s="7"/>
      <c r="B9970" s="7"/>
      <c r="C9970" s="7"/>
      <c r="D9970" s="7"/>
      <c r="E9970" s="7"/>
      <c r="F9970" s="7"/>
      <c r="G9970" s="7"/>
      <c r="H9970" s="8"/>
      <c r="I9970" s="8"/>
      <c r="J9970" s="7"/>
      <c r="K9970" s="7"/>
      <c r="L9970" s="7"/>
      <c r="M9970" s="7"/>
      <c r="N9970" s="7"/>
      <c r="O9970" s="7"/>
      <c r="P9970" s="7"/>
      <c r="Q9970" s="7"/>
      <c r="R9970" s="7"/>
      <c r="S9970" s="7"/>
      <c r="T9970" s="7"/>
      <c r="U9970" s="7"/>
      <c r="V9970" s="7"/>
      <c r="W9970" s="7"/>
      <c r="X9970" s="7"/>
      <c r="Y9970" s="7"/>
      <c r="Z9970" s="7"/>
    </row>
    <row r="9971" hidden="1">
      <c r="A9971" s="7"/>
      <c r="B9971" s="7"/>
      <c r="C9971" s="7"/>
      <c r="D9971" s="7"/>
      <c r="E9971" s="7"/>
      <c r="F9971" s="7"/>
      <c r="G9971" s="7"/>
      <c r="H9971" s="8"/>
      <c r="I9971" s="8"/>
      <c r="J9971" s="7"/>
      <c r="K9971" s="7"/>
      <c r="L9971" s="7"/>
      <c r="M9971" s="7"/>
      <c r="N9971" s="7"/>
      <c r="O9971" s="7"/>
      <c r="P9971" s="7"/>
      <c r="Q9971" s="7"/>
      <c r="R9971" s="7"/>
      <c r="S9971" s="7"/>
      <c r="T9971" s="7"/>
      <c r="U9971" s="7"/>
      <c r="V9971" s="7"/>
      <c r="W9971" s="7"/>
      <c r="X9971" s="7"/>
      <c r="Y9971" s="7"/>
      <c r="Z9971" s="7"/>
    </row>
    <row r="9972" hidden="1">
      <c r="A9972" s="7"/>
      <c r="B9972" s="7"/>
      <c r="C9972" s="7"/>
      <c r="D9972" s="7"/>
      <c r="E9972" s="7"/>
      <c r="F9972" s="7"/>
      <c r="G9972" s="7"/>
      <c r="H9972" s="8"/>
      <c r="I9972" s="8"/>
      <c r="J9972" s="7"/>
      <c r="K9972" s="7"/>
      <c r="L9972" s="7"/>
      <c r="M9972" s="7"/>
      <c r="N9972" s="7"/>
      <c r="O9972" s="7"/>
      <c r="P9972" s="7"/>
      <c r="Q9972" s="7"/>
      <c r="R9972" s="7"/>
      <c r="S9972" s="7"/>
      <c r="T9972" s="7"/>
      <c r="U9972" s="7"/>
      <c r="V9972" s="7"/>
      <c r="W9972" s="7"/>
      <c r="X9972" s="7"/>
      <c r="Y9972" s="7"/>
      <c r="Z9972" s="7"/>
    </row>
    <row r="9973" hidden="1">
      <c r="A9973" s="7"/>
      <c r="B9973" s="7"/>
      <c r="C9973" s="7"/>
      <c r="D9973" s="7"/>
      <c r="E9973" s="7"/>
      <c r="F9973" s="7"/>
      <c r="G9973" s="7"/>
      <c r="H9973" s="8"/>
      <c r="I9973" s="8"/>
      <c r="J9973" s="7"/>
      <c r="K9973" s="7"/>
      <c r="L9973" s="7"/>
      <c r="M9973" s="7"/>
      <c r="N9973" s="7"/>
      <c r="O9973" s="7"/>
      <c r="P9973" s="7"/>
      <c r="Q9973" s="7"/>
      <c r="R9973" s="7"/>
      <c r="S9973" s="7"/>
      <c r="T9973" s="7"/>
      <c r="U9973" s="7"/>
      <c r="V9973" s="7"/>
      <c r="W9973" s="7"/>
      <c r="X9973" s="7"/>
      <c r="Y9973" s="7"/>
      <c r="Z9973" s="7"/>
    </row>
    <row r="9974" hidden="1">
      <c r="A9974" s="7"/>
      <c r="B9974" s="7"/>
      <c r="C9974" s="7"/>
      <c r="D9974" s="7"/>
      <c r="E9974" s="7"/>
      <c r="F9974" s="7"/>
      <c r="G9974" s="7"/>
      <c r="H9974" s="8"/>
      <c r="I9974" s="8"/>
      <c r="J9974" s="7"/>
      <c r="K9974" s="7"/>
      <c r="L9974" s="7"/>
      <c r="M9974" s="7"/>
      <c r="N9974" s="7"/>
      <c r="O9974" s="7"/>
      <c r="P9974" s="7"/>
      <c r="Q9974" s="7"/>
      <c r="R9974" s="7"/>
      <c r="S9974" s="7"/>
      <c r="T9974" s="7"/>
      <c r="U9974" s="7"/>
      <c r="V9974" s="7"/>
      <c r="W9974" s="7"/>
      <c r="X9974" s="7"/>
      <c r="Y9974" s="7"/>
      <c r="Z9974" s="7"/>
    </row>
    <row r="9975" hidden="1">
      <c r="A9975" s="7"/>
      <c r="B9975" s="7"/>
      <c r="C9975" s="7"/>
      <c r="D9975" s="7"/>
      <c r="E9975" s="7"/>
      <c r="F9975" s="7"/>
      <c r="G9975" s="7"/>
      <c r="H9975" s="8"/>
      <c r="I9975" s="8"/>
      <c r="J9975" s="7"/>
      <c r="K9975" s="7"/>
      <c r="L9975" s="7"/>
      <c r="M9975" s="7"/>
      <c r="N9975" s="7"/>
      <c r="O9975" s="7"/>
      <c r="P9975" s="7"/>
      <c r="Q9975" s="7"/>
      <c r="R9975" s="7"/>
      <c r="S9975" s="7"/>
      <c r="T9975" s="7"/>
      <c r="U9975" s="7"/>
      <c r="V9975" s="7"/>
      <c r="W9975" s="7"/>
      <c r="X9975" s="7"/>
      <c r="Y9975" s="7"/>
      <c r="Z9975" s="7"/>
    </row>
    <row r="9976" hidden="1">
      <c r="A9976" s="7"/>
      <c r="B9976" s="7"/>
      <c r="C9976" s="7"/>
      <c r="D9976" s="7"/>
      <c r="E9976" s="7"/>
      <c r="F9976" s="7"/>
      <c r="G9976" s="7"/>
      <c r="H9976" s="8"/>
      <c r="I9976" s="8"/>
      <c r="J9976" s="7"/>
      <c r="K9976" s="7"/>
      <c r="L9976" s="7"/>
      <c r="M9976" s="7"/>
      <c r="N9976" s="7"/>
      <c r="O9976" s="7"/>
      <c r="P9976" s="7"/>
      <c r="Q9976" s="7"/>
      <c r="R9976" s="7"/>
      <c r="S9976" s="7"/>
      <c r="T9976" s="7"/>
      <c r="U9976" s="7"/>
      <c r="V9976" s="7"/>
      <c r="W9976" s="7"/>
      <c r="X9976" s="7"/>
      <c r="Y9976" s="7"/>
      <c r="Z9976" s="7"/>
    </row>
    <row r="9977" hidden="1">
      <c r="A9977" s="7"/>
      <c r="B9977" s="7"/>
      <c r="C9977" s="7"/>
      <c r="D9977" s="7"/>
      <c r="E9977" s="7"/>
      <c r="F9977" s="7"/>
      <c r="G9977" s="7"/>
      <c r="H9977" s="8"/>
      <c r="I9977" s="8"/>
      <c r="J9977" s="7"/>
      <c r="K9977" s="7"/>
      <c r="L9977" s="7"/>
      <c r="M9977" s="7"/>
      <c r="N9977" s="7"/>
      <c r="O9977" s="7"/>
      <c r="P9977" s="7"/>
      <c r="Q9977" s="7"/>
      <c r="R9977" s="7"/>
      <c r="S9977" s="7"/>
      <c r="T9977" s="7"/>
      <c r="U9977" s="7"/>
      <c r="V9977" s="7"/>
      <c r="W9977" s="7"/>
      <c r="X9977" s="7"/>
      <c r="Y9977" s="7"/>
      <c r="Z9977" s="7"/>
    </row>
    <row r="9978" hidden="1">
      <c r="A9978" s="7"/>
      <c r="B9978" s="7"/>
      <c r="C9978" s="7"/>
      <c r="D9978" s="7"/>
      <c r="E9978" s="7"/>
      <c r="F9978" s="7"/>
      <c r="G9978" s="7"/>
      <c r="H9978" s="8"/>
      <c r="I9978" s="8"/>
      <c r="J9978" s="7"/>
      <c r="K9978" s="7"/>
      <c r="L9978" s="7"/>
      <c r="M9978" s="7"/>
      <c r="N9978" s="7"/>
      <c r="O9978" s="7"/>
      <c r="P9978" s="7"/>
      <c r="Q9978" s="7"/>
      <c r="R9978" s="7"/>
      <c r="S9978" s="7"/>
      <c r="T9978" s="7"/>
      <c r="U9978" s="7"/>
      <c r="V9978" s="7"/>
      <c r="W9978" s="7"/>
      <c r="X9978" s="7"/>
      <c r="Y9978" s="7"/>
      <c r="Z9978" s="7"/>
    </row>
    <row r="9979" hidden="1">
      <c r="A9979" s="7"/>
      <c r="B9979" s="7"/>
      <c r="C9979" s="7"/>
      <c r="D9979" s="7"/>
      <c r="E9979" s="7"/>
      <c r="F9979" s="7"/>
      <c r="G9979" s="7"/>
      <c r="H9979" s="8"/>
      <c r="I9979" s="8"/>
      <c r="J9979" s="7"/>
      <c r="K9979" s="7"/>
      <c r="L9979" s="7"/>
      <c r="M9979" s="7"/>
      <c r="N9979" s="7"/>
      <c r="O9979" s="7"/>
      <c r="P9979" s="7"/>
      <c r="Q9979" s="7"/>
      <c r="R9979" s="7"/>
      <c r="S9979" s="7"/>
      <c r="T9979" s="7"/>
      <c r="U9979" s="7"/>
      <c r="V9979" s="7"/>
      <c r="W9979" s="7"/>
      <c r="X9979" s="7"/>
      <c r="Y9979" s="7"/>
      <c r="Z9979" s="7"/>
    </row>
    <row r="9980" hidden="1">
      <c r="A9980" s="7"/>
      <c r="B9980" s="7"/>
      <c r="C9980" s="7"/>
      <c r="D9980" s="7"/>
      <c r="E9980" s="7"/>
      <c r="F9980" s="7"/>
      <c r="G9980" s="7"/>
      <c r="H9980" s="8"/>
      <c r="I9980" s="8"/>
      <c r="J9980" s="7"/>
      <c r="K9980" s="7"/>
      <c r="L9980" s="7"/>
      <c r="M9980" s="7"/>
      <c r="N9980" s="7"/>
      <c r="O9980" s="7"/>
      <c r="P9980" s="7"/>
      <c r="Q9980" s="7"/>
      <c r="R9980" s="7"/>
      <c r="S9980" s="7"/>
      <c r="T9980" s="7"/>
      <c r="U9980" s="7"/>
      <c r="V9980" s="7"/>
      <c r="W9980" s="7"/>
      <c r="X9980" s="7"/>
      <c r="Y9980" s="7"/>
      <c r="Z9980" s="7"/>
    </row>
    <row r="9981" hidden="1">
      <c r="A9981" s="7"/>
      <c r="B9981" s="7"/>
      <c r="C9981" s="7"/>
      <c r="D9981" s="7"/>
      <c r="E9981" s="7"/>
      <c r="F9981" s="7"/>
      <c r="G9981" s="7"/>
      <c r="H9981" s="8"/>
      <c r="I9981" s="8"/>
      <c r="J9981" s="7"/>
      <c r="K9981" s="7"/>
      <c r="L9981" s="7"/>
      <c r="M9981" s="7"/>
      <c r="N9981" s="7"/>
      <c r="O9981" s="7"/>
      <c r="P9981" s="7"/>
      <c r="Q9981" s="7"/>
      <c r="R9981" s="7"/>
      <c r="S9981" s="7"/>
      <c r="T9981" s="7"/>
      <c r="U9981" s="7"/>
      <c r="V9981" s="7"/>
      <c r="W9981" s="7"/>
      <c r="X9981" s="7"/>
      <c r="Y9981" s="7"/>
      <c r="Z9981" s="7"/>
    </row>
    <row r="9982" hidden="1">
      <c r="A9982" s="7"/>
      <c r="B9982" s="7"/>
      <c r="C9982" s="7"/>
      <c r="D9982" s="7"/>
      <c r="E9982" s="7"/>
      <c r="F9982" s="7"/>
      <c r="G9982" s="7"/>
      <c r="H9982" s="8"/>
      <c r="I9982" s="8"/>
      <c r="J9982" s="7"/>
      <c r="K9982" s="7"/>
      <c r="L9982" s="7"/>
      <c r="M9982" s="7"/>
      <c r="N9982" s="7"/>
      <c r="O9982" s="7"/>
      <c r="P9982" s="7"/>
      <c r="Q9982" s="7"/>
      <c r="R9982" s="7"/>
      <c r="S9982" s="7"/>
      <c r="T9982" s="7"/>
      <c r="U9982" s="7"/>
      <c r="V9982" s="7"/>
      <c r="W9982" s="7"/>
      <c r="X9982" s="7"/>
      <c r="Y9982" s="7"/>
      <c r="Z9982" s="7"/>
    </row>
    <row r="9983" hidden="1">
      <c r="A9983" s="7"/>
      <c r="B9983" s="7"/>
      <c r="C9983" s="7"/>
      <c r="D9983" s="7"/>
      <c r="E9983" s="7"/>
      <c r="F9983" s="7"/>
      <c r="G9983" s="7"/>
      <c r="H9983" s="8"/>
      <c r="I9983" s="8"/>
      <c r="J9983" s="7"/>
      <c r="K9983" s="7"/>
      <c r="L9983" s="7"/>
      <c r="M9983" s="7"/>
      <c r="N9983" s="7"/>
      <c r="O9983" s="7"/>
      <c r="P9983" s="7"/>
      <c r="Q9983" s="7"/>
      <c r="R9983" s="7"/>
      <c r="S9983" s="7"/>
      <c r="T9983" s="7"/>
      <c r="U9983" s="7"/>
      <c r="V9983" s="7"/>
      <c r="W9983" s="7"/>
      <c r="X9983" s="7"/>
      <c r="Y9983" s="7"/>
      <c r="Z9983" s="7"/>
    </row>
    <row r="9984" hidden="1">
      <c r="A9984" s="7"/>
      <c r="B9984" s="7"/>
      <c r="C9984" s="7"/>
      <c r="D9984" s="7"/>
      <c r="E9984" s="7"/>
      <c r="F9984" s="7"/>
      <c r="G9984" s="7"/>
      <c r="H9984" s="8"/>
      <c r="I9984" s="8"/>
      <c r="J9984" s="7"/>
      <c r="K9984" s="7"/>
      <c r="L9984" s="7"/>
      <c r="M9984" s="7"/>
      <c r="N9984" s="7"/>
      <c r="O9984" s="7"/>
      <c r="P9984" s="7"/>
      <c r="Q9984" s="7"/>
      <c r="R9984" s="7"/>
      <c r="S9984" s="7"/>
      <c r="T9984" s="7"/>
      <c r="U9984" s="7"/>
      <c r="V9984" s="7"/>
      <c r="W9984" s="7"/>
      <c r="X9984" s="7"/>
      <c r="Y9984" s="7"/>
      <c r="Z9984" s="7"/>
    </row>
    <row r="9985" hidden="1">
      <c r="A9985" s="7"/>
      <c r="B9985" s="7"/>
      <c r="C9985" s="7"/>
      <c r="D9985" s="7"/>
      <c r="E9985" s="7"/>
      <c r="F9985" s="7"/>
      <c r="G9985" s="7"/>
      <c r="H9985" s="8"/>
      <c r="I9985" s="8"/>
      <c r="J9985" s="7"/>
      <c r="K9985" s="7"/>
      <c r="L9985" s="7"/>
      <c r="M9985" s="7"/>
      <c r="N9985" s="7"/>
      <c r="O9985" s="7"/>
      <c r="P9985" s="7"/>
      <c r="Q9985" s="7"/>
      <c r="R9985" s="7"/>
      <c r="S9985" s="7"/>
      <c r="T9985" s="7"/>
      <c r="U9985" s="7"/>
      <c r="V9985" s="7"/>
      <c r="W9985" s="7"/>
      <c r="X9985" s="7"/>
      <c r="Y9985" s="7"/>
      <c r="Z9985" s="7"/>
    </row>
    <row r="9986" hidden="1">
      <c r="A9986" s="7"/>
      <c r="B9986" s="7"/>
      <c r="C9986" s="7"/>
      <c r="D9986" s="7"/>
      <c r="E9986" s="7"/>
      <c r="F9986" s="7"/>
      <c r="G9986" s="7"/>
      <c r="H9986" s="8"/>
      <c r="I9986" s="8"/>
      <c r="J9986" s="7"/>
      <c r="K9986" s="7"/>
      <c r="L9986" s="7"/>
      <c r="M9986" s="7"/>
      <c r="N9986" s="7"/>
      <c r="O9986" s="7"/>
      <c r="P9986" s="7"/>
      <c r="Q9986" s="7"/>
      <c r="R9986" s="7"/>
      <c r="S9986" s="7"/>
      <c r="T9986" s="7"/>
      <c r="U9986" s="7"/>
      <c r="V9986" s="7"/>
      <c r="W9986" s="7"/>
      <c r="X9986" s="7"/>
      <c r="Y9986" s="7"/>
      <c r="Z9986" s="7"/>
    </row>
    <row r="9987" hidden="1">
      <c r="A9987" s="7"/>
      <c r="B9987" s="7"/>
      <c r="C9987" s="7"/>
      <c r="D9987" s="7"/>
      <c r="E9987" s="7"/>
      <c r="F9987" s="7"/>
      <c r="G9987" s="7"/>
      <c r="H9987" s="8"/>
      <c r="I9987" s="8"/>
      <c r="J9987" s="7"/>
      <c r="K9987" s="7"/>
      <c r="L9987" s="7"/>
      <c r="M9987" s="7"/>
      <c r="N9987" s="7"/>
      <c r="O9987" s="7"/>
      <c r="P9987" s="7"/>
      <c r="Q9987" s="7"/>
      <c r="R9987" s="7"/>
      <c r="S9987" s="7"/>
      <c r="T9987" s="7"/>
      <c r="U9987" s="7"/>
      <c r="V9987" s="7"/>
      <c r="W9987" s="7"/>
      <c r="X9987" s="7"/>
      <c r="Y9987" s="7"/>
      <c r="Z9987" s="7"/>
    </row>
    <row r="9988" hidden="1">
      <c r="A9988" s="7"/>
      <c r="B9988" s="7"/>
      <c r="C9988" s="7"/>
      <c r="D9988" s="7"/>
      <c r="E9988" s="7"/>
      <c r="F9988" s="7"/>
      <c r="G9988" s="7"/>
      <c r="H9988" s="8"/>
      <c r="I9988" s="8"/>
      <c r="J9988" s="7"/>
      <c r="K9988" s="7"/>
      <c r="L9988" s="7"/>
      <c r="M9988" s="7"/>
      <c r="N9988" s="7"/>
      <c r="O9988" s="7"/>
      <c r="P9988" s="7"/>
      <c r="Q9988" s="7"/>
      <c r="R9988" s="7"/>
      <c r="S9988" s="7"/>
      <c r="T9988" s="7"/>
      <c r="U9988" s="7"/>
      <c r="V9988" s="7"/>
      <c r="W9988" s="7"/>
      <c r="X9988" s="7"/>
      <c r="Y9988" s="7"/>
      <c r="Z9988" s="7"/>
    </row>
    <row r="9989" hidden="1">
      <c r="A9989" s="7"/>
      <c r="B9989" s="7"/>
      <c r="C9989" s="7"/>
      <c r="D9989" s="7"/>
      <c r="E9989" s="7"/>
      <c r="F9989" s="7"/>
      <c r="G9989" s="7"/>
      <c r="H9989" s="8"/>
      <c r="I9989" s="8"/>
      <c r="J9989" s="7"/>
      <c r="K9989" s="7"/>
      <c r="L9989" s="7"/>
      <c r="M9989" s="7"/>
      <c r="N9989" s="7"/>
      <c r="O9989" s="7"/>
      <c r="P9989" s="7"/>
      <c r="Q9989" s="7"/>
      <c r="R9989" s="7"/>
      <c r="S9989" s="7"/>
      <c r="T9989" s="7"/>
      <c r="U9989" s="7"/>
      <c r="V9989" s="7"/>
      <c r="W9989" s="7"/>
      <c r="X9989" s="7"/>
      <c r="Y9989" s="7"/>
      <c r="Z9989" s="7"/>
    </row>
    <row r="9990" hidden="1">
      <c r="A9990" s="7"/>
      <c r="B9990" s="7"/>
      <c r="C9990" s="7"/>
      <c r="D9990" s="7"/>
      <c r="E9990" s="7"/>
      <c r="F9990" s="7"/>
      <c r="G9990" s="7"/>
      <c r="H9990" s="8"/>
      <c r="I9990" s="8"/>
      <c r="J9990" s="7"/>
      <c r="K9990" s="7"/>
      <c r="L9990" s="7"/>
      <c r="M9990" s="7"/>
      <c r="N9990" s="7"/>
      <c r="O9990" s="7"/>
      <c r="P9990" s="7"/>
      <c r="Q9990" s="7"/>
      <c r="R9990" s="7"/>
      <c r="S9990" s="7"/>
      <c r="T9990" s="7"/>
      <c r="U9990" s="7"/>
      <c r="V9990" s="7"/>
      <c r="W9990" s="7"/>
      <c r="X9990" s="7"/>
      <c r="Y9990" s="7"/>
      <c r="Z9990" s="7"/>
    </row>
    <row r="9991" hidden="1">
      <c r="A9991" s="7"/>
      <c r="B9991" s="7"/>
      <c r="C9991" s="7"/>
      <c r="D9991" s="7"/>
      <c r="E9991" s="7"/>
      <c r="F9991" s="7"/>
      <c r="G9991" s="7"/>
      <c r="H9991" s="8"/>
      <c r="I9991" s="8"/>
      <c r="J9991" s="7"/>
      <c r="K9991" s="7"/>
      <c r="L9991" s="7"/>
      <c r="M9991" s="7"/>
      <c r="N9991" s="7"/>
      <c r="O9991" s="7"/>
      <c r="P9991" s="7"/>
      <c r="Q9991" s="7"/>
      <c r="R9991" s="7"/>
      <c r="S9991" s="7"/>
      <c r="T9991" s="7"/>
      <c r="U9991" s="7"/>
      <c r="V9991" s="7"/>
      <c r="W9991" s="7"/>
      <c r="X9991" s="7"/>
      <c r="Y9991" s="7"/>
      <c r="Z9991" s="7"/>
    </row>
    <row r="9992" hidden="1">
      <c r="A9992" s="7"/>
      <c r="B9992" s="7"/>
      <c r="C9992" s="7"/>
      <c r="D9992" s="7"/>
      <c r="E9992" s="7"/>
      <c r="F9992" s="7"/>
      <c r="G9992" s="7"/>
      <c r="H9992" s="8"/>
      <c r="I9992" s="8"/>
      <c r="J9992" s="7"/>
      <c r="K9992" s="7"/>
      <c r="L9992" s="7"/>
      <c r="M9992" s="7"/>
      <c r="N9992" s="7"/>
      <c r="O9992" s="7"/>
      <c r="P9992" s="7"/>
      <c r="Q9992" s="7"/>
      <c r="R9992" s="7"/>
      <c r="S9992" s="7"/>
      <c r="T9992" s="7"/>
      <c r="U9992" s="7"/>
      <c r="V9992" s="7"/>
      <c r="W9992" s="7"/>
      <c r="X9992" s="7"/>
      <c r="Y9992" s="7"/>
      <c r="Z9992" s="7"/>
    </row>
    <row r="9993" hidden="1">
      <c r="A9993" s="7"/>
      <c r="B9993" s="7"/>
      <c r="C9993" s="7"/>
      <c r="D9993" s="7"/>
      <c r="E9993" s="7"/>
      <c r="F9993" s="7"/>
      <c r="G9993" s="7"/>
      <c r="H9993" s="8"/>
      <c r="I9993" s="8"/>
      <c r="J9993" s="7"/>
      <c r="K9993" s="7"/>
      <c r="L9993" s="7"/>
      <c r="M9993" s="7"/>
      <c r="N9993" s="7"/>
      <c r="O9993" s="7"/>
      <c r="P9993" s="7"/>
      <c r="Q9993" s="7"/>
      <c r="R9993" s="7"/>
      <c r="S9993" s="7"/>
      <c r="T9993" s="7"/>
      <c r="U9993" s="7"/>
      <c r="V9993" s="7"/>
      <c r="W9993" s="7"/>
      <c r="X9993" s="7"/>
      <c r="Y9993" s="7"/>
      <c r="Z9993" s="7"/>
    </row>
    <row r="9994" hidden="1">
      <c r="A9994" s="7"/>
      <c r="B9994" s="7"/>
      <c r="C9994" s="7"/>
      <c r="D9994" s="7"/>
      <c r="E9994" s="7"/>
      <c r="F9994" s="7"/>
      <c r="G9994" s="7"/>
      <c r="H9994" s="8"/>
      <c r="I9994" s="8"/>
      <c r="J9994" s="7"/>
      <c r="K9994" s="7"/>
      <c r="L9994" s="7"/>
      <c r="M9994" s="7"/>
      <c r="N9994" s="7"/>
      <c r="O9994" s="7"/>
      <c r="P9994" s="7"/>
      <c r="Q9994" s="7"/>
      <c r="R9994" s="7"/>
      <c r="S9994" s="7"/>
      <c r="T9994" s="7"/>
      <c r="U9994" s="7"/>
      <c r="V9994" s="7"/>
      <c r="W9994" s="7"/>
      <c r="X9994" s="7"/>
      <c r="Y9994" s="7"/>
      <c r="Z9994" s="7"/>
    </row>
    <row r="9995" hidden="1">
      <c r="A9995" s="7"/>
      <c r="B9995" s="7"/>
      <c r="C9995" s="7"/>
      <c r="D9995" s="7"/>
      <c r="E9995" s="7"/>
      <c r="F9995" s="7"/>
      <c r="G9995" s="7"/>
      <c r="H9995" s="8"/>
      <c r="I9995" s="8"/>
      <c r="J9995" s="7"/>
      <c r="K9995" s="7"/>
      <c r="L9995" s="7"/>
      <c r="M9995" s="7"/>
      <c r="N9995" s="7"/>
      <c r="O9995" s="7"/>
      <c r="P9995" s="7"/>
      <c r="Q9995" s="7"/>
      <c r="R9995" s="7"/>
      <c r="S9995" s="7"/>
      <c r="T9995" s="7"/>
      <c r="U9995" s="7"/>
      <c r="V9995" s="7"/>
      <c r="W9995" s="7"/>
      <c r="X9995" s="7"/>
      <c r="Y9995" s="7"/>
      <c r="Z9995" s="7"/>
    </row>
    <row r="9996" hidden="1">
      <c r="A9996" s="7"/>
      <c r="B9996" s="7"/>
      <c r="C9996" s="7"/>
      <c r="D9996" s="7"/>
      <c r="E9996" s="7"/>
      <c r="F9996" s="7"/>
      <c r="G9996" s="7"/>
      <c r="H9996" s="8"/>
      <c r="I9996" s="8"/>
      <c r="J9996" s="7"/>
      <c r="K9996" s="7"/>
      <c r="L9996" s="7"/>
      <c r="M9996" s="7"/>
      <c r="N9996" s="7"/>
      <c r="O9996" s="7"/>
      <c r="P9996" s="7"/>
      <c r="Q9996" s="7"/>
      <c r="R9996" s="7"/>
      <c r="S9996" s="7"/>
      <c r="T9996" s="7"/>
      <c r="U9996" s="7"/>
      <c r="V9996" s="7"/>
      <c r="W9996" s="7"/>
      <c r="X9996" s="7"/>
      <c r="Y9996" s="7"/>
      <c r="Z9996" s="7"/>
    </row>
    <row r="9997" hidden="1">
      <c r="A9997" s="7"/>
      <c r="B9997" s="7"/>
      <c r="C9997" s="7"/>
      <c r="D9997" s="7"/>
      <c r="E9997" s="7"/>
      <c r="F9997" s="7"/>
      <c r="G9997" s="7"/>
      <c r="H9997" s="8"/>
      <c r="I9997" s="8"/>
      <c r="J9997" s="7"/>
      <c r="K9997" s="7"/>
      <c r="L9997" s="7"/>
      <c r="M9997" s="7"/>
      <c r="N9997" s="7"/>
      <c r="O9997" s="7"/>
      <c r="P9997" s="7"/>
      <c r="Q9997" s="7"/>
      <c r="R9997" s="7"/>
      <c r="S9997" s="7"/>
      <c r="T9997" s="7"/>
      <c r="U9997" s="7"/>
      <c r="V9997" s="7"/>
      <c r="W9997" s="7"/>
      <c r="X9997" s="7"/>
      <c r="Y9997" s="7"/>
      <c r="Z9997" s="7"/>
    </row>
    <row r="9998" hidden="1">
      <c r="A9998" s="7"/>
      <c r="B9998" s="7"/>
      <c r="C9998" s="7"/>
      <c r="D9998" s="7"/>
      <c r="E9998" s="7"/>
      <c r="F9998" s="7"/>
      <c r="G9998" s="7"/>
      <c r="H9998" s="8"/>
      <c r="I9998" s="8"/>
      <c r="J9998" s="7"/>
      <c r="K9998" s="7"/>
      <c r="L9998" s="7"/>
      <c r="M9998" s="7"/>
      <c r="N9998" s="7"/>
      <c r="O9998" s="7"/>
      <c r="P9998" s="7"/>
      <c r="Q9998" s="7"/>
      <c r="R9998" s="7"/>
      <c r="S9998" s="7"/>
      <c r="T9998" s="7"/>
      <c r="U9998" s="7"/>
      <c r="V9998" s="7"/>
      <c r="W9998" s="7"/>
      <c r="X9998" s="7"/>
      <c r="Y9998" s="7"/>
      <c r="Z9998" s="7"/>
    </row>
    <row r="9999" hidden="1">
      <c r="A9999" s="7"/>
      <c r="B9999" s="7"/>
      <c r="C9999" s="7"/>
      <c r="D9999" s="7"/>
      <c r="E9999" s="7"/>
      <c r="F9999" s="7"/>
      <c r="G9999" s="7"/>
      <c r="H9999" s="8"/>
      <c r="I9999" s="8"/>
      <c r="J9999" s="7"/>
      <c r="K9999" s="7"/>
      <c r="L9999" s="7"/>
      <c r="M9999" s="7"/>
      <c r="N9999" s="7"/>
      <c r="O9999" s="7"/>
      <c r="P9999" s="7"/>
      <c r="Q9999" s="7"/>
      <c r="R9999" s="7"/>
      <c r="S9999" s="7"/>
      <c r="T9999" s="7"/>
      <c r="U9999" s="7"/>
      <c r="V9999" s="7"/>
      <c r="W9999" s="7"/>
      <c r="X9999" s="7"/>
      <c r="Y9999" s="7"/>
      <c r="Z9999" s="7"/>
    </row>
    <row r="10000" hidden="1">
      <c r="A10000" s="7"/>
      <c r="B10000" s="7"/>
      <c r="C10000" s="7"/>
      <c r="D10000" s="7"/>
      <c r="E10000" s="7"/>
      <c r="F10000" s="7"/>
      <c r="G10000" s="7"/>
      <c r="H10000" s="8"/>
      <c r="I10000" s="8"/>
      <c r="J10000" s="7"/>
      <c r="K10000" s="7"/>
      <c r="L10000" s="7"/>
      <c r="M10000" s="7"/>
      <c r="N10000" s="7"/>
      <c r="O10000" s="7"/>
      <c r="P10000" s="7"/>
      <c r="Q10000" s="7"/>
      <c r="R10000" s="7"/>
      <c r="S10000" s="7"/>
      <c r="T10000" s="7"/>
      <c r="U10000" s="7"/>
      <c r="V10000" s="7"/>
      <c r="W10000" s="7"/>
      <c r="X10000" s="7"/>
      <c r="Y10000" s="7"/>
      <c r="Z10000" s="7"/>
    </row>
    <row r="10001" hidden="1">
      <c r="A10001" s="7"/>
      <c r="B10001" s="7"/>
      <c r="C10001" s="7"/>
      <c r="D10001" s="7"/>
      <c r="E10001" s="7"/>
      <c r="F10001" s="7"/>
      <c r="G10001" s="7"/>
      <c r="H10001" s="8"/>
      <c r="I10001" s="8"/>
      <c r="J10001" s="7"/>
      <c r="K10001" s="7"/>
      <c r="L10001" s="7"/>
      <c r="M10001" s="7"/>
      <c r="N10001" s="7"/>
      <c r="O10001" s="7"/>
      <c r="P10001" s="7"/>
      <c r="Q10001" s="7"/>
      <c r="R10001" s="7"/>
      <c r="S10001" s="7"/>
      <c r="T10001" s="7"/>
      <c r="U10001" s="7"/>
      <c r="V10001" s="7"/>
      <c r="W10001" s="7"/>
      <c r="X10001" s="7"/>
      <c r="Y10001" s="7"/>
      <c r="Z10001" s="7"/>
    </row>
    <row r="10002" hidden="1">
      <c r="A10002" s="7"/>
      <c r="B10002" s="7"/>
      <c r="C10002" s="7"/>
      <c r="D10002" s="7"/>
      <c r="E10002" s="7"/>
      <c r="F10002" s="7"/>
      <c r="G10002" s="7"/>
      <c r="H10002" s="8"/>
      <c r="I10002" s="8"/>
      <c r="J10002" s="7"/>
      <c r="K10002" s="7"/>
      <c r="L10002" s="7"/>
      <c r="M10002" s="7"/>
      <c r="N10002" s="7"/>
      <c r="O10002" s="7"/>
      <c r="P10002" s="7"/>
      <c r="Q10002" s="7"/>
      <c r="R10002" s="7"/>
      <c r="S10002" s="7"/>
      <c r="T10002" s="7"/>
      <c r="U10002" s="7"/>
      <c r="V10002" s="7"/>
      <c r="W10002" s="7"/>
      <c r="X10002" s="7"/>
      <c r="Y10002" s="7"/>
      <c r="Z10002" s="7"/>
    </row>
    <row r="10003" hidden="1">
      <c r="A10003" s="7"/>
      <c r="B10003" s="7"/>
      <c r="C10003" s="7"/>
      <c r="D10003" s="7"/>
      <c r="E10003" s="7"/>
      <c r="F10003" s="7"/>
      <c r="G10003" s="7"/>
      <c r="H10003" s="8"/>
      <c r="I10003" s="8"/>
      <c r="J10003" s="7"/>
      <c r="K10003" s="7"/>
      <c r="L10003" s="7"/>
      <c r="M10003" s="7"/>
      <c r="N10003" s="7"/>
      <c r="O10003" s="7"/>
      <c r="P10003" s="7"/>
      <c r="Q10003" s="7"/>
      <c r="R10003" s="7"/>
      <c r="S10003" s="7"/>
      <c r="T10003" s="7"/>
      <c r="U10003" s="7"/>
      <c r="V10003" s="7"/>
      <c r="W10003" s="7"/>
      <c r="X10003" s="7"/>
      <c r="Y10003" s="7"/>
      <c r="Z10003" s="7"/>
    </row>
    <row r="10004" hidden="1">
      <c r="A10004" s="7"/>
      <c r="B10004" s="7"/>
      <c r="C10004" s="7"/>
      <c r="D10004" s="7"/>
      <c r="E10004" s="7"/>
      <c r="F10004" s="7"/>
      <c r="G10004" s="7"/>
      <c r="H10004" s="8"/>
      <c r="I10004" s="8"/>
      <c r="J10004" s="7"/>
      <c r="K10004" s="7"/>
      <c r="L10004" s="7"/>
      <c r="M10004" s="7"/>
      <c r="N10004" s="7"/>
      <c r="O10004" s="7"/>
      <c r="P10004" s="7"/>
      <c r="Q10004" s="7"/>
      <c r="R10004" s="7"/>
      <c r="S10004" s="7"/>
      <c r="T10004" s="7"/>
      <c r="U10004" s="7"/>
      <c r="V10004" s="7"/>
      <c r="W10004" s="7"/>
      <c r="X10004" s="7"/>
      <c r="Y10004" s="7"/>
      <c r="Z10004" s="7"/>
    </row>
    <row r="10005" hidden="1">
      <c r="A10005" s="7"/>
      <c r="B10005" s="7"/>
      <c r="C10005" s="7"/>
      <c r="D10005" s="7"/>
      <c r="E10005" s="7"/>
      <c r="F10005" s="7"/>
      <c r="G10005" s="7"/>
      <c r="H10005" s="8"/>
      <c r="I10005" s="8"/>
      <c r="J10005" s="7"/>
      <c r="K10005" s="7"/>
      <c r="L10005" s="7"/>
      <c r="M10005" s="7"/>
      <c r="N10005" s="7"/>
      <c r="O10005" s="7"/>
      <c r="P10005" s="7"/>
      <c r="Q10005" s="7"/>
      <c r="R10005" s="7"/>
      <c r="S10005" s="7"/>
      <c r="T10005" s="7"/>
      <c r="U10005" s="7"/>
      <c r="V10005" s="7"/>
      <c r="W10005" s="7"/>
      <c r="X10005" s="7"/>
      <c r="Y10005" s="7"/>
      <c r="Z10005" s="7"/>
    </row>
    <row r="10006" hidden="1">
      <c r="A10006" s="7"/>
      <c r="B10006" s="7"/>
      <c r="C10006" s="7"/>
      <c r="D10006" s="7"/>
      <c r="E10006" s="7"/>
      <c r="F10006" s="7"/>
      <c r="G10006" s="7"/>
      <c r="H10006" s="8"/>
      <c r="I10006" s="8"/>
      <c r="J10006" s="7"/>
      <c r="K10006" s="7"/>
      <c r="L10006" s="7"/>
      <c r="M10006" s="7"/>
      <c r="N10006" s="7"/>
      <c r="O10006" s="7"/>
      <c r="P10006" s="7"/>
      <c r="Q10006" s="7"/>
      <c r="R10006" s="7"/>
      <c r="S10006" s="7"/>
      <c r="T10006" s="7"/>
      <c r="U10006" s="7"/>
      <c r="V10006" s="7"/>
      <c r="W10006" s="7"/>
      <c r="X10006" s="7"/>
      <c r="Y10006" s="7"/>
      <c r="Z10006" s="7"/>
    </row>
    <row r="10007" hidden="1">
      <c r="A10007" s="7"/>
      <c r="B10007" s="7"/>
      <c r="C10007" s="7"/>
      <c r="D10007" s="7"/>
      <c r="E10007" s="7"/>
      <c r="F10007" s="7"/>
      <c r="G10007" s="7"/>
      <c r="H10007" s="8"/>
      <c r="I10007" s="8"/>
      <c r="J10007" s="7"/>
      <c r="K10007" s="7"/>
      <c r="L10007" s="7"/>
      <c r="M10007" s="7"/>
      <c r="N10007" s="7"/>
      <c r="O10007" s="7"/>
      <c r="P10007" s="7"/>
      <c r="Q10007" s="7"/>
      <c r="R10007" s="7"/>
      <c r="S10007" s="7"/>
      <c r="T10007" s="7"/>
      <c r="U10007" s="7"/>
      <c r="V10007" s="7"/>
      <c r="W10007" s="7"/>
      <c r="X10007" s="7"/>
      <c r="Y10007" s="7"/>
      <c r="Z10007" s="7"/>
    </row>
    <row r="10008" hidden="1">
      <c r="A10008" s="7"/>
      <c r="B10008" s="7"/>
      <c r="C10008" s="7"/>
      <c r="D10008" s="7"/>
      <c r="E10008" s="7"/>
      <c r="F10008" s="7"/>
      <c r="G10008" s="7"/>
      <c r="H10008" s="8"/>
      <c r="I10008" s="8"/>
      <c r="J10008" s="7"/>
      <c r="K10008" s="7"/>
      <c r="L10008" s="7"/>
      <c r="M10008" s="7"/>
      <c r="N10008" s="7"/>
      <c r="O10008" s="7"/>
      <c r="P10008" s="7"/>
      <c r="Q10008" s="7"/>
      <c r="R10008" s="7"/>
      <c r="S10008" s="7"/>
      <c r="T10008" s="7"/>
      <c r="U10008" s="7"/>
      <c r="V10008" s="7"/>
      <c r="W10008" s="7"/>
      <c r="X10008" s="7"/>
      <c r="Y10008" s="7"/>
      <c r="Z10008" s="7"/>
    </row>
    <row r="10009" hidden="1">
      <c r="A10009" s="7"/>
      <c r="B10009" s="7"/>
      <c r="C10009" s="7"/>
      <c r="D10009" s="7"/>
      <c r="E10009" s="7"/>
      <c r="F10009" s="7"/>
      <c r="G10009" s="7"/>
      <c r="H10009" s="8"/>
      <c r="I10009" s="8"/>
      <c r="J10009" s="7"/>
      <c r="K10009" s="7"/>
      <c r="L10009" s="7"/>
      <c r="M10009" s="7"/>
      <c r="N10009" s="7"/>
      <c r="O10009" s="7"/>
      <c r="P10009" s="7"/>
      <c r="Q10009" s="7"/>
      <c r="R10009" s="7"/>
      <c r="S10009" s="7"/>
      <c r="T10009" s="7"/>
      <c r="U10009" s="7"/>
      <c r="V10009" s="7"/>
      <c r="W10009" s="7"/>
      <c r="X10009" s="7"/>
      <c r="Y10009" s="7"/>
      <c r="Z10009" s="7"/>
    </row>
    <row r="10010" hidden="1">
      <c r="A10010" s="7"/>
      <c r="B10010" s="7"/>
      <c r="C10010" s="7"/>
      <c r="D10010" s="7"/>
      <c r="E10010" s="7"/>
      <c r="F10010" s="7"/>
      <c r="G10010" s="7"/>
      <c r="H10010" s="8"/>
      <c r="I10010" s="8"/>
      <c r="J10010" s="7"/>
      <c r="K10010" s="7"/>
      <c r="L10010" s="7"/>
      <c r="M10010" s="7"/>
      <c r="N10010" s="7"/>
      <c r="O10010" s="7"/>
      <c r="P10010" s="7"/>
      <c r="Q10010" s="7"/>
      <c r="R10010" s="7"/>
      <c r="S10010" s="7"/>
      <c r="T10010" s="7"/>
      <c r="U10010" s="7"/>
      <c r="V10010" s="7"/>
      <c r="W10010" s="7"/>
      <c r="X10010" s="7"/>
      <c r="Y10010" s="7"/>
      <c r="Z10010" s="7"/>
    </row>
    <row r="10011" hidden="1">
      <c r="A10011" s="7"/>
      <c r="B10011" s="7"/>
      <c r="C10011" s="7"/>
      <c r="D10011" s="7"/>
      <c r="E10011" s="7"/>
      <c r="F10011" s="7"/>
      <c r="G10011" s="7"/>
      <c r="H10011" s="8"/>
      <c r="I10011" s="8"/>
      <c r="J10011" s="7"/>
      <c r="K10011" s="7"/>
      <c r="L10011" s="7"/>
      <c r="M10011" s="7"/>
      <c r="N10011" s="7"/>
      <c r="O10011" s="7"/>
      <c r="P10011" s="7"/>
      <c r="Q10011" s="7"/>
      <c r="R10011" s="7"/>
      <c r="S10011" s="7"/>
      <c r="T10011" s="7"/>
      <c r="U10011" s="7"/>
      <c r="V10011" s="7"/>
      <c r="W10011" s="7"/>
      <c r="X10011" s="7"/>
      <c r="Y10011" s="7"/>
      <c r="Z10011" s="7"/>
    </row>
    <row r="10012" hidden="1">
      <c r="A10012" s="7"/>
      <c r="B10012" s="7"/>
      <c r="C10012" s="7"/>
      <c r="D10012" s="7"/>
      <c r="E10012" s="7"/>
      <c r="F10012" s="7"/>
      <c r="G10012" s="7"/>
      <c r="H10012" s="8"/>
      <c r="I10012" s="8"/>
      <c r="J10012" s="7"/>
      <c r="K10012" s="7"/>
      <c r="L10012" s="7"/>
      <c r="M10012" s="7"/>
      <c r="N10012" s="7"/>
      <c r="O10012" s="7"/>
      <c r="P10012" s="7"/>
      <c r="Q10012" s="7"/>
      <c r="R10012" s="7"/>
      <c r="S10012" s="7"/>
      <c r="T10012" s="7"/>
      <c r="U10012" s="7"/>
      <c r="V10012" s="7"/>
      <c r="W10012" s="7"/>
      <c r="X10012" s="7"/>
      <c r="Y10012" s="7"/>
      <c r="Z10012" s="7"/>
    </row>
    <row r="10013" hidden="1">
      <c r="A10013" s="7"/>
      <c r="B10013" s="7"/>
      <c r="C10013" s="7"/>
      <c r="D10013" s="7"/>
      <c r="E10013" s="7"/>
      <c r="F10013" s="7"/>
      <c r="G10013" s="7"/>
      <c r="H10013" s="8"/>
      <c r="I10013" s="8"/>
      <c r="J10013" s="7"/>
      <c r="K10013" s="7"/>
      <c r="L10013" s="7"/>
      <c r="M10013" s="7"/>
      <c r="N10013" s="7"/>
      <c r="O10013" s="7"/>
      <c r="P10013" s="7"/>
      <c r="Q10013" s="7"/>
      <c r="R10013" s="7"/>
      <c r="S10013" s="7"/>
      <c r="T10013" s="7"/>
      <c r="U10013" s="7"/>
      <c r="V10013" s="7"/>
      <c r="W10013" s="7"/>
      <c r="X10013" s="7"/>
      <c r="Y10013" s="7"/>
      <c r="Z10013" s="7"/>
    </row>
    <row r="10014" hidden="1">
      <c r="A10014" s="7"/>
      <c r="B10014" s="7"/>
      <c r="C10014" s="7"/>
      <c r="D10014" s="7"/>
      <c r="E10014" s="7"/>
      <c r="F10014" s="7"/>
      <c r="G10014" s="7"/>
      <c r="H10014" s="8"/>
      <c r="I10014" s="8"/>
      <c r="J10014" s="7"/>
      <c r="K10014" s="7"/>
      <c r="L10014" s="7"/>
      <c r="M10014" s="7"/>
      <c r="N10014" s="7"/>
      <c r="O10014" s="7"/>
      <c r="P10014" s="7"/>
      <c r="Q10014" s="7"/>
      <c r="R10014" s="7"/>
      <c r="S10014" s="7"/>
      <c r="T10014" s="7"/>
      <c r="U10014" s="7"/>
      <c r="V10014" s="7"/>
      <c r="W10014" s="7"/>
      <c r="X10014" s="7"/>
      <c r="Y10014" s="7"/>
      <c r="Z10014" s="7"/>
    </row>
    <row r="10015" hidden="1">
      <c r="A10015" s="7"/>
      <c r="B10015" s="7"/>
      <c r="C10015" s="7"/>
      <c r="D10015" s="7"/>
      <c r="E10015" s="7"/>
      <c r="F10015" s="7"/>
      <c r="G10015" s="7"/>
      <c r="H10015" s="8"/>
      <c r="I10015" s="8"/>
      <c r="J10015" s="7"/>
      <c r="K10015" s="7"/>
      <c r="L10015" s="7"/>
      <c r="M10015" s="7"/>
      <c r="N10015" s="7"/>
      <c r="O10015" s="7"/>
      <c r="P10015" s="7"/>
      <c r="Q10015" s="7"/>
      <c r="R10015" s="7"/>
      <c r="S10015" s="7"/>
      <c r="T10015" s="7"/>
      <c r="U10015" s="7"/>
      <c r="V10015" s="7"/>
      <c r="W10015" s="7"/>
      <c r="X10015" s="7"/>
      <c r="Y10015" s="7"/>
      <c r="Z10015" s="7"/>
    </row>
    <row r="10016" hidden="1">
      <c r="A10016" s="7"/>
      <c r="B10016" s="7"/>
      <c r="C10016" s="7"/>
      <c r="D10016" s="7"/>
      <c r="E10016" s="7"/>
      <c r="F10016" s="7"/>
      <c r="G10016" s="7"/>
      <c r="H10016" s="8"/>
      <c r="I10016" s="8"/>
      <c r="J10016" s="7"/>
      <c r="K10016" s="7"/>
      <c r="L10016" s="7"/>
      <c r="M10016" s="7"/>
      <c r="N10016" s="7"/>
      <c r="O10016" s="7"/>
      <c r="P10016" s="7"/>
      <c r="Q10016" s="7"/>
      <c r="R10016" s="7"/>
      <c r="S10016" s="7"/>
      <c r="T10016" s="7"/>
      <c r="U10016" s="7"/>
      <c r="V10016" s="7"/>
      <c r="W10016" s="7"/>
      <c r="X10016" s="7"/>
      <c r="Y10016" s="7"/>
      <c r="Z10016" s="7"/>
    </row>
    <row r="10017" hidden="1">
      <c r="A10017" s="7"/>
      <c r="B10017" s="7"/>
      <c r="C10017" s="7"/>
      <c r="D10017" s="7"/>
      <c r="E10017" s="7"/>
      <c r="F10017" s="7"/>
      <c r="G10017" s="7"/>
      <c r="H10017" s="8"/>
      <c r="I10017" s="8"/>
      <c r="J10017" s="7"/>
      <c r="K10017" s="7"/>
      <c r="L10017" s="7"/>
      <c r="M10017" s="7"/>
      <c r="N10017" s="7"/>
      <c r="O10017" s="7"/>
      <c r="P10017" s="7"/>
      <c r="Q10017" s="7"/>
      <c r="R10017" s="7"/>
      <c r="S10017" s="7"/>
      <c r="T10017" s="7"/>
      <c r="U10017" s="7"/>
      <c r="V10017" s="7"/>
      <c r="W10017" s="7"/>
      <c r="X10017" s="7"/>
      <c r="Y10017" s="7"/>
      <c r="Z10017" s="7"/>
    </row>
    <row r="10018" hidden="1">
      <c r="A10018" s="7"/>
      <c r="B10018" s="7"/>
      <c r="C10018" s="7"/>
      <c r="D10018" s="7"/>
      <c r="E10018" s="7"/>
      <c r="F10018" s="7"/>
      <c r="G10018" s="7"/>
      <c r="H10018" s="8"/>
      <c r="I10018" s="8"/>
      <c r="J10018" s="7"/>
      <c r="K10018" s="7"/>
      <c r="L10018" s="7"/>
      <c r="M10018" s="7"/>
      <c r="N10018" s="7"/>
      <c r="O10018" s="7"/>
      <c r="P10018" s="7"/>
      <c r="Q10018" s="7"/>
      <c r="R10018" s="7"/>
      <c r="S10018" s="7"/>
      <c r="T10018" s="7"/>
      <c r="U10018" s="7"/>
      <c r="V10018" s="7"/>
      <c r="W10018" s="7"/>
      <c r="X10018" s="7"/>
      <c r="Y10018" s="7"/>
      <c r="Z10018" s="7"/>
    </row>
    <row r="10019" hidden="1">
      <c r="A10019" s="7"/>
      <c r="B10019" s="7"/>
      <c r="C10019" s="7"/>
      <c r="D10019" s="7"/>
      <c r="E10019" s="7"/>
      <c r="F10019" s="7"/>
      <c r="G10019" s="7"/>
      <c r="H10019" s="8"/>
      <c r="I10019" s="8"/>
      <c r="J10019" s="7"/>
      <c r="K10019" s="7"/>
      <c r="L10019" s="7"/>
      <c r="M10019" s="7"/>
      <c r="N10019" s="7"/>
      <c r="O10019" s="7"/>
      <c r="P10019" s="7"/>
      <c r="Q10019" s="7"/>
      <c r="R10019" s="7"/>
      <c r="S10019" s="7"/>
      <c r="T10019" s="7"/>
      <c r="U10019" s="7"/>
      <c r="V10019" s="7"/>
      <c r="W10019" s="7"/>
      <c r="X10019" s="7"/>
      <c r="Y10019" s="7"/>
      <c r="Z10019" s="7"/>
    </row>
    <row r="10020" hidden="1">
      <c r="A10020" s="7"/>
      <c r="B10020" s="7"/>
      <c r="C10020" s="7"/>
      <c r="D10020" s="7"/>
      <c r="E10020" s="7"/>
      <c r="F10020" s="7"/>
      <c r="G10020" s="7"/>
      <c r="H10020" s="8"/>
      <c r="I10020" s="8"/>
      <c r="J10020" s="7"/>
      <c r="K10020" s="7"/>
      <c r="L10020" s="7"/>
      <c r="M10020" s="7"/>
      <c r="N10020" s="7"/>
      <c r="O10020" s="7"/>
      <c r="P10020" s="7"/>
      <c r="Q10020" s="7"/>
      <c r="R10020" s="7"/>
      <c r="S10020" s="7"/>
      <c r="T10020" s="7"/>
      <c r="U10020" s="7"/>
      <c r="V10020" s="7"/>
      <c r="W10020" s="7"/>
      <c r="X10020" s="7"/>
      <c r="Y10020" s="7"/>
      <c r="Z10020" s="7"/>
    </row>
    <row r="10021" hidden="1">
      <c r="A10021" s="7"/>
      <c r="B10021" s="7"/>
      <c r="C10021" s="7"/>
      <c r="D10021" s="7"/>
      <c r="E10021" s="7"/>
      <c r="F10021" s="7"/>
      <c r="G10021" s="7"/>
      <c r="H10021" s="8"/>
      <c r="I10021" s="8"/>
      <c r="J10021" s="7"/>
      <c r="K10021" s="7"/>
      <c r="L10021" s="7"/>
      <c r="M10021" s="7"/>
      <c r="N10021" s="7"/>
      <c r="O10021" s="7"/>
      <c r="P10021" s="7"/>
      <c r="Q10021" s="7"/>
      <c r="R10021" s="7"/>
      <c r="S10021" s="7"/>
      <c r="T10021" s="7"/>
      <c r="U10021" s="7"/>
      <c r="V10021" s="7"/>
      <c r="W10021" s="7"/>
      <c r="X10021" s="7"/>
      <c r="Y10021" s="7"/>
      <c r="Z10021" s="7"/>
    </row>
    <row r="10022" hidden="1">
      <c r="A10022" s="7"/>
      <c r="B10022" s="7"/>
      <c r="C10022" s="7"/>
      <c r="D10022" s="7"/>
      <c r="E10022" s="7"/>
      <c r="F10022" s="7"/>
      <c r="G10022" s="7"/>
      <c r="H10022" s="8"/>
      <c r="I10022" s="8"/>
      <c r="J10022" s="7"/>
      <c r="K10022" s="7"/>
      <c r="L10022" s="7"/>
      <c r="M10022" s="7"/>
      <c r="N10022" s="7"/>
      <c r="O10022" s="7"/>
      <c r="P10022" s="7"/>
      <c r="Q10022" s="7"/>
      <c r="R10022" s="7"/>
      <c r="S10022" s="7"/>
      <c r="T10022" s="7"/>
      <c r="U10022" s="7"/>
      <c r="V10022" s="7"/>
      <c r="W10022" s="7"/>
      <c r="X10022" s="7"/>
      <c r="Y10022" s="7"/>
      <c r="Z10022" s="7"/>
    </row>
    <row r="10023" hidden="1">
      <c r="A10023" s="7"/>
      <c r="B10023" s="7"/>
      <c r="C10023" s="7"/>
      <c r="D10023" s="7"/>
      <c r="E10023" s="7"/>
      <c r="F10023" s="7"/>
      <c r="G10023" s="7"/>
      <c r="H10023" s="8"/>
      <c r="I10023" s="8"/>
      <c r="J10023" s="7"/>
      <c r="K10023" s="7"/>
      <c r="L10023" s="7"/>
      <c r="M10023" s="7"/>
      <c r="N10023" s="7"/>
      <c r="O10023" s="7"/>
      <c r="P10023" s="7"/>
      <c r="Q10023" s="7"/>
      <c r="R10023" s="7"/>
      <c r="S10023" s="7"/>
      <c r="T10023" s="7"/>
      <c r="U10023" s="7"/>
      <c r="V10023" s="7"/>
      <c r="W10023" s="7"/>
      <c r="X10023" s="7"/>
      <c r="Y10023" s="7"/>
      <c r="Z10023" s="7"/>
    </row>
    <row r="10024" hidden="1">
      <c r="A10024" s="7"/>
      <c r="B10024" s="7"/>
      <c r="C10024" s="7"/>
      <c r="D10024" s="7"/>
      <c r="E10024" s="7"/>
      <c r="F10024" s="7"/>
      <c r="G10024" s="7"/>
      <c r="H10024" s="8"/>
      <c r="I10024" s="8"/>
      <c r="J10024" s="7"/>
      <c r="K10024" s="7"/>
      <c r="L10024" s="7"/>
      <c r="M10024" s="7"/>
      <c r="N10024" s="7"/>
      <c r="O10024" s="7"/>
      <c r="P10024" s="7"/>
      <c r="Q10024" s="7"/>
      <c r="R10024" s="7"/>
      <c r="S10024" s="7"/>
      <c r="T10024" s="7"/>
      <c r="U10024" s="7"/>
      <c r="V10024" s="7"/>
      <c r="W10024" s="7"/>
      <c r="X10024" s="7"/>
      <c r="Y10024" s="7"/>
      <c r="Z10024" s="7"/>
    </row>
    <row r="10025" hidden="1">
      <c r="A10025" s="7"/>
      <c r="B10025" s="7"/>
      <c r="C10025" s="7"/>
      <c r="D10025" s="7"/>
      <c r="E10025" s="7"/>
      <c r="F10025" s="7"/>
      <c r="G10025" s="7"/>
      <c r="H10025" s="8"/>
      <c r="I10025" s="8"/>
      <c r="J10025" s="7"/>
      <c r="K10025" s="7"/>
      <c r="L10025" s="7"/>
      <c r="M10025" s="7"/>
      <c r="N10025" s="7"/>
      <c r="O10025" s="7"/>
      <c r="P10025" s="7"/>
      <c r="Q10025" s="7"/>
      <c r="R10025" s="7"/>
      <c r="S10025" s="7"/>
      <c r="T10025" s="7"/>
      <c r="U10025" s="7"/>
      <c r="V10025" s="7"/>
      <c r="W10025" s="7"/>
      <c r="X10025" s="7"/>
      <c r="Y10025" s="7"/>
      <c r="Z10025" s="7"/>
    </row>
    <row r="10026" hidden="1">
      <c r="A10026" s="7"/>
      <c r="B10026" s="7"/>
      <c r="C10026" s="7"/>
      <c r="D10026" s="7"/>
      <c r="E10026" s="7"/>
      <c r="F10026" s="7"/>
      <c r="G10026" s="7"/>
      <c r="H10026" s="8"/>
      <c r="I10026" s="8"/>
      <c r="J10026" s="7"/>
      <c r="K10026" s="7"/>
      <c r="L10026" s="7"/>
      <c r="M10026" s="7"/>
      <c r="N10026" s="7"/>
      <c r="O10026" s="7"/>
      <c r="P10026" s="7"/>
      <c r="Q10026" s="7"/>
      <c r="R10026" s="7"/>
      <c r="S10026" s="7"/>
      <c r="T10026" s="7"/>
      <c r="U10026" s="7"/>
      <c r="V10026" s="7"/>
      <c r="W10026" s="7"/>
      <c r="X10026" s="7"/>
      <c r="Y10026" s="7"/>
      <c r="Z10026" s="7"/>
    </row>
    <row r="10027" hidden="1">
      <c r="A10027" s="7"/>
      <c r="B10027" s="7"/>
      <c r="C10027" s="7"/>
      <c r="D10027" s="7"/>
      <c r="E10027" s="7"/>
      <c r="F10027" s="7"/>
      <c r="G10027" s="7"/>
      <c r="H10027" s="8"/>
      <c r="I10027" s="8"/>
      <c r="J10027" s="7"/>
      <c r="K10027" s="7"/>
      <c r="L10027" s="7"/>
      <c r="M10027" s="7"/>
      <c r="N10027" s="7"/>
      <c r="O10027" s="7"/>
      <c r="P10027" s="7"/>
      <c r="Q10027" s="7"/>
      <c r="R10027" s="7"/>
      <c r="S10027" s="7"/>
      <c r="T10027" s="7"/>
      <c r="U10027" s="7"/>
      <c r="V10027" s="7"/>
      <c r="W10027" s="7"/>
      <c r="X10027" s="7"/>
      <c r="Y10027" s="7"/>
      <c r="Z10027" s="7"/>
    </row>
    <row r="10028" hidden="1">
      <c r="A10028" s="7"/>
      <c r="B10028" s="7"/>
      <c r="C10028" s="7"/>
      <c r="D10028" s="7"/>
      <c r="E10028" s="7"/>
      <c r="F10028" s="7"/>
      <c r="G10028" s="7"/>
      <c r="H10028" s="8"/>
      <c r="I10028" s="8"/>
      <c r="J10028" s="7"/>
      <c r="K10028" s="7"/>
      <c r="L10028" s="7"/>
      <c r="M10028" s="7"/>
      <c r="N10028" s="7"/>
      <c r="O10028" s="7"/>
      <c r="P10028" s="7"/>
      <c r="Q10028" s="7"/>
      <c r="R10028" s="7"/>
      <c r="S10028" s="7"/>
      <c r="T10028" s="7"/>
      <c r="U10028" s="7"/>
      <c r="V10028" s="7"/>
      <c r="W10028" s="7"/>
      <c r="X10028" s="7"/>
      <c r="Y10028" s="7"/>
      <c r="Z10028" s="7"/>
    </row>
    <row r="10029" hidden="1">
      <c r="A10029" s="7"/>
      <c r="B10029" s="7"/>
      <c r="C10029" s="7"/>
      <c r="D10029" s="7"/>
      <c r="E10029" s="7"/>
      <c r="F10029" s="7"/>
      <c r="G10029" s="7"/>
      <c r="H10029" s="8"/>
      <c r="I10029" s="8"/>
      <c r="J10029" s="7"/>
      <c r="K10029" s="7"/>
      <c r="L10029" s="7"/>
      <c r="M10029" s="7"/>
      <c r="N10029" s="7"/>
      <c r="O10029" s="7"/>
      <c r="P10029" s="7"/>
      <c r="Q10029" s="7"/>
      <c r="R10029" s="7"/>
      <c r="S10029" s="7"/>
      <c r="T10029" s="7"/>
      <c r="U10029" s="7"/>
      <c r="V10029" s="7"/>
      <c r="W10029" s="7"/>
      <c r="X10029" s="7"/>
      <c r="Y10029" s="7"/>
      <c r="Z10029" s="7"/>
    </row>
    <row r="10030" hidden="1">
      <c r="A10030" s="7"/>
      <c r="B10030" s="7"/>
      <c r="C10030" s="7"/>
      <c r="D10030" s="7"/>
      <c r="E10030" s="7"/>
      <c r="F10030" s="7"/>
      <c r="G10030" s="7"/>
      <c r="H10030" s="8"/>
      <c r="I10030" s="8"/>
      <c r="J10030" s="7"/>
      <c r="K10030" s="7"/>
      <c r="L10030" s="7"/>
      <c r="M10030" s="7"/>
      <c r="N10030" s="7"/>
      <c r="O10030" s="7"/>
      <c r="P10030" s="7"/>
      <c r="Q10030" s="7"/>
      <c r="R10030" s="7"/>
      <c r="S10030" s="7"/>
      <c r="T10030" s="7"/>
      <c r="U10030" s="7"/>
      <c r="V10030" s="7"/>
      <c r="W10030" s="7"/>
      <c r="X10030" s="7"/>
      <c r="Y10030" s="7"/>
      <c r="Z10030" s="7"/>
    </row>
    <row r="10031" hidden="1">
      <c r="A10031" s="7"/>
      <c r="B10031" s="7"/>
      <c r="C10031" s="7"/>
      <c r="D10031" s="7"/>
      <c r="E10031" s="7"/>
      <c r="F10031" s="7"/>
      <c r="G10031" s="7"/>
      <c r="H10031" s="8"/>
      <c r="I10031" s="8"/>
      <c r="J10031" s="7"/>
      <c r="K10031" s="7"/>
      <c r="L10031" s="7"/>
      <c r="M10031" s="7"/>
      <c r="N10031" s="7"/>
      <c r="O10031" s="7"/>
      <c r="P10031" s="7"/>
      <c r="Q10031" s="7"/>
      <c r="R10031" s="7"/>
      <c r="S10031" s="7"/>
      <c r="T10031" s="7"/>
      <c r="U10031" s="7"/>
      <c r="V10031" s="7"/>
      <c r="W10031" s="7"/>
      <c r="X10031" s="7"/>
      <c r="Y10031" s="7"/>
      <c r="Z10031" s="7"/>
    </row>
    <row r="10032" hidden="1">
      <c r="A10032" s="7"/>
      <c r="B10032" s="7"/>
      <c r="C10032" s="7"/>
      <c r="D10032" s="7"/>
      <c r="E10032" s="7"/>
      <c r="F10032" s="7"/>
      <c r="G10032" s="7"/>
      <c r="H10032" s="8"/>
      <c r="I10032" s="8"/>
      <c r="J10032" s="7"/>
      <c r="K10032" s="7"/>
      <c r="L10032" s="7"/>
      <c r="M10032" s="7"/>
      <c r="N10032" s="7"/>
      <c r="O10032" s="7"/>
      <c r="P10032" s="7"/>
      <c r="Q10032" s="7"/>
      <c r="R10032" s="7"/>
      <c r="S10032" s="7"/>
      <c r="T10032" s="7"/>
      <c r="U10032" s="7"/>
      <c r="V10032" s="7"/>
      <c r="W10032" s="7"/>
      <c r="X10032" s="7"/>
      <c r="Y10032" s="7"/>
      <c r="Z10032" s="7"/>
    </row>
    <row r="10033" hidden="1">
      <c r="A10033" s="7"/>
      <c r="B10033" s="7"/>
      <c r="C10033" s="7"/>
      <c r="D10033" s="7"/>
      <c r="E10033" s="7"/>
      <c r="F10033" s="7"/>
      <c r="G10033" s="7"/>
      <c r="H10033" s="8"/>
      <c r="I10033" s="8"/>
      <c r="J10033" s="7"/>
      <c r="K10033" s="7"/>
      <c r="L10033" s="7"/>
      <c r="M10033" s="7"/>
      <c r="N10033" s="7"/>
      <c r="O10033" s="7"/>
      <c r="P10033" s="7"/>
      <c r="Q10033" s="7"/>
      <c r="R10033" s="7"/>
      <c r="S10033" s="7"/>
      <c r="T10033" s="7"/>
      <c r="U10033" s="7"/>
      <c r="V10033" s="7"/>
      <c r="W10033" s="7"/>
      <c r="X10033" s="7"/>
      <c r="Y10033" s="7"/>
      <c r="Z10033" s="7"/>
    </row>
    <row r="10034" hidden="1">
      <c r="A10034" s="7"/>
      <c r="B10034" s="7"/>
      <c r="C10034" s="7"/>
      <c r="D10034" s="7"/>
      <c r="E10034" s="7"/>
      <c r="F10034" s="7"/>
      <c r="G10034" s="7"/>
      <c r="H10034" s="8"/>
      <c r="I10034" s="8"/>
      <c r="J10034" s="7"/>
      <c r="K10034" s="7"/>
      <c r="L10034" s="7"/>
      <c r="M10034" s="7"/>
      <c r="N10034" s="7"/>
      <c r="O10034" s="7"/>
      <c r="P10034" s="7"/>
      <c r="Q10034" s="7"/>
      <c r="R10034" s="7"/>
      <c r="S10034" s="7"/>
      <c r="T10034" s="7"/>
      <c r="U10034" s="7"/>
      <c r="V10034" s="7"/>
      <c r="W10034" s="7"/>
      <c r="X10034" s="7"/>
      <c r="Y10034" s="7"/>
      <c r="Z10034" s="7"/>
    </row>
    <row r="10035" hidden="1">
      <c r="A10035" s="7"/>
      <c r="B10035" s="7"/>
      <c r="C10035" s="7"/>
      <c r="D10035" s="7"/>
      <c r="E10035" s="7"/>
      <c r="F10035" s="7"/>
      <c r="G10035" s="7"/>
      <c r="H10035" s="8"/>
      <c r="I10035" s="8"/>
      <c r="J10035" s="7"/>
      <c r="K10035" s="7"/>
      <c r="L10035" s="7"/>
      <c r="M10035" s="7"/>
      <c r="N10035" s="7"/>
      <c r="O10035" s="7"/>
      <c r="P10035" s="7"/>
      <c r="Q10035" s="7"/>
      <c r="R10035" s="7"/>
      <c r="S10035" s="7"/>
      <c r="T10035" s="7"/>
      <c r="U10035" s="7"/>
      <c r="V10035" s="7"/>
      <c r="W10035" s="7"/>
      <c r="X10035" s="7"/>
      <c r="Y10035" s="7"/>
      <c r="Z10035" s="7"/>
    </row>
    <row r="10036" hidden="1">
      <c r="A10036" s="7"/>
      <c r="B10036" s="7"/>
      <c r="C10036" s="7"/>
      <c r="D10036" s="7"/>
      <c r="E10036" s="7"/>
      <c r="F10036" s="7"/>
      <c r="G10036" s="7"/>
      <c r="H10036" s="8"/>
      <c r="I10036" s="8"/>
      <c r="J10036" s="7"/>
      <c r="K10036" s="7"/>
      <c r="L10036" s="7"/>
      <c r="M10036" s="7"/>
      <c r="N10036" s="7"/>
      <c r="O10036" s="7"/>
      <c r="P10036" s="7"/>
      <c r="Q10036" s="7"/>
      <c r="R10036" s="7"/>
      <c r="S10036" s="7"/>
      <c r="T10036" s="7"/>
      <c r="U10036" s="7"/>
      <c r="V10036" s="7"/>
      <c r="W10036" s="7"/>
      <c r="X10036" s="7"/>
      <c r="Y10036" s="7"/>
      <c r="Z10036" s="7"/>
    </row>
    <row r="10037" hidden="1">
      <c r="A10037" s="7"/>
      <c r="B10037" s="7"/>
      <c r="C10037" s="7"/>
      <c r="D10037" s="7"/>
      <c r="E10037" s="7"/>
      <c r="F10037" s="7"/>
      <c r="G10037" s="7"/>
      <c r="H10037" s="8"/>
      <c r="I10037" s="8"/>
      <c r="J10037" s="7"/>
      <c r="K10037" s="7"/>
      <c r="L10037" s="7"/>
      <c r="M10037" s="7"/>
      <c r="N10037" s="7"/>
      <c r="O10037" s="7"/>
      <c r="P10037" s="7"/>
      <c r="Q10037" s="7"/>
      <c r="R10037" s="7"/>
      <c r="S10037" s="7"/>
      <c r="T10037" s="7"/>
      <c r="U10037" s="7"/>
      <c r="V10037" s="7"/>
      <c r="W10037" s="7"/>
      <c r="X10037" s="7"/>
      <c r="Y10037" s="7"/>
      <c r="Z10037" s="7"/>
    </row>
    <row r="10038" hidden="1">
      <c r="A10038" s="7"/>
      <c r="B10038" s="7"/>
      <c r="C10038" s="7"/>
      <c r="D10038" s="7"/>
      <c r="E10038" s="7"/>
      <c r="F10038" s="7"/>
      <c r="G10038" s="7"/>
      <c r="H10038" s="8"/>
      <c r="I10038" s="8"/>
      <c r="J10038" s="7"/>
      <c r="K10038" s="7"/>
      <c r="L10038" s="7"/>
      <c r="M10038" s="7"/>
      <c r="N10038" s="7"/>
      <c r="O10038" s="7"/>
      <c r="P10038" s="7"/>
      <c r="Q10038" s="7"/>
      <c r="R10038" s="7"/>
      <c r="S10038" s="7"/>
      <c r="T10038" s="7"/>
      <c r="U10038" s="7"/>
      <c r="V10038" s="7"/>
      <c r="W10038" s="7"/>
      <c r="X10038" s="7"/>
      <c r="Y10038" s="7"/>
      <c r="Z10038" s="7"/>
    </row>
    <row r="10039" hidden="1">
      <c r="A10039" s="7"/>
      <c r="B10039" s="7"/>
      <c r="C10039" s="7"/>
      <c r="D10039" s="7"/>
      <c r="E10039" s="7"/>
      <c r="F10039" s="7"/>
      <c r="G10039" s="7"/>
      <c r="H10039" s="8"/>
      <c r="I10039" s="8"/>
      <c r="J10039" s="7"/>
      <c r="K10039" s="7"/>
      <c r="L10039" s="7"/>
      <c r="M10039" s="7"/>
      <c r="N10039" s="7"/>
      <c r="O10039" s="7"/>
      <c r="P10039" s="7"/>
      <c r="Q10039" s="7"/>
      <c r="R10039" s="7"/>
      <c r="S10039" s="7"/>
      <c r="T10039" s="7"/>
      <c r="U10039" s="7"/>
      <c r="V10039" s="7"/>
      <c r="W10039" s="7"/>
      <c r="X10039" s="7"/>
      <c r="Y10039" s="7"/>
      <c r="Z10039" s="7"/>
    </row>
    <row r="10040" hidden="1">
      <c r="A10040" s="7"/>
      <c r="B10040" s="7"/>
      <c r="C10040" s="7"/>
      <c r="D10040" s="7"/>
      <c r="E10040" s="7"/>
      <c r="F10040" s="7"/>
      <c r="G10040" s="7"/>
      <c r="H10040" s="8"/>
      <c r="I10040" s="8"/>
      <c r="J10040" s="7"/>
      <c r="K10040" s="7"/>
      <c r="L10040" s="7"/>
      <c r="M10040" s="7"/>
      <c r="N10040" s="7"/>
      <c r="O10040" s="7"/>
      <c r="P10040" s="7"/>
      <c r="Q10040" s="7"/>
      <c r="R10040" s="7"/>
      <c r="S10040" s="7"/>
      <c r="T10040" s="7"/>
      <c r="U10040" s="7"/>
      <c r="V10040" s="7"/>
      <c r="W10040" s="7"/>
      <c r="X10040" s="7"/>
      <c r="Y10040" s="7"/>
      <c r="Z10040" s="7"/>
    </row>
    <row r="10041" hidden="1">
      <c r="A10041" s="7"/>
      <c r="B10041" s="7"/>
      <c r="C10041" s="7"/>
      <c r="D10041" s="7"/>
      <c r="E10041" s="7"/>
      <c r="F10041" s="7"/>
      <c r="G10041" s="7"/>
      <c r="H10041" s="8"/>
      <c r="I10041" s="8"/>
      <c r="J10041" s="7"/>
      <c r="K10041" s="7"/>
      <c r="L10041" s="7"/>
      <c r="M10041" s="7"/>
      <c r="N10041" s="7"/>
      <c r="O10041" s="7"/>
      <c r="P10041" s="7"/>
      <c r="Q10041" s="7"/>
      <c r="R10041" s="7"/>
      <c r="S10041" s="7"/>
      <c r="T10041" s="7"/>
      <c r="U10041" s="7"/>
      <c r="V10041" s="7"/>
      <c r="W10041" s="7"/>
      <c r="X10041" s="7"/>
      <c r="Y10041" s="7"/>
      <c r="Z10041" s="7"/>
    </row>
    <row r="10042" hidden="1">
      <c r="A10042" s="7"/>
      <c r="B10042" s="7"/>
      <c r="C10042" s="7"/>
      <c r="D10042" s="7"/>
      <c r="E10042" s="7"/>
      <c r="F10042" s="7"/>
      <c r="G10042" s="7"/>
      <c r="H10042" s="8"/>
      <c r="I10042" s="8"/>
      <c r="J10042" s="7"/>
      <c r="K10042" s="7"/>
      <c r="L10042" s="7"/>
      <c r="M10042" s="7"/>
      <c r="N10042" s="7"/>
      <c r="O10042" s="7"/>
      <c r="P10042" s="7"/>
      <c r="Q10042" s="7"/>
      <c r="R10042" s="7"/>
      <c r="S10042" s="7"/>
      <c r="T10042" s="7"/>
      <c r="U10042" s="7"/>
      <c r="V10042" s="7"/>
      <c r="W10042" s="7"/>
      <c r="X10042" s="7"/>
      <c r="Y10042" s="7"/>
      <c r="Z10042" s="7"/>
    </row>
    <row r="10043" hidden="1">
      <c r="A10043" s="7"/>
      <c r="B10043" s="7"/>
      <c r="C10043" s="7"/>
      <c r="D10043" s="7"/>
      <c r="E10043" s="7"/>
      <c r="F10043" s="7"/>
      <c r="G10043" s="7"/>
      <c r="H10043" s="8"/>
      <c r="I10043" s="8"/>
      <c r="J10043" s="7"/>
      <c r="K10043" s="7"/>
      <c r="L10043" s="7"/>
      <c r="M10043" s="7"/>
      <c r="N10043" s="7"/>
      <c r="O10043" s="7"/>
      <c r="P10043" s="7"/>
      <c r="Q10043" s="7"/>
      <c r="R10043" s="7"/>
      <c r="S10043" s="7"/>
      <c r="T10043" s="7"/>
      <c r="U10043" s="7"/>
      <c r="V10043" s="7"/>
      <c r="W10043" s="7"/>
      <c r="X10043" s="7"/>
      <c r="Y10043" s="7"/>
      <c r="Z10043" s="7"/>
    </row>
    <row r="10044" hidden="1">
      <c r="A10044" s="7"/>
      <c r="B10044" s="7"/>
      <c r="C10044" s="7"/>
      <c r="D10044" s="7"/>
      <c r="E10044" s="7"/>
      <c r="F10044" s="7"/>
      <c r="G10044" s="7"/>
      <c r="H10044" s="8"/>
      <c r="I10044" s="8"/>
      <c r="J10044" s="7"/>
      <c r="K10044" s="7"/>
      <c r="L10044" s="7"/>
      <c r="M10044" s="7"/>
      <c r="N10044" s="7"/>
      <c r="O10044" s="7"/>
      <c r="P10044" s="7"/>
      <c r="Q10044" s="7"/>
      <c r="R10044" s="7"/>
      <c r="S10044" s="7"/>
      <c r="T10044" s="7"/>
      <c r="U10044" s="7"/>
      <c r="V10044" s="7"/>
      <c r="W10044" s="7"/>
      <c r="X10044" s="7"/>
      <c r="Y10044" s="7"/>
      <c r="Z10044" s="7"/>
    </row>
    <row r="10045" hidden="1">
      <c r="A10045" s="7"/>
      <c r="B10045" s="7"/>
      <c r="C10045" s="7"/>
      <c r="D10045" s="7"/>
      <c r="E10045" s="7"/>
      <c r="F10045" s="7"/>
      <c r="G10045" s="7"/>
      <c r="H10045" s="8"/>
      <c r="I10045" s="8"/>
      <c r="J10045" s="7"/>
      <c r="K10045" s="7"/>
      <c r="L10045" s="7"/>
      <c r="M10045" s="7"/>
      <c r="N10045" s="7"/>
      <c r="O10045" s="7"/>
      <c r="P10045" s="7"/>
      <c r="Q10045" s="7"/>
      <c r="R10045" s="7"/>
      <c r="S10045" s="7"/>
      <c r="T10045" s="7"/>
      <c r="U10045" s="7"/>
      <c r="V10045" s="7"/>
      <c r="W10045" s="7"/>
      <c r="X10045" s="7"/>
      <c r="Y10045" s="7"/>
      <c r="Z10045" s="7"/>
    </row>
    <row r="10046" hidden="1">
      <c r="A10046" s="7"/>
      <c r="B10046" s="7"/>
      <c r="C10046" s="7"/>
      <c r="D10046" s="7"/>
      <c r="E10046" s="7"/>
      <c r="F10046" s="7"/>
      <c r="G10046" s="7"/>
      <c r="H10046" s="8"/>
      <c r="I10046" s="8"/>
      <c r="J10046" s="7"/>
      <c r="K10046" s="7"/>
      <c r="L10046" s="7"/>
      <c r="M10046" s="7"/>
      <c r="N10046" s="7"/>
      <c r="O10046" s="7"/>
      <c r="P10046" s="7"/>
      <c r="Q10046" s="7"/>
      <c r="R10046" s="7"/>
      <c r="S10046" s="7"/>
      <c r="T10046" s="7"/>
      <c r="U10046" s="7"/>
      <c r="V10046" s="7"/>
      <c r="W10046" s="7"/>
      <c r="X10046" s="7"/>
      <c r="Y10046" s="7"/>
      <c r="Z10046" s="7"/>
    </row>
    <row r="10047" hidden="1">
      <c r="A10047" s="7"/>
      <c r="B10047" s="7"/>
      <c r="C10047" s="7"/>
      <c r="D10047" s="7"/>
      <c r="E10047" s="7"/>
      <c r="F10047" s="7"/>
      <c r="G10047" s="7"/>
      <c r="H10047" s="8"/>
      <c r="I10047" s="8"/>
      <c r="J10047" s="7"/>
      <c r="K10047" s="7"/>
      <c r="L10047" s="7"/>
      <c r="M10047" s="7"/>
      <c r="N10047" s="7"/>
      <c r="O10047" s="7"/>
      <c r="P10047" s="7"/>
      <c r="Q10047" s="7"/>
      <c r="R10047" s="7"/>
      <c r="S10047" s="7"/>
      <c r="T10047" s="7"/>
      <c r="U10047" s="7"/>
      <c r="V10047" s="7"/>
      <c r="W10047" s="7"/>
      <c r="X10047" s="7"/>
      <c r="Y10047" s="7"/>
      <c r="Z10047" s="7"/>
    </row>
    <row r="10048" hidden="1">
      <c r="A10048" s="7"/>
      <c r="B10048" s="7"/>
      <c r="C10048" s="7"/>
      <c r="D10048" s="7"/>
      <c r="E10048" s="7"/>
      <c r="F10048" s="7"/>
      <c r="G10048" s="7"/>
      <c r="H10048" s="8"/>
      <c r="I10048" s="8"/>
      <c r="J10048" s="7"/>
      <c r="K10048" s="7"/>
      <c r="L10048" s="7"/>
      <c r="M10048" s="7"/>
      <c r="N10048" s="7"/>
      <c r="O10048" s="7"/>
      <c r="P10048" s="7"/>
      <c r="Q10048" s="7"/>
      <c r="R10048" s="7"/>
      <c r="S10048" s="7"/>
      <c r="T10048" s="7"/>
      <c r="U10048" s="7"/>
      <c r="V10048" s="7"/>
      <c r="W10048" s="7"/>
      <c r="X10048" s="7"/>
      <c r="Y10048" s="7"/>
      <c r="Z10048" s="7"/>
    </row>
    <row r="10049" hidden="1">
      <c r="A10049" s="7"/>
      <c r="B10049" s="7"/>
      <c r="C10049" s="7"/>
      <c r="D10049" s="7"/>
      <c r="E10049" s="7"/>
      <c r="F10049" s="7"/>
      <c r="G10049" s="7"/>
      <c r="H10049" s="8"/>
      <c r="I10049" s="8"/>
      <c r="J10049" s="7"/>
      <c r="K10049" s="7"/>
      <c r="L10049" s="7"/>
      <c r="M10049" s="7"/>
      <c r="N10049" s="7"/>
      <c r="O10049" s="7"/>
      <c r="P10049" s="7"/>
      <c r="Q10049" s="7"/>
      <c r="R10049" s="7"/>
      <c r="S10049" s="7"/>
      <c r="T10049" s="7"/>
      <c r="U10049" s="7"/>
      <c r="V10049" s="7"/>
      <c r="W10049" s="7"/>
      <c r="X10049" s="7"/>
      <c r="Y10049" s="7"/>
      <c r="Z10049" s="7"/>
    </row>
    <row r="10050" hidden="1">
      <c r="A10050" s="7"/>
      <c r="B10050" s="7"/>
      <c r="C10050" s="7"/>
      <c r="D10050" s="7"/>
      <c r="E10050" s="7"/>
      <c r="F10050" s="7"/>
      <c r="G10050" s="7"/>
      <c r="H10050" s="8"/>
      <c r="I10050" s="8"/>
      <c r="J10050" s="7"/>
      <c r="K10050" s="7"/>
      <c r="L10050" s="7"/>
      <c r="M10050" s="7"/>
      <c r="N10050" s="7"/>
      <c r="O10050" s="7"/>
      <c r="P10050" s="7"/>
      <c r="Q10050" s="7"/>
      <c r="R10050" s="7"/>
      <c r="S10050" s="7"/>
      <c r="T10050" s="7"/>
      <c r="U10050" s="7"/>
      <c r="V10050" s="7"/>
      <c r="W10050" s="7"/>
      <c r="X10050" s="7"/>
      <c r="Y10050" s="7"/>
      <c r="Z10050" s="7"/>
    </row>
    <row r="10051" hidden="1">
      <c r="A10051" s="7"/>
      <c r="B10051" s="7"/>
      <c r="C10051" s="7"/>
      <c r="D10051" s="7"/>
      <c r="E10051" s="7"/>
      <c r="F10051" s="7"/>
      <c r="G10051" s="7"/>
      <c r="H10051" s="8"/>
      <c r="I10051" s="8"/>
      <c r="J10051" s="7"/>
      <c r="K10051" s="7"/>
      <c r="L10051" s="7"/>
      <c r="M10051" s="7"/>
      <c r="N10051" s="7"/>
      <c r="O10051" s="7"/>
      <c r="P10051" s="7"/>
      <c r="Q10051" s="7"/>
      <c r="R10051" s="7"/>
      <c r="S10051" s="7"/>
      <c r="T10051" s="7"/>
      <c r="U10051" s="7"/>
      <c r="V10051" s="7"/>
      <c r="W10051" s="7"/>
      <c r="X10051" s="7"/>
      <c r="Y10051" s="7"/>
      <c r="Z10051" s="7"/>
    </row>
    <row r="10052" hidden="1">
      <c r="A10052" s="7"/>
      <c r="B10052" s="7"/>
      <c r="C10052" s="7"/>
      <c r="D10052" s="7"/>
      <c r="E10052" s="7"/>
      <c r="F10052" s="7"/>
      <c r="G10052" s="7"/>
      <c r="H10052" s="8"/>
      <c r="I10052" s="8"/>
      <c r="J10052" s="7"/>
      <c r="K10052" s="7"/>
      <c r="L10052" s="7"/>
      <c r="M10052" s="7"/>
      <c r="N10052" s="7"/>
      <c r="O10052" s="7"/>
      <c r="P10052" s="7"/>
      <c r="Q10052" s="7"/>
      <c r="R10052" s="7"/>
      <c r="S10052" s="7"/>
      <c r="T10052" s="7"/>
      <c r="U10052" s="7"/>
      <c r="V10052" s="7"/>
      <c r="W10052" s="7"/>
      <c r="X10052" s="7"/>
      <c r="Y10052" s="7"/>
      <c r="Z10052" s="7"/>
    </row>
    <row r="10053" hidden="1">
      <c r="A10053" s="7"/>
      <c r="B10053" s="7"/>
      <c r="C10053" s="7"/>
      <c r="D10053" s="7"/>
      <c r="E10053" s="7"/>
      <c r="F10053" s="7"/>
      <c r="G10053" s="7"/>
      <c r="H10053" s="8"/>
      <c r="I10053" s="8"/>
      <c r="J10053" s="7"/>
      <c r="K10053" s="7"/>
      <c r="L10053" s="7"/>
      <c r="M10053" s="7"/>
      <c r="N10053" s="7"/>
      <c r="O10053" s="7"/>
      <c r="P10053" s="7"/>
      <c r="Q10053" s="7"/>
      <c r="R10053" s="7"/>
      <c r="S10053" s="7"/>
      <c r="T10053" s="7"/>
      <c r="U10053" s="7"/>
      <c r="V10053" s="7"/>
      <c r="W10053" s="7"/>
      <c r="X10053" s="7"/>
      <c r="Y10053" s="7"/>
      <c r="Z10053" s="7"/>
    </row>
    <row r="10054" hidden="1">
      <c r="A10054" s="7"/>
      <c r="B10054" s="7"/>
      <c r="C10054" s="7"/>
      <c r="D10054" s="7"/>
      <c r="E10054" s="7"/>
      <c r="F10054" s="7"/>
      <c r="G10054" s="7"/>
      <c r="H10054" s="8"/>
      <c r="I10054" s="8"/>
      <c r="J10054" s="7"/>
      <c r="K10054" s="7"/>
      <c r="L10054" s="7"/>
      <c r="M10054" s="7"/>
      <c r="N10054" s="7"/>
      <c r="O10054" s="7"/>
      <c r="P10054" s="7"/>
      <c r="Q10054" s="7"/>
      <c r="R10054" s="7"/>
      <c r="S10054" s="7"/>
      <c r="T10054" s="7"/>
      <c r="U10054" s="7"/>
      <c r="V10054" s="7"/>
      <c r="W10054" s="7"/>
      <c r="X10054" s="7"/>
      <c r="Y10054" s="7"/>
      <c r="Z10054" s="7"/>
    </row>
    <row r="10055" hidden="1">
      <c r="A10055" s="7"/>
      <c r="B10055" s="7"/>
      <c r="C10055" s="7"/>
      <c r="D10055" s="7"/>
      <c r="E10055" s="7"/>
      <c r="F10055" s="7"/>
      <c r="G10055" s="7"/>
      <c r="H10055" s="8"/>
      <c r="I10055" s="8"/>
      <c r="J10055" s="7"/>
      <c r="K10055" s="7"/>
      <c r="L10055" s="7"/>
      <c r="M10055" s="7"/>
      <c r="N10055" s="7"/>
      <c r="O10055" s="7"/>
      <c r="P10055" s="7"/>
      <c r="Q10055" s="7"/>
      <c r="R10055" s="7"/>
      <c r="S10055" s="7"/>
      <c r="T10055" s="7"/>
      <c r="U10055" s="7"/>
      <c r="V10055" s="7"/>
      <c r="W10055" s="7"/>
      <c r="X10055" s="7"/>
      <c r="Y10055" s="7"/>
      <c r="Z10055" s="7"/>
    </row>
    <row r="10056" hidden="1">
      <c r="A10056" s="7"/>
      <c r="B10056" s="7"/>
      <c r="C10056" s="7"/>
      <c r="D10056" s="7"/>
      <c r="E10056" s="7"/>
      <c r="F10056" s="7"/>
      <c r="G10056" s="7"/>
      <c r="H10056" s="8"/>
      <c r="I10056" s="8"/>
      <c r="J10056" s="7"/>
      <c r="K10056" s="7"/>
      <c r="L10056" s="7"/>
      <c r="M10056" s="7"/>
      <c r="N10056" s="7"/>
      <c r="O10056" s="7"/>
      <c r="P10056" s="7"/>
      <c r="Q10056" s="7"/>
      <c r="R10056" s="7"/>
      <c r="S10056" s="7"/>
      <c r="T10056" s="7"/>
      <c r="U10056" s="7"/>
      <c r="V10056" s="7"/>
      <c r="W10056" s="7"/>
      <c r="X10056" s="7"/>
      <c r="Y10056" s="7"/>
      <c r="Z10056" s="7"/>
    </row>
    <row r="10057" hidden="1">
      <c r="A10057" s="7"/>
      <c r="B10057" s="7"/>
      <c r="C10057" s="7"/>
      <c r="D10057" s="7"/>
      <c r="E10057" s="7"/>
      <c r="F10057" s="7"/>
      <c r="G10057" s="7"/>
      <c r="H10057" s="8"/>
      <c r="I10057" s="8"/>
      <c r="J10057" s="7"/>
      <c r="K10057" s="7"/>
      <c r="L10057" s="7"/>
      <c r="M10057" s="7"/>
      <c r="N10057" s="7"/>
      <c r="O10057" s="7"/>
      <c r="P10057" s="7"/>
      <c r="Q10057" s="7"/>
      <c r="R10057" s="7"/>
      <c r="S10057" s="7"/>
      <c r="T10057" s="7"/>
      <c r="U10057" s="7"/>
      <c r="V10057" s="7"/>
      <c r="W10057" s="7"/>
      <c r="X10057" s="7"/>
      <c r="Y10057" s="7"/>
      <c r="Z10057" s="7"/>
    </row>
    <row r="10058" hidden="1">
      <c r="A10058" s="7"/>
      <c r="B10058" s="7"/>
      <c r="C10058" s="7"/>
      <c r="D10058" s="7"/>
      <c r="E10058" s="7"/>
      <c r="F10058" s="7"/>
      <c r="G10058" s="7"/>
      <c r="H10058" s="8"/>
      <c r="I10058" s="8"/>
      <c r="J10058" s="7"/>
      <c r="K10058" s="7"/>
      <c r="L10058" s="7"/>
      <c r="M10058" s="7"/>
      <c r="N10058" s="7"/>
      <c r="O10058" s="7"/>
      <c r="P10058" s="7"/>
      <c r="Q10058" s="7"/>
      <c r="R10058" s="7"/>
      <c r="S10058" s="7"/>
      <c r="T10058" s="7"/>
      <c r="U10058" s="7"/>
      <c r="V10058" s="7"/>
      <c r="W10058" s="7"/>
      <c r="X10058" s="7"/>
      <c r="Y10058" s="7"/>
      <c r="Z10058" s="7"/>
    </row>
    <row r="10059" hidden="1">
      <c r="A10059" s="7"/>
      <c r="B10059" s="7"/>
      <c r="C10059" s="7"/>
      <c r="D10059" s="7"/>
      <c r="E10059" s="7"/>
      <c r="F10059" s="7"/>
      <c r="G10059" s="7"/>
      <c r="H10059" s="8"/>
      <c r="I10059" s="8"/>
      <c r="J10059" s="7"/>
      <c r="K10059" s="7"/>
      <c r="L10059" s="7"/>
      <c r="M10059" s="7"/>
      <c r="N10059" s="7"/>
      <c r="O10059" s="7"/>
      <c r="P10059" s="7"/>
      <c r="Q10059" s="7"/>
      <c r="R10059" s="7"/>
      <c r="S10059" s="7"/>
      <c r="T10059" s="7"/>
      <c r="U10059" s="7"/>
      <c r="V10059" s="7"/>
      <c r="W10059" s="7"/>
      <c r="X10059" s="7"/>
      <c r="Y10059" s="7"/>
      <c r="Z10059" s="7"/>
    </row>
    <row r="10060" hidden="1">
      <c r="A10060" s="7"/>
      <c r="B10060" s="7"/>
      <c r="C10060" s="7"/>
      <c r="D10060" s="7"/>
      <c r="E10060" s="7"/>
      <c r="F10060" s="7"/>
      <c r="G10060" s="7"/>
      <c r="H10060" s="8"/>
      <c r="I10060" s="8"/>
      <c r="J10060" s="7"/>
      <c r="K10060" s="7"/>
      <c r="L10060" s="7"/>
      <c r="M10060" s="7"/>
      <c r="N10060" s="7"/>
      <c r="O10060" s="7"/>
      <c r="P10060" s="7"/>
      <c r="Q10060" s="7"/>
      <c r="R10060" s="7"/>
      <c r="S10060" s="7"/>
      <c r="T10060" s="7"/>
      <c r="U10060" s="7"/>
      <c r="V10060" s="7"/>
      <c r="W10060" s="7"/>
      <c r="X10060" s="7"/>
      <c r="Y10060" s="7"/>
      <c r="Z10060" s="7"/>
    </row>
    <row r="10061" hidden="1">
      <c r="A10061" s="7"/>
      <c r="B10061" s="7"/>
      <c r="C10061" s="7"/>
      <c r="D10061" s="7"/>
      <c r="E10061" s="7"/>
      <c r="F10061" s="7"/>
      <c r="G10061" s="7"/>
      <c r="H10061" s="8"/>
      <c r="I10061" s="8"/>
      <c r="J10061" s="7"/>
      <c r="K10061" s="7"/>
      <c r="L10061" s="7"/>
      <c r="M10061" s="7"/>
      <c r="N10061" s="7"/>
      <c r="O10061" s="7"/>
      <c r="P10061" s="7"/>
      <c r="Q10061" s="7"/>
      <c r="R10061" s="7"/>
      <c r="S10061" s="7"/>
      <c r="T10061" s="7"/>
      <c r="U10061" s="7"/>
      <c r="V10061" s="7"/>
      <c r="W10061" s="7"/>
      <c r="X10061" s="7"/>
      <c r="Y10061" s="7"/>
      <c r="Z10061" s="7"/>
    </row>
    <row r="10062" hidden="1">
      <c r="A10062" s="7"/>
      <c r="B10062" s="7"/>
      <c r="C10062" s="7"/>
      <c r="D10062" s="7"/>
      <c r="E10062" s="7"/>
      <c r="F10062" s="7"/>
      <c r="G10062" s="7"/>
      <c r="H10062" s="8"/>
      <c r="I10062" s="8"/>
      <c r="J10062" s="7"/>
      <c r="K10062" s="7"/>
      <c r="L10062" s="7"/>
      <c r="M10062" s="7"/>
      <c r="N10062" s="7"/>
      <c r="O10062" s="7"/>
      <c r="P10062" s="7"/>
      <c r="Q10062" s="7"/>
      <c r="R10062" s="7"/>
      <c r="S10062" s="7"/>
      <c r="T10062" s="7"/>
      <c r="U10062" s="7"/>
      <c r="V10062" s="7"/>
      <c r="W10062" s="7"/>
      <c r="X10062" s="7"/>
      <c r="Y10062" s="7"/>
      <c r="Z10062" s="7"/>
    </row>
    <row r="10063" hidden="1">
      <c r="A10063" s="7"/>
      <c r="B10063" s="7"/>
      <c r="C10063" s="7"/>
      <c r="D10063" s="7"/>
      <c r="E10063" s="7"/>
      <c r="F10063" s="7"/>
      <c r="G10063" s="7"/>
      <c r="H10063" s="8"/>
      <c r="I10063" s="8"/>
      <c r="J10063" s="7"/>
      <c r="K10063" s="7"/>
      <c r="L10063" s="7"/>
      <c r="M10063" s="7"/>
      <c r="N10063" s="7"/>
      <c r="O10063" s="7"/>
      <c r="P10063" s="7"/>
      <c r="Q10063" s="7"/>
      <c r="R10063" s="7"/>
      <c r="S10063" s="7"/>
      <c r="T10063" s="7"/>
      <c r="U10063" s="7"/>
      <c r="V10063" s="7"/>
      <c r="W10063" s="7"/>
      <c r="X10063" s="7"/>
      <c r="Y10063" s="7"/>
      <c r="Z10063" s="7"/>
    </row>
    <row r="10064" hidden="1">
      <c r="A10064" s="7"/>
      <c r="B10064" s="7"/>
      <c r="C10064" s="7"/>
      <c r="D10064" s="7"/>
      <c r="E10064" s="7"/>
      <c r="F10064" s="7"/>
      <c r="G10064" s="7"/>
      <c r="H10064" s="8"/>
      <c r="I10064" s="8"/>
      <c r="J10064" s="7"/>
      <c r="K10064" s="7"/>
      <c r="L10064" s="7"/>
      <c r="M10064" s="7"/>
      <c r="N10064" s="7"/>
      <c r="O10064" s="7"/>
      <c r="P10064" s="7"/>
      <c r="Q10064" s="7"/>
      <c r="R10064" s="7"/>
      <c r="S10064" s="7"/>
      <c r="T10064" s="7"/>
      <c r="U10064" s="7"/>
      <c r="V10064" s="7"/>
      <c r="W10064" s="7"/>
      <c r="X10064" s="7"/>
      <c r="Y10064" s="7"/>
      <c r="Z10064" s="7"/>
    </row>
    <row r="10065" hidden="1">
      <c r="A10065" s="7"/>
      <c r="B10065" s="7"/>
      <c r="C10065" s="7"/>
      <c r="D10065" s="7"/>
      <c r="E10065" s="7"/>
      <c r="F10065" s="7"/>
      <c r="G10065" s="7"/>
      <c r="H10065" s="8"/>
      <c r="I10065" s="8"/>
      <c r="J10065" s="7"/>
      <c r="K10065" s="7"/>
      <c r="L10065" s="7"/>
      <c r="M10065" s="7"/>
      <c r="N10065" s="7"/>
      <c r="O10065" s="7"/>
      <c r="P10065" s="7"/>
      <c r="Q10065" s="7"/>
      <c r="R10065" s="7"/>
      <c r="S10065" s="7"/>
      <c r="T10065" s="7"/>
      <c r="U10065" s="7"/>
      <c r="V10065" s="7"/>
      <c r="W10065" s="7"/>
      <c r="X10065" s="7"/>
      <c r="Y10065" s="7"/>
      <c r="Z10065" s="7"/>
    </row>
    <row r="10066" hidden="1">
      <c r="A10066" s="7"/>
      <c r="B10066" s="7"/>
      <c r="C10066" s="7"/>
      <c r="D10066" s="7"/>
      <c r="E10066" s="7"/>
      <c r="F10066" s="7"/>
      <c r="G10066" s="7"/>
      <c r="H10066" s="8"/>
      <c r="I10066" s="8"/>
      <c r="J10066" s="7"/>
      <c r="K10066" s="7"/>
      <c r="L10066" s="7"/>
      <c r="M10066" s="7"/>
      <c r="N10066" s="7"/>
      <c r="O10066" s="7"/>
      <c r="P10066" s="7"/>
      <c r="Q10066" s="7"/>
      <c r="R10066" s="7"/>
      <c r="S10066" s="7"/>
      <c r="T10066" s="7"/>
      <c r="U10066" s="7"/>
      <c r="V10066" s="7"/>
      <c r="W10066" s="7"/>
      <c r="X10066" s="7"/>
      <c r="Y10066" s="7"/>
      <c r="Z10066" s="7"/>
    </row>
    <row r="10067" hidden="1">
      <c r="A10067" s="7"/>
      <c r="B10067" s="7"/>
      <c r="C10067" s="7"/>
      <c r="D10067" s="7"/>
      <c r="E10067" s="7"/>
      <c r="F10067" s="7"/>
      <c r="G10067" s="7"/>
      <c r="H10067" s="8"/>
      <c r="I10067" s="8"/>
      <c r="J10067" s="7"/>
      <c r="K10067" s="7"/>
      <c r="L10067" s="7"/>
      <c r="M10067" s="7"/>
      <c r="N10067" s="7"/>
      <c r="O10067" s="7"/>
      <c r="P10067" s="7"/>
      <c r="Q10067" s="7"/>
      <c r="R10067" s="7"/>
      <c r="S10067" s="7"/>
      <c r="T10067" s="7"/>
      <c r="U10067" s="7"/>
      <c r="V10067" s="7"/>
      <c r="W10067" s="7"/>
      <c r="X10067" s="7"/>
      <c r="Y10067" s="7"/>
      <c r="Z10067" s="7"/>
    </row>
    <row r="10068" hidden="1">
      <c r="A10068" s="7"/>
      <c r="B10068" s="7"/>
      <c r="C10068" s="7"/>
      <c r="D10068" s="7"/>
      <c r="E10068" s="7"/>
      <c r="F10068" s="7"/>
      <c r="G10068" s="7"/>
      <c r="H10068" s="8"/>
      <c r="I10068" s="8"/>
      <c r="J10068" s="7"/>
      <c r="K10068" s="7"/>
      <c r="L10068" s="7"/>
      <c r="M10068" s="7"/>
      <c r="N10068" s="7"/>
      <c r="O10068" s="7"/>
      <c r="P10068" s="7"/>
      <c r="Q10068" s="7"/>
      <c r="R10068" s="7"/>
      <c r="S10068" s="7"/>
      <c r="T10068" s="7"/>
      <c r="U10068" s="7"/>
      <c r="V10068" s="7"/>
      <c r="W10068" s="7"/>
      <c r="X10068" s="7"/>
      <c r="Y10068" s="7"/>
      <c r="Z10068" s="7"/>
    </row>
    <row r="10069" hidden="1">
      <c r="A10069" s="7"/>
      <c r="B10069" s="7"/>
      <c r="C10069" s="7"/>
      <c r="D10069" s="7"/>
      <c r="E10069" s="7"/>
      <c r="F10069" s="7"/>
      <c r="G10069" s="7"/>
      <c r="H10069" s="8"/>
      <c r="I10069" s="8"/>
      <c r="J10069" s="7"/>
      <c r="K10069" s="7"/>
      <c r="L10069" s="7"/>
      <c r="M10069" s="7"/>
      <c r="N10069" s="7"/>
      <c r="O10069" s="7"/>
      <c r="P10069" s="7"/>
      <c r="Q10069" s="7"/>
      <c r="R10069" s="7"/>
      <c r="S10069" s="7"/>
      <c r="T10069" s="7"/>
      <c r="U10069" s="7"/>
      <c r="V10069" s="7"/>
      <c r="W10069" s="7"/>
      <c r="X10069" s="7"/>
      <c r="Y10069" s="7"/>
      <c r="Z10069" s="7"/>
    </row>
    <row r="10070" hidden="1">
      <c r="A10070" s="7"/>
      <c r="B10070" s="7"/>
      <c r="C10070" s="7"/>
      <c r="D10070" s="7"/>
      <c r="E10070" s="7"/>
      <c r="F10070" s="7"/>
      <c r="G10070" s="7"/>
      <c r="H10070" s="8"/>
      <c r="I10070" s="8"/>
      <c r="J10070" s="7"/>
      <c r="K10070" s="7"/>
      <c r="L10070" s="7"/>
      <c r="M10070" s="7"/>
      <c r="N10070" s="7"/>
      <c r="O10070" s="7"/>
      <c r="P10070" s="7"/>
      <c r="Q10070" s="7"/>
      <c r="R10070" s="7"/>
      <c r="S10070" s="7"/>
      <c r="T10070" s="7"/>
      <c r="U10070" s="7"/>
      <c r="V10070" s="7"/>
      <c r="W10070" s="7"/>
      <c r="X10070" s="7"/>
      <c r="Y10070" s="7"/>
      <c r="Z10070" s="7"/>
    </row>
    <row r="10071" hidden="1">
      <c r="A10071" s="7"/>
      <c r="B10071" s="7"/>
      <c r="C10071" s="7"/>
      <c r="D10071" s="7"/>
      <c r="E10071" s="7"/>
      <c r="F10071" s="7"/>
      <c r="G10071" s="7"/>
      <c r="H10071" s="8"/>
      <c r="I10071" s="8"/>
      <c r="J10071" s="7"/>
      <c r="K10071" s="7"/>
      <c r="L10071" s="7"/>
      <c r="M10071" s="7"/>
      <c r="N10071" s="7"/>
      <c r="O10071" s="7"/>
      <c r="P10071" s="7"/>
      <c r="Q10071" s="7"/>
      <c r="R10071" s="7"/>
      <c r="S10071" s="7"/>
      <c r="T10071" s="7"/>
      <c r="U10071" s="7"/>
      <c r="V10071" s="7"/>
      <c r="W10071" s="7"/>
      <c r="X10071" s="7"/>
      <c r="Y10071" s="7"/>
      <c r="Z10071" s="7"/>
    </row>
    <row r="10072" hidden="1">
      <c r="A10072" s="7"/>
      <c r="B10072" s="7"/>
      <c r="C10072" s="7"/>
      <c r="D10072" s="7"/>
      <c r="E10072" s="7"/>
      <c r="F10072" s="7"/>
      <c r="G10072" s="7"/>
      <c r="H10072" s="8"/>
      <c r="I10072" s="8"/>
      <c r="J10072" s="7"/>
      <c r="K10072" s="7"/>
      <c r="L10072" s="7"/>
      <c r="M10072" s="7"/>
      <c r="N10072" s="7"/>
      <c r="O10072" s="7"/>
      <c r="P10072" s="7"/>
      <c r="Q10072" s="7"/>
      <c r="R10072" s="7"/>
      <c r="S10072" s="7"/>
      <c r="T10072" s="7"/>
      <c r="U10072" s="7"/>
      <c r="V10072" s="7"/>
      <c r="W10072" s="7"/>
      <c r="X10072" s="7"/>
      <c r="Y10072" s="7"/>
      <c r="Z10072" s="7"/>
    </row>
    <row r="10073" hidden="1">
      <c r="A10073" s="7"/>
      <c r="B10073" s="7"/>
      <c r="C10073" s="7"/>
      <c r="D10073" s="7"/>
      <c r="E10073" s="7"/>
      <c r="F10073" s="7"/>
      <c r="G10073" s="7"/>
      <c r="H10073" s="8"/>
      <c r="I10073" s="8"/>
      <c r="J10073" s="7"/>
      <c r="K10073" s="7"/>
      <c r="L10073" s="7"/>
      <c r="M10073" s="7"/>
      <c r="N10073" s="7"/>
      <c r="O10073" s="7"/>
      <c r="P10073" s="7"/>
      <c r="Q10073" s="7"/>
      <c r="R10073" s="7"/>
      <c r="S10073" s="7"/>
      <c r="T10073" s="7"/>
      <c r="U10073" s="7"/>
      <c r="V10073" s="7"/>
      <c r="W10073" s="7"/>
      <c r="X10073" s="7"/>
      <c r="Y10073" s="7"/>
      <c r="Z10073" s="7"/>
    </row>
    <row r="10074" hidden="1">
      <c r="A10074" s="7"/>
      <c r="B10074" s="7"/>
      <c r="C10074" s="7"/>
      <c r="D10074" s="7"/>
      <c r="E10074" s="7"/>
      <c r="F10074" s="7"/>
      <c r="G10074" s="7"/>
      <c r="H10074" s="8"/>
      <c r="I10074" s="8"/>
      <c r="J10074" s="7"/>
      <c r="K10074" s="7"/>
      <c r="L10074" s="7"/>
      <c r="M10074" s="7"/>
      <c r="N10074" s="7"/>
      <c r="O10074" s="7"/>
      <c r="P10074" s="7"/>
      <c r="Q10074" s="7"/>
      <c r="R10074" s="7"/>
      <c r="S10074" s="7"/>
      <c r="T10074" s="7"/>
      <c r="U10074" s="7"/>
      <c r="V10074" s="7"/>
      <c r="W10074" s="7"/>
      <c r="X10074" s="7"/>
      <c r="Y10074" s="7"/>
      <c r="Z10074" s="7"/>
    </row>
    <row r="10075" hidden="1">
      <c r="A10075" s="7"/>
      <c r="B10075" s="7"/>
      <c r="C10075" s="7"/>
      <c r="D10075" s="7"/>
      <c r="E10075" s="7"/>
      <c r="F10075" s="7"/>
      <c r="G10075" s="7"/>
      <c r="H10075" s="8"/>
      <c r="I10075" s="8"/>
      <c r="J10075" s="7"/>
      <c r="K10075" s="7"/>
      <c r="L10075" s="7"/>
      <c r="M10075" s="7"/>
      <c r="N10075" s="7"/>
      <c r="O10075" s="7"/>
      <c r="P10075" s="7"/>
      <c r="Q10075" s="7"/>
      <c r="R10075" s="7"/>
      <c r="S10075" s="7"/>
      <c r="T10075" s="7"/>
      <c r="U10075" s="7"/>
      <c r="V10075" s="7"/>
      <c r="W10075" s="7"/>
      <c r="X10075" s="7"/>
      <c r="Y10075" s="7"/>
      <c r="Z10075" s="7"/>
    </row>
    <row r="10076" hidden="1">
      <c r="A10076" s="7"/>
      <c r="B10076" s="7"/>
      <c r="C10076" s="7"/>
      <c r="D10076" s="7"/>
      <c r="E10076" s="7"/>
      <c r="F10076" s="7"/>
      <c r="G10076" s="7"/>
      <c r="H10076" s="8"/>
      <c r="I10076" s="8"/>
      <c r="J10076" s="7"/>
      <c r="K10076" s="7"/>
      <c r="L10076" s="7"/>
      <c r="M10076" s="7"/>
      <c r="N10076" s="7"/>
      <c r="O10076" s="7"/>
      <c r="P10076" s="7"/>
      <c r="Q10076" s="7"/>
      <c r="R10076" s="7"/>
      <c r="S10076" s="7"/>
      <c r="T10076" s="7"/>
      <c r="U10076" s="7"/>
      <c r="V10076" s="7"/>
      <c r="W10076" s="7"/>
      <c r="X10076" s="7"/>
      <c r="Y10076" s="7"/>
      <c r="Z10076" s="7"/>
    </row>
    <row r="10077" hidden="1">
      <c r="A10077" s="7"/>
      <c r="B10077" s="7"/>
      <c r="C10077" s="7"/>
      <c r="D10077" s="7"/>
      <c r="E10077" s="7"/>
      <c r="F10077" s="7"/>
      <c r="G10077" s="7"/>
      <c r="H10077" s="8"/>
      <c r="I10077" s="8"/>
      <c r="J10077" s="7"/>
      <c r="K10077" s="7"/>
      <c r="L10077" s="7"/>
      <c r="M10077" s="7"/>
      <c r="N10077" s="7"/>
      <c r="O10077" s="7"/>
      <c r="P10077" s="7"/>
      <c r="Q10077" s="7"/>
      <c r="R10077" s="7"/>
      <c r="S10077" s="7"/>
      <c r="T10077" s="7"/>
      <c r="U10077" s="7"/>
      <c r="V10077" s="7"/>
      <c r="W10077" s="7"/>
      <c r="X10077" s="7"/>
      <c r="Y10077" s="7"/>
      <c r="Z10077" s="7"/>
    </row>
    <row r="10078" hidden="1">
      <c r="A10078" s="7"/>
      <c r="B10078" s="7"/>
      <c r="C10078" s="7"/>
      <c r="D10078" s="7"/>
      <c r="E10078" s="7"/>
      <c r="F10078" s="7"/>
      <c r="G10078" s="7"/>
      <c r="H10078" s="8"/>
      <c r="I10078" s="8"/>
      <c r="J10078" s="7"/>
      <c r="K10078" s="7"/>
      <c r="L10078" s="7"/>
      <c r="M10078" s="7"/>
      <c r="N10078" s="7"/>
      <c r="O10078" s="7"/>
      <c r="P10078" s="7"/>
      <c r="Q10078" s="7"/>
      <c r="R10078" s="7"/>
      <c r="S10078" s="7"/>
      <c r="T10078" s="7"/>
      <c r="U10078" s="7"/>
      <c r="V10078" s="7"/>
      <c r="W10078" s="7"/>
      <c r="X10078" s="7"/>
      <c r="Y10078" s="7"/>
      <c r="Z10078" s="7"/>
    </row>
    <row r="10079" hidden="1">
      <c r="A10079" s="7"/>
      <c r="B10079" s="7"/>
      <c r="C10079" s="7"/>
      <c r="D10079" s="7"/>
      <c r="E10079" s="7"/>
      <c r="F10079" s="7"/>
      <c r="G10079" s="7"/>
      <c r="H10079" s="8"/>
      <c r="I10079" s="8"/>
      <c r="J10079" s="7"/>
      <c r="K10079" s="7"/>
      <c r="L10079" s="7"/>
      <c r="M10079" s="7"/>
      <c r="N10079" s="7"/>
      <c r="O10079" s="7"/>
      <c r="P10079" s="7"/>
      <c r="Q10079" s="7"/>
      <c r="R10079" s="7"/>
      <c r="S10079" s="7"/>
      <c r="T10079" s="7"/>
      <c r="U10079" s="7"/>
      <c r="V10079" s="7"/>
      <c r="W10079" s="7"/>
      <c r="X10079" s="7"/>
      <c r="Y10079" s="7"/>
      <c r="Z10079" s="7"/>
    </row>
    <row r="10080" hidden="1">
      <c r="A10080" s="7"/>
      <c r="B10080" s="7"/>
      <c r="C10080" s="7"/>
      <c r="D10080" s="7"/>
      <c r="E10080" s="7"/>
      <c r="F10080" s="7"/>
      <c r="G10080" s="7"/>
      <c r="H10080" s="8"/>
      <c r="I10080" s="8"/>
      <c r="J10080" s="7"/>
      <c r="K10080" s="7"/>
      <c r="L10080" s="7"/>
      <c r="M10080" s="7"/>
      <c r="N10080" s="7"/>
      <c r="O10080" s="7"/>
      <c r="P10080" s="7"/>
      <c r="Q10080" s="7"/>
      <c r="R10080" s="7"/>
      <c r="S10080" s="7"/>
      <c r="T10080" s="7"/>
      <c r="U10080" s="7"/>
      <c r="V10080" s="7"/>
      <c r="W10080" s="7"/>
      <c r="X10080" s="7"/>
      <c r="Y10080" s="7"/>
      <c r="Z10080" s="7"/>
    </row>
    <row r="10081" hidden="1">
      <c r="A10081" s="7"/>
      <c r="B10081" s="7"/>
      <c r="C10081" s="7"/>
      <c r="D10081" s="7"/>
      <c r="E10081" s="7"/>
      <c r="F10081" s="7"/>
      <c r="G10081" s="7"/>
      <c r="H10081" s="8"/>
      <c r="I10081" s="8"/>
      <c r="J10081" s="7"/>
      <c r="K10081" s="7"/>
      <c r="L10081" s="7"/>
      <c r="M10081" s="7"/>
      <c r="N10081" s="7"/>
      <c r="O10081" s="7"/>
      <c r="P10081" s="7"/>
      <c r="Q10081" s="7"/>
      <c r="R10081" s="7"/>
      <c r="S10081" s="7"/>
      <c r="T10081" s="7"/>
      <c r="U10081" s="7"/>
      <c r="V10081" s="7"/>
      <c r="W10081" s="7"/>
      <c r="X10081" s="7"/>
      <c r="Y10081" s="7"/>
      <c r="Z10081" s="7"/>
    </row>
    <row r="10082" hidden="1">
      <c r="A10082" s="7"/>
      <c r="B10082" s="7"/>
      <c r="C10082" s="7"/>
      <c r="D10082" s="7"/>
      <c r="E10082" s="7"/>
      <c r="F10082" s="7"/>
      <c r="G10082" s="7"/>
      <c r="H10082" s="8"/>
      <c r="I10082" s="8"/>
      <c r="J10082" s="7"/>
      <c r="K10082" s="7"/>
      <c r="L10082" s="7"/>
      <c r="M10082" s="7"/>
      <c r="N10082" s="7"/>
      <c r="O10082" s="7"/>
      <c r="P10082" s="7"/>
      <c r="Q10082" s="7"/>
      <c r="R10082" s="7"/>
      <c r="S10082" s="7"/>
      <c r="T10082" s="7"/>
      <c r="U10082" s="7"/>
      <c r="V10082" s="7"/>
      <c r="W10082" s="7"/>
      <c r="X10082" s="7"/>
      <c r="Y10082" s="7"/>
      <c r="Z10082" s="7"/>
    </row>
    <row r="10083" hidden="1">
      <c r="A10083" s="7"/>
      <c r="B10083" s="7"/>
      <c r="C10083" s="7"/>
      <c r="D10083" s="7"/>
      <c r="E10083" s="7"/>
      <c r="F10083" s="7"/>
      <c r="G10083" s="7"/>
      <c r="H10083" s="8"/>
      <c r="I10083" s="8"/>
      <c r="J10083" s="7"/>
      <c r="K10083" s="7"/>
      <c r="L10083" s="7"/>
      <c r="M10083" s="7"/>
      <c r="N10083" s="7"/>
      <c r="O10083" s="7"/>
      <c r="P10083" s="7"/>
      <c r="Q10083" s="7"/>
      <c r="R10083" s="7"/>
      <c r="S10083" s="7"/>
      <c r="T10083" s="7"/>
      <c r="U10083" s="7"/>
      <c r="V10083" s="7"/>
      <c r="W10083" s="7"/>
      <c r="X10083" s="7"/>
      <c r="Y10083" s="7"/>
      <c r="Z10083" s="7"/>
    </row>
    <row r="10084" hidden="1">
      <c r="A10084" s="7"/>
      <c r="B10084" s="7"/>
      <c r="C10084" s="7"/>
      <c r="D10084" s="7"/>
      <c r="E10084" s="7"/>
      <c r="F10084" s="7"/>
      <c r="G10084" s="7"/>
      <c r="H10084" s="8"/>
      <c r="I10084" s="8"/>
      <c r="J10084" s="7"/>
      <c r="K10084" s="7"/>
      <c r="L10084" s="7"/>
      <c r="M10084" s="7"/>
      <c r="N10084" s="7"/>
      <c r="O10084" s="7"/>
      <c r="P10084" s="7"/>
      <c r="Q10084" s="7"/>
      <c r="R10084" s="7"/>
      <c r="S10084" s="7"/>
      <c r="T10084" s="7"/>
      <c r="U10084" s="7"/>
      <c r="V10084" s="7"/>
      <c r="W10084" s="7"/>
      <c r="X10084" s="7"/>
      <c r="Y10084" s="7"/>
      <c r="Z10084" s="7"/>
    </row>
    <row r="10085" hidden="1">
      <c r="A10085" s="7"/>
      <c r="B10085" s="7"/>
      <c r="C10085" s="7"/>
      <c r="D10085" s="7"/>
      <c r="E10085" s="7"/>
      <c r="F10085" s="7"/>
      <c r="G10085" s="7"/>
      <c r="H10085" s="8"/>
      <c r="I10085" s="8"/>
      <c r="J10085" s="7"/>
      <c r="K10085" s="7"/>
      <c r="L10085" s="7"/>
      <c r="M10085" s="7"/>
      <c r="N10085" s="7"/>
      <c r="O10085" s="7"/>
      <c r="P10085" s="7"/>
      <c r="Q10085" s="7"/>
      <c r="R10085" s="7"/>
      <c r="S10085" s="7"/>
      <c r="T10085" s="7"/>
      <c r="U10085" s="7"/>
      <c r="V10085" s="7"/>
      <c r="W10085" s="7"/>
      <c r="X10085" s="7"/>
      <c r="Y10085" s="7"/>
      <c r="Z10085" s="7"/>
    </row>
    <row r="10086" hidden="1">
      <c r="A10086" s="7"/>
      <c r="B10086" s="7"/>
      <c r="C10086" s="7"/>
      <c r="D10086" s="7"/>
      <c r="E10086" s="7"/>
      <c r="F10086" s="7"/>
      <c r="G10086" s="7"/>
      <c r="H10086" s="8"/>
      <c r="I10086" s="8"/>
      <c r="J10086" s="7"/>
      <c r="K10086" s="7"/>
      <c r="L10086" s="7"/>
      <c r="M10086" s="7"/>
      <c r="N10086" s="7"/>
      <c r="O10086" s="7"/>
      <c r="P10086" s="7"/>
      <c r="Q10086" s="7"/>
      <c r="R10086" s="7"/>
      <c r="S10086" s="7"/>
      <c r="T10086" s="7"/>
      <c r="U10086" s="7"/>
      <c r="V10086" s="7"/>
      <c r="W10086" s="7"/>
      <c r="X10086" s="7"/>
      <c r="Y10086" s="7"/>
      <c r="Z10086" s="7"/>
    </row>
    <row r="10087" hidden="1">
      <c r="A10087" s="7"/>
      <c r="B10087" s="7"/>
      <c r="C10087" s="7"/>
      <c r="D10087" s="7"/>
      <c r="E10087" s="7"/>
      <c r="F10087" s="7"/>
      <c r="G10087" s="7"/>
      <c r="H10087" s="8"/>
      <c r="I10087" s="8"/>
      <c r="J10087" s="7"/>
      <c r="K10087" s="7"/>
      <c r="L10087" s="7"/>
      <c r="M10087" s="7"/>
      <c r="N10087" s="7"/>
      <c r="O10087" s="7"/>
      <c r="P10087" s="7"/>
      <c r="Q10087" s="7"/>
      <c r="R10087" s="7"/>
      <c r="S10087" s="7"/>
      <c r="T10087" s="7"/>
      <c r="U10087" s="7"/>
      <c r="V10087" s="7"/>
      <c r="W10087" s="7"/>
      <c r="X10087" s="7"/>
      <c r="Y10087" s="7"/>
      <c r="Z10087" s="7"/>
    </row>
    <row r="10088" hidden="1">
      <c r="A10088" s="7"/>
      <c r="B10088" s="7"/>
      <c r="C10088" s="7"/>
      <c r="D10088" s="7"/>
      <c r="E10088" s="7"/>
      <c r="F10088" s="7"/>
      <c r="G10088" s="7"/>
      <c r="H10088" s="8"/>
      <c r="I10088" s="8"/>
      <c r="J10088" s="7"/>
      <c r="K10088" s="7"/>
      <c r="L10088" s="7"/>
      <c r="M10088" s="7"/>
      <c r="N10088" s="7"/>
      <c r="O10088" s="7"/>
      <c r="P10088" s="7"/>
      <c r="Q10088" s="7"/>
      <c r="R10088" s="7"/>
      <c r="S10088" s="7"/>
      <c r="T10088" s="7"/>
      <c r="U10088" s="7"/>
      <c r="V10088" s="7"/>
      <c r="W10088" s="7"/>
      <c r="X10088" s="7"/>
      <c r="Y10088" s="7"/>
      <c r="Z10088" s="7"/>
    </row>
    <row r="10089" hidden="1">
      <c r="A10089" s="7"/>
      <c r="B10089" s="7"/>
      <c r="C10089" s="7"/>
      <c r="D10089" s="7"/>
      <c r="E10089" s="7"/>
      <c r="F10089" s="7"/>
      <c r="G10089" s="7"/>
      <c r="H10089" s="8"/>
      <c r="I10089" s="8"/>
      <c r="J10089" s="7"/>
      <c r="K10089" s="7"/>
      <c r="L10089" s="7"/>
      <c r="M10089" s="7"/>
      <c r="N10089" s="7"/>
      <c r="O10089" s="7"/>
      <c r="P10089" s="7"/>
      <c r="Q10089" s="7"/>
      <c r="R10089" s="7"/>
      <c r="S10089" s="7"/>
      <c r="T10089" s="7"/>
      <c r="U10089" s="7"/>
      <c r="V10089" s="7"/>
      <c r="W10089" s="7"/>
      <c r="X10089" s="7"/>
      <c r="Y10089" s="7"/>
      <c r="Z10089" s="7"/>
    </row>
    <row r="10090" hidden="1">
      <c r="A10090" s="7"/>
      <c r="B10090" s="7"/>
      <c r="C10090" s="7"/>
      <c r="D10090" s="7"/>
      <c r="E10090" s="7"/>
      <c r="F10090" s="7"/>
      <c r="G10090" s="7"/>
      <c r="H10090" s="8"/>
      <c r="I10090" s="8"/>
      <c r="J10090" s="7"/>
      <c r="K10090" s="7"/>
      <c r="L10090" s="7"/>
      <c r="M10090" s="7"/>
      <c r="N10090" s="7"/>
      <c r="O10090" s="7"/>
      <c r="P10090" s="7"/>
      <c r="Q10090" s="7"/>
      <c r="R10090" s="7"/>
      <c r="S10090" s="7"/>
      <c r="T10090" s="7"/>
      <c r="U10090" s="7"/>
      <c r="V10090" s="7"/>
      <c r="W10090" s="7"/>
      <c r="X10090" s="7"/>
      <c r="Y10090" s="7"/>
      <c r="Z10090" s="7"/>
    </row>
    <row r="10091" hidden="1">
      <c r="A10091" s="7"/>
      <c r="B10091" s="7"/>
      <c r="C10091" s="7"/>
      <c r="D10091" s="7"/>
      <c r="E10091" s="7"/>
      <c r="F10091" s="7"/>
      <c r="G10091" s="7"/>
      <c r="H10091" s="8"/>
      <c r="I10091" s="8"/>
      <c r="J10091" s="7"/>
      <c r="K10091" s="7"/>
      <c r="L10091" s="7"/>
      <c r="M10091" s="7"/>
      <c r="N10091" s="7"/>
      <c r="O10091" s="7"/>
      <c r="P10091" s="7"/>
      <c r="Q10091" s="7"/>
      <c r="R10091" s="7"/>
      <c r="S10091" s="7"/>
      <c r="T10091" s="7"/>
      <c r="U10091" s="7"/>
      <c r="V10091" s="7"/>
      <c r="W10091" s="7"/>
      <c r="X10091" s="7"/>
      <c r="Y10091" s="7"/>
      <c r="Z10091" s="7"/>
    </row>
    <row r="10092" hidden="1">
      <c r="A10092" s="7"/>
      <c r="B10092" s="7"/>
      <c r="C10092" s="7"/>
      <c r="D10092" s="7"/>
      <c r="E10092" s="7"/>
      <c r="F10092" s="7"/>
      <c r="G10092" s="7"/>
      <c r="H10092" s="8"/>
      <c r="I10092" s="8"/>
      <c r="J10092" s="7"/>
      <c r="K10092" s="7"/>
      <c r="L10092" s="7"/>
      <c r="M10092" s="7"/>
      <c r="N10092" s="7"/>
      <c r="O10092" s="7"/>
      <c r="P10092" s="7"/>
      <c r="Q10092" s="7"/>
      <c r="R10092" s="7"/>
      <c r="S10092" s="7"/>
      <c r="T10092" s="7"/>
      <c r="U10092" s="7"/>
      <c r="V10092" s="7"/>
      <c r="W10092" s="7"/>
      <c r="X10092" s="7"/>
      <c r="Y10092" s="7"/>
      <c r="Z10092" s="7"/>
    </row>
    <row r="10093" hidden="1">
      <c r="A10093" s="7"/>
      <c r="B10093" s="7"/>
      <c r="C10093" s="7"/>
      <c r="D10093" s="7"/>
      <c r="E10093" s="7"/>
      <c r="F10093" s="7"/>
      <c r="G10093" s="7"/>
      <c r="H10093" s="8"/>
      <c r="I10093" s="8"/>
      <c r="J10093" s="7"/>
      <c r="K10093" s="7"/>
      <c r="L10093" s="7"/>
      <c r="M10093" s="7"/>
      <c r="N10093" s="7"/>
      <c r="O10093" s="7"/>
      <c r="P10093" s="7"/>
      <c r="Q10093" s="7"/>
      <c r="R10093" s="7"/>
      <c r="S10093" s="7"/>
      <c r="T10093" s="7"/>
      <c r="U10093" s="7"/>
      <c r="V10093" s="7"/>
      <c r="W10093" s="7"/>
      <c r="X10093" s="7"/>
      <c r="Y10093" s="7"/>
      <c r="Z10093" s="7"/>
    </row>
    <row r="10094" hidden="1">
      <c r="A10094" s="7"/>
      <c r="B10094" s="7"/>
      <c r="C10094" s="7"/>
      <c r="D10094" s="7"/>
      <c r="E10094" s="7"/>
      <c r="F10094" s="7"/>
      <c r="G10094" s="7"/>
      <c r="H10094" s="8"/>
      <c r="I10094" s="8"/>
      <c r="J10094" s="7"/>
      <c r="K10094" s="7"/>
      <c r="L10094" s="7"/>
      <c r="M10094" s="7"/>
      <c r="N10094" s="7"/>
      <c r="O10094" s="7"/>
      <c r="P10094" s="7"/>
      <c r="Q10094" s="7"/>
      <c r="R10094" s="7"/>
      <c r="S10094" s="7"/>
      <c r="T10094" s="7"/>
      <c r="U10094" s="7"/>
      <c r="V10094" s="7"/>
      <c r="W10094" s="7"/>
      <c r="X10094" s="7"/>
      <c r="Y10094" s="7"/>
      <c r="Z10094" s="7"/>
    </row>
    <row r="10095" hidden="1">
      <c r="A10095" s="7"/>
      <c r="B10095" s="7"/>
      <c r="C10095" s="7"/>
      <c r="D10095" s="7"/>
      <c r="E10095" s="7"/>
      <c r="F10095" s="7"/>
      <c r="G10095" s="7"/>
      <c r="H10095" s="8"/>
      <c r="I10095" s="8"/>
      <c r="J10095" s="7"/>
      <c r="K10095" s="7"/>
      <c r="L10095" s="7"/>
      <c r="M10095" s="7"/>
      <c r="N10095" s="7"/>
      <c r="O10095" s="7"/>
      <c r="P10095" s="7"/>
      <c r="Q10095" s="7"/>
      <c r="R10095" s="7"/>
      <c r="S10095" s="7"/>
      <c r="T10095" s="7"/>
      <c r="U10095" s="7"/>
      <c r="V10095" s="7"/>
      <c r="W10095" s="7"/>
      <c r="X10095" s="7"/>
      <c r="Y10095" s="7"/>
      <c r="Z10095" s="7"/>
    </row>
    <row r="10096" hidden="1">
      <c r="A10096" s="7"/>
      <c r="B10096" s="7"/>
      <c r="C10096" s="7"/>
      <c r="D10096" s="7"/>
      <c r="E10096" s="7"/>
      <c r="F10096" s="7"/>
      <c r="G10096" s="7"/>
      <c r="H10096" s="8"/>
      <c r="I10096" s="8"/>
      <c r="J10096" s="7"/>
      <c r="K10096" s="7"/>
      <c r="L10096" s="7"/>
      <c r="M10096" s="7"/>
      <c r="N10096" s="7"/>
      <c r="O10096" s="7"/>
      <c r="P10096" s="7"/>
      <c r="Q10096" s="7"/>
      <c r="R10096" s="7"/>
      <c r="S10096" s="7"/>
      <c r="T10096" s="7"/>
      <c r="U10096" s="7"/>
      <c r="V10096" s="7"/>
      <c r="W10096" s="7"/>
      <c r="X10096" s="7"/>
      <c r="Y10096" s="7"/>
      <c r="Z10096" s="7"/>
    </row>
    <row r="10097" hidden="1">
      <c r="A10097" s="7"/>
      <c r="B10097" s="7"/>
      <c r="C10097" s="7"/>
      <c r="D10097" s="7"/>
      <c r="E10097" s="7"/>
      <c r="F10097" s="7"/>
      <c r="G10097" s="7"/>
      <c r="H10097" s="8"/>
      <c r="I10097" s="8"/>
      <c r="J10097" s="7"/>
      <c r="K10097" s="7"/>
      <c r="L10097" s="7"/>
      <c r="M10097" s="7"/>
      <c r="N10097" s="7"/>
      <c r="O10097" s="7"/>
      <c r="P10097" s="7"/>
      <c r="Q10097" s="7"/>
      <c r="R10097" s="7"/>
      <c r="S10097" s="7"/>
      <c r="T10097" s="7"/>
      <c r="U10097" s="7"/>
      <c r="V10097" s="7"/>
      <c r="W10097" s="7"/>
      <c r="X10097" s="7"/>
      <c r="Y10097" s="7"/>
      <c r="Z10097" s="7"/>
    </row>
    <row r="10098" hidden="1">
      <c r="A10098" s="7"/>
      <c r="B10098" s="7"/>
      <c r="C10098" s="7"/>
      <c r="D10098" s="7"/>
      <c r="E10098" s="7"/>
      <c r="F10098" s="7"/>
      <c r="G10098" s="7"/>
      <c r="H10098" s="8"/>
      <c r="I10098" s="8"/>
      <c r="J10098" s="7"/>
      <c r="K10098" s="7"/>
      <c r="L10098" s="7"/>
      <c r="M10098" s="7"/>
      <c r="N10098" s="7"/>
      <c r="O10098" s="7"/>
      <c r="P10098" s="7"/>
      <c r="Q10098" s="7"/>
      <c r="R10098" s="7"/>
      <c r="S10098" s="7"/>
      <c r="T10098" s="7"/>
      <c r="U10098" s="7"/>
      <c r="V10098" s="7"/>
      <c r="W10098" s="7"/>
      <c r="X10098" s="7"/>
      <c r="Y10098" s="7"/>
      <c r="Z10098" s="7"/>
    </row>
    <row r="10099" hidden="1">
      <c r="A10099" s="7"/>
      <c r="B10099" s="7"/>
      <c r="C10099" s="7"/>
      <c r="D10099" s="7"/>
      <c r="E10099" s="7"/>
      <c r="F10099" s="7"/>
      <c r="G10099" s="7"/>
      <c r="H10099" s="8"/>
      <c r="I10099" s="8"/>
      <c r="J10099" s="7"/>
      <c r="K10099" s="7"/>
      <c r="L10099" s="7"/>
      <c r="M10099" s="7"/>
      <c r="N10099" s="7"/>
      <c r="O10099" s="7"/>
      <c r="P10099" s="7"/>
      <c r="Q10099" s="7"/>
      <c r="R10099" s="7"/>
      <c r="S10099" s="7"/>
      <c r="T10099" s="7"/>
      <c r="U10099" s="7"/>
      <c r="V10099" s="7"/>
      <c r="W10099" s="7"/>
      <c r="X10099" s="7"/>
      <c r="Y10099" s="7"/>
      <c r="Z10099" s="7"/>
    </row>
    <row r="10100" hidden="1">
      <c r="A10100" s="7"/>
      <c r="B10100" s="7"/>
      <c r="C10100" s="7"/>
      <c r="D10100" s="7"/>
      <c r="E10100" s="7"/>
      <c r="F10100" s="7"/>
      <c r="G10100" s="7"/>
      <c r="H10100" s="8"/>
      <c r="I10100" s="8"/>
      <c r="J10100" s="7"/>
      <c r="K10100" s="7"/>
      <c r="L10100" s="7"/>
      <c r="M10100" s="7"/>
      <c r="N10100" s="7"/>
      <c r="O10100" s="7"/>
      <c r="P10100" s="7"/>
      <c r="Q10100" s="7"/>
      <c r="R10100" s="7"/>
      <c r="S10100" s="7"/>
      <c r="T10100" s="7"/>
      <c r="U10100" s="7"/>
      <c r="V10100" s="7"/>
      <c r="W10100" s="7"/>
      <c r="X10100" s="7"/>
      <c r="Y10100" s="7"/>
      <c r="Z10100" s="7"/>
    </row>
    <row r="10101" hidden="1">
      <c r="A10101" s="7"/>
      <c r="B10101" s="7"/>
      <c r="C10101" s="7"/>
      <c r="D10101" s="7"/>
      <c r="E10101" s="7"/>
      <c r="F10101" s="7"/>
      <c r="G10101" s="7"/>
      <c r="H10101" s="8"/>
      <c r="I10101" s="8"/>
      <c r="J10101" s="7"/>
      <c r="K10101" s="7"/>
      <c r="L10101" s="7"/>
      <c r="M10101" s="7"/>
      <c r="N10101" s="7"/>
      <c r="O10101" s="7"/>
      <c r="P10101" s="7"/>
      <c r="Q10101" s="7"/>
      <c r="R10101" s="7"/>
      <c r="S10101" s="7"/>
      <c r="T10101" s="7"/>
      <c r="U10101" s="7"/>
      <c r="V10101" s="7"/>
      <c r="W10101" s="7"/>
      <c r="X10101" s="7"/>
      <c r="Y10101" s="7"/>
      <c r="Z10101" s="7"/>
    </row>
    <row r="10102" hidden="1">
      <c r="A10102" s="7"/>
      <c r="B10102" s="7"/>
      <c r="C10102" s="7"/>
      <c r="D10102" s="7"/>
      <c r="E10102" s="7"/>
      <c r="F10102" s="7"/>
      <c r="G10102" s="7"/>
      <c r="H10102" s="8"/>
      <c r="I10102" s="8"/>
      <c r="J10102" s="7"/>
      <c r="K10102" s="7"/>
      <c r="L10102" s="7"/>
      <c r="M10102" s="7"/>
      <c r="N10102" s="7"/>
      <c r="O10102" s="7"/>
      <c r="P10102" s="7"/>
      <c r="Q10102" s="7"/>
      <c r="R10102" s="7"/>
      <c r="S10102" s="7"/>
      <c r="T10102" s="7"/>
      <c r="U10102" s="7"/>
      <c r="V10102" s="7"/>
      <c r="W10102" s="7"/>
      <c r="X10102" s="7"/>
      <c r="Y10102" s="7"/>
      <c r="Z10102" s="7"/>
    </row>
    <row r="10103" hidden="1">
      <c r="A10103" s="7"/>
      <c r="B10103" s="7"/>
      <c r="C10103" s="7"/>
      <c r="D10103" s="7"/>
      <c r="E10103" s="7"/>
      <c r="F10103" s="7"/>
      <c r="G10103" s="7"/>
      <c r="H10103" s="8"/>
      <c r="I10103" s="8"/>
      <c r="J10103" s="7"/>
      <c r="K10103" s="7"/>
      <c r="L10103" s="7"/>
      <c r="M10103" s="7"/>
      <c r="N10103" s="7"/>
      <c r="O10103" s="7"/>
      <c r="P10103" s="7"/>
      <c r="Q10103" s="7"/>
      <c r="R10103" s="7"/>
      <c r="S10103" s="7"/>
      <c r="T10103" s="7"/>
      <c r="U10103" s="7"/>
      <c r="V10103" s="7"/>
      <c r="W10103" s="7"/>
      <c r="X10103" s="7"/>
      <c r="Y10103" s="7"/>
      <c r="Z10103" s="7"/>
    </row>
    <row r="10104" hidden="1">
      <c r="A10104" s="7"/>
      <c r="B10104" s="7"/>
      <c r="C10104" s="7"/>
      <c r="D10104" s="7"/>
      <c r="E10104" s="7"/>
      <c r="F10104" s="7"/>
      <c r="G10104" s="7"/>
      <c r="H10104" s="8"/>
      <c r="I10104" s="8"/>
      <c r="J10104" s="7"/>
      <c r="K10104" s="7"/>
      <c r="L10104" s="7"/>
      <c r="M10104" s="7"/>
      <c r="N10104" s="7"/>
      <c r="O10104" s="7"/>
      <c r="P10104" s="7"/>
      <c r="Q10104" s="7"/>
      <c r="R10104" s="7"/>
      <c r="S10104" s="7"/>
      <c r="T10104" s="7"/>
      <c r="U10104" s="7"/>
      <c r="V10104" s="7"/>
      <c r="W10104" s="7"/>
      <c r="X10104" s="7"/>
      <c r="Y10104" s="7"/>
      <c r="Z10104" s="7"/>
    </row>
    <row r="10105" hidden="1">
      <c r="A10105" s="7"/>
      <c r="B10105" s="7"/>
      <c r="C10105" s="7"/>
      <c r="D10105" s="7"/>
      <c r="E10105" s="7"/>
      <c r="F10105" s="7"/>
      <c r="G10105" s="7"/>
      <c r="H10105" s="8"/>
      <c r="I10105" s="8"/>
      <c r="J10105" s="7"/>
      <c r="K10105" s="7"/>
      <c r="L10105" s="7"/>
      <c r="M10105" s="7"/>
      <c r="N10105" s="7"/>
      <c r="O10105" s="7"/>
      <c r="P10105" s="7"/>
      <c r="Q10105" s="7"/>
      <c r="R10105" s="7"/>
      <c r="S10105" s="7"/>
      <c r="T10105" s="7"/>
      <c r="U10105" s="7"/>
      <c r="V10105" s="7"/>
      <c r="W10105" s="7"/>
      <c r="X10105" s="7"/>
      <c r="Y10105" s="7"/>
      <c r="Z10105" s="7"/>
    </row>
    <row r="10106" hidden="1">
      <c r="A10106" s="7"/>
      <c r="B10106" s="7"/>
      <c r="C10106" s="7"/>
      <c r="D10106" s="7"/>
      <c r="E10106" s="7"/>
      <c r="F10106" s="7"/>
      <c r="G10106" s="7"/>
      <c r="H10106" s="8"/>
      <c r="I10106" s="8"/>
      <c r="J10106" s="7"/>
      <c r="K10106" s="7"/>
      <c r="L10106" s="7"/>
      <c r="M10106" s="7"/>
      <c r="N10106" s="7"/>
      <c r="O10106" s="7"/>
      <c r="P10106" s="7"/>
      <c r="Q10106" s="7"/>
      <c r="R10106" s="7"/>
      <c r="S10106" s="7"/>
      <c r="T10106" s="7"/>
      <c r="U10106" s="7"/>
      <c r="V10106" s="7"/>
      <c r="W10106" s="7"/>
      <c r="X10106" s="7"/>
      <c r="Y10106" s="7"/>
      <c r="Z10106" s="7"/>
    </row>
    <row r="10107" hidden="1">
      <c r="A10107" s="7"/>
      <c r="B10107" s="7"/>
      <c r="C10107" s="7"/>
      <c r="D10107" s="7"/>
      <c r="E10107" s="7"/>
      <c r="F10107" s="7"/>
      <c r="G10107" s="7"/>
      <c r="H10107" s="8"/>
      <c r="I10107" s="8"/>
      <c r="J10107" s="7"/>
      <c r="K10107" s="7"/>
      <c r="L10107" s="7"/>
      <c r="M10107" s="7"/>
      <c r="N10107" s="7"/>
      <c r="O10107" s="7"/>
      <c r="P10107" s="7"/>
      <c r="Q10107" s="7"/>
      <c r="R10107" s="7"/>
      <c r="S10107" s="7"/>
      <c r="T10107" s="7"/>
      <c r="U10107" s="7"/>
      <c r="V10107" s="7"/>
      <c r="W10107" s="7"/>
      <c r="X10107" s="7"/>
      <c r="Y10107" s="7"/>
      <c r="Z10107" s="7"/>
    </row>
    <row r="10108" hidden="1">
      <c r="A10108" s="7"/>
      <c r="B10108" s="7"/>
      <c r="C10108" s="7"/>
      <c r="D10108" s="7"/>
      <c r="E10108" s="7"/>
      <c r="F10108" s="7"/>
      <c r="G10108" s="7"/>
      <c r="H10108" s="8"/>
      <c r="I10108" s="8"/>
      <c r="J10108" s="7"/>
      <c r="K10108" s="7"/>
      <c r="L10108" s="7"/>
      <c r="M10108" s="7"/>
      <c r="N10108" s="7"/>
      <c r="O10108" s="7"/>
      <c r="P10108" s="7"/>
      <c r="Q10108" s="7"/>
      <c r="R10108" s="7"/>
      <c r="S10108" s="7"/>
      <c r="T10108" s="7"/>
      <c r="U10108" s="7"/>
      <c r="V10108" s="7"/>
      <c r="W10108" s="7"/>
      <c r="X10108" s="7"/>
      <c r="Y10108" s="7"/>
      <c r="Z10108" s="7"/>
    </row>
    <row r="10109" hidden="1">
      <c r="A10109" s="7"/>
      <c r="B10109" s="7"/>
      <c r="C10109" s="7"/>
      <c r="D10109" s="7"/>
      <c r="E10109" s="7"/>
      <c r="F10109" s="7"/>
      <c r="G10109" s="7"/>
      <c r="H10109" s="8"/>
      <c r="I10109" s="8"/>
      <c r="J10109" s="7"/>
      <c r="K10109" s="7"/>
      <c r="L10109" s="7"/>
      <c r="M10109" s="7"/>
      <c r="N10109" s="7"/>
      <c r="O10109" s="7"/>
      <c r="P10109" s="7"/>
      <c r="Q10109" s="7"/>
      <c r="R10109" s="7"/>
      <c r="S10109" s="7"/>
      <c r="T10109" s="7"/>
      <c r="U10109" s="7"/>
      <c r="V10109" s="7"/>
      <c r="W10109" s="7"/>
      <c r="X10109" s="7"/>
      <c r="Y10109" s="7"/>
      <c r="Z10109" s="7"/>
    </row>
    <row r="10110" hidden="1">
      <c r="A10110" s="7"/>
      <c r="B10110" s="7"/>
      <c r="C10110" s="7"/>
      <c r="D10110" s="7"/>
      <c r="E10110" s="7"/>
      <c r="F10110" s="7"/>
      <c r="G10110" s="7"/>
      <c r="H10110" s="8"/>
      <c r="I10110" s="8"/>
      <c r="J10110" s="7"/>
      <c r="K10110" s="7"/>
      <c r="L10110" s="7"/>
      <c r="M10110" s="7"/>
      <c r="N10110" s="7"/>
      <c r="O10110" s="7"/>
      <c r="P10110" s="7"/>
      <c r="Q10110" s="7"/>
      <c r="R10110" s="7"/>
      <c r="S10110" s="7"/>
      <c r="T10110" s="7"/>
      <c r="U10110" s="7"/>
      <c r="V10110" s="7"/>
      <c r="W10110" s="7"/>
      <c r="X10110" s="7"/>
      <c r="Y10110" s="7"/>
      <c r="Z10110" s="7"/>
    </row>
    <row r="10111" hidden="1">
      <c r="A10111" s="7"/>
      <c r="B10111" s="7"/>
      <c r="C10111" s="7"/>
      <c r="D10111" s="7"/>
      <c r="E10111" s="7"/>
      <c r="F10111" s="7"/>
      <c r="G10111" s="7"/>
      <c r="H10111" s="8"/>
      <c r="I10111" s="8"/>
      <c r="J10111" s="7"/>
      <c r="K10111" s="7"/>
      <c r="L10111" s="7"/>
      <c r="M10111" s="7"/>
      <c r="N10111" s="7"/>
      <c r="O10111" s="7"/>
      <c r="P10111" s="7"/>
      <c r="Q10111" s="7"/>
      <c r="R10111" s="7"/>
      <c r="S10111" s="7"/>
      <c r="T10111" s="7"/>
      <c r="U10111" s="7"/>
      <c r="V10111" s="7"/>
      <c r="W10111" s="7"/>
      <c r="X10111" s="7"/>
      <c r="Y10111" s="7"/>
      <c r="Z10111" s="7"/>
    </row>
    <row r="10112" hidden="1">
      <c r="A10112" s="7"/>
      <c r="B10112" s="7"/>
      <c r="C10112" s="7"/>
      <c r="D10112" s="7"/>
      <c r="E10112" s="7"/>
      <c r="F10112" s="7"/>
      <c r="G10112" s="7"/>
      <c r="H10112" s="8"/>
      <c r="I10112" s="8"/>
      <c r="J10112" s="7"/>
      <c r="K10112" s="7"/>
      <c r="L10112" s="7"/>
      <c r="M10112" s="7"/>
      <c r="N10112" s="7"/>
      <c r="O10112" s="7"/>
      <c r="P10112" s="7"/>
      <c r="Q10112" s="7"/>
      <c r="R10112" s="7"/>
      <c r="S10112" s="7"/>
      <c r="T10112" s="7"/>
      <c r="U10112" s="7"/>
      <c r="V10112" s="7"/>
      <c r="W10112" s="7"/>
      <c r="X10112" s="7"/>
      <c r="Y10112" s="7"/>
      <c r="Z10112" s="7"/>
    </row>
    <row r="10113" hidden="1">
      <c r="A10113" s="7"/>
      <c r="B10113" s="7"/>
      <c r="C10113" s="7"/>
      <c r="D10113" s="7"/>
      <c r="E10113" s="7"/>
      <c r="F10113" s="7"/>
      <c r="G10113" s="7"/>
      <c r="H10113" s="8"/>
      <c r="I10113" s="8"/>
      <c r="J10113" s="7"/>
      <c r="K10113" s="7"/>
      <c r="L10113" s="7"/>
      <c r="M10113" s="7"/>
      <c r="N10113" s="7"/>
      <c r="O10113" s="7"/>
      <c r="P10113" s="7"/>
      <c r="Q10113" s="7"/>
      <c r="R10113" s="7"/>
      <c r="S10113" s="7"/>
      <c r="T10113" s="7"/>
      <c r="U10113" s="7"/>
      <c r="V10113" s="7"/>
      <c r="W10113" s="7"/>
      <c r="X10113" s="7"/>
      <c r="Y10113" s="7"/>
      <c r="Z10113" s="7"/>
    </row>
    <row r="10114" hidden="1">
      <c r="A10114" s="7"/>
      <c r="B10114" s="7"/>
      <c r="C10114" s="7"/>
      <c r="D10114" s="7"/>
      <c r="E10114" s="7"/>
      <c r="F10114" s="7"/>
      <c r="G10114" s="7"/>
      <c r="H10114" s="8"/>
      <c r="I10114" s="8"/>
      <c r="J10114" s="7"/>
      <c r="K10114" s="7"/>
      <c r="L10114" s="7"/>
      <c r="M10114" s="7"/>
      <c r="N10114" s="7"/>
      <c r="O10114" s="7"/>
      <c r="P10114" s="7"/>
      <c r="Q10114" s="7"/>
      <c r="R10114" s="7"/>
      <c r="S10114" s="7"/>
      <c r="T10114" s="7"/>
      <c r="U10114" s="7"/>
      <c r="V10114" s="7"/>
      <c r="W10114" s="7"/>
      <c r="X10114" s="7"/>
      <c r="Y10114" s="7"/>
      <c r="Z10114" s="7"/>
    </row>
    <row r="10115" hidden="1">
      <c r="A10115" s="7"/>
      <c r="B10115" s="7"/>
      <c r="C10115" s="7"/>
      <c r="D10115" s="7"/>
      <c r="E10115" s="7"/>
      <c r="F10115" s="7"/>
      <c r="G10115" s="7"/>
      <c r="H10115" s="8"/>
      <c r="I10115" s="8"/>
      <c r="J10115" s="7"/>
      <c r="K10115" s="7"/>
      <c r="L10115" s="7"/>
      <c r="M10115" s="7"/>
      <c r="N10115" s="7"/>
      <c r="O10115" s="7"/>
      <c r="P10115" s="7"/>
      <c r="Q10115" s="7"/>
      <c r="R10115" s="7"/>
      <c r="S10115" s="7"/>
      <c r="T10115" s="7"/>
      <c r="U10115" s="7"/>
      <c r="V10115" s="7"/>
      <c r="W10115" s="7"/>
      <c r="X10115" s="7"/>
      <c r="Y10115" s="7"/>
      <c r="Z10115" s="7"/>
    </row>
    <row r="10116" hidden="1">
      <c r="A10116" s="7"/>
      <c r="B10116" s="7"/>
      <c r="C10116" s="7"/>
      <c r="D10116" s="7"/>
      <c r="E10116" s="7"/>
      <c r="F10116" s="7"/>
      <c r="G10116" s="7"/>
      <c r="H10116" s="8"/>
      <c r="I10116" s="8"/>
      <c r="J10116" s="7"/>
      <c r="K10116" s="7"/>
      <c r="L10116" s="7"/>
      <c r="M10116" s="7"/>
      <c r="N10116" s="7"/>
      <c r="O10116" s="7"/>
      <c r="P10116" s="7"/>
      <c r="Q10116" s="7"/>
      <c r="R10116" s="7"/>
      <c r="S10116" s="7"/>
      <c r="T10116" s="7"/>
      <c r="U10116" s="7"/>
      <c r="V10116" s="7"/>
      <c r="W10116" s="7"/>
      <c r="X10116" s="7"/>
      <c r="Y10116" s="7"/>
      <c r="Z10116" s="7"/>
    </row>
    <row r="10117" hidden="1">
      <c r="A10117" s="7"/>
      <c r="B10117" s="7"/>
      <c r="C10117" s="7"/>
      <c r="D10117" s="7"/>
      <c r="E10117" s="7"/>
      <c r="F10117" s="7"/>
      <c r="G10117" s="7"/>
      <c r="H10117" s="8"/>
      <c r="I10117" s="8"/>
      <c r="J10117" s="7"/>
      <c r="K10117" s="7"/>
      <c r="L10117" s="7"/>
      <c r="M10117" s="7"/>
      <c r="N10117" s="7"/>
      <c r="O10117" s="7"/>
      <c r="P10117" s="7"/>
      <c r="Q10117" s="7"/>
      <c r="R10117" s="7"/>
      <c r="S10117" s="7"/>
      <c r="T10117" s="7"/>
      <c r="U10117" s="7"/>
      <c r="V10117" s="7"/>
      <c r="W10117" s="7"/>
      <c r="X10117" s="7"/>
      <c r="Y10117" s="7"/>
      <c r="Z10117" s="7"/>
    </row>
    <row r="10118" hidden="1">
      <c r="A10118" s="7"/>
      <c r="B10118" s="7"/>
      <c r="C10118" s="7"/>
      <c r="D10118" s="7"/>
      <c r="E10118" s="7"/>
      <c r="F10118" s="7"/>
      <c r="G10118" s="7"/>
      <c r="H10118" s="8"/>
      <c r="I10118" s="8"/>
      <c r="J10118" s="7"/>
      <c r="K10118" s="7"/>
      <c r="L10118" s="7"/>
      <c r="M10118" s="7"/>
      <c r="N10118" s="7"/>
      <c r="O10118" s="7"/>
      <c r="P10118" s="7"/>
      <c r="Q10118" s="7"/>
      <c r="R10118" s="7"/>
      <c r="S10118" s="7"/>
      <c r="T10118" s="7"/>
      <c r="U10118" s="7"/>
      <c r="V10118" s="7"/>
      <c r="W10118" s="7"/>
      <c r="X10118" s="7"/>
      <c r="Y10118" s="7"/>
      <c r="Z10118" s="7"/>
    </row>
    <row r="10119" hidden="1">
      <c r="A10119" s="7"/>
      <c r="B10119" s="7"/>
      <c r="C10119" s="7"/>
      <c r="D10119" s="7"/>
      <c r="E10119" s="7"/>
      <c r="F10119" s="7"/>
      <c r="G10119" s="7"/>
      <c r="H10119" s="8"/>
      <c r="I10119" s="8"/>
      <c r="J10119" s="7"/>
      <c r="K10119" s="7"/>
      <c r="L10119" s="7"/>
      <c r="M10119" s="7"/>
      <c r="N10119" s="7"/>
      <c r="O10119" s="7"/>
      <c r="P10119" s="7"/>
      <c r="Q10119" s="7"/>
      <c r="R10119" s="7"/>
      <c r="S10119" s="7"/>
      <c r="T10119" s="7"/>
      <c r="U10119" s="7"/>
      <c r="V10119" s="7"/>
      <c r="W10119" s="7"/>
      <c r="X10119" s="7"/>
      <c r="Y10119" s="7"/>
      <c r="Z10119" s="7"/>
    </row>
    <row r="10120" hidden="1">
      <c r="A10120" s="7"/>
      <c r="B10120" s="7"/>
      <c r="C10120" s="7"/>
      <c r="D10120" s="7"/>
      <c r="E10120" s="7"/>
      <c r="F10120" s="7"/>
      <c r="G10120" s="7"/>
      <c r="H10120" s="8"/>
      <c r="I10120" s="8"/>
      <c r="J10120" s="7"/>
      <c r="K10120" s="7"/>
      <c r="L10120" s="7"/>
      <c r="M10120" s="7"/>
      <c r="N10120" s="7"/>
      <c r="O10120" s="7"/>
      <c r="P10120" s="7"/>
      <c r="Q10120" s="7"/>
      <c r="R10120" s="7"/>
      <c r="S10120" s="7"/>
      <c r="T10120" s="7"/>
      <c r="U10120" s="7"/>
      <c r="V10120" s="7"/>
      <c r="W10120" s="7"/>
      <c r="X10120" s="7"/>
      <c r="Y10120" s="7"/>
      <c r="Z10120" s="7"/>
    </row>
    <row r="10121" hidden="1">
      <c r="A10121" s="7"/>
      <c r="B10121" s="7"/>
      <c r="C10121" s="7"/>
      <c r="D10121" s="7"/>
      <c r="E10121" s="7"/>
      <c r="F10121" s="7"/>
      <c r="G10121" s="7"/>
      <c r="H10121" s="8"/>
      <c r="I10121" s="8"/>
      <c r="J10121" s="7"/>
      <c r="K10121" s="7"/>
      <c r="L10121" s="7"/>
      <c r="M10121" s="7"/>
      <c r="N10121" s="7"/>
      <c r="O10121" s="7"/>
      <c r="P10121" s="7"/>
      <c r="Q10121" s="7"/>
      <c r="R10121" s="7"/>
      <c r="S10121" s="7"/>
      <c r="T10121" s="7"/>
      <c r="U10121" s="7"/>
      <c r="V10121" s="7"/>
      <c r="W10121" s="7"/>
      <c r="X10121" s="7"/>
      <c r="Y10121" s="7"/>
      <c r="Z10121" s="7"/>
    </row>
    <row r="10122" hidden="1">
      <c r="A10122" s="7"/>
      <c r="B10122" s="7"/>
      <c r="C10122" s="7"/>
      <c r="D10122" s="7"/>
      <c r="E10122" s="7"/>
      <c r="F10122" s="7"/>
      <c r="G10122" s="7"/>
      <c r="H10122" s="8"/>
      <c r="I10122" s="8"/>
      <c r="J10122" s="7"/>
      <c r="K10122" s="7"/>
      <c r="L10122" s="7"/>
      <c r="M10122" s="7"/>
      <c r="N10122" s="7"/>
      <c r="O10122" s="7"/>
      <c r="P10122" s="7"/>
      <c r="Q10122" s="7"/>
      <c r="R10122" s="7"/>
      <c r="S10122" s="7"/>
      <c r="T10122" s="7"/>
      <c r="U10122" s="7"/>
      <c r="V10122" s="7"/>
      <c r="W10122" s="7"/>
      <c r="X10122" s="7"/>
      <c r="Y10122" s="7"/>
      <c r="Z10122" s="7"/>
    </row>
    <row r="10123" hidden="1">
      <c r="A10123" s="7"/>
      <c r="B10123" s="7"/>
      <c r="C10123" s="7"/>
      <c r="D10123" s="7"/>
      <c r="E10123" s="7"/>
      <c r="F10123" s="7"/>
      <c r="G10123" s="7"/>
      <c r="H10123" s="8"/>
      <c r="I10123" s="8"/>
      <c r="J10123" s="7"/>
      <c r="K10123" s="7"/>
      <c r="L10123" s="7"/>
      <c r="M10123" s="7"/>
      <c r="N10123" s="7"/>
      <c r="O10123" s="7"/>
      <c r="P10123" s="7"/>
      <c r="Q10123" s="7"/>
      <c r="R10123" s="7"/>
      <c r="S10123" s="7"/>
      <c r="T10123" s="7"/>
      <c r="U10123" s="7"/>
      <c r="V10123" s="7"/>
      <c r="W10123" s="7"/>
      <c r="X10123" s="7"/>
      <c r="Y10123" s="7"/>
      <c r="Z10123" s="7"/>
    </row>
    <row r="10124" hidden="1">
      <c r="A10124" s="7"/>
      <c r="B10124" s="7"/>
      <c r="C10124" s="7"/>
      <c r="D10124" s="7"/>
      <c r="E10124" s="7"/>
      <c r="F10124" s="7"/>
      <c r="G10124" s="7"/>
      <c r="H10124" s="8"/>
      <c r="I10124" s="8"/>
      <c r="J10124" s="7"/>
      <c r="K10124" s="7"/>
      <c r="L10124" s="7"/>
      <c r="M10124" s="7"/>
      <c r="N10124" s="7"/>
      <c r="O10124" s="7"/>
      <c r="P10124" s="7"/>
      <c r="Q10124" s="7"/>
      <c r="R10124" s="7"/>
      <c r="S10124" s="7"/>
      <c r="T10124" s="7"/>
      <c r="U10124" s="7"/>
      <c r="V10124" s="7"/>
      <c r="W10124" s="7"/>
      <c r="X10124" s="7"/>
      <c r="Y10124" s="7"/>
      <c r="Z10124" s="7"/>
    </row>
    <row r="10125" hidden="1">
      <c r="A10125" s="7"/>
      <c r="B10125" s="7"/>
      <c r="C10125" s="7"/>
      <c r="D10125" s="7"/>
      <c r="E10125" s="7"/>
      <c r="F10125" s="7"/>
      <c r="G10125" s="7"/>
      <c r="H10125" s="8"/>
      <c r="I10125" s="8"/>
      <c r="J10125" s="7"/>
      <c r="K10125" s="7"/>
      <c r="L10125" s="7"/>
      <c r="M10125" s="7"/>
      <c r="N10125" s="7"/>
      <c r="O10125" s="7"/>
      <c r="P10125" s="7"/>
      <c r="Q10125" s="7"/>
      <c r="R10125" s="7"/>
      <c r="S10125" s="7"/>
      <c r="T10125" s="7"/>
      <c r="U10125" s="7"/>
      <c r="V10125" s="7"/>
      <c r="W10125" s="7"/>
      <c r="X10125" s="7"/>
      <c r="Y10125" s="7"/>
      <c r="Z10125" s="7"/>
    </row>
    <row r="10126" hidden="1">
      <c r="A10126" s="7"/>
      <c r="B10126" s="7"/>
      <c r="C10126" s="7"/>
      <c r="D10126" s="7"/>
      <c r="E10126" s="7"/>
      <c r="F10126" s="7"/>
      <c r="G10126" s="7"/>
      <c r="H10126" s="8"/>
      <c r="I10126" s="8"/>
      <c r="J10126" s="7"/>
      <c r="K10126" s="7"/>
      <c r="L10126" s="7"/>
      <c r="M10126" s="7"/>
      <c r="N10126" s="7"/>
      <c r="O10126" s="7"/>
      <c r="P10126" s="7"/>
      <c r="Q10126" s="7"/>
      <c r="R10126" s="7"/>
      <c r="S10126" s="7"/>
      <c r="T10126" s="7"/>
      <c r="U10126" s="7"/>
      <c r="V10126" s="7"/>
      <c r="W10126" s="7"/>
      <c r="X10126" s="7"/>
      <c r="Y10126" s="7"/>
      <c r="Z10126" s="7"/>
    </row>
    <row r="10127" hidden="1">
      <c r="A10127" s="7"/>
      <c r="B10127" s="7"/>
      <c r="C10127" s="7"/>
      <c r="D10127" s="7"/>
      <c r="E10127" s="7"/>
      <c r="F10127" s="7"/>
      <c r="G10127" s="7"/>
      <c r="H10127" s="8"/>
      <c r="I10127" s="8"/>
      <c r="J10127" s="7"/>
      <c r="K10127" s="7"/>
      <c r="L10127" s="7"/>
      <c r="M10127" s="7"/>
      <c r="N10127" s="7"/>
      <c r="O10127" s="7"/>
      <c r="P10127" s="7"/>
      <c r="Q10127" s="7"/>
      <c r="R10127" s="7"/>
      <c r="S10127" s="7"/>
      <c r="T10127" s="7"/>
      <c r="U10127" s="7"/>
      <c r="V10127" s="7"/>
      <c r="W10127" s="7"/>
      <c r="X10127" s="7"/>
      <c r="Y10127" s="7"/>
      <c r="Z10127" s="7"/>
    </row>
    <row r="10128" hidden="1">
      <c r="A10128" s="7"/>
      <c r="B10128" s="7"/>
      <c r="C10128" s="7"/>
      <c r="D10128" s="7"/>
      <c r="E10128" s="7"/>
      <c r="F10128" s="7"/>
      <c r="G10128" s="7"/>
      <c r="H10128" s="8"/>
      <c r="I10128" s="8"/>
      <c r="J10128" s="7"/>
      <c r="K10128" s="7"/>
      <c r="L10128" s="7"/>
      <c r="M10128" s="7"/>
      <c r="N10128" s="7"/>
      <c r="O10128" s="7"/>
      <c r="P10128" s="7"/>
      <c r="Q10128" s="7"/>
      <c r="R10128" s="7"/>
      <c r="S10128" s="7"/>
      <c r="T10128" s="7"/>
      <c r="U10128" s="7"/>
      <c r="V10128" s="7"/>
      <c r="W10128" s="7"/>
      <c r="X10128" s="7"/>
      <c r="Y10128" s="7"/>
      <c r="Z10128" s="7"/>
    </row>
    <row r="10129" hidden="1">
      <c r="A10129" s="7"/>
      <c r="B10129" s="7"/>
      <c r="C10129" s="7"/>
      <c r="D10129" s="7"/>
      <c r="E10129" s="7"/>
      <c r="F10129" s="7"/>
      <c r="G10129" s="7"/>
      <c r="H10129" s="8"/>
      <c r="I10129" s="8"/>
      <c r="J10129" s="7"/>
      <c r="K10129" s="7"/>
      <c r="L10129" s="7"/>
      <c r="M10129" s="7"/>
      <c r="N10129" s="7"/>
      <c r="O10129" s="7"/>
      <c r="P10129" s="7"/>
      <c r="Q10129" s="7"/>
      <c r="R10129" s="7"/>
      <c r="S10129" s="7"/>
      <c r="T10129" s="7"/>
      <c r="U10129" s="7"/>
      <c r="V10129" s="7"/>
      <c r="W10129" s="7"/>
      <c r="X10129" s="7"/>
      <c r="Y10129" s="7"/>
      <c r="Z10129" s="7"/>
    </row>
    <row r="10130" hidden="1">
      <c r="A10130" s="7"/>
      <c r="B10130" s="7"/>
      <c r="C10130" s="7"/>
      <c r="D10130" s="7"/>
      <c r="E10130" s="7"/>
      <c r="F10130" s="7"/>
      <c r="G10130" s="7"/>
      <c r="H10130" s="8"/>
      <c r="I10130" s="8"/>
      <c r="J10130" s="7"/>
      <c r="K10130" s="7"/>
      <c r="L10130" s="7"/>
      <c r="M10130" s="7"/>
      <c r="N10130" s="7"/>
      <c r="O10130" s="7"/>
      <c r="P10130" s="7"/>
      <c r="Q10130" s="7"/>
      <c r="R10130" s="7"/>
      <c r="S10130" s="7"/>
      <c r="T10130" s="7"/>
      <c r="U10130" s="7"/>
      <c r="V10130" s="7"/>
      <c r="W10130" s="7"/>
      <c r="X10130" s="7"/>
      <c r="Y10130" s="7"/>
      <c r="Z10130" s="7"/>
    </row>
    <row r="10131" hidden="1">
      <c r="A10131" s="7"/>
      <c r="B10131" s="7"/>
      <c r="C10131" s="7"/>
      <c r="D10131" s="7"/>
      <c r="E10131" s="7"/>
      <c r="F10131" s="7"/>
      <c r="G10131" s="7"/>
      <c r="H10131" s="8"/>
      <c r="I10131" s="8"/>
      <c r="J10131" s="7"/>
      <c r="K10131" s="7"/>
      <c r="L10131" s="7"/>
      <c r="M10131" s="7"/>
      <c r="N10131" s="7"/>
      <c r="O10131" s="7"/>
      <c r="P10131" s="7"/>
      <c r="Q10131" s="7"/>
      <c r="R10131" s="7"/>
      <c r="S10131" s="7"/>
      <c r="T10131" s="7"/>
      <c r="U10131" s="7"/>
      <c r="V10131" s="7"/>
      <c r="W10131" s="7"/>
      <c r="X10131" s="7"/>
      <c r="Y10131" s="7"/>
      <c r="Z10131" s="7"/>
    </row>
    <row r="10132" hidden="1">
      <c r="A10132" s="7"/>
      <c r="B10132" s="7"/>
      <c r="C10132" s="7"/>
      <c r="D10132" s="7"/>
      <c r="E10132" s="7"/>
      <c r="F10132" s="7"/>
      <c r="G10132" s="7"/>
      <c r="H10132" s="8"/>
      <c r="I10132" s="8"/>
      <c r="J10132" s="7"/>
      <c r="K10132" s="7"/>
      <c r="L10132" s="7"/>
      <c r="M10132" s="7"/>
      <c r="N10132" s="7"/>
      <c r="O10132" s="7"/>
      <c r="P10132" s="7"/>
      <c r="Q10132" s="7"/>
      <c r="R10132" s="7"/>
      <c r="S10132" s="7"/>
      <c r="T10132" s="7"/>
      <c r="U10132" s="7"/>
      <c r="V10132" s="7"/>
      <c r="W10132" s="7"/>
      <c r="X10132" s="7"/>
      <c r="Y10132" s="7"/>
      <c r="Z10132" s="7"/>
    </row>
    <row r="10133" hidden="1">
      <c r="A10133" s="7"/>
      <c r="B10133" s="7"/>
      <c r="C10133" s="7"/>
      <c r="D10133" s="7"/>
      <c r="E10133" s="7"/>
      <c r="F10133" s="7"/>
      <c r="G10133" s="7"/>
      <c r="H10133" s="8"/>
      <c r="I10133" s="8"/>
      <c r="J10133" s="7"/>
      <c r="K10133" s="7"/>
      <c r="L10133" s="7"/>
      <c r="M10133" s="7"/>
      <c r="N10133" s="7"/>
      <c r="O10133" s="7"/>
      <c r="P10133" s="7"/>
      <c r="Q10133" s="7"/>
      <c r="R10133" s="7"/>
      <c r="S10133" s="7"/>
      <c r="T10133" s="7"/>
      <c r="U10133" s="7"/>
      <c r="V10133" s="7"/>
      <c r="W10133" s="7"/>
      <c r="X10133" s="7"/>
      <c r="Y10133" s="7"/>
      <c r="Z10133" s="7"/>
    </row>
    <row r="10134" hidden="1">
      <c r="A10134" s="7"/>
      <c r="B10134" s="7"/>
      <c r="C10134" s="7"/>
      <c r="D10134" s="7"/>
      <c r="E10134" s="7"/>
      <c r="F10134" s="7"/>
      <c r="G10134" s="7"/>
      <c r="H10134" s="8"/>
      <c r="I10134" s="8"/>
      <c r="J10134" s="7"/>
      <c r="K10134" s="7"/>
      <c r="L10134" s="7"/>
      <c r="M10134" s="7"/>
      <c r="N10134" s="7"/>
      <c r="O10134" s="7"/>
      <c r="P10134" s="7"/>
      <c r="Q10134" s="7"/>
      <c r="R10134" s="7"/>
      <c r="S10134" s="7"/>
      <c r="T10134" s="7"/>
      <c r="U10134" s="7"/>
      <c r="V10134" s="7"/>
      <c r="W10134" s="7"/>
      <c r="X10134" s="7"/>
      <c r="Y10134" s="7"/>
      <c r="Z10134" s="7"/>
    </row>
    <row r="10135" hidden="1">
      <c r="A10135" s="7"/>
      <c r="B10135" s="7"/>
      <c r="C10135" s="7"/>
      <c r="D10135" s="7"/>
      <c r="E10135" s="7"/>
      <c r="F10135" s="7"/>
      <c r="G10135" s="7"/>
      <c r="H10135" s="8"/>
      <c r="I10135" s="8"/>
      <c r="J10135" s="7"/>
      <c r="K10135" s="7"/>
      <c r="L10135" s="7"/>
      <c r="M10135" s="7"/>
      <c r="N10135" s="7"/>
      <c r="O10135" s="7"/>
      <c r="P10135" s="7"/>
      <c r="Q10135" s="7"/>
      <c r="R10135" s="7"/>
      <c r="S10135" s="7"/>
      <c r="T10135" s="7"/>
      <c r="U10135" s="7"/>
      <c r="V10135" s="7"/>
      <c r="W10135" s="7"/>
      <c r="X10135" s="7"/>
      <c r="Y10135" s="7"/>
      <c r="Z10135" s="7"/>
    </row>
    <row r="10136" hidden="1">
      <c r="A10136" s="7"/>
      <c r="B10136" s="7"/>
      <c r="C10136" s="7"/>
      <c r="D10136" s="7"/>
      <c r="E10136" s="7"/>
      <c r="F10136" s="7"/>
      <c r="G10136" s="7"/>
      <c r="H10136" s="8"/>
      <c r="I10136" s="8"/>
      <c r="J10136" s="7"/>
      <c r="K10136" s="7"/>
      <c r="L10136" s="7"/>
      <c r="M10136" s="7"/>
      <c r="N10136" s="7"/>
      <c r="O10136" s="7"/>
      <c r="P10136" s="7"/>
      <c r="Q10136" s="7"/>
      <c r="R10136" s="7"/>
      <c r="S10136" s="7"/>
      <c r="T10136" s="7"/>
      <c r="U10136" s="7"/>
      <c r="V10136" s="7"/>
      <c r="W10136" s="7"/>
      <c r="X10136" s="7"/>
      <c r="Y10136" s="7"/>
      <c r="Z10136" s="7"/>
    </row>
    <row r="10137" hidden="1">
      <c r="A10137" s="7"/>
      <c r="B10137" s="7"/>
      <c r="C10137" s="7"/>
      <c r="D10137" s="7"/>
      <c r="E10137" s="7"/>
      <c r="F10137" s="7"/>
      <c r="G10137" s="7"/>
      <c r="H10137" s="8"/>
      <c r="I10137" s="8"/>
      <c r="J10137" s="7"/>
      <c r="K10137" s="7"/>
      <c r="L10137" s="7"/>
      <c r="M10137" s="7"/>
      <c r="N10137" s="7"/>
      <c r="O10137" s="7"/>
      <c r="P10137" s="7"/>
      <c r="Q10137" s="7"/>
      <c r="R10137" s="7"/>
      <c r="S10137" s="7"/>
      <c r="T10137" s="7"/>
      <c r="U10137" s="7"/>
      <c r="V10137" s="7"/>
      <c r="W10137" s="7"/>
      <c r="X10137" s="7"/>
      <c r="Y10137" s="7"/>
      <c r="Z10137" s="7"/>
    </row>
    <row r="10138" hidden="1">
      <c r="A10138" s="7"/>
      <c r="B10138" s="7"/>
      <c r="C10138" s="7"/>
      <c r="D10138" s="7"/>
      <c r="E10138" s="7"/>
      <c r="F10138" s="7"/>
      <c r="G10138" s="7"/>
      <c r="H10138" s="8"/>
      <c r="I10138" s="8"/>
      <c r="J10138" s="7"/>
      <c r="K10138" s="7"/>
      <c r="L10138" s="7"/>
      <c r="M10138" s="7"/>
      <c r="N10138" s="7"/>
      <c r="O10138" s="7"/>
      <c r="P10138" s="7"/>
      <c r="Q10138" s="7"/>
      <c r="R10138" s="7"/>
      <c r="S10138" s="7"/>
      <c r="T10138" s="7"/>
      <c r="U10138" s="7"/>
      <c r="V10138" s="7"/>
      <c r="W10138" s="7"/>
      <c r="X10138" s="7"/>
      <c r="Y10138" s="7"/>
      <c r="Z10138" s="7"/>
    </row>
    <row r="10139" hidden="1">
      <c r="A10139" s="7"/>
      <c r="B10139" s="7"/>
      <c r="C10139" s="7"/>
      <c r="D10139" s="7"/>
      <c r="E10139" s="7"/>
      <c r="F10139" s="7"/>
      <c r="G10139" s="7"/>
      <c r="H10139" s="8"/>
      <c r="I10139" s="8"/>
      <c r="J10139" s="7"/>
      <c r="K10139" s="7"/>
      <c r="L10139" s="7"/>
      <c r="M10139" s="7"/>
      <c r="N10139" s="7"/>
      <c r="O10139" s="7"/>
      <c r="P10139" s="7"/>
      <c r="Q10139" s="7"/>
      <c r="R10139" s="7"/>
      <c r="S10139" s="7"/>
      <c r="T10139" s="7"/>
      <c r="U10139" s="7"/>
      <c r="V10139" s="7"/>
      <c r="W10139" s="7"/>
      <c r="X10139" s="7"/>
      <c r="Y10139" s="7"/>
      <c r="Z10139" s="7"/>
    </row>
    <row r="10140" hidden="1">
      <c r="A10140" s="7"/>
      <c r="B10140" s="7"/>
      <c r="C10140" s="7"/>
      <c r="D10140" s="7"/>
      <c r="E10140" s="7"/>
      <c r="F10140" s="7"/>
      <c r="G10140" s="7"/>
      <c r="H10140" s="8"/>
      <c r="I10140" s="8"/>
      <c r="J10140" s="7"/>
      <c r="K10140" s="7"/>
      <c r="L10140" s="7"/>
      <c r="M10140" s="7"/>
      <c r="N10140" s="7"/>
      <c r="O10140" s="7"/>
      <c r="P10140" s="7"/>
      <c r="Q10140" s="7"/>
      <c r="R10140" s="7"/>
      <c r="S10140" s="7"/>
      <c r="T10140" s="7"/>
      <c r="U10140" s="7"/>
      <c r="V10140" s="7"/>
      <c r="W10140" s="7"/>
      <c r="X10140" s="7"/>
      <c r="Y10140" s="7"/>
      <c r="Z10140" s="7"/>
    </row>
    <row r="10141" hidden="1">
      <c r="A10141" s="7"/>
      <c r="B10141" s="7"/>
      <c r="C10141" s="7"/>
      <c r="D10141" s="7"/>
      <c r="E10141" s="7"/>
      <c r="F10141" s="7"/>
      <c r="G10141" s="7"/>
      <c r="H10141" s="8"/>
      <c r="I10141" s="8"/>
      <c r="J10141" s="7"/>
      <c r="K10141" s="7"/>
      <c r="L10141" s="7"/>
      <c r="M10141" s="7"/>
      <c r="N10141" s="7"/>
      <c r="O10141" s="7"/>
      <c r="P10141" s="7"/>
      <c r="Q10141" s="7"/>
      <c r="R10141" s="7"/>
      <c r="S10141" s="7"/>
      <c r="T10141" s="7"/>
      <c r="U10141" s="7"/>
      <c r="V10141" s="7"/>
      <c r="W10141" s="7"/>
      <c r="X10141" s="7"/>
      <c r="Y10141" s="7"/>
      <c r="Z10141" s="7"/>
    </row>
    <row r="10142" hidden="1">
      <c r="A10142" s="7"/>
      <c r="B10142" s="7"/>
      <c r="C10142" s="7"/>
      <c r="D10142" s="7"/>
      <c r="E10142" s="7"/>
      <c r="F10142" s="7"/>
      <c r="G10142" s="7"/>
      <c r="H10142" s="8"/>
      <c r="I10142" s="8"/>
      <c r="J10142" s="7"/>
      <c r="K10142" s="7"/>
      <c r="L10142" s="7"/>
      <c r="M10142" s="7"/>
      <c r="N10142" s="7"/>
      <c r="O10142" s="7"/>
      <c r="P10142" s="7"/>
      <c r="Q10142" s="7"/>
      <c r="R10142" s="7"/>
      <c r="S10142" s="7"/>
      <c r="T10142" s="7"/>
      <c r="U10142" s="7"/>
      <c r="V10142" s="7"/>
      <c r="W10142" s="7"/>
      <c r="X10142" s="7"/>
      <c r="Y10142" s="7"/>
      <c r="Z10142" s="7"/>
    </row>
    <row r="10143" hidden="1">
      <c r="A10143" s="7"/>
      <c r="B10143" s="7"/>
      <c r="C10143" s="7"/>
      <c r="D10143" s="7"/>
      <c r="E10143" s="7"/>
      <c r="F10143" s="7"/>
      <c r="G10143" s="7"/>
      <c r="H10143" s="8"/>
      <c r="I10143" s="8"/>
      <c r="J10143" s="7"/>
      <c r="K10143" s="7"/>
      <c r="L10143" s="7"/>
      <c r="M10143" s="7"/>
      <c r="N10143" s="7"/>
      <c r="O10143" s="7"/>
      <c r="P10143" s="7"/>
      <c r="Q10143" s="7"/>
      <c r="R10143" s="7"/>
      <c r="S10143" s="7"/>
      <c r="T10143" s="7"/>
      <c r="U10143" s="7"/>
      <c r="V10143" s="7"/>
      <c r="W10143" s="7"/>
      <c r="X10143" s="7"/>
      <c r="Y10143" s="7"/>
      <c r="Z10143" s="7"/>
    </row>
    <row r="10144" hidden="1">
      <c r="A10144" s="7"/>
      <c r="B10144" s="7"/>
      <c r="C10144" s="7"/>
      <c r="D10144" s="7"/>
      <c r="E10144" s="7"/>
      <c r="F10144" s="7"/>
      <c r="G10144" s="7"/>
      <c r="H10144" s="8"/>
      <c r="I10144" s="8"/>
      <c r="J10144" s="7"/>
      <c r="K10144" s="7"/>
      <c r="L10144" s="7"/>
      <c r="M10144" s="7"/>
      <c r="N10144" s="7"/>
      <c r="O10144" s="7"/>
      <c r="P10144" s="7"/>
      <c r="Q10144" s="7"/>
      <c r="R10144" s="7"/>
      <c r="S10144" s="7"/>
      <c r="T10144" s="7"/>
      <c r="U10144" s="7"/>
      <c r="V10144" s="7"/>
      <c r="W10144" s="7"/>
      <c r="X10144" s="7"/>
      <c r="Y10144" s="7"/>
      <c r="Z10144" s="7"/>
    </row>
    <row r="10145" hidden="1">
      <c r="A10145" s="7"/>
      <c r="B10145" s="7"/>
      <c r="C10145" s="7"/>
      <c r="D10145" s="7"/>
      <c r="E10145" s="7"/>
      <c r="F10145" s="7"/>
      <c r="G10145" s="7"/>
      <c r="H10145" s="8"/>
      <c r="I10145" s="8"/>
      <c r="J10145" s="7"/>
      <c r="K10145" s="7"/>
      <c r="L10145" s="7"/>
      <c r="M10145" s="7"/>
      <c r="N10145" s="7"/>
      <c r="O10145" s="7"/>
      <c r="P10145" s="7"/>
      <c r="Q10145" s="7"/>
      <c r="R10145" s="7"/>
      <c r="S10145" s="7"/>
      <c r="T10145" s="7"/>
      <c r="U10145" s="7"/>
      <c r="V10145" s="7"/>
      <c r="W10145" s="7"/>
      <c r="X10145" s="7"/>
      <c r="Y10145" s="7"/>
      <c r="Z10145" s="7"/>
    </row>
    <row r="10146" hidden="1">
      <c r="A10146" s="7"/>
      <c r="B10146" s="7"/>
      <c r="C10146" s="7"/>
      <c r="D10146" s="7"/>
      <c r="E10146" s="7"/>
      <c r="F10146" s="7"/>
      <c r="G10146" s="7"/>
      <c r="H10146" s="8"/>
      <c r="I10146" s="8"/>
      <c r="J10146" s="7"/>
      <c r="K10146" s="7"/>
      <c r="L10146" s="7"/>
      <c r="M10146" s="7"/>
      <c r="N10146" s="7"/>
      <c r="O10146" s="7"/>
      <c r="P10146" s="7"/>
      <c r="Q10146" s="7"/>
      <c r="R10146" s="7"/>
      <c r="S10146" s="7"/>
      <c r="T10146" s="7"/>
      <c r="U10146" s="7"/>
      <c r="V10146" s="7"/>
      <c r="W10146" s="7"/>
      <c r="X10146" s="7"/>
      <c r="Y10146" s="7"/>
      <c r="Z10146" s="7"/>
    </row>
    <row r="10147" hidden="1">
      <c r="A10147" s="7"/>
      <c r="B10147" s="7"/>
      <c r="C10147" s="7"/>
      <c r="D10147" s="7"/>
      <c r="E10147" s="7"/>
      <c r="F10147" s="7"/>
      <c r="G10147" s="7"/>
      <c r="H10147" s="8"/>
      <c r="I10147" s="8"/>
      <c r="J10147" s="7"/>
      <c r="K10147" s="7"/>
      <c r="L10147" s="7"/>
      <c r="M10147" s="7"/>
      <c r="N10147" s="7"/>
      <c r="O10147" s="7"/>
      <c r="P10147" s="7"/>
      <c r="Q10147" s="7"/>
      <c r="R10147" s="7"/>
      <c r="S10147" s="7"/>
      <c r="T10147" s="7"/>
      <c r="U10147" s="7"/>
      <c r="V10147" s="7"/>
      <c r="W10147" s="7"/>
      <c r="X10147" s="7"/>
      <c r="Y10147" s="7"/>
      <c r="Z10147" s="7"/>
    </row>
    <row r="10148" hidden="1">
      <c r="A10148" s="7"/>
      <c r="B10148" s="7"/>
      <c r="C10148" s="7"/>
      <c r="D10148" s="7"/>
      <c r="E10148" s="7"/>
      <c r="F10148" s="7"/>
      <c r="G10148" s="7"/>
      <c r="H10148" s="8"/>
      <c r="I10148" s="8"/>
      <c r="J10148" s="7"/>
      <c r="K10148" s="7"/>
      <c r="L10148" s="7"/>
      <c r="M10148" s="7"/>
      <c r="N10148" s="7"/>
      <c r="O10148" s="7"/>
      <c r="P10148" s="7"/>
      <c r="Q10148" s="7"/>
      <c r="R10148" s="7"/>
      <c r="S10148" s="7"/>
      <c r="T10148" s="7"/>
      <c r="U10148" s="7"/>
      <c r="V10148" s="7"/>
      <c r="W10148" s="7"/>
      <c r="X10148" s="7"/>
      <c r="Y10148" s="7"/>
      <c r="Z10148" s="7"/>
    </row>
    <row r="10149" hidden="1">
      <c r="A10149" s="7"/>
      <c r="B10149" s="7"/>
      <c r="C10149" s="7"/>
      <c r="D10149" s="7"/>
      <c r="E10149" s="7"/>
      <c r="F10149" s="7"/>
      <c r="G10149" s="7"/>
      <c r="H10149" s="8"/>
      <c r="I10149" s="8"/>
      <c r="J10149" s="7"/>
      <c r="K10149" s="7"/>
      <c r="L10149" s="7"/>
      <c r="M10149" s="7"/>
      <c r="N10149" s="7"/>
      <c r="O10149" s="7"/>
      <c r="P10149" s="7"/>
      <c r="Q10149" s="7"/>
      <c r="R10149" s="7"/>
      <c r="S10149" s="7"/>
      <c r="T10149" s="7"/>
      <c r="U10149" s="7"/>
      <c r="V10149" s="7"/>
      <c r="W10149" s="7"/>
      <c r="X10149" s="7"/>
      <c r="Y10149" s="7"/>
      <c r="Z10149" s="7"/>
    </row>
    <row r="10150" hidden="1">
      <c r="A10150" s="7"/>
      <c r="B10150" s="7"/>
      <c r="C10150" s="7"/>
      <c r="D10150" s="7"/>
      <c r="E10150" s="7"/>
      <c r="F10150" s="7"/>
      <c r="G10150" s="7"/>
      <c r="H10150" s="8"/>
      <c r="I10150" s="8"/>
      <c r="J10150" s="7"/>
      <c r="K10150" s="7"/>
      <c r="L10150" s="7"/>
      <c r="M10150" s="7"/>
      <c r="N10150" s="7"/>
      <c r="O10150" s="7"/>
      <c r="P10150" s="7"/>
      <c r="Q10150" s="7"/>
      <c r="R10150" s="7"/>
      <c r="S10150" s="7"/>
      <c r="T10150" s="7"/>
      <c r="U10150" s="7"/>
      <c r="V10150" s="7"/>
      <c r="W10150" s="7"/>
      <c r="X10150" s="7"/>
      <c r="Y10150" s="7"/>
      <c r="Z10150" s="7"/>
    </row>
    <row r="10151" hidden="1">
      <c r="A10151" s="7"/>
      <c r="B10151" s="7"/>
      <c r="C10151" s="7"/>
      <c r="D10151" s="7"/>
      <c r="E10151" s="7"/>
      <c r="F10151" s="7"/>
      <c r="G10151" s="7"/>
      <c r="H10151" s="8"/>
      <c r="I10151" s="8"/>
      <c r="J10151" s="7"/>
      <c r="K10151" s="7"/>
      <c r="L10151" s="7"/>
      <c r="M10151" s="7"/>
      <c r="N10151" s="7"/>
      <c r="O10151" s="7"/>
      <c r="P10151" s="7"/>
      <c r="Q10151" s="7"/>
      <c r="R10151" s="7"/>
      <c r="S10151" s="7"/>
      <c r="T10151" s="7"/>
      <c r="U10151" s="7"/>
      <c r="V10151" s="7"/>
      <c r="W10151" s="7"/>
      <c r="X10151" s="7"/>
      <c r="Y10151" s="7"/>
      <c r="Z10151" s="7"/>
    </row>
    <row r="10152" hidden="1">
      <c r="A10152" s="7"/>
      <c r="B10152" s="7"/>
      <c r="C10152" s="7"/>
      <c r="D10152" s="7"/>
      <c r="E10152" s="7"/>
      <c r="F10152" s="7"/>
      <c r="G10152" s="7"/>
      <c r="H10152" s="8"/>
      <c r="I10152" s="8"/>
      <c r="J10152" s="7"/>
      <c r="K10152" s="7"/>
      <c r="L10152" s="7"/>
      <c r="M10152" s="7"/>
      <c r="N10152" s="7"/>
      <c r="O10152" s="7"/>
      <c r="P10152" s="7"/>
      <c r="Q10152" s="7"/>
      <c r="R10152" s="7"/>
      <c r="S10152" s="7"/>
      <c r="T10152" s="7"/>
      <c r="U10152" s="7"/>
      <c r="V10152" s="7"/>
      <c r="W10152" s="7"/>
      <c r="X10152" s="7"/>
      <c r="Y10152" s="7"/>
      <c r="Z10152" s="7"/>
    </row>
    <row r="10153" hidden="1">
      <c r="A10153" s="7"/>
      <c r="B10153" s="7"/>
      <c r="C10153" s="7"/>
      <c r="D10153" s="7"/>
      <c r="E10153" s="7"/>
      <c r="F10153" s="7"/>
      <c r="G10153" s="7"/>
      <c r="H10153" s="8"/>
      <c r="I10153" s="8"/>
      <c r="J10153" s="7"/>
      <c r="K10153" s="7"/>
      <c r="L10153" s="7"/>
      <c r="M10153" s="7"/>
      <c r="N10153" s="7"/>
      <c r="O10153" s="7"/>
      <c r="P10153" s="7"/>
      <c r="Q10153" s="7"/>
      <c r="R10153" s="7"/>
      <c r="S10153" s="7"/>
      <c r="T10153" s="7"/>
      <c r="U10153" s="7"/>
      <c r="V10153" s="7"/>
      <c r="W10153" s="7"/>
      <c r="X10153" s="7"/>
      <c r="Y10153" s="7"/>
      <c r="Z10153" s="7"/>
    </row>
    <row r="10154" hidden="1">
      <c r="A10154" s="7"/>
      <c r="B10154" s="7"/>
      <c r="C10154" s="7"/>
      <c r="D10154" s="7"/>
      <c r="E10154" s="7"/>
      <c r="F10154" s="7"/>
      <c r="G10154" s="7"/>
      <c r="H10154" s="8"/>
      <c r="I10154" s="8"/>
      <c r="J10154" s="7"/>
      <c r="K10154" s="7"/>
      <c r="L10154" s="7"/>
      <c r="M10154" s="7"/>
      <c r="N10154" s="7"/>
      <c r="O10154" s="7"/>
      <c r="P10154" s="7"/>
      <c r="Q10154" s="7"/>
      <c r="R10154" s="7"/>
      <c r="S10154" s="7"/>
      <c r="T10154" s="7"/>
      <c r="U10154" s="7"/>
      <c r="V10154" s="7"/>
      <c r="W10154" s="7"/>
      <c r="X10154" s="7"/>
      <c r="Y10154" s="7"/>
      <c r="Z10154" s="7"/>
    </row>
    <row r="10155" hidden="1">
      <c r="A10155" s="7"/>
      <c r="B10155" s="7"/>
      <c r="C10155" s="7"/>
      <c r="D10155" s="7"/>
      <c r="E10155" s="7"/>
      <c r="F10155" s="7"/>
      <c r="G10155" s="7"/>
      <c r="H10155" s="8"/>
      <c r="I10155" s="8"/>
      <c r="J10155" s="7"/>
      <c r="K10155" s="7"/>
      <c r="L10155" s="7"/>
      <c r="M10155" s="7"/>
      <c r="N10155" s="7"/>
      <c r="O10155" s="7"/>
      <c r="P10155" s="7"/>
      <c r="Q10155" s="7"/>
      <c r="R10155" s="7"/>
      <c r="S10155" s="7"/>
      <c r="T10155" s="7"/>
      <c r="U10155" s="7"/>
      <c r="V10155" s="7"/>
      <c r="W10155" s="7"/>
      <c r="X10155" s="7"/>
      <c r="Y10155" s="7"/>
      <c r="Z10155" s="7"/>
    </row>
    <row r="10156" hidden="1">
      <c r="A10156" s="7"/>
      <c r="B10156" s="7"/>
      <c r="C10156" s="7"/>
      <c r="D10156" s="7"/>
      <c r="E10156" s="7"/>
      <c r="F10156" s="7"/>
      <c r="G10156" s="7"/>
      <c r="H10156" s="8"/>
      <c r="I10156" s="8"/>
      <c r="J10156" s="7"/>
      <c r="K10156" s="7"/>
      <c r="L10156" s="7"/>
      <c r="M10156" s="7"/>
      <c r="N10156" s="7"/>
      <c r="O10156" s="7"/>
      <c r="P10156" s="7"/>
      <c r="Q10156" s="7"/>
      <c r="R10156" s="7"/>
      <c r="S10156" s="7"/>
      <c r="T10156" s="7"/>
      <c r="U10156" s="7"/>
      <c r="V10156" s="7"/>
      <c r="W10156" s="7"/>
      <c r="X10156" s="7"/>
      <c r="Y10156" s="7"/>
      <c r="Z10156" s="7"/>
    </row>
    <row r="10157" hidden="1">
      <c r="A10157" s="7"/>
      <c r="B10157" s="7"/>
      <c r="C10157" s="7"/>
      <c r="D10157" s="7"/>
      <c r="E10157" s="7"/>
      <c r="F10157" s="7"/>
      <c r="G10157" s="7"/>
      <c r="H10157" s="8"/>
      <c r="I10157" s="8"/>
      <c r="J10157" s="7"/>
      <c r="K10157" s="7"/>
      <c r="L10157" s="7"/>
      <c r="M10157" s="7"/>
      <c r="N10157" s="7"/>
      <c r="O10157" s="7"/>
      <c r="P10157" s="7"/>
      <c r="Q10157" s="7"/>
      <c r="R10157" s="7"/>
      <c r="S10157" s="7"/>
      <c r="T10157" s="7"/>
      <c r="U10157" s="7"/>
      <c r="V10157" s="7"/>
      <c r="W10157" s="7"/>
      <c r="X10157" s="7"/>
      <c r="Y10157" s="7"/>
      <c r="Z10157" s="7"/>
    </row>
    <row r="10158" hidden="1">
      <c r="A10158" s="7"/>
      <c r="B10158" s="7"/>
      <c r="C10158" s="7"/>
      <c r="D10158" s="7"/>
      <c r="E10158" s="7"/>
      <c r="F10158" s="7"/>
      <c r="G10158" s="7"/>
      <c r="H10158" s="8"/>
      <c r="I10158" s="8"/>
      <c r="J10158" s="7"/>
      <c r="K10158" s="7"/>
      <c r="L10158" s="7"/>
      <c r="M10158" s="7"/>
      <c r="N10158" s="7"/>
      <c r="O10158" s="7"/>
      <c r="P10158" s="7"/>
      <c r="Q10158" s="7"/>
      <c r="R10158" s="7"/>
      <c r="S10158" s="7"/>
      <c r="T10158" s="7"/>
      <c r="U10158" s="7"/>
      <c r="V10158" s="7"/>
      <c r="W10158" s="7"/>
      <c r="X10158" s="7"/>
      <c r="Y10158" s="7"/>
      <c r="Z10158" s="7"/>
    </row>
    <row r="10159" hidden="1">
      <c r="A10159" s="7"/>
      <c r="B10159" s="7"/>
      <c r="C10159" s="7"/>
      <c r="D10159" s="7"/>
      <c r="E10159" s="7"/>
      <c r="F10159" s="7"/>
      <c r="G10159" s="7"/>
      <c r="H10159" s="8"/>
      <c r="I10159" s="8"/>
      <c r="J10159" s="7"/>
      <c r="K10159" s="7"/>
      <c r="L10159" s="7"/>
      <c r="M10159" s="7"/>
      <c r="N10159" s="7"/>
      <c r="O10159" s="7"/>
      <c r="P10159" s="7"/>
      <c r="Q10159" s="7"/>
      <c r="R10159" s="7"/>
      <c r="S10159" s="7"/>
      <c r="T10159" s="7"/>
      <c r="U10159" s="7"/>
      <c r="V10159" s="7"/>
      <c r="W10159" s="7"/>
      <c r="X10159" s="7"/>
      <c r="Y10159" s="7"/>
      <c r="Z10159" s="7"/>
    </row>
    <row r="10160" hidden="1">
      <c r="A10160" s="7"/>
      <c r="B10160" s="7"/>
      <c r="C10160" s="7"/>
      <c r="D10160" s="7"/>
      <c r="E10160" s="7"/>
      <c r="F10160" s="7"/>
      <c r="G10160" s="7"/>
      <c r="H10160" s="8"/>
      <c r="I10160" s="8"/>
      <c r="J10160" s="7"/>
      <c r="K10160" s="7"/>
      <c r="L10160" s="7"/>
      <c r="M10160" s="7"/>
      <c r="N10160" s="7"/>
      <c r="O10160" s="7"/>
      <c r="P10160" s="7"/>
      <c r="Q10160" s="7"/>
      <c r="R10160" s="7"/>
      <c r="S10160" s="7"/>
      <c r="T10160" s="7"/>
      <c r="U10160" s="7"/>
      <c r="V10160" s="7"/>
      <c r="W10160" s="7"/>
      <c r="X10160" s="7"/>
      <c r="Y10160" s="7"/>
      <c r="Z10160" s="7"/>
    </row>
    <row r="10161" hidden="1">
      <c r="A10161" s="7"/>
      <c r="B10161" s="7"/>
      <c r="C10161" s="7"/>
      <c r="D10161" s="7"/>
      <c r="E10161" s="7"/>
      <c r="F10161" s="7"/>
      <c r="G10161" s="7"/>
      <c r="H10161" s="8"/>
      <c r="I10161" s="8"/>
      <c r="J10161" s="7"/>
      <c r="K10161" s="7"/>
      <c r="L10161" s="7"/>
      <c r="M10161" s="7"/>
      <c r="N10161" s="7"/>
      <c r="O10161" s="7"/>
      <c r="P10161" s="7"/>
      <c r="Q10161" s="7"/>
      <c r="R10161" s="7"/>
      <c r="S10161" s="7"/>
      <c r="T10161" s="7"/>
      <c r="U10161" s="7"/>
      <c r="V10161" s="7"/>
      <c r="W10161" s="7"/>
      <c r="X10161" s="7"/>
      <c r="Y10161" s="7"/>
      <c r="Z10161" s="7"/>
    </row>
    <row r="10162" hidden="1">
      <c r="A10162" s="7"/>
      <c r="B10162" s="7"/>
      <c r="C10162" s="7"/>
      <c r="D10162" s="7"/>
      <c r="E10162" s="7"/>
      <c r="F10162" s="7"/>
      <c r="G10162" s="7"/>
      <c r="H10162" s="8"/>
      <c r="I10162" s="8"/>
      <c r="J10162" s="7"/>
      <c r="K10162" s="7"/>
      <c r="L10162" s="7"/>
      <c r="M10162" s="7"/>
      <c r="N10162" s="7"/>
      <c r="O10162" s="7"/>
      <c r="P10162" s="7"/>
      <c r="Q10162" s="7"/>
      <c r="R10162" s="7"/>
      <c r="S10162" s="7"/>
      <c r="T10162" s="7"/>
      <c r="U10162" s="7"/>
      <c r="V10162" s="7"/>
      <c r="W10162" s="7"/>
      <c r="X10162" s="7"/>
      <c r="Y10162" s="7"/>
      <c r="Z10162" s="7"/>
    </row>
    <row r="10163" hidden="1">
      <c r="A10163" s="7"/>
      <c r="B10163" s="7"/>
      <c r="C10163" s="7"/>
      <c r="D10163" s="7"/>
      <c r="E10163" s="7"/>
      <c r="F10163" s="7"/>
      <c r="G10163" s="7"/>
      <c r="H10163" s="8"/>
      <c r="I10163" s="8"/>
      <c r="J10163" s="7"/>
      <c r="K10163" s="7"/>
      <c r="L10163" s="7"/>
      <c r="M10163" s="7"/>
      <c r="N10163" s="7"/>
      <c r="O10163" s="7"/>
      <c r="P10163" s="7"/>
      <c r="Q10163" s="7"/>
      <c r="R10163" s="7"/>
      <c r="S10163" s="7"/>
      <c r="T10163" s="7"/>
      <c r="U10163" s="7"/>
      <c r="V10163" s="7"/>
      <c r="W10163" s="7"/>
      <c r="X10163" s="7"/>
      <c r="Y10163" s="7"/>
      <c r="Z10163" s="7"/>
    </row>
    <row r="10164" hidden="1">
      <c r="A10164" s="7"/>
      <c r="B10164" s="7"/>
      <c r="C10164" s="7"/>
      <c r="D10164" s="7"/>
      <c r="E10164" s="7"/>
      <c r="F10164" s="7"/>
      <c r="G10164" s="7"/>
      <c r="H10164" s="8"/>
      <c r="I10164" s="8"/>
      <c r="J10164" s="7"/>
      <c r="K10164" s="7"/>
      <c r="L10164" s="7"/>
      <c r="M10164" s="7"/>
      <c r="N10164" s="7"/>
      <c r="O10164" s="7"/>
      <c r="P10164" s="7"/>
      <c r="Q10164" s="7"/>
      <c r="R10164" s="7"/>
      <c r="S10164" s="7"/>
      <c r="T10164" s="7"/>
      <c r="U10164" s="7"/>
      <c r="V10164" s="7"/>
      <c r="W10164" s="7"/>
      <c r="X10164" s="7"/>
      <c r="Y10164" s="7"/>
      <c r="Z10164" s="7"/>
    </row>
    <row r="10165" hidden="1">
      <c r="A10165" s="7"/>
      <c r="B10165" s="7"/>
      <c r="C10165" s="7"/>
      <c r="D10165" s="7"/>
      <c r="E10165" s="7"/>
      <c r="F10165" s="7"/>
      <c r="G10165" s="7"/>
      <c r="H10165" s="8"/>
      <c r="I10165" s="8"/>
      <c r="J10165" s="7"/>
      <c r="K10165" s="7"/>
      <c r="L10165" s="7"/>
      <c r="M10165" s="7"/>
      <c r="N10165" s="7"/>
      <c r="O10165" s="7"/>
      <c r="P10165" s="7"/>
      <c r="Q10165" s="7"/>
      <c r="R10165" s="7"/>
      <c r="S10165" s="7"/>
      <c r="T10165" s="7"/>
      <c r="U10165" s="7"/>
      <c r="V10165" s="7"/>
      <c r="W10165" s="7"/>
      <c r="X10165" s="7"/>
      <c r="Y10165" s="7"/>
      <c r="Z10165" s="7"/>
    </row>
    <row r="10166" hidden="1">
      <c r="A10166" s="7"/>
      <c r="B10166" s="7"/>
      <c r="C10166" s="7"/>
      <c r="D10166" s="7"/>
      <c r="E10166" s="7"/>
      <c r="F10166" s="7"/>
      <c r="G10166" s="7"/>
      <c r="H10166" s="8"/>
      <c r="I10166" s="8"/>
      <c r="J10166" s="7"/>
      <c r="K10166" s="7"/>
      <c r="L10166" s="7"/>
      <c r="M10166" s="7"/>
      <c r="N10166" s="7"/>
      <c r="O10166" s="7"/>
      <c r="P10166" s="7"/>
      <c r="Q10166" s="7"/>
      <c r="R10166" s="7"/>
      <c r="S10166" s="7"/>
      <c r="T10166" s="7"/>
      <c r="U10166" s="7"/>
      <c r="V10166" s="7"/>
      <c r="W10166" s="7"/>
      <c r="X10166" s="7"/>
      <c r="Y10166" s="7"/>
      <c r="Z10166" s="7"/>
    </row>
    <row r="10167" hidden="1">
      <c r="A10167" s="7"/>
      <c r="B10167" s="7"/>
      <c r="C10167" s="7"/>
      <c r="D10167" s="7"/>
      <c r="E10167" s="7"/>
      <c r="F10167" s="7"/>
      <c r="G10167" s="7"/>
      <c r="H10167" s="8"/>
      <c r="I10167" s="8"/>
      <c r="J10167" s="7"/>
      <c r="K10167" s="7"/>
      <c r="L10167" s="7"/>
      <c r="M10167" s="7"/>
      <c r="N10167" s="7"/>
      <c r="O10167" s="7"/>
      <c r="P10167" s="7"/>
      <c r="Q10167" s="7"/>
      <c r="R10167" s="7"/>
      <c r="S10167" s="7"/>
      <c r="T10167" s="7"/>
      <c r="U10167" s="7"/>
      <c r="V10167" s="7"/>
      <c r="W10167" s="7"/>
      <c r="X10167" s="7"/>
      <c r="Y10167" s="7"/>
      <c r="Z10167" s="7"/>
    </row>
    <row r="10168" hidden="1">
      <c r="A10168" s="7"/>
      <c r="B10168" s="7"/>
      <c r="C10168" s="7"/>
      <c r="D10168" s="7"/>
      <c r="E10168" s="7"/>
      <c r="F10168" s="7"/>
      <c r="G10168" s="7"/>
      <c r="H10168" s="8"/>
      <c r="I10168" s="8"/>
      <c r="J10168" s="7"/>
      <c r="K10168" s="7"/>
      <c r="L10168" s="7"/>
      <c r="M10168" s="7"/>
      <c r="N10168" s="7"/>
      <c r="O10168" s="7"/>
      <c r="P10168" s="7"/>
      <c r="Q10168" s="7"/>
      <c r="R10168" s="7"/>
      <c r="S10168" s="7"/>
      <c r="T10168" s="7"/>
      <c r="U10168" s="7"/>
      <c r="V10168" s="7"/>
      <c r="W10168" s="7"/>
      <c r="X10168" s="7"/>
      <c r="Y10168" s="7"/>
      <c r="Z10168" s="7"/>
    </row>
    <row r="10169" hidden="1">
      <c r="A10169" s="7"/>
      <c r="B10169" s="7"/>
      <c r="C10169" s="7"/>
      <c r="D10169" s="7"/>
      <c r="E10169" s="7"/>
      <c r="F10169" s="7"/>
      <c r="G10169" s="7"/>
      <c r="H10169" s="8"/>
      <c r="I10169" s="8"/>
      <c r="J10169" s="7"/>
      <c r="K10169" s="7"/>
      <c r="L10169" s="7"/>
      <c r="M10169" s="7"/>
      <c r="N10169" s="7"/>
      <c r="O10169" s="7"/>
      <c r="P10169" s="7"/>
      <c r="Q10169" s="7"/>
      <c r="R10169" s="7"/>
      <c r="S10169" s="7"/>
      <c r="T10169" s="7"/>
      <c r="U10169" s="7"/>
      <c r="V10169" s="7"/>
      <c r="W10169" s="7"/>
      <c r="X10169" s="7"/>
      <c r="Y10169" s="7"/>
      <c r="Z10169" s="7"/>
    </row>
    <row r="10170" hidden="1">
      <c r="A10170" s="7"/>
      <c r="B10170" s="7"/>
      <c r="C10170" s="7"/>
      <c r="D10170" s="7"/>
      <c r="E10170" s="7"/>
      <c r="F10170" s="7"/>
      <c r="G10170" s="7"/>
      <c r="H10170" s="8"/>
      <c r="I10170" s="8"/>
      <c r="J10170" s="7"/>
      <c r="K10170" s="7"/>
      <c r="L10170" s="7"/>
      <c r="M10170" s="7"/>
      <c r="N10170" s="7"/>
      <c r="O10170" s="7"/>
      <c r="P10170" s="7"/>
      <c r="Q10170" s="7"/>
      <c r="R10170" s="7"/>
      <c r="S10170" s="7"/>
      <c r="T10170" s="7"/>
      <c r="U10170" s="7"/>
      <c r="V10170" s="7"/>
      <c r="W10170" s="7"/>
      <c r="X10170" s="7"/>
      <c r="Y10170" s="7"/>
      <c r="Z10170" s="7"/>
    </row>
    <row r="10171" hidden="1">
      <c r="A10171" s="7"/>
      <c r="B10171" s="7"/>
      <c r="C10171" s="7"/>
      <c r="D10171" s="7"/>
      <c r="E10171" s="7"/>
      <c r="F10171" s="7"/>
      <c r="G10171" s="7"/>
      <c r="H10171" s="8"/>
      <c r="I10171" s="8"/>
      <c r="J10171" s="7"/>
      <c r="K10171" s="7"/>
      <c r="L10171" s="7"/>
      <c r="M10171" s="7"/>
      <c r="N10171" s="7"/>
      <c r="O10171" s="7"/>
      <c r="P10171" s="7"/>
      <c r="Q10171" s="7"/>
      <c r="R10171" s="7"/>
      <c r="S10171" s="7"/>
      <c r="T10171" s="7"/>
      <c r="U10171" s="7"/>
      <c r="V10171" s="7"/>
      <c r="W10171" s="7"/>
      <c r="X10171" s="7"/>
      <c r="Y10171" s="7"/>
      <c r="Z10171" s="7"/>
    </row>
    <row r="10172" hidden="1">
      <c r="A10172" s="7"/>
      <c r="B10172" s="7"/>
      <c r="C10172" s="7"/>
      <c r="D10172" s="7"/>
      <c r="E10172" s="7"/>
      <c r="F10172" s="7"/>
      <c r="G10172" s="7"/>
      <c r="H10172" s="8"/>
      <c r="I10172" s="8"/>
      <c r="J10172" s="7"/>
      <c r="K10172" s="7"/>
      <c r="L10172" s="7"/>
      <c r="M10172" s="7"/>
      <c r="N10172" s="7"/>
      <c r="O10172" s="7"/>
      <c r="P10172" s="7"/>
      <c r="Q10172" s="7"/>
      <c r="R10172" s="7"/>
      <c r="S10172" s="7"/>
      <c r="T10172" s="7"/>
      <c r="U10172" s="7"/>
      <c r="V10172" s="7"/>
      <c r="W10172" s="7"/>
      <c r="X10172" s="7"/>
      <c r="Y10172" s="7"/>
      <c r="Z10172" s="7"/>
    </row>
    <row r="10173" hidden="1">
      <c r="A10173" s="7"/>
      <c r="B10173" s="7"/>
      <c r="C10173" s="7"/>
      <c r="D10173" s="7"/>
      <c r="E10173" s="7"/>
      <c r="F10173" s="7"/>
      <c r="G10173" s="7"/>
      <c r="H10173" s="8"/>
      <c r="I10173" s="8"/>
      <c r="J10173" s="7"/>
      <c r="K10173" s="7"/>
      <c r="L10173" s="7"/>
      <c r="M10173" s="7"/>
      <c r="N10173" s="7"/>
      <c r="O10173" s="7"/>
      <c r="P10173" s="7"/>
      <c r="Q10173" s="7"/>
      <c r="R10173" s="7"/>
      <c r="S10173" s="7"/>
      <c r="T10173" s="7"/>
      <c r="U10173" s="7"/>
      <c r="V10173" s="7"/>
      <c r="W10173" s="7"/>
      <c r="X10173" s="7"/>
      <c r="Y10173" s="7"/>
      <c r="Z10173" s="7"/>
    </row>
    <row r="10174" hidden="1">
      <c r="A10174" s="7"/>
      <c r="B10174" s="7"/>
      <c r="C10174" s="7"/>
      <c r="D10174" s="7"/>
      <c r="E10174" s="7"/>
      <c r="F10174" s="7"/>
      <c r="G10174" s="7"/>
      <c r="H10174" s="8"/>
      <c r="I10174" s="8"/>
      <c r="J10174" s="7"/>
      <c r="K10174" s="7"/>
      <c r="L10174" s="7"/>
      <c r="M10174" s="7"/>
      <c r="N10174" s="7"/>
      <c r="O10174" s="7"/>
      <c r="P10174" s="7"/>
      <c r="Q10174" s="7"/>
      <c r="R10174" s="7"/>
      <c r="S10174" s="7"/>
      <c r="T10174" s="7"/>
      <c r="U10174" s="7"/>
      <c r="V10174" s="7"/>
      <c r="W10174" s="7"/>
      <c r="X10174" s="7"/>
      <c r="Y10174" s="7"/>
      <c r="Z10174" s="7"/>
    </row>
    <row r="10175" hidden="1">
      <c r="A10175" s="7"/>
      <c r="B10175" s="7"/>
      <c r="C10175" s="7"/>
      <c r="D10175" s="7"/>
      <c r="E10175" s="7"/>
      <c r="F10175" s="7"/>
      <c r="G10175" s="7"/>
      <c r="H10175" s="8"/>
      <c r="I10175" s="8"/>
      <c r="J10175" s="7"/>
      <c r="K10175" s="7"/>
      <c r="L10175" s="7"/>
      <c r="M10175" s="7"/>
      <c r="N10175" s="7"/>
      <c r="O10175" s="7"/>
      <c r="P10175" s="7"/>
      <c r="Q10175" s="7"/>
      <c r="R10175" s="7"/>
      <c r="S10175" s="7"/>
      <c r="T10175" s="7"/>
      <c r="U10175" s="7"/>
      <c r="V10175" s="7"/>
      <c r="W10175" s="7"/>
      <c r="X10175" s="7"/>
      <c r="Y10175" s="7"/>
      <c r="Z10175" s="7"/>
    </row>
    <row r="10176" hidden="1">
      <c r="A10176" s="7"/>
      <c r="B10176" s="7"/>
      <c r="C10176" s="7"/>
      <c r="D10176" s="7"/>
      <c r="E10176" s="7"/>
      <c r="F10176" s="7"/>
      <c r="G10176" s="7"/>
      <c r="H10176" s="8"/>
      <c r="I10176" s="8"/>
      <c r="J10176" s="7"/>
      <c r="K10176" s="7"/>
      <c r="L10176" s="7"/>
      <c r="M10176" s="7"/>
      <c r="N10176" s="7"/>
      <c r="O10176" s="7"/>
      <c r="P10176" s="7"/>
      <c r="Q10176" s="7"/>
      <c r="R10176" s="7"/>
      <c r="S10176" s="7"/>
      <c r="T10176" s="7"/>
      <c r="U10176" s="7"/>
      <c r="V10176" s="7"/>
      <c r="W10176" s="7"/>
      <c r="X10176" s="7"/>
      <c r="Y10176" s="7"/>
      <c r="Z10176" s="7"/>
    </row>
    <row r="10177" hidden="1">
      <c r="A10177" s="7"/>
      <c r="B10177" s="7"/>
      <c r="C10177" s="7"/>
      <c r="D10177" s="7"/>
      <c r="E10177" s="7"/>
      <c r="F10177" s="7"/>
      <c r="G10177" s="7"/>
      <c r="H10177" s="8"/>
      <c r="I10177" s="8"/>
      <c r="J10177" s="7"/>
      <c r="K10177" s="7"/>
      <c r="L10177" s="7"/>
      <c r="M10177" s="7"/>
      <c r="N10177" s="7"/>
      <c r="O10177" s="7"/>
      <c r="P10177" s="7"/>
      <c r="Q10177" s="7"/>
      <c r="R10177" s="7"/>
      <c r="S10177" s="7"/>
      <c r="T10177" s="7"/>
      <c r="U10177" s="7"/>
      <c r="V10177" s="7"/>
      <c r="W10177" s="7"/>
      <c r="X10177" s="7"/>
      <c r="Y10177" s="7"/>
      <c r="Z10177" s="7"/>
    </row>
    <row r="10178" hidden="1">
      <c r="A10178" s="7"/>
      <c r="B10178" s="7"/>
      <c r="C10178" s="7"/>
      <c r="D10178" s="7"/>
      <c r="E10178" s="7"/>
      <c r="F10178" s="7"/>
      <c r="G10178" s="7"/>
      <c r="H10178" s="8"/>
      <c r="I10178" s="8"/>
      <c r="J10178" s="7"/>
      <c r="K10178" s="7"/>
      <c r="L10178" s="7"/>
      <c r="M10178" s="7"/>
      <c r="N10178" s="7"/>
      <c r="O10178" s="7"/>
      <c r="P10178" s="7"/>
      <c r="Q10178" s="7"/>
      <c r="R10178" s="7"/>
      <c r="S10178" s="7"/>
      <c r="T10178" s="7"/>
      <c r="U10178" s="7"/>
      <c r="V10178" s="7"/>
      <c r="W10178" s="7"/>
      <c r="X10178" s="7"/>
      <c r="Y10178" s="7"/>
      <c r="Z10178" s="7"/>
    </row>
    <row r="10179" hidden="1">
      <c r="A10179" s="7"/>
      <c r="B10179" s="7"/>
      <c r="C10179" s="7"/>
      <c r="D10179" s="7"/>
      <c r="E10179" s="7"/>
      <c r="F10179" s="7"/>
      <c r="G10179" s="7"/>
      <c r="H10179" s="8"/>
      <c r="I10179" s="8"/>
      <c r="J10179" s="7"/>
      <c r="K10179" s="7"/>
      <c r="L10179" s="7"/>
      <c r="M10179" s="7"/>
      <c r="N10179" s="7"/>
      <c r="O10179" s="7"/>
      <c r="P10179" s="7"/>
      <c r="Q10179" s="7"/>
      <c r="R10179" s="7"/>
      <c r="S10179" s="7"/>
      <c r="T10179" s="7"/>
      <c r="U10179" s="7"/>
      <c r="V10179" s="7"/>
      <c r="W10179" s="7"/>
      <c r="X10179" s="7"/>
      <c r="Y10179" s="7"/>
      <c r="Z10179" s="7"/>
    </row>
    <row r="10180" hidden="1">
      <c r="A10180" s="7"/>
      <c r="B10180" s="7"/>
      <c r="C10180" s="7"/>
      <c r="D10180" s="7"/>
      <c r="E10180" s="7"/>
      <c r="F10180" s="7"/>
      <c r="G10180" s="7"/>
      <c r="H10180" s="8"/>
      <c r="I10180" s="8"/>
      <c r="J10180" s="7"/>
      <c r="K10180" s="7"/>
      <c r="L10180" s="7"/>
      <c r="M10180" s="7"/>
      <c r="N10180" s="7"/>
      <c r="O10180" s="7"/>
      <c r="P10180" s="7"/>
      <c r="Q10180" s="7"/>
      <c r="R10180" s="7"/>
      <c r="S10180" s="7"/>
      <c r="T10180" s="7"/>
      <c r="U10180" s="7"/>
      <c r="V10180" s="7"/>
      <c r="W10180" s="7"/>
      <c r="X10180" s="7"/>
      <c r="Y10180" s="7"/>
      <c r="Z10180" s="7"/>
    </row>
    <row r="10181" hidden="1">
      <c r="A10181" s="7"/>
      <c r="B10181" s="7"/>
      <c r="C10181" s="7"/>
      <c r="D10181" s="7"/>
      <c r="E10181" s="7"/>
      <c r="F10181" s="7"/>
      <c r="G10181" s="7"/>
      <c r="H10181" s="8"/>
      <c r="I10181" s="8"/>
      <c r="J10181" s="7"/>
      <c r="K10181" s="7"/>
      <c r="L10181" s="7"/>
      <c r="M10181" s="7"/>
      <c r="N10181" s="7"/>
      <c r="O10181" s="7"/>
      <c r="P10181" s="7"/>
      <c r="Q10181" s="7"/>
      <c r="R10181" s="7"/>
      <c r="S10181" s="7"/>
      <c r="T10181" s="7"/>
      <c r="U10181" s="7"/>
      <c r="V10181" s="7"/>
      <c r="W10181" s="7"/>
      <c r="X10181" s="7"/>
      <c r="Y10181" s="7"/>
      <c r="Z10181" s="7"/>
    </row>
    <row r="10182" hidden="1">
      <c r="A10182" s="7"/>
      <c r="B10182" s="7"/>
      <c r="C10182" s="7"/>
      <c r="D10182" s="7"/>
      <c r="E10182" s="7"/>
      <c r="F10182" s="7"/>
      <c r="G10182" s="7"/>
      <c r="H10182" s="8"/>
      <c r="I10182" s="8"/>
      <c r="J10182" s="7"/>
      <c r="K10182" s="7"/>
      <c r="L10182" s="7"/>
      <c r="M10182" s="7"/>
      <c r="N10182" s="7"/>
      <c r="O10182" s="7"/>
      <c r="P10182" s="7"/>
      <c r="Q10182" s="7"/>
      <c r="R10182" s="7"/>
      <c r="S10182" s="7"/>
      <c r="T10182" s="7"/>
      <c r="U10182" s="7"/>
      <c r="V10182" s="7"/>
      <c r="W10182" s="7"/>
      <c r="X10182" s="7"/>
      <c r="Y10182" s="7"/>
      <c r="Z10182" s="7"/>
    </row>
    <row r="10183" hidden="1">
      <c r="A10183" s="7"/>
      <c r="B10183" s="7"/>
      <c r="C10183" s="7"/>
      <c r="D10183" s="7"/>
      <c r="E10183" s="7"/>
      <c r="F10183" s="7"/>
      <c r="G10183" s="7"/>
      <c r="H10183" s="8"/>
      <c r="I10183" s="8"/>
      <c r="J10183" s="7"/>
      <c r="K10183" s="7"/>
      <c r="L10183" s="7"/>
      <c r="M10183" s="7"/>
      <c r="N10183" s="7"/>
      <c r="O10183" s="7"/>
      <c r="P10183" s="7"/>
      <c r="Q10183" s="7"/>
      <c r="R10183" s="7"/>
      <c r="S10183" s="7"/>
      <c r="T10183" s="7"/>
      <c r="U10183" s="7"/>
      <c r="V10183" s="7"/>
      <c r="W10183" s="7"/>
      <c r="X10183" s="7"/>
      <c r="Y10183" s="7"/>
      <c r="Z10183" s="7"/>
    </row>
    <row r="10184" hidden="1">
      <c r="A10184" s="7"/>
      <c r="B10184" s="7"/>
      <c r="C10184" s="7"/>
      <c r="D10184" s="7"/>
      <c r="E10184" s="7"/>
      <c r="F10184" s="7"/>
      <c r="G10184" s="7"/>
      <c r="H10184" s="8"/>
      <c r="I10184" s="8"/>
      <c r="J10184" s="7"/>
      <c r="K10184" s="7"/>
      <c r="L10184" s="7"/>
      <c r="M10184" s="7"/>
      <c r="N10184" s="7"/>
      <c r="O10184" s="7"/>
      <c r="P10184" s="7"/>
      <c r="Q10184" s="7"/>
      <c r="R10184" s="7"/>
      <c r="S10184" s="7"/>
      <c r="T10184" s="7"/>
      <c r="U10184" s="7"/>
      <c r="V10184" s="7"/>
      <c r="W10184" s="7"/>
      <c r="X10184" s="7"/>
      <c r="Y10184" s="7"/>
      <c r="Z10184" s="7"/>
    </row>
    <row r="10185" hidden="1">
      <c r="A10185" s="7"/>
      <c r="B10185" s="7"/>
      <c r="C10185" s="7"/>
      <c r="D10185" s="7"/>
      <c r="E10185" s="7"/>
      <c r="F10185" s="7"/>
      <c r="G10185" s="7"/>
      <c r="H10185" s="8"/>
      <c r="I10185" s="8"/>
      <c r="J10185" s="7"/>
      <c r="K10185" s="7"/>
      <c r="L10185" s="7"/>
      <c r="M10185" s="7"/>
      <c r="N10185" s="7"/>
      <c r="O10185" s="7"/>
      <c r="P10185" s="7"/>
      <c r="Q10185" s="7"/>
      <c r="R10185" s="7"/>
      <c r="S10185" s="7"/>
      <c r="T10185" s="7"/>
      <c r="U10185" s="7"/>
      <c r="V10185" s="7"/>
      <c r="W10185" s="7"/>
      <c r="X10185" s="7"/>
      <c r="Y10185" s="7"/>
      <c r="Z10185" s="7"/>
    </row>
    <row r="10186" hidden="1">
      <c r="A10186" s="7"/>
      <c r="B10186" s="7"/>
      <c r="C10186" s="7"/>
      <c r="D10186" s="7"/>
      <c r="E10186" s="7"/>
      <c r="F10186" s="7"/>
      <c r="G10186" s="7"/>
      <c r="H10186" s="8"/>
      <c r="I10186" s="8"/>
      <c r="J10186" s="7"/>
      <c r="K10186" s="7"/>
      <c r="L10186" s="7"/>
      <c r="M10186" s="7"/>
      <c r="N10186" s="7"/>
      <c r="O10186" s="7"/>
      <c r="P10186" s="7"/>
      <c r="Q10186" s="7"/>
      <c r="R10186" s="7"/>
      <c r="S10186" s="7"/>
      <c r="T10186" s="7"/>
      <c r="U10186" s="7"/>
      <c r="V10186" s="7"/>
      <c r="W10186" s="7"/>
      <c r="X10186" s="7"/>
      <c r="Y10186" s="7"/>
      <c r="Z10186" s="7"/>
    </row>
    <row r="10187" hidden="1">
      <c r="A10187" s="7"/>
      <c r="B10187" s="7"/>
      <c r="C10187" s="7"/>
      <c r="D10187" s="7"/>
      <c r="E10187" s="7"/>
      <c r="F10187" s="7"/>
      <c r="G10187" s="7"/>
      <c r="H10187" s="8"/>
      <c r="I10187" s="8"/>
      <c r="J10187" s="7"/>
      <c r="K10187" s="7"/>
      <c r="L10187" s="7"/>
      <c r="M10187" s="7"/>
      <c r="N10187" s="7"/>
      <c r="O10187" s="7"/>
      <c r="P10187" s="7"/>
      <c r="Q10187" s="7"/>
      <c r="R10187" s="7"/>
      <c r="S10187" s="7"/>
      <c r="T10187" s="7"/>
      <c r="U10187" s="7"/>
      <c r="V10187" s="7"/>
      <c r="W10187" s="7"/>
      <c r="X10187" s="7"/>
      <c r="Y10187" s="7"/>
      <c r="Z10187" s="7"/>
    </row>
    <row r="10188" hidden="1">
      <c r="A10188" s="7"/>
      <c r="B10188" s="7"/>
      <c r="C10188" s="7"/>
      <c r="D10188" s="7"/>
      <c r="E10188" s="7"/>
      <c r="F10188" s="7"/>
      <c r="G10188" s="7"/>
      <c r="H10188" s="8"/>
      <c r="I10188" s="8"/>
      <c r="J10188" s="7"/>
      <c r="K10188" s="7"/>
      <c r="L10188" s="7"/>
      <c r="M10188" s="7"/>
      <c r="N10188" s="7"/>
      <c r="O10188" s="7"/>
      <c r="P10188" s="7"/>
      <c r="Q10188" s="7"/>
      <c r="R10188" s="7"/>
      <c r="S10188" s="7"/>
      <c r="T10188" s="7"/>
      <c r="U10188" s="7"/>
      <c r="V10188" s="7"/>
      <c r="W10188" s="7"/>
      <c r="X10188" s="7"/>
      <c r="Y10188" s="7"/>
      <c r="Z10188" s="7"/>
    </row>
    <row r="10189" hidden="1">
      <c r="A10189" s="7"/>
      <c r="B10189" s="7"/>
      <c r="C10189" s="7"/>
      <c r="D10189" s="7"/>
      <c r="E10189" s="7"/>
      <c r="F10189" s="7"/>
      <c r="G10189" s="7"/>
      <c r="H10189" s="8"/>
      <c r="I10189" s="8"/>
      <c r="J10189" s="7"/>
      <c r="K10189" s="7"/>
      <c r="L10189" s="7"/>
      <c r="M10189" s="7"/>
      <c r="N10189" s="7"/>
      <c r="O10189" s="7"/>
      <c r="P10189" s="7"/>
      <c r="Q10189" s="7"/>
      <c r="R10189" s="7"/>
      <c r="S10189" s="7"/>
      <c r="T10189" s="7"/>
      <c r="U10189" s="7"/>
      <c r="V10189" s="7"/>
      <c r="W10189" s="7"/>
      <c r="X10189" s="7"/>
      <c r="Y10189" s="7"/>
      <c r="Z10189" s="7"/>
    </row>
    <row r="10190" hidden="1">
      <c r="A10190" s="7"/>
      <c r="B10190" s="7"/>
      <c r="C10190" s="7"/>
      <c r="D10190" s="7"/>
      <c r="E10190" s="7"/>
      <c r="F10190" s="7"/>
      <c r="G10190" s="7"/>
      <c r="H10190" s="8"/>
      <c r="I10190" s="8"/>
      <c r="J10190" s="7"/>
      <c r="K10190" s="7"/>
      <c r="L10190" s="7"/>
      <c r="M10190" s="7"/>
      <c r="N10190" s="7"/>
      <c r="O10190" s="7"/>
      <c r="P10190" s="7"/>
      <c r="Q10190" s="7"/>
      <c r="R10190" s="7"/>
      <c r="S10190" s="7"/>
      <c r="T10190" s="7"/>
      <c r="U10190" s="7"/>
      <c r="V10190" s="7"/>
      <c r="W10190" s="7"/>
      <c r="X10190" s="7"/>
      <c r="Y10190" s="7"/>
      <c r="Z10190" s="7"/>
    </row>
    <row r="10191" hidden="1">
      <c r="A10191" s="7"/>
      <c r="B10191" s="7"/>
      <c r="C10191" s="7"/>
      <c r="D10191" s="7"/>
      <c r="E10191" s="7"/>
      <c r="F10191" s="7"/>
      <c r="G10191" s="7"/>
      <c r="H10191" s="8"/>
      <c r="I10191" s="8"/>
      <c r="J10191" s="7"/>
      <c r="K10191" s="7"/>
      <c r="L10191" s="7"/>
      <c r="M10191" s="7"/>
      <c r="N10191" s="7"/>
      <c r="O10191" s="7"/>
      <c r="P10191" s="7"/>
      <c r="Q10191" s="7"/>
      <c r="R10191" s="7"/>
      <c r="S10191" s="7"/>
      <c r="T10191" s="7"/>
      <c r="U10191" s="7"/>
      <c r="V10191" s="7"/>
      <c r="W10191" s="7"/>
      <c r="X10191" s="7"/>
      <c r="Y10191" s="7"/>
      <c r="Z10191" s="7"/>
    </row>
    <row r="10192" hidden="1">
      <c r="A10192" s="7"/>
      <c r="B10192" s="7"/>
      <c r="C10192" s="7"/>
      <c r="D10192" s="7"/>
      <c r="E10192" s="7"/>
      <c r="F10192" s="7"/>
      <c r="G10192" s="7"/>
      <c r="H10192" s="8"/>
      <c r="I10192" s="8"/>
      <c r="J10192" s="7"/>
      <c r="K10192" s="7"/>
      <c r="L10192" s="7"/>
      <c r="M10192" s="7"/>
      <c r="N10192" s="7"/>
      <c r="O10192" s="7"/>
      <c r="P10192" s="7"/>
      <c r="Q10192" s="7"/>
      <c r="R10192" s="7"/>
      <c r="S10192" s="7"/>
      <c r="T10192" s="7"/>
      <c r="U10192" s="7"/>
      <c r="V10192" s="7"/>
      <c r="W10192" s="7"/>
      <c r="X10192" s="7"/>
      <c r="Y10192" s="7"/>
      <c r="Z10192" s="7"/>
    </row>
    <row r="10193" hidden="1">
      <c r="A10193" s="7"/>
      <c r="B10193" s="7"/>
      <c r="C10193" s="7"/>
      <c r="D10193" s="7"/>
      <c r="E10193" s="7"/>
      <c r="F10193" s="7"/>
      <c r="G10193" s="7"/>
      <c r="H10193" s="8"/>
      <c r="I10193" s="8"/>
      <c r="J10193" s="7"/>
      <c r="K10193" s="7"/>
      <c r="L10193" s="7"/>
      <c r="M10193" s="7"/>
      <c r="N10193" s="7"/>
      <c r="O10193" s="7"/>
      <c r="P10193" s="7"/>
      <c r="Q10193" s="7"/>
      <c r="R10193" s="7"/>
      <c r="S10193" s="7"/>
      <c r="T10193" s="7"/>
      <c r="U10193" s="7"/>
      <c r="V10193" s="7"/>
      <c r="W10193" s="7"/>
      <c r="X10193" s="7"/>
      <c r="Y10193" s="7"/>
      <c r="Z10193" s="7"/>
    </row>
    <row r="10194" hidden="1">
      <c r="A10194" s="7"/>
      <c r="B10194" s="7"/>
      <c r="C10194" s="7"/>
      <c r="D10194" s="7"/>
      <c r="E10194" s="7"/>
      <c r="F10194" s="7"/>
      <c r="G10194" s="7"/>
      <c r="H10194" s="8"/>
      <c r="I10194" s="8"/>
      <c r="J10194" s="7"/>
      <c r="K10194" s="7"/>
      <c r="L10194" s="7"/>
      <c r="M10194" s="7"/>
      <c r="N10194" s="7"/>
      <c r="O10194" s="7"/>
      <c r="P10194" s="7"/>
      <c r="Q10194" s="7"/>
      <c r="R10194" s="7"/>
      <c r="S10194" s="7"/>
      <c r="T10194" s="7"/>
      <c r="U10194" s="7"/>
      <c r="V10194" s="7"/>
      <c r="W10194" s="7"/>
      <c r="X10194" s="7"/>
      <c r="Y10194" s="7"/>
      <c r="Z10194" s="7"/>
    </row>
    <row r="10195" hidden="1">
      <c r="A10195" s="7"/>
      <c r="B10195" s="7"/>
      <c r="C10195" s="7"/>
      <c r="D10195" s="7"/>
      <c r="E10195" s="7"/>
      <c r="F10195" s="7"/>
      <c r="G10195" s="7"/>
      <c r="H10195" s="8"/>
      <c r="I10195" s="8"/>
      <c r="J10195" s="7"/>
      <c r="K10195" s="7"/>
      <c r="L10195" s="7"/>
      <c r="M10195" s="7"/>
      <c r="N10195" s="7"/>
      <c r="O10195" s="7"/>
      <c r="P10195" s="7"/>
      <c r="Q10195" s="7"/>
      <c r="R10195" s="7"/>
      <c r="S10195" s="7"/>
      <c r="T10195" s="7"/>
      <c r="U10195" s="7"/>
      <c r="V10195" s="7"/>
      <c r="W10195" s="7"/>
      <c r="X10195" s="7"/>
      <c r="Y10195" s="7"/>
      <c r="Z10195" s="7"/>
    </row>
    <row r="10196" hidden="1">
      <c r="A10196" s="7"/>
      <c r="B10196" s="7"/>
      <c r="C10196" s="7"/>
      <c r="D10196" s="7"/>
      <c r="E10196" s="7"/>
      <c r="F10196" s="7"/>
      <c r="G10196" s="7"/>
      <c r="H10196" s="8"/>
      <c r="I10196" s="8"/>
      <c r="J10196" s="7"/>
      <c r="K10196" s="7"/>
      <c r="L10196" s="7"/>
      <c r="M10196" s="7"/>
      <c r="N10196" s="7"/>
      <c r="O10196" s="7"/>
      <c r="P10196" s="7"/>
      <c r="Q10196" s="7"/>
      <c r="R10196" s="7"/>
      <c r="S10196" s="7"/>
      <c r="T10196" s="7"/>
      <c r="U10196" s="7"/>
      <c r="V10196" s="7"/>
      <c r="W10196" s="7"/>
      <c r="X10196" s="7"/>
      <c r="Y10196" s="7"/>
      <c r="Z10196" s="7"/>
    </row>
    <row r="10197" hidden="1">
      <c r="A10197" s="7"/>
      <c r="B10197" s="7"/>
      <c r="C10197" s="7"/>
      <c r="D10197" s="7"/>
      <c r="E10197" s="7"/>
      <c r="F10197" s="7"/>
      <c r="G10197" s="7"/>
      <c r="H10197" s="8"/>
      <c r="I10197" s="8"/>
      <c r="J10197" s="7"/>
      <c r="K10197" s="7"/>
      <c r="L10197" s="7"/>
      <c r="M10197" s="7"/>
      <c r="N10197" s="7"/>
      <c r="O10197" s="7"/>
      <c r="P10197" s="7"/>
      <c r="Q10197" s="7"/>
      <c r="R10197" s="7"/>
      <c r="S10197" s="7"/>
      <c r="T10197" s="7"/>
      <c r="U10197" s="7"/>
      <c r="V10197" s="7"/>
      <c r="W10197" s="7"/>
      <c r="X10197" s="7"/>
      <c r="Y10197" s="7"/>
      <c r="Z10197" s="7"/>
    </row>
    <row r="10198" hidden="1">
      <c r="A10198" s="7"/>
      <c r="B10198" s="7"/>
      <c r="C10198" s="7"/>
      <c r="D10198" s="7"/>
      <c r="E10198" s="7"/>
      <c r="F10198" s="7"/>
      <c r="G10198" s="7"/>
      <c r="H10198" s="8"/>
      <c r="I10198" s="8"/>
      <c r="J10198" s="7"/>
      <c r="K10198" s="7"/>
      <c r="L10198" s="7"/>
      <c r="M10198" s="7"/>
      <c r="N10198" s="7"/>
      <c r="O10198" s="7"/>
      <c r="P10198" s="7"/>
      <c r="Q10198" s="7"/>
      <c r="R10198" s="7"/>
      <c r="S10198" s="7"/>
      <c r="T10198" s="7"/>
      <c r="U10198" s="7"/>
      <c r="V10198" s="7"/>
      <c r="W10198" s="7"/>
      <c r="X10198" s="7"/>
      <c r="Y10198" s="7"/>
      <c r="Z10198" s="7"/>
    </row>
    <row r="10199" hidden="1">
      <c r="A10199" s="7"/>
      <c r="B10199" s="7"/>
      <c r="C10199" s="7"/>
      <c r="D10199" s="7"/>
      <c r="E10199" s="7"/>
      <c r="F10199" s="7"/>
      <c r="G10199" s="7"/>
      <c r="H10199" s="8"/>
      <c r="I10199" s="8"/>
      <c r="J10199" s="7"/>
      <c r="K10199" s="7"/>
      <c r="L10199" s="7"/>
      <c r="M10199" s="7"/>
      <c r="N10199" s="7"/>
      <c r="O10199" s="7"/>
      <c r="P10199" s="7"/>
      <c r="Q10199" s="7"/>
      <c r="R10199" s="7"/>
      <c r="S10199" s="7"/>
      <c r="T10199" s="7"/>
      <c r="U10199" s="7"/>
      <c r="V10199" s="7"/>
      <c r="W10199" s="7"/>
      <c r="X10199" s="7"/>
      <c r="Y10199" s="7"/>
      <c r="Z10199" s="7"/>
    </row>
    <row r="10200" hidden="1">
      <c r="A10200" s="7"/>
      <c r="B10200" s="7"/>
      <c r="C10200" s="7"/>
      <c r="D10200" s="7"/>
      <c r="E10200" s="7"/>
      <c r="F10200" s="7"/>
      <c r="G10200" s="7"/>
      <c r="H10200" s="8"/>
      <c r="I10200" s="8"/>
      <c r="J10200" s="7"/>
      <c r="K10200" s="7"/>
      <c r="L10200" s="7"/>
      <c r="M10200" s="7"/>
      <c r="N10200" s="7"/>
      <c r="O10200" s="7"/>
      <c r="P10200" s="7"/>
      <c r="Q10200" s="7"/>
      <c r="R10200" s="7"/>
      <c r="S10200" s="7"/>
      <c r="T10200" s="7"/>
      <c r="U10200" s="7"/>
      <c r="V10200" s="7"/>
      <c r="W10200" s="7"/>
      <c r="X10200" s="7"/>
      <c r="Y10200" s="7"/>
      <c r="Z10200" s="7"/>
    </row>
    <row r="10201" hidden="1">
      <c r="A10201" s="7"/>
      <c r="B10201" s="7"/>
      <c r="C10201" s="7"/>
      <c r="D10201" s="7"/>
      <c r="E10201" s="7"/>
      <c r="F10201" s="7"/>
      <c r="G10201" s="7"/>
      <c r="H10201" s="8"/>
      <c r="I10201" s="8"/>
      <c r="J10201" s="7"/>
      <c r="K10201" s="7"/>
      <c r="L10201" s="7"/>
      <c r="M10201" s="7"/>
      <c r="N10201" s="7"/>
      <c r="O10201" s="7"/>
      <c r="P10201" s="7"/>
      <c r="Q10201" s="7"/>
      <c r="R10201" s="7"/>
      <c r="S10201" s="7"/>
      <c r="T10201" s="7"/>
      <c r="U10201" s="7"/>
      <c r="V10201" s="7"/>
      <c r="W10201" s="7"/>
      <c r="X10201" s="7"/>
      <c r="Y10201" s="7"/>
      <c r="Z10201" s="7"/>
    </row>
    <row r="10202" hidden="1">
      <c r="A10202" s="7"/>
      <c r="B10202" s="7"/>
      <c r="C10202" s="7"/>
      <c r="D10202" s="7"/>
      <c r="E10202" s="7"/>
      <c r="F10202" s="7"/>
      <c r="G10202" s="7"/>
      <c r="H10202" s="8"/>
      <c r="I10202" s="8"/>
      <c r="J10202" s="7"/>
      <c r="K10202" s="7"/>
      <c r="L10202" s="7"/>
      <c r="M10202" s="7"/>
      <c r="N10202" s="7"/>
      <c r="O10202" s="7"/>
      <c r="P10202" s="7"/>
      <c r="Q10202" s="7"/>
      <c r="R10202" s="7"/>
      <c r="S10202" s="7"/>
      <c r="T10202" s="7"/>
      <c r="U10202" s="7"/>
      <c r="V10202" s="7"/>
      <c r="W10202" s="7"/>
      <c r="X10202" s="7"/>
      <c r="Y10202" s="7"/>
      <c r="Z10202" s="7"/>
    </row>
    <row r="10203" hidden="1">
      <c r="A10203" s="7"/>
      <c r="B10203" s="7"/>
      <c r="C10203" s="7"/>
      <c r="D10203" s="7"/>
      <c r="E10203" s="7"/>
      <c r="F10203" s="7"/>
      <c r="G10203" s="7"/>
      <c r="H10203" s="8"/>
      <c r="I10203" s="8"/>
      <c r="J10203" s="7"/>
      <c r="K10203" s="7"/>
      <c r="L10203" s="7"/>
      <c r="M10203" s="7"/>
      <c r="N10203" s="7"/>
      <c r="O10203" s="7"/>
      <c r="P10203" s="7"/>
      <c r="Q10203" s="7"/>
      <c r="R10203" s="7"/>
      <c r="S10203" s="7"/>
      <c r="T10203" s="7"/>
      <c r="U10203" s="7"/>
      <c r="V10203" s="7"/>
      <c r="W10203" s="7"/>
      <c r="X10203" s="7"/>
      <c r="Y10203" s="7"/>
      <c r="Z10203" s="7"/>
    </row>
    <row r="10204" hidden="1">
      <c r="A10204" s="7"/>
      <c r="B10204" s="7"/>
      <c r="C10204" s="7"/>
      <c r="D10204" s="7"/>
      <c r="E10204" s="7"/>
      <c r="F10204" s="7"/>
      <c r="G10204" s="7"/>
      <c r="H10204" s="8"/>
      <c r="I10204" s="8"/>
      <c r="J10204" s="7"/>
      <c r="K10204" s="7"/>
      <c r="L10204" s="7"/>
      <c r="M10204" s="7"/>
      <c r="N10204" s="7"/>
      <c r="O10204" s="7"/>
      <c r="P10204" s="7"/>
      <c r="Q10204" s="7"/>
      <c r="R10204" s="7"/>
      <c r="S10204" s="7"/>
      <c r="T10204" s="7"/>
      <c r="U10204" s="7"/>
      <c r="V10204" s="7"/>
      <c r="W10204" s="7"/>
      <c r="X10204" s="7"/>
      <c r="Y10204" s="7"/>
      <c r="Z10204" s="7"/>
    </row>
    <row r="10205" hidden="1">
      <c r="A10205" s="7"/>
      <c r="B10205" s="7"/>
      <c r="C10205" s="7"/>
      <c r="D10205" s="7"/>
      <c r="E10205" s="7"/>
      <c r="F10205" s="7"/>
      <c r="G10205" s="7"/>
      <c r="H10205" s="8"/>
      <c r="I10205" s="8"/>
      <c r="J10205" s="7"/>
      <c r="K10205" s="7"/>
      <c r="L10205" s="7"/>
      <c r="M10205" s="7"/>
      <c r="N10205" s="7"/>
      <c r="O10205" s="7"/>
      <c r="P10205" s="7"/>
      <c r="Q10205" s="7"/>
      <c r="R10205" s="7"/>
      <c r="S10205" s="7"/>
      <c r="T10205" s="7"/>
      <c r="U10205" s="7"/>
      <c r="V10205" s="7"/>
      <c r="W10205" s="7"/>
      <c r="X10205" s="7"/>
      <c r="Y10205" s="7"/>
      <c r="Z10205" s="7"/>
    </row>
    <row r="10206" hidden="1">
      <c r="A10206" s="7"/>
      <c r="B10206" s="7"/>
      <c r="C10206" s="7"/>
      <c r="D10206" s="7"/>
      <c r="E10206" s="7"/>
      <c r="F10206" s="7"/>
      <c r="G10206" s="7"/>
      <c r="H10206" s="8"/>
      <c r="I10206" s="8"/>
      <c r="J10206" s="7"/>
      <c r="K10206" s="7"/>
      <c r="L10206" s="7"/>
      <c r="M10206" s="7"/>
      <c r="N10206" s="7"/>
      <c r="O10206" s="7"/>
      <c r="P10206" s="7"/>
      <c r="Q10206" s="7"/>
      <c r="R10206" s="7"/>
      <c r="S10206" s="7"/>
      <c r="T10206" s="7"/>
      <c r="U10206" s="7"/>
      <c r="V10206" s="7"/>
      <c r="W10206" s="7"/>
      <c r="X10206" s="7"/>
      <c r="Y10206" s="7"/>
      <c r="Z10206" s="7"/>
    </row>
    <row r="10207" hidden="1">
      <c r="A10207" s="7"/>
      <c r="B10207" s="7"/>
      <c r="C10207" s="7"/>
      <c r="D10207" s="7"/>
      <c r="E10207" s="7"/>
      <c r="F10207" s="7"/>
      <c r="G10207" s="7"/>
      <c r="H10207" s="8"/>
      <c r="I10207" s="8"/>
      <c r="J10207" s="7"/>
      <c r="K10207" s="7"/>
      <c r="L10207" s="7"/>
      <c r="M10207" s="7"/>
      <c r="N10207" s="7"/>
      <c r="O10207" s="7"/>
      <c r="P10207" s="7"/>
      <c r="Q10207" s="7"/>
      <c r="R10207" s="7"/>
      <c r="S10207" s="7"/>
      <c r="T10207" s="7"/>
      <c r="U10207" s="7"/>
      <c r="V10207" s="7"/>
      <c r="W10207" s="7"/>
      <c r="X10207" s="7"/>
      <c r="Y10207" s="7"/>
      <c r="Z10207" s="7"/>
    </row>
    <row r="10208" hidden="1">
      <c r="A10208" s="7"/>
      <c r="B10208" s="7"/>
      <c r="C10208" s="7"/>
      <c r="D10208" s="7"/>
      <c r="E10208" s="7"/>
      <c r="F10208" s="7"/>
      <c r="G10208" s="7"/>
      <c r="H10208" s="8"/>
      <c r="I10208" s="8"/>
      <c r="J10208" s="7"/>
      <c r="K10208" s="7"/>
      <c r="L10208" s="7"/>
      <c r="M10208" s="7"/>
      <c r="N10208" s="7"/>
      <c r="O10208" s="7"/>
      <c r="P10208" s="7"/>
      <c r="Q10208" s="7"/>
      <c r="R10208" s="7"/>
      <c r="S10208" s="7"/>
      <c r="T10208" s="7"/>
      <c r="U10208" s="7"/>
      <c r="V10208" s="7"/>
      <c r="W10208" s="7"/>
      <c r="X10208" s="7"/>
      <c r="Y10208" s="7"/>
      <c r="Z10208" s="7"/>
    </row>
    <row r="10209" hidden="1">
      <c r="A10209" s="7"/>
      <c r="B10209" s="7"/>
      <c r="C10209" s="7"/>
      <c r="D10209" s="7"/>
      <c r="E10209" s="7"/>
      <c r="F10209" s="7"/>
      <c r="G10209" s="7"/>
      <c r="H10209" s="8"/>
      <c r="I10209" s="8"/>
      <c r="J10209" s="7"/>
      <c r="K10209" s="7"/>
      <c r="L10209" s="7"/>
      <c r="M10209" s="7"/>
      <c r="N10209" s="7"/>
      <c r="O10209" s="7"/>
      <c r="P10209" s="7"/>
      <c r="Q10209" s="7"/>
      <c r="R10209" s="7"/>
      <c r="S10209" s="7"/>
      <c r="T10209" s="7"/>
      <c r="U10209" s="7"/>
      <c r="V10209" s="7"/>
      <c r="W10209" s="7"/>
      <c r="X10209" s="7"/>
      <c r="Y10209" s="7"/>
      <c r="Z10209" s="7"/>
    </row>
    <row r="10210" hidden="1">
      <c r="A10210" s="7"/>
      <c r="B10210" s="7"/>
      <c r="C10210" s="7"/>
      <c r="D10210" s="7"/>
      <c r="E10210" s="7"/>
      <c r="F10210" s="7"/>
      <c r="G10210" s="7"/>
      <c r="H10210" s="8"/>
      <c r="I10210" s="8"/>
      <c r="J10210" s="7"/>
      <c r="K10210" s="7"/>
      <c r="L10210" s="7"/>
      <c r="M10210" s="7"/>
      <c r="N10210" s="7"/>
      <c r="O10210" s="7"/>
      <c r="P10210" s="7"/>
      <c r="Q10210" s="7"/>
      <c r="R10210" s="7"/>
      <c r="S10210" s="7"/>
      <c r="T10210" s="7"/>
      <c r="U10210" s="7"/>
      <c r="V10210" s="7"/>
      <c r="W10210" s="7"/>
      <c r="X10210" s="7"/>
      <c r="Y10210" s="7"/>
      <c r="Z10210" s="7"/>
    </row>
    <row r="10211" hidden="1">
      <c r="A10211" s="7"/>
      <c r="B10211" s="7"/>
      <c r="C10211" s="7"/>
      <c r="D10211" s="7"/>
      <c r="E10211" s="7"/>
      <c r="F10211" s="7"/>
      <c r="G10211" s="7"/>
      <c r="H10211" s="8"/>
      <c r="I10211" s="8"/>
      <c r="J10211" s="7"/>
      <c r="K10211" s="7"/>
      <c r="L10211" s="7"/>
      <c r="M10211" s="7"/>
      <c r="N10211" s="7"/>
      <c r="O10211" s="7"/>
      <c r="P10211" s="7"/>
      <c r="Q10211" s="7"/>
      <c r="R10211" s="7"/>
      <c r="S10211" s="7"/>
      <c r="T10211" s="7"/>
      <c r="U10211" s="7"/>
      <c r="V10211" s="7"/>
      <c r="W10211" s="7"/>
      <c r="X10211" s="7"/>
      <c r="Y10211" s="7"/>
      <c r="Z10211" s="7"/>
    </row>
    <row r="10212" hidden="1">
      <c r="A10212" s="7"/>
      <c r="B10212" s="7"/>
      <c r="C10212" s="7"/>
      <c r="D10212" s="7"/>
      <c r="E10212" s="7"/>
      <c r="F10212" s="7"/>
      <c r="G10212" s="7"/>
      <c r="H10212" s="8"/>
      <c r="I10212" s="8"/>
      <c r="J10212" s="7"/>
      <c r="K10212" s="7"/>
      <c r="L10212" s="7"/>
      <c r="M10212" s="7"/>
      <c r="N10212" s="7"/>
      <c r="O10212" s="7"/>
      <c r="P10212" s="7"/>
      <c r="Q10212" s="7"/>
      <c r="R10212" s="7"/>
      <c r="S10212" s="7"/>
      <c r="T10212" s="7"/>
      <c r="U10212" s="7"/>
      <c r="V10212" s="7"/>
      <c r="W10212" s="7"/>
      <c r="X10212" s="7"/>
      <c r="Y10212" s="7"/>
      <c r="Z10212" s="7"/>
    </row>
    <row r="10213" hidden="1">
      <c r="A10213" s="7"/>
      <c r="B10213" s="7"/>
      <c r="C10213" s="7"/>
      <c r="D10213" s="7"/>
      <c r="E10213" s="7"/>
      <c r="F10213" s="7"/>
      <c r="G10213" s="7"/>
      <c r="H10213" s="8"/>
      <c r="I10213" s="8"/>
      <c r="J10213" s="7"/>
      <c r="K10213" s="7"/>
      <c r="L10213" s="7"/>
      <c r="M10213" s="7"/>
      <c r="N10213" s="7"/>
      <c r="O10213" s="7"/>
      <c r="P10213" s="7"/>
      <c r="Q10213" s="7"/>
      <c r="R10213" s="7"/>
      <c r="S10213" s="7"/>
      <c r="T10213" s="7"/>
      <c r="U10213" s="7"/>
      <c r="V10213" s="7"/>
      <c r="W10213" s="7"/>
      <c r="X10213" s="7"/>
      <c r="Y10213" s="7"/>
      <c r="Z10213" s="7"/>
    </row>
    <row r="10214" hidden="1">
      <c r="A10214" s="7"/>
      <c r="B10214" s="7"/>
      <c r="C10214" s="7"/>
      <c r="D10214" s="7"/>
      <c r="E10214" s="7"/>
      <c r="F10214" s="7"/>
      <c r="G10214" s="7"/>
      <c r="H10214" s="8"/>
      <c r="I10214" s="8"/>
      <c r="J10214" s="7"/>
      <c r="K10214" s="7"/>
      <c r="L10214" s="7"/>
      <c r="M10214" s="7"/>
      <c r="N10214" s="7"/>
      <c r="O10214" s="7"/>
      <c r="P10214" s="7"/>
      <c r="Q10214" s="7"/>
      <c r="R10214" s="7"/>
      <c r="S10214" s="7"/>
      <c r="T10214" s="7"/>
      <c r="U10214" s="7"/>
      <c r="V10214" s="7"/>
      <c r="W10214" s="7"/>
      <c r="X10214" s="7"/>
      <c r="Y10214" s="7"/>
      <c r="Z10214" s="7"/>
    </row>
    <row r="10215" hidden="1">
      <c r="A10215" s="7"/>
      <c r="B10215" s="7"/>
      <c r="C10215" s="7"/>
      <c r="D10215" s="7"/>
      <c r="E10215" s="7"/>
      <c r="F10215" s="7"/>
      <c r="G10215" s="7"/>
      <c r="H10215" s="8"/>
      <c r="I10215" s="8"/>
      <c r="J10215" s="7"/>
      <c r="K10215" s="7"/>
      <c r="L10215" s="7"/>
      <c r="M10215" s="7"/>
      <c r="N10215" s="7"/>
      <c r="O10215" s="7"/>
      <c r="P10215" s="7"/>
      <c r="Q10215" s="7"/>
      <c r="R10215" s="7"/>
      <c r="S10215" s="7"/>
      <c r="T10215" s="7"/>
      <c r="U10215" s="7"/>
      <c r="V10215" s="7"/>
      <c r="W10215" s="7"/>
      <c r="X10215" s="7"/>
      <c r="Y10215" s="7"/>
      <c r="Z10215" s="7"/>
    </row>
    <row r="10216" hidden="1">
      <c r="A10216" s="7"/>
      <c r="B10216" s="7"/>
      <c r="C10216" s="7"/>
      <c r="D10216" s="7"/>
      <c r="E10216" s="7"/>
      <c r="F10216" s="7"/>
      <c r="G10216" s="7"/>
      <c r="H10216" s="8"/>
      <c r="I10216" s="8"/>
      <c r="J10216" s="7"/>
      <c r="K10216" s="7"/>
      <c r="L10216" s="7"/>
      <c r="M10216" s="7"/>
      <c r="N10216" s="7"/>
      <c r="O10216" s="7"/>
      <c r="P10216" s="7"/>
      <c r="Q10216" s="7"/>
      <c r="R10216" s="7"/>
      <c r="S10216" s="7"/>
      <c r="T10216" s="7"/>
      <c r="U10216" s="7"/>
      <c r="V10216" s="7"/>
      <c r="W10216" s="7"/>
      <c r="X10216" s="7"/>
      <c r="Y10216" s="7"/>
      <c r="Z10216" s="7"/>
    </row>
    <row r="10217" hidden="1">
      <c r="A10217" s="7"/>
      <c r="B10217" s="7"/>
      <c r="C10217" s="7"/>
      <c r="D10217" s="7"/>
      <c r="E10217" s="7"/>
      <c r="F10217" s="7"/>
      <c r="G10217" s="7"/>
      <c r="H10217" s="8"/>
      <c r="I10217" s="8"/>
      <c r="J10217" s="7"/>
      <c r="K10217" s="7"/>
      <c r="L10217" s="7"/>
      <c r="M10217" s="7"/>
      <c r="N10217" s="7"/>
      <c r="O10217" s="7"/>
      <c r="P10217" s="7"/>
      <c r="Q10217" s="7"/>
      <c r="R10217" s="7"/>
      <c r="S10217" s="7"/>
      <c r="T10217" s="7"/>
      <c r="U10217" s="7"/>
      <c r="V10217" s="7"/>
      <c r="W10217" s="7"/>
      <c r="X10217" s="7"/>
      <c r="Y10217" s="7"/>
      <c r="Z10217" s="7"/>
    </row>
    <row r="10218" hidden="1">
      <c r="A10218" s="7"/>
      <c r="B10218" s="7"/>
      <c r="C10218" s="7"/>
      <c r="D10218" s="7"/>
      <c r="E10218" s="7"/>
      <c r="F10218" s="7"/>
      <c r="G10218" s="7"/>
      <c r="H10218" s="8"/>
      <c r="I10218" s="8"/>
      <c r="J10218" s="7"/>
      <c r="K10218" s="7"/>
      <c r="L10218" s="7"/>
      <c r="M10218" s="7"/>
      <c r="N10218" s="7"/>
      <c r="O10218" s="7"/>
      <c r="P10218" s="7"/>
      <c r="Q10218" s="7"/>
      <c r="R10218" s="7"/>
      <c r="S10218" s="7"/>
      <c r="T10218" s="7"/>
      <c r="U10218" s="7"/>
      <c r="V10218" s="7"/>
      <c r="W10218" s="7"/>
      <c r="X10218" s="7"/>
      <c r="Y10218" s="7"/>
      <c r="Z10218" s="7"/>
    </row>
    <row r="10219" hidden="1">
      <c r="A10219" s="7"/>
      <c r="B10219" s="7"/>
      <c r="C10219" s="7"/>
      <c r="D10219" s="7"/>
      <c r="E10219" s="7"/>
      <c r="F10219" s="7"/>
      <c r="G10219" s="7"/>
      <c r="H10219" s="8"/>
      <c r="I10219" s="8"/>
      <c r="J10219" s="7"/>
      <c r="K10219" s="7"/>
      <c r="L10219" s="7"/>
      <c r="M10219" s="7"/>
      <c r="N10219" s="7"/>
      <c r="O10219" s="7"/>
      <c r="P10219" s="7"/>
      <c r="Q10219" s="7"/>
      <c r="R10219" s="7"/>
      <c r="S10219" s="7"/>
      <c r="T10219" s="7"/>
      <c r="U10219" s="7"/>
      <c r="V10219" s="7"/>
      <c r="W10219" s="7"/>
      <c r="X10219" s="7"/>
      <c r="Y10219" s="7"/>
      <c r="Z10219" s="7"/>
    </row>
    <row r="10220" hidden="1">
      <c r="A10220" s="7"/>
      <c r="B10220" s="7"/>
      <c r="C10220" s="7"/>
      <c r="D10220" s="7"/>
      <c r="E10220" s="7"/>
      <c r="F10220" s="7"/>
      <c r="G10220" s="7"/>
      <c r="H10220" s="8"/>
      <c r="I10220" s="8"/>
      <c r="J10220" s="7"/>
      <c r="K10220" s="7"/>
      <c r="L10220" s="7"/>
      <c r="M10220" s="7"/>
      <c r="N10220" s="7"/>
      <c r="O10220" s="7"/>
      <c r="P10220" s="7"/>
      <c r="Q10220" s="7"/>
      <c r="R10220" s="7"/>
      <c r="S10220" s="7"/>
      <c r="T10220" s="7"/>
      <c r="U10220" s="7"/>
      <c r="V10220" s="7"/>
      <c r="W10220" s="7"/>
      <c r="X10220" s="7"/>
      <c r="Y10220" s="7"/>
      <c r="Z10220" s="7"/>
    </row>
    <row r="10221" hidden="1">
      <c r="A10221" s="7"/>
      <c r="B10221" s="7"/>
      <c r="C10221" s="7"/>
      <c r="D10221" s="7"/>
      <c r="E10221" s="7"/>
      <c r="F10221" s="7"/>
      <c r="G10221" s="7"/>
      <c r="H10221" s="8"/>
      <c r="I10221" s="8"/>
      <c r="J10221" s="7"/>
      <c r="K10221" s="7"/>
      <c r="L10221" s="7"/>
      <c r="M10221" s="7"/>
      <c r="N10221" s="7"/>
      <c r="O10221" s="7"/>
      <c r="P10221" s="7"/>
      <c r="Q10221" s="7"/>
      <c r="R10221" s="7"/>
      <c r="S10221" s="7"/>
      <c r="T10221" s="7"/>
      <c r="U10221" s="7"/>
      <c r="V10221" s="7"/>
      <c r="W10221" s="7"/>
      <c r="X10221" s="7"/>
      <c r="Y10221" s="7"/>
      <c r="Z10221" s="7"/>
    </row>
    <row r="10222" hidden="1">
      <c r="A10222" s="7"/>
      <c r="B10222" s="7"/>
      <c r="C10222" s="7"/>
      <c r="D10222" s="7"/>
      <c r="E10222" s="7"/>
      <c r="F10222" s="7"/>
      <c r="G10222" s="7"/>
      <c r="H10222" s="8"/>
      <c r="I10222" s="8"/>
      <c r="J10222" s="7"/>
      <c r="K10222" s="7"/>
      <c r="L10222" s="7"/>
      <c r="M10222" s="7"/>
      <c r="N10222" s="7"/>
      <c r="O10222" s="7"/>
      <c r="P10222" s="7"/>
      <c r="Q10222" s="7"/>
      <c r="R10222" s="7"/>
      <c r="S10222" s="7"/>
      <c r="T10222" s="7"/>
      <c r="U10222" s="7"/>
      <c r="V10222" s="7"/>
      <c r="W10222" s="7"/>
      <c r="X10222" s="7"/>
      <c r="Y10222" s="7"/>
      <c r="Z10222" s="7"/>
    </row>
    <row r="10223" hidden="1">
      <c r="A10223" s="7"/>
      <c r="B10223" s="7"/>
      <c r="C10223" s="7"/>
      <c r="D10223" s="7"/>
      <c r="E10223" s="7"/>
      <c r="F10223" s="7"/>
      <c r="G10223" s="7"/>
      <c r="H10223" s="8"/>
      <c r="I10223" s="8"/>
      <c r="J10223" s="7"/>
      <c r="K10223" s="7"/>
      <c r="L10223" s="7"/>
      <c r="M10223" s="7"/>
      <c r="N10223" s="7"/>
      <c r="O10223" s="7"/>
      <c r="P10223" s="7"/>
      <c r="Q10223" s="7"/>
      <c r="R10223" s="7"/>
      <c r="S10223" s="7"/>
      <c r="T10223" s="7"/>
      <c r="U10223" s="7"/>
      <c r="V10223" s="7"/>
      <c r="W10223" s="7"/>
      <c r="X10223" s="7"/>
      <c r="Y10223" s="7"/>
      <c r="Z10223" s="7"/>
    </row>
    <row r="10224" hidden="1">
      <c r="A10224" s="7"/>
      <c r="B10224" s="7"/>
      <c r="C10224" s="7"/>
      <c r="D10224" s="7"/>
      <c r="E10224" s="7"/>
      <c r="F10224" s="7"/>
      <c r="G10224" s="7"/>
      <c r="H10224" s="8"/>
      <c r="I10224" s="8"/>
      <c r="J10224" s="7"/>
      <c r="K10224" s="7"/>
      <c r="L10224" s="7"/>
      <c r="M10224" s="7"/>
      <c r="N10224" s="7"/>
      <c r="O10224" s="7"/>
      <c r="P10224" s="7"/>
      <c r="Q10224" s="7"/>
      <c r="R10224" s="7"/>
      <c r="S10224" s="7"/>
      <c r="T10224" s="7"/>
      <c r="U10224" s="7"/>
      <c r="V10224" s="7"/>
      <c r="W10224" s="7"/>
      <c r="X10224" s="7"/>
      <c r="Y10224" s="7"/>
      <c r="Z10224" s="7"/>
    </row>
    <row r="10225" hidden="1">
      <c r="A10225" s="7"/>
      <c r="B10225" s="7"/>
      <c r="C10225" s="7"/>
      <c r="D10225" s="7"/>
      <c r="E10225" s="7"/>
      <c r="F10225" s="7"/>
      <c r="G10225" s="7"/>
      <c r="H10225" s="8"/>
      <c r="I10225" s="8"/>
      <c r="J10225" s="7"/>
      <c r="K10225" s="7"/>
      <c r="L10225" s="7"/>
      <c r="M10225" s="7"/>
      <c r="N10225" s="7"/>
      <c r="O10225" s="7"/>
      <c r="P10225" s="7"/>
      <c r="Q10225" s="7"/>
      <c r="R10225" s="7"/>
      <c r="S10225" s="7"/>
      <c r="T10225" s="7"/>
      <c r="U10225" s="7"/>
      <c r="V10225" s="7"/>
      <c r="W10225" s="7"/>
      <c r="X10225" s="7"/>
      <c r="Y10225" s="7"/>
      <c r="Z10225" s="7"/>
    </row>
    <row r="10226" hidden="1">
      <c r="A10226" s="7"/>
      <c r="B10226" s="7"/>
      <c r="C10226" s="7"/>
      <c r="D10226" s="7"/>
      <c r="E10226" s="7"/>
      <c r="F10226" s="7"/>
      <c r="G10226" s="7"/>
      <c r="H10226" s="8"/>
      <c r="I10226" s="8"/>
      <c r="J10226" s="7"/>
      <c r="K10226" s="7"/>
      <c r="L10226" s="7"/>
      <c r="M10226" s="7"/>
      <c r="N10226" s="7"/>
      <c r="O10226" s="7"/>
      <c r="P10226" s="7"/>
      <c r="Q10226" s="7"/>
      <c r="R10226" s="7"/>
      <c r="S10226" s="7"/>
      <c r="T10226" s="7"/>
      <c r="U10226" s="7"/>
      <c r="V10226" s="7"/>
      <c r="W10226" s="7"/>
      <c r="X10226" s="7"/>
      <c r="Y10226" s="7"/>
      <c r="Z10226" s="7"/>
    </row>
    <row r="10227" hidden="1">
      <c r="A10227" s="7"/>
      <c r="B10227" s="7"/>
      <c r="C10227" s="7"/>
      <c r="D10227" s="7"/>
      <c r="E10227" s="7"/>
      <c r="F10227" s="7"/>
      <c r="G10227" s="7"/>
      <c r="H10227" s="8"/>
      <c r="I10227" s="8"/>
      <c r="J10227" s="7"/>
      <c r="K10227" s="7"/>
      <c r="L10227" s="7"/>
      <c r="M10227" s="7"/>
      <c r="N10227" s="7"/>
      <c r="O10227" s="7"/>
      <c r="P10227" s="7"/>
      <c r="Q10227" s="7"/>
      <c r="R10227" s="7"/>
      <c r="S10227" s="7"/>
      <c r="T10227" s="7"/>
      <c r="U10227" s="7"/>
      <c r="V10227" s="7"/>
      <c r="W10227" s="7"/>
      <c r="X10227" s="7"/>
      <c r="Y10227" s="7"/>
      <c r="Z10227" s="7"/>
    </row>
    <row r="10228" hidden="1">
      <c r="A10228" s="7"/>
      <c r="B10228" s="7"/>
      <c r="C10228" s="7"/>
      <c r="D10228" s="7"/>
      <c r="E10228" s="7"/>
      <c r="F10228" s="7"/>
      <c r="G10228" s="7"/>
      <c r="H10228" s="8"/>
      <c r="I10228" s="8"/>
      <c r="J10228" s="7"/>
      <c r="K10228" s="7"/>
      <c r="L10228" s="7"/>
      <c r="M10228" s="7"/>
      <c r="N10228" s="7"/>
      <c r="O10228" s="7"/>
      <c r="P10228" s="7"/>
      <c r="Q10228" s="7"/>
      <c r="R10228" s="7"/>
      <c r="S10228" s="7"/>
      <c r="T10228" s="7"/>
      <c r="U10228" s="7"/>
      <c r="V10228" s="7"/>
      <c r="W10228" s="7"/>
      <c r="X10228" s="7"/>
      <c r="Y10228" s="7"/>
      <c r="Z10228" s="7"/>
    </row>
    <row r="10229" hidden="1">
      <c r="A10229" s="7"/>
      <c r="B10229" s="7"/>
      <c r="C10229" s="7"/>
      <c r="D10229" s="7"/>
      <c r="E10229" s="7"/>
      <c r="F10229" s="7"/>
      <c r="G10229" s="7"/>
      <c r="H10229" s="8"/>
      <c r="I10229" s="8"/>
      <c r="J10229" s="7"/>
      <c r="K10229" s="7"/>
      <c r="L10229" s="7"/>
      <c r="M10229" s="7"/>
      <c r="N10229" s="7"/>
      <c r="O10229" s="7"/>
      <c r="P10229" s="7"/>
      <c r="Q10229" s="7"/>
      <c r="R10229" s="7"/>
      <c r="S10229" s="7"/>
      <c r="T10229" s="7"/>
      <c r="U10229" s="7"/>
      <c r="V10229" s="7"/>
      <c r="W10229" s="7"/>
      <c r="X10229" s="7"/>
      <c r="Y10229" s="7"/>
      <c r="Z10229" s="7"/>
    </row>
    <row r="10230" hidden="1">
      <c r="A10230" s="7"/>
      <c r="B10230" s="7"/>
      <c r="C10230" s="7"/>
      <c r="D10230" s="7"/>
      <c r="E10230" s="7"/>
      <c r="F10230" s="7"/>
      <c r="G10230" s="7"/>
      <c r="H10230" s="8"/>
      <c r="I10230" s="8"/>
      <c r="J10230" s="7"/>
      <c r="K10230" s="7"/>
      <c r="L10230" s="7"/>
      <c r="M10230" s="7"/>
      <c r="N10230" s="7"/>
      <c r="O10230" s="7"/>
      <c r="P10230" s="7"/>
      <c r="Q10230" s="7"/>
      <c r="R10230" s="7"/>
      <c r="S10230" s="7"/>
      <c r="T10230" s="7"/>
      <c r="U10230" s="7"/>
      <c r="V10230" s="7"/>
      <c r="W10230" s="7"/>
      <c r="X10230" s="7"/>
      <c r="Y10230" s="7"/>
      <c r="Z10230" s="7"/>
    </row>
    <row r="10231" hidden="1">
      <c r="A10231" s="7"/>
      <c r="B10231" s="7"/>
      <c r="C10231" s="7"/>
      <c r="D10231" s="7"/>
      <c r="E10231" s="7"/>
      <c r="F10231" s="7"/>
      <c r="G10231" s="7"/>
      <c r="H10231" s="8"/>
      <c r="I10231" s="8"/>
      <c r="J10231" s="7"/>
      <c r="K10231" s="7"/>
      <c r="L10231" s="7"/>
      <c r="M10231" s="7"/>
      <c r="N10231" s="7"/>
      <c r="O10231" s="7"/>
      <c r="P10231" s="7"/>
      <c r="Q10231" s="7"/>
      <c r="R10231" s="7"/>
      <c r="S10231" s="7"/>
      <c r="T10231" s="7"/>
      <c r="U10231" s="7"/>
      <c r="V10231" s="7"/>
      <c r="W10231" s="7"/>
      <c r="X10231" s="7"/>
      <c r="Y10231" s="7"/>
      <c r="Z10231" s="7"/>
    </row>
    <row r="10232" hidden="1">
      <c r="A10232" s="7"/>
      <c r="B10232" s="7"/>
      <c r="C10232" s="7"/>
      <c r="D10232" s="7"/>
      <c r="E10232" s="7"/>
      <c r="F10232" s="7"/>
      <c r="G10232" s="7"/>
      <c r="H10232" s="8"/>
      <c r="I10232" s="8"/>
      <c r="J10232" s="7"/>
      <c r="K10232" s="7"/>
      <c r="L10232" s="7"/>
      <c r="M10232" s="7"/>
      <c r="N10232" s="7"/>
      <c r="O10232" s="7"/>
      <c r="P10232" s="7"/>
      <c r="Q10232" s="7"/>
      <c r="R10232" s="7"/>
      <c r="S10232" s="7"/>
      <c r="T10232" s="7"/>
      <c r="U10232" s="7"/>
      <c r="V10232" s="7"/>
      <c r="W10232" s="7"/>
      <c r="X10232" s="7"/>
      <c r="Y10232" s="7"/>
      <c r="Z10232" s="7"/>
    </row>
    <row r="10233" hidden="1">
      <c r="A10233" s="7"/>
      <c r="B10233" s="7"/>
      <c r="C10233" s="7"/>
      <c r="D10233" s="7"/>
      <c r="E10233" s="7"/>
      <c r="F10233" s="7"/>
      <c r="G10233" s="7"/>
      <c r="H10233" s="8"/>
      <c r="I10233" s="8"/>
      <c r="J10233" s="7"/>
      <c r="K10233" s="7"/>
      <c r="L10233" s="7"/>
      <c r="M10233" s="7"/>
      <c r="N10233" s="7"/>
      <c r="O10233" s="7"/>
      <c r="P10233" s="7"/>
      <c r="Q10233" s="7"/>
      <c r="R10233" s="7"/>
      <c r="S10233" s="7"/>
      <c r="T10233" s="7"/>
      <c r="U10233" s="7"/>
      <c r="V10233" s="7"/>
      <c r="W10233" s="7"/>
      <c r="X10233" s="7"/>
      <c r="Y10233" s="7"/>
      <c r="Z10233" s="7"/>
    </row>
    <row r="10234" hidden="1">
      <c r="A10234" s="7"/>
      <c r="B10234" s="7"/>
      <c r="C10234" s="7"/>
      <c r="D10234" s="7"/>
      <c r="E10234" s="7"/>
      <c r="F10234" s="7"/>
      <c r="G10234" s="7"/>
      <c r="H10234" s="8"/>
      <c r="I10234" s="8"/>
      <c r="J10234" s="7"/>
      <c r="K10234" s="7"/>
      <c r="L10234" s="7"/>
      <c r="M10234" s="7"/>
      <c r="N10234" s="7"/>
      <c r="O10234" s="7"/>
      <c r="P10234" s="7"/>
      <c r="Q10234" s="7"/>
      <c r="R10234" s="7"/>
      <c r="S10234" s="7"/>
      <c r="T10234" s="7"/>
      <c r="U10234" s="7"/>
      <c r="V10234" s="7"/>
      <c r="W10234" s="7"/>
      <c r="X10234" s="7"/>
      <c r="Y10234" s="7"/>
      <c r="Z10234" s="7"/>
    </row>
    <row r="10235" hidden="1">
      <c r="A10235" s="7"/>
      <c r="B10235" s="7"/>
      <c r="C10235" s="7"/>
      <c r="D10235" s="7"/>
      <c r="E10235" s="7"/>
      <c r="F10235" s="7"/>
      <c r="G10235" s="7"/>
      <c r="H10235" s="8"/>
      <c r="I10235" s="8"/>
      <c r="J10235" s="7"/>
      <c r="K10235" s="7"/>
      <c r="L10235" s="7"/>
      <c r="M10235" s="7"/>
      <c r="N10235" s="7"/>
      <c r="O10235" s="7"/>
      <c r="P10235" s="7"/>
      <c r="Q10235" s="7"/>
      <c r="R10235" s="7"/>
      <c r="S10235" s="7"/>
      <c r="T10235" s="7"/>
      <c r="U10235" s="7"/>
      <c r="V10235" s="7"/>
      <c r="W10235" s="7"/>
      <c r="X10235" s="7"/>
      <c r="Y10235" s="7"/>
      <c r="Z10235" s="7"/>
    </row>
    <row r="10236" hidden="1">
      <c r="A10236" s="7"/>
      <c r="B10236" s="7"/>
      <c r="C10236" s="7"/>
      <c r="D10236" s="7"/>
      <c r="E10236" s="7"/>
      <c r="F10236" s="7"/>
      <c r="G10236" s="7"/>
      <c r="H10236" s="8"/>
      <c r="I10236" s="8"/>
      <c r="J10236" s="7"/>
      <c r="K10236" s="7"/>
      <c r="L10236" s="7"/>
      <c r="M10236" s="7"/>
      <c r="N10236" s="7"/>
      <c r="O10236" s="7"/>
      <c r="P10236" s="7"/>
      <c r="Q10236" s="7"/>
      <c r="R10236" s="7"/>
      <c r="S10236" s="7"/>
      <c r="T10236" s="7"/>
      <c r="U10236" s="7"/>
      <c r="V10236" s="7"/>
      <c r="W10236" s="7"/>
      <c r="X10236" s="7"/>
      <c r="Y10236" s="7"/>
      <c r="Z10236" s="7"/>
    </row>
    <row r="10237" hidden="1">
      <c r="A10237" s="7"/>
      <c r="B10237" s="7"/>
      <c r="C10237" s="7"/>
      <c r="D10237" s="7"/>
      <c r="E10237" s="7"/>
      <c r="F10237" s="7"/>
      <c r="G10237" s="7"/>
      <c r="H10237" s="8"/>
      <c r="I10237" s="8"/>
      <c r="J10237" s="7"/>
      <c r="K10237" s="7"/>
      <c r="L10237" s="7"/>
      <c r="M10237" s="7"/>
      <c r="N10237" s="7"/>
      <c r="O10237" s="7"/>
      <c r="P10237" s="7"/>
      <c r="Q10237" s="7"/>
      <c r="R10237" s="7"/>
      <c r="S10237" s="7"/>
      <c r="T10237" s="7"/>
      <c r="U10237" s="7"/>
      <c r="V10237" s="7"/>
      <c r="W10237" s="7"/>
      <c r="X10237" s="7"/>
      <c r="Y10237" s="7"/>
      <c r="Z10237" s="7"/>
    </row>
    <row r="10238" hidden="1">
      <c r="A10238" s="7"/>
      <c r="B10238" s="7"/>
      <c r="C10238" s="7"/>
      <c r="D10238" s="7"/>
      <c r="E10238" s="7"/>
      <c r="F10238" s="7"/>
      <c r="G10238" s="7"/>
      <c r="H10238" s="8"/>
      <c r="I10238" s="8"/>
      <c r="J10238" s="7"/>
      <c r="K10238" s="7"/>
      <c r="L10238" s="7"/>
      <c r="M10238" s="7"/>
      <c r="N10238" s="7"/>
      <c r="O10238" s="7"/>
      <c r="P10238" s="7"/>
      <c r="Q10238" s="7"/>
      <c r="R10238" s="7"/>
      <c r="S10238" s="7"/>
      <c r="T10238" s="7"/>
      <c r="U10238" s="7"/>
      <c r="V10238" s="7"/>
      <c r="W10238" s="7"/>
      <c r="X10238" s="7"/>
      <c r="Y10238" s="7"/>
      <c r="Z10238" s="7"/>
    </row>
    <row r="10239" hidden="1">
      <c r="A10239" s="7"/>
      <c r="B10239" s="7"/>
      <c r="C10239" s="7"/>
      <c r="D10239" s="7"/>
      <c r="E10239" s="7"/>
      <c r="F10239" s="7"/>
      <c r="G10239" s="7"/>
      <c r="H10239" s="8"/>
      <c r="I10239" s="8"/>
      <c r="J10239" s="7"/>
      <c r="K10239" s="7"/>
      <c r="L10239" s="7"/>
      <c r="M10239" s="7"/>
      <c r="N10239" s="7"/>
      <c r="O10239" s="7"/>
      <c r="P10239" s="7"/>
      <c r="Q10239" s="7"/>
      <c r="R10239" s="7"/>
      <c r="S10239" s="7"/>
      <c r="T10239" s="7"/>
      <c r="U10239" s="7"/>
      <c r="V10239" s="7"/>
      <c r="W10239" s="7"/>
      <c r="X10239" s="7"/>
      <c r="Y10239" s="7"/>
      <c r="Z10239" s="7"/>
    </row>
    <row r="10240" hidden="1">
      <c r="A10240" s="7"/>
      <c r="B10240" s="7"/>
      <c r="C10240" s="7"/>
      <c r="D10240" s="7"/>
      <c r="E10240" s="7"/>
      <c r="F10240" s="7"/>
      <c r="G10240" s="7"/>
      <c r="H10240" s="8"/>
      <c r="I10240" s="8"/>
      <c r="J10240" s="7"/>
      <c r="K10240" s="7"/>
      <c r="L10240" s="7"/>
      <c r="M10240" s="7"/>
      <c r="N10240" s="7"/>
      <c r="O10240" s="7"/>
      <c r="P10240" s="7"/>
      <c r="Q10240" s="7"/>
      <c r="R10240" s="7"/>
      <c r="S10240" s="7"/>
      <c r="T10240" s="7"/>
      <c r="U10240" s="7"/>
      <c r="V10240" s="7"/>
      <c r="W10240" s="7"/>
      <c r="X10240" s="7"/>
      <c r="Y10240" s="7"/>
      <c r="Z10240" s="7"/>
    </row>
    <row r="10241" hidden="1">
      <c r="A10241" s="7"/>
      <c r="B10241" s="7"/>
      <c r="C10241" s="7"/>
      <c r="D10241" s="7"/>
      <c r="E10241" s="7"/>
      <c r="F10241" s="7"/>
      <c r="G10241" s="7"/>
      <c r="H10241" s="8"/>
      <c r="I10241" s="8"/>
      <c r="J10241" s="7"/>
      <c r="K10241" s="7"/>
      <c r="L10241" s="7"/>
      <c r="M10241" s="7"/>
      <c r="N10241" s="7"/>
      <c r="O10241" s="7"/>
      <c r="P10241" s="7"/>
      <c r="Q10241" s="7"/>
      <c r="R10241" s="7"/>
      <c r="S10241" s="7"/>
      <c r="T10241" s="7"/>
      <c r="U10241" s="7"/>
      <c r="V10241" s="7"/>
      <c r="W10241" s="7"/>
      <c r="X10241" s="7"/>
      <c r="Y10241" s="7"/>
      <c r="Z10241" s="7"/>
    </row>
    <row r="10242" hidden="1">
      <c r="A10242" s="7"/>
      <c r="B10242" s="7"/>
      <c r="C10242" s="7"/>
      <c r="D10242" s="7"/>
      <c r="E10242" s="7"/>
      <c r="F10242" s="7"/>
      <c r="G10242" s="7"/>
      <c r="H10242" s="8"/>
      <c r="I10242" s="8"/>
      <c r="J10242" s="7"/>
      <c r="K10242" s="7"/>
      <c r="L10242" s="7"/>
      <c r="M10242" s="7"/>
      <c r="N10242" s="7"/>
      <c r="O10242" s="7"/>
      <c r="P10242" s="7"/>
      <c r="Q10242" s="7"/>
      <c r="R10242" s="7"/>
      <c r="S10242" s="7"/>
      <c r="T10242" s="7"/>
      <c r="U10242" s="7"/>
      <c r="V10242" s="7"/>
      <c r="W10242" s="7"/>
      <c r="X10242" s="7"/>
      <c r="Y10242" s="7"/>
      <c r="Z10242" s="7"/>
    </row>
    <row r="10243" hidden="1">
      <c r="A10243" s="7"/>
      <c r="B10243" s="7"/>
      <c r="C10243" s="7"/>
      <c r="D10243" s="7"/>
      <c r="E10243" s="7"/>
      <c r="F10243" s="7"/>
      <c r="G10243" s="7"/>
      <c r="H10243" s="8"/>
      <c r="I10243" s="8"/>
      <c r="J10243" s="7"/>
      <c r="K10243" s="7"/>
      <c r="L10243" s="7"/>
      <c r="M10243" s="7"/>
      <c r="N10243" s="7"/>
      <c r="O10243" s="7"/>
      <c r="P10243" s="7"/>
      <c r="Q10243" s="7"/>
      <c r="R10243" s="7"/>
      <c r="S10243" s="7"/>
      <c r="T10243" s="7"/>
      <c r="U10243" s="7"/>
      <c r="V10243" s="7"/>
      <c r="W10243" s="7"/>
      <c r="X10243" s="7"/>
      <c r="Y10243" s="7"/>
      <c r="Z10243" s="7"/>
    </row>
    <row r="10244" hidden="1">
      <c r="A10244" s="7"/>
      <c r="B10244" s="7"/>
      <c r="C10244" s="7"/>
      <c r="D10244" s="7"/>
      <c r="E10244" s="7"/>
      <c r="F10244" s="7"/>
      <c r="G10244" s="7"/>
      <c r="H10244" s="8"/>
      <c r="I10244" s="8"/>
      <c r="J10244" s="7"/>
      <c r="K10244" s="7"/>
      <c r="L10244" s="7"/>
      <c r="M10244" s="7"/>
      <c r="N10244" s="7"/>
      <c r="O10244" s="7"/>
      <c r="P10244" s="7"/>
      <c r="Q10244" s="7"/>
      <c r="R10244" s="7"/>
      <c r="S10244" s="7"/>
      <c r="T10244" s="7"/>
      <c r="U10244" s="7"/>
      <c r="V10244" s="7"/>
      <c r="W10244" s="7"/>
      <c r="X10244" s="7"/>
      <c r="Y10244" s="7"/>
      <c r="Z10244" s="7"/>
    </row>
    <row r="10245" hidden="1">
      <c r="A10245" s="7"/>
      <c r="B10245" s="7"/>
      <c r="C10245" s="7"/>
      <c r="D10245" s="7"/>
      <c r="E10245" s="7"/>
      <c r="F10245" s="7"/>
      <c r="G10245" s="7"/>
      <c r="H10245" s="8"/>
      <c r="I10245" s="8"/>
      <c r="J10245" s="7"/>
      <c r="K10245" s="7"/>
      <c r="L10245" s="7"/>
      <c r="M10245" s="7"/>
      <c r="N10245" s="7"/>
      <c r="O10245" s="7"/>
      <c r="P10245" s="7"/>
      <c r="Q10245" s="7"/>
      <c r="R10245" s="7"/>
      <c r="S10245" s="7"/>
      <c r="T10245" s="7"/>
      <c r="U10245" s="7"/>
      <c r="V10245" s="7"/>
      <c r="W10245" s="7"/>
      <c r="X10245" s="7"/>
      <c r="Y10245" s="7"/>
      <c r="Z10245" s="7"/>
    </row>
    <row r="10246" hidden="1">
      <c r="A10246" s="7"/>
      <c r="B10246" s="7"/>
      <c r="C10246" s="7"/>
      <c r="D10246" s="7"/>
      <c r="E10246" s="7"/>
      <c r="F10246" s="7"/>
      <c r="G10246" s="7"/>
      <c r="H10246" s="8"/>
      <c r="I10246" s="8"/>
      <c r="J10246" s="7"/>
      <c r="K10246" s="7"/>
      <c r="L10246" s="7"/>
      <c r="M10246" s="7"/>
      <c r="N10246" s="7"/>
      <c r="O10246" s="7"/>
      <c r="P10246" s="7"/>
      <c r="Q10246" s="7"/>
      <c r="R10246" s="7"/>
      <c r="S10246" s="7"/>
      <c r="T10246" s="7"/>
      <c r="U10246" s="7"/>
      <c r="V10246" s="7"/>
      <c r="W10246" s="7"/>
      <c r="X10246" s="7"/>
      <c r="Y10246" s="7"/>
      <c r="Z10246" s="7"/>
    </row>
    <row r="10247" hidden="1">
      <c r="A10247" s="7"/>
      <c r="B10247" s="7"/>
      <c r="C10247" s="7"/>
      <c r="D10247" s="7"/>
      <c r="E10247" s="7"/>
      <c r="F10247" s="7"/>
      <c r="G10247" s="7"/>
      <c r="H10247" s="8"/>
      <c r="I10247" s="8"/>
      <c r="J10247" s="7"/>
      <c r="K10247" s="7"/>
      <c r="L10247" s="7"/>
      <c r="M10247" s="7"/>
      <c r="N10247" s="7"/>
      <c r="O10247" s="7"/>
      <c r="P10247" s="7"/>
      <c r="Q10247" s="7"/>
      <c r="R10247" s="7"/>
      <c r="S10247" s="7"/>
      <c r="T10247" s="7"/>
      <c r="U10247" s="7"/>
      <c r="V10247" s="7"/>
      <c r="W10247" s="7"/>
      <c r="X10247" s="7"/>
      <c r="Y10247" s="7"/>
      <c r="Z10247" s="7"/>
    </row>
    <row r="10248" hidden="1">
      <c r="A10248" s="7"/>
      <c r="B10248" s="7"/>
      <c r="C10248" s="7"/>
      <c r="D10248" s="7"/>
      <c r="E10248" s="7"/>
      <c r="F10248" s="7"/>
      <c r="G10248" s="7"/>
      <c r="H10248" s="8"/>
      <c r="I10248" s="8"/>
      <c r="J10248" s="7"/>
      <c r="K10248" s="7"/>
      <c r="L10248" s="7"/>
      <c r="M10248" s="7"/>
      <c r="N10248" s="7"/>
      <c r="O10248" s="7"/>
      <c r="P10248" s="7"/>
      <c r="Q10248" s="7"/>
      <c r="R10248" s="7"/>
      <c r="S10248" s="7"/>
      <c r="T10248" s="7"/>
      <c r="U10248" s="7"/>
      <c r="V10248" s="7"/>
      <c r="W10248" s="7"/>
      <c r="X10248" s="7"/>
      <c r="Y10248" s="7"/>
      <c r="Z10248" s="7"/>
    </row>
    <row r="10249" hidden="1">
      <c r="A10249" s="7"/>
      <c r="B10249" s="7"/>
      <c r="C10249" s="7"/>
      <c r="D10249" s="7"/>
      <c r="E10249" s="7"/>
      <c r="F10249" s="7"/>
      <c r="G10249" s="7"/>
      <c r="H10249" s="8"/>
      <c r="I10249" s="8"/>
      <c r="J10249" s="7"/>
      <c r="K10249" s="7"/>
      <c r="L10249" s="7"/>
      <c r="M10249" s="7"/>
      <c r="N10249" s="7"/>
      <c r="O10249" s="7"/>
      <c r="P10249" s="7"/>
      <c r="Q10249" s="7"/>
      <c r="R10249" s="7"/>
      <c r="S10249" s="7"/>
      <c r="T10249" s="7"/>
      <c r="U10249" s="7"/>
      <c r="V10249" s="7"/>
      <c r="W10249" s="7"/>
      <c r="X10249" s="7"/>
      <c r="Y10249" s="7"/>
      <c r="Z10249" s="7"/>
    </row>
    <row r="10250" hidden="1">
      <c r="A10250" s="7"/>
      <c r="B10250" s="7"/>
      <c r="C10250" s="7"/>
      <c r="D10250" s="7"/>
      <c r="E10250" s="7"/>
      <c r="F10250" s="7"/>
      <c r="G10250" s="7"/>
      <c r="H10250" s="8"/>
      <c r="I10250" s="8"/>
      <c r="J10250" s="7"/>
      <c r="K10250" s="7"/>
      <c r="L10250" s="7"/>
      <c r="M10250" s="7"/>
      <c r="N10250" s="7"/>
      <c r="O10250" s="7"/>
      <c r="P10250" s="7"/>
      <c r="Q10250" s="7"/>
      <c r="R10250" s="7"/>
      <c r="S10250" s="7"/>
      <c r="T10250" s="7"/>
      <c r="U10250" s="7"/>
      <c r="V10250" s="7"/>
      <c r="W10250" s="7"/>
      <c r="X10250" s="7"/>
      <c r="Y10250" s="7"/>
      <c r="Z10250" s="7"/>
    </row>
    <row r="10251" hidden="1">
      <c r="A10251" s="7"/>
      <c r="B10251" s="7"/>
      <c r="C10251" s="7"/>
      <c r="D10251" s="7"/>
      <c r="E10251" s="7"/>
      <c r="F10251" s="7"/>
      <c r="G10251" s="7"/>
      <c r="H10251" s="8"/>
      <c r="I10251" s="8"/>
      <c r="J10251" s="7"/>
      <c r="K10251" s="7"/>
      <c r="L10251" s="7"/>
      <c r="M10251" s="7"/>
      <c r="N10251" s="7"/>
      <c r="O10251" s="7"/>
      <c r="P10251" s="7"/>
      <c r="Q10251" s="7"/>
      <c r="R10251" s="7"/>
      <c r="S10251" s="7"/>
      <c r="T10251" s="7"/>
      <c r="U10251" s="7"/>
      <c r="V10251" s="7"/>
      <c r="W10251" s="7"/>
      <c r="X10251" s="7"/>
      <c r="Y10251" s="7"/>
      <c r="Z10251" s="7"/>
    </row>
    <row r="10252" hidden="1">
      <c r="A10252" s="7"/>
      <c r="B10252" s="7"/>
      <c r="C10252" s="7"/>
      <c r="D10252" s="7"/>
      <c r="E10252" s="7"/>
      <c r="F10252" s="7"/>
      <c r="G10252" s="7"/>
      <c r="H10252" s="8"/>
      <c r="I10252" s="8"/>
      <c r="J10252" s="7"/>
      <c r="K10252" s="7"/>
      <c r="L10252" s="7"/>
      <c r="M10252" s="7"/>
      <c r="N10252" s="7"/>
      <c r="O10252" s="7"/>
      <c r="P10252" s="7"/>
      <c r="Q10252" s="7"/>
      <c r="R10252" s="7"/>
      <c r="S10252" s="7"/>
      <c r="T10252" s="7"/>
      <c r="U10252" s="7"/>
      <c r="V10252" s="7"/>
      <c r="W10252" s="7"/>
      <c r="X10252" s="7"/>
      <c r="Y10252" s="7"/>
      <c r="Z10252" s="7"/>
    </row>
    <row r="10253" hidden="1">
      <c r="A10253" s="7"/>
      <c r="B10253" s="7"/>
      <c r="C10253" s="7"/>
      <c r="D10253" s="7"/>
      <c r="E10253" s="7"/>
      <c r="F10253" s="7"/>
      <c r="G10253" s="7"/>
      <c r="H10253" s="8"/>
      <c r="I10253" s="8"/>
      <c r="J10253" s="7"/>
      <c r="K10253" s="7"/>
      <c r="L10253" s="7"/>
      <c r="M10253" s="7"/>
      <c r="N10253" s="7"/>
      <c r="O10253" s="7"/>
      <c r="P10253" s="7"/>
      <c r="Q10253" s="7"/>
      <c r="R10253" s="7"/>
      <c r="S10253" s="7"/>
      <c r="T10253" s="7"/>
      <c r="U10253" s="7"/>
      <c r="V10253" s="7"/>
      <c r="W10253" s="7"/>
      <c r="X10253" s="7"/>
      <c r="Y10253" s="7"/>
      <c r="Z10253" s="7"/>
    </row>
    <row r="10254" hidden="1">
      <c r="A10254" s="7"/>
      <c r="B10254" s="7"/>
      <c r="C10254" s="7"/>
      <c r="D10254" s="7"/>
      <c r="E10254" s="7"/>
      <c r="F10254" s="7"/>
      <c r="G10254" s="7"/>
      <c r="H10254" s="8"/>
      <c r="I10254" s="8"/>
      <c r="J10254" s="7"/>
      <c r="K10254" s="7"/>
      <c r="L10254" s="7"/>
      <c r="M10254" s="7"/>
      <c r="N10254" s="7"/>
      <c r="O10254" s="7"/>
      <c r="P10254" s="7"/>
      <c r="Q10254" s="7"/>
      <c r="R10254" s="7"/>
      <c r="S10254" s="7"/>
      <c r="T10254" s="7"/>
      <c r="U10254" s="7"/>
      <c r="V10254" s="7"/>
      <c r="W10254" s="7"/>
      <c r="X10254" s="7"/>
      <c r="Y10254" s="7"/>
      <c r="Z10254" s="7"/>
    </row>
    <row r="10255" hidden="1">
      <c r="A10255" s="7"/>
      <c r="B10255" s="7"/>
      <c r="C10255" s="7"/>
      <c r="D10255" s="7"/>
      <c r="E10255" s="7"/>
      <c r="F10255" s="7"/>
      <c r="G10255" s="7"/>
      <c r="H10255" s="8"/>
      <c r="I10255" s="8"/>
      <c r="J10255" s="7"/>
      <c r="K10255" s="7"/>
      <c r="L10255" s="7"/>
      <c r="M10255" s="7"/>
      <c r="N10255" s="7"/>
      <c r="O10255" s="7"/>
      <c r="P10255" s="7"/>
      <c r="Q10255" s="7"/>
      <c r="R10255" s="7"/>
      <c r="S10255" s="7"/>
      <c r="T10255" s="7"/>
      <c r="U10255" s="7"/>
      <c r="V10255" s="7"/>
      <c r="W10255" s="7"/>
      <c r="X10255" s="7"/>
      <c r="Y10255" s="7"/>
      <c r="Z10255" s="7"/>
    </row>
    <row r="10256" hidden="1">
      <c r="A10256" s="7"/>
      <c r="B10256" s="7"/>
      <c r="C10256" s="7"/>
      <c r="D10256" s="7"/>
      <c r="E10256" s="7"/>
      <c r="F10256" s="7"/>
      <c r="G10256" s="7"/>
      <c r="H10256" s="8"/>
      <c r="I10256" s="8"/>
      <c r="J10256" s="7"/>
      <c r="K10256" s="7"/>
      <c r="L10256" s="7"/>
      <c r="M10256" s="7"/>
      <c r="N10256" s="7"/>
      <c r="O10256" s="7"/>
      <c r="P10256" s="7"/>
      <c r="Q10256" s="7"/>
      <c r="R10256" s="7"/>
      <c r="S10256" s="7"/>
      <c r="T10256" s="7"/>
      <c r="U10256" s="7"/>
      <c r="V10256" s="7"/>
      <c r="W10256" s="7"/>
      <c r="X10256" s="7"/>
      <c r="Y10256" s="7"/>
      <c r="Z10256" s="7"/>
    </row>
    <row r="10257" hidden="1">
      <c r="A10257" s="7"/>
      <c r="B10257" s="7"/>
      <c r="C10257" s="7"/>
      <c r="D10257" s="7"/>
      <c r="E10257" s="7"/>
      <c r="F10257" s="7"/>
      <c r="G10257" s="7"/>
      <c r="H10257" s="8"/>
      <c r="I10257" s="8"/>
      <c r="J10257" s="7"/>
      <c r="K10257" s="7"/>
      <c r="L10257" s="7"/>
      <c r="M10257" s="7"/>
      <c r="N10257" s="7"/>
      <c r="O10257" s="7"/>
      <c r="P10257" s="7"/>
      <c r="Q10257" s="7"/>
      <c r="R10257" s="7"/>
      <c r="S10257" s="7"/>
      <c r="T10257" s="7"/>
      <c r="U10257" s="7"/>
      <c r="V10257" s="7"/>
      <c r="W10257" s="7"/>
      <c r="X10257" s="7"/>
      <c r="Y10257" s="7"/>
      <c r="Z10257" s="7"/>
    </row>
    <row r="10258" hidden="1">
      <c r="A10258" s="7"/>
      <c r="B10258" s="7"/>
      <c r="C10258" s="7"/>
      <c r="D10258" s="7"/>
      <c r="E10258" s="7"/>
      <c r="F10258" s="7"/>
      <c r="G10258" s="7"/>
      <c r="H10258" s="8"/>
      <c r="I10258" s="8"/>
      <c r="J10258" s="7"/>
      <c r="K10258" s="7"/>
      <c r="L10258" s="7"/>
      <c r="M10258" s="7"/>
      <c r="N10258" s="7"/>
      <c r="O10258" s="7"/>
      <c r="P10258" s="7"/>
      <c r="Q10258" s="7"/>
      <c r="R10258" s="7"/>
      <c r="S10258" s="7"/>
      <c r="T10258" s="7"/>
      <c r="U10258" s="7"/>
      <c r="V10258" s="7"/>
      <c r="W10258" s="7"/>
      <c r="X10258" s="7"/>
      <c r="Y10258" s="7"/>
      <c r="Z10258" s="7"/>
    </row>
    <row r="10259" hidden="1">
      <c r="A10259" s="7"/>
      <c r="B10259" s="7"/>
      <c r="C10259" s="7"/>
      <c r="D10259" s="7"/>
      <c r="E10259" s="7"/>
      <c r="F10259" s="7"/>
      <c r="G10259" s="7"/>
      <c r="H10259" s="8"/>
      <c r="I10259" s="8"/>
      <c r="J10259" s="7"/>
      <c r="K10259" s="7"/>
      <c r="L10259" s="7"/>
      <c r="M10259" s="7"/>
      <c r="N10259" s="7"/>
      <c r="O10259" s="7"/>
      <c r="P10259" s="7"/>
      <c r="Q10259" s="7"/>
      <c r="R10259" s="7"/>
      <c r="S10259" s="7"/>
      <c r="T10259" s="7"/>
      <c r="U10259" s="7"/>
      <c r="V10259" s="7"/>
      <c r="W10259" s="7"/>
      <c r="X10259" s="7"/>
      <c r="Y10259" s="7"/>
      <c r="Z10259" s="7"/>
    </row>
    <row r="10260" hidden="1">
      <c r="A10260" s="7"/>
      <c r="B10260" s="7"/>
      <c r="C10260" s="7"/>
      <c r="D10260" s="7"/>
      <c r="E10260" s="7"/>
      <c r="F10260" s="7"/>
      <c r="G10260" s="7"/>
      <c r="H10260" s="8"/>
      <c r="I10260" s="8"/>
      <c r="J10260" s="7"/>
      <c r="K10260" s="7"/>
      <c r="L10260" s="7"/>
      <c r="M10260" s="7"/>
      <c r="N10260" s="7"/>
      <c r="O10260" s="7"/>
      <c r="P10260" s="7"/>
      <c r="Q10260" s="7"/>
      <c r="R10260" s="7"/>
      <c r="S10260" s="7"/>
      <c r="T10260" s="7"/>
      <c r="U10260" s="7"/>
      <c r="V10260" s="7"/>
      <c r="W10260" s="7"/>
      <c r="X10260" s="7"/>
      <c r="Y10260" s="7"/>
      <c r="Z10260" s="7"/>
    </row>
    <row r="10261" hidden="1">
      <c r="A10261" s="7"/>
      <c r="B10261" s="7"/>
      <c r="C10261" s="7"/>
      <c r="D10261" s="7"/>
      <c r="E10261" s="7"/>
      <c r="F10261" s="7"/>
      <c r="G10261" s="7"/>
      <c r="H10261" s="8"/>
      <c r="I10261" s="8"/>
      <c r="J10261" s="7"/>
      <c r="K10261" s="7"/>
      <c r="L10261" s="7"/>
      <c r="M10261" s="7"/>
      <c r="N10261" s="7"/>
      <c r="O10261" s="7"/>
      <c r="P10261" s="7"/>
      <c r="Q10261" s="7"/>
      <c r="R10261" s="7"/>
      <c r="S10261" s="7"/>
      <c r="T10261" s="7"/>
      <c r="U10261" s="7"/>
      <c r="V10261" s="7"/>
      <c r="W10261" s="7"/>
      <c r="X10261" s="7"/>
      <c r="Y10261" s="7"/>
      <c r="Z10261" s="7"/>
    </row>
    <row r="10262" hidden="1">
      <c r="A10262" s="7"/>
      <c r="B10262" s="7"/>
      <c r="C10262" s="7"/>
      <c r="D10262" s="7"/>
      <c r="E10262" s="7"/>
      <c r="F10262" s="7"/>
      <c r="G10262" s="7"/>
      <c r="H10262" s="8"/>
      <c r="I10262" s="8"/>
      <c r="J10262" s="7"/>
      <c r="K10262" s="7"/>
      <c r="L10262" s="7"/>
      <c r="M10262" s="7"/>
      <c r="N10262" s="7"/>
      <c r="O10262" s="7"/>
      <c r="P10262" s="7"/>
      <c r="Q10262" s="7"/>
      <c r="R10262" s="7"/>
      <c r="S10262" s="7"/>
      <c r="T10262" s="7"/>
      <c r="U10262" s="7"/>
      <c r="V10262" s="7"/>
      <c r="W10262" s="7"/>
      <c r="X10262" s="7"/>
      <c r="Y10262" s="7"/>
      <c r="Z10262" s="7"/>
    </row>
    <row r="10263" hidden="1">
      <c r="A10263" s="7"/>
      <c r="B10263" s="7"/>
      <c r="C10263" s="7"/>
      <c r="D10263" s="7"/>
      <c r="E10263" s="7"/>
      <c r="F10263" s="7"/>
      <c r="G10263" s="7"/>
      <c r="H10263" s="8"/>
      <c r="I10263" s="8"/>
      <c r="J10263" s="7"/>
      <c r="K10263" s="7"/>
      <c r="L10263" s="7"/>
      <c r="M10263" s="7"/>
      <c r="N10263" s="7"/>
      <c r="O10263" s="7"/>
      <c r="P10263" s="7"/>
      <c r="Q10263" s="7"/>
      <c r="R10263" s="7"/>
      <c r="S10263" s="7"/>
      <c r="T10263" s="7"/>
      <c r="U10263" s="7"/>
      <c r="V10263" s="7"/>
      <c r="W10263" s="7"/>
      <c r="X10263" s="7"/>
      <c r="Y10263" s="7"/>
      <c r="Z10263" s="7"/>
    </row>
    <row r="10264" hidden="1">
      <c r="A10264" s="7"/>
      <c r="B10264" s="7"/>
      <c r="C10264" s="7"/>
      <c r="D10264" s="7"/>
      <c r="E10264" s="7"/>
      <c r="F10264" s="7"/>
      <c r="G10264" s="7"/>
      <c r="H10264" s="8"/>
      <c r="I10264" s="8"/>
      <c r="J10264" s="7"/>
      <c r="K10264" s="7"/>
      <c r="L10264" s="7"/>
      <c r="M10264" s="7"/>
      <c r="N10264" s="7"/>
      <c r="O10264" s="7"/>
      <c r="P10264" s="7"/>
      <c r="Q10264" s="7"/>
      <c r="R10264" s="7"/>
      <c r="S10264" s="7"/>
      <c r="T10264" s="7"/>
      <c r="U10264" s="7"/>
      <c r="V10264" s="7"/>
      <c r="W10264" s="7"/>
      <c r="X10264" s="7"/>
      <c r="Y10264" s="7"/>
      <c r="Z10264" s="7"/>
    </row>
    <row r="10265" hidden="1">
      <c r="A10265" s="7"/>
      <c r="B10265" s="7"/>
      <c r="C10265" s="7"/>
      <c r="D10265" s="7"/>
      <c r="E10265" s="7"/>
      <c r="F10265" s="7"/>
      <c r="G10265" s="7"/>
      <c r="H10265" s="8"/>
      <c r="I10265" s="8"/>
      <c r="J10265" s="7"/>
      <c r="K10265" s="7"/>
      <c r="L10265" s="7"/>
      <c r="M10265" s="7"/>
      <c r="N10265" s="7"/>
      <c r="O10265" s="7"/>
      <c r="P10265" s="7"/>
      <c r="Q10265" s="7"/>
      <c r="R10265" s="7"/>
      <c r="S10265" s="7"/>
      <c r="T10265" s="7"/>
      <c r="U10265" s="7"/>
      <c r="V10265" s="7"/>
      <c r="W10265" s="7"/>
      <c r="X10265" s="7"/>
      <c r="Y10265" s="7"/>
      <c r="Z10265" s="7"/>
    </row>
    <row r="10266" hidden="1">
      <c r="A10266" s="7"/>
      <c r="B10266" s="7"/>
      <c r="C10266" s="7"/>
      <c r="D10266" s="7"/>
      <c r="E10266" s="7"/>
      <c r="F10266" s="7"/>
      <c r="G10266" s="7"/>
      <c r="H10266" s="8"/>
      <c r="I10266" s="8"/>
      <c r="J10266" s="7"/>
      <c r="K10266" s="7"/>
      <c r="L10266" s="7"/>
      <c r="M10266" s="7"/>
      <c r="N10266" s="7"/>
      <c r="O10266" s="7"/>
      <c r="P10266" s="7"/>
      <c r="Q10266" s="7"/>
      <c r="R10266" s="7"/>
      <c r="S10266" s="7"/>
      <c r="T10266" s="7"/>
      <c r="U10266" s="7"/>
      <c r="V10266" s="7"/>
      <c r="W10266" s="7"/>
      <c r="X10266" s="7"/>
      <c r="Y10266" s="7"/>
      <c r="Z10266" s="7"/>
    </row>
    <row r="10267" hidden="1">
      <c r="A10267" s="7"/>
      <c r="B10267" s="7"/>
      <c r="C10267" s="7"/>
      <c r="D10267" s="7"/>
      <c r="E10267" s="7"/>
      <c r="F10267" s="7"/>
      <c r="G10267" s="7"/>
      <c r="H10267" s="8"/>
      <c r="I10267" s="8"/>
      <c r="J10267" s="7"/>
      <c r="K10267" s="7"/>
      <c r="L10267" s="7"/>
      <c r="M10267" s="7"/>
      <c r="N10267" s="7"/>
      <c r="O10267" s="7"/>
      <c r="P10267" s="7"/>
      <c r="Q10267" s="7"/>
      <c r="R10267" s="7"/>
      <c r="S10267" s="7"/>
      <c r="T10267" s="7"/>
      <c r="U10267" s="7"/>
      <c r="V10267" s="7"/>
      <c r="W10267" s="7"/>
      <c r="X10267" s="7"/>
      <c r="Y10267" s="7"/>
      <c r="Z10267" s="7"/>
    </row>
    <row r="10268" hidden="1">
      <c r="A10268" s="7"/>
      <c r="B10268" s="7"/>
      <c r="C10268" s="7"/>
      <c r="D10268" s="7"/>
      <c r="E10268" s="7"/>
      <c r="F10268" s="7"/>
      <c r="G10268" s="7"/>
      <c r="H10268" s="8"/>
      <c r="I10268" s="8"/>
      <c r="J10268" s="7"/>
      <c r="K10268" s="7"/>
      <c r="L10268" s="7"/>
      <c r="M10268" s="7"/>
      <c r="N10268" s="7"/>
      <c r="O10268" s="7"/>
      <c r="P10268" s="7"/>
      <c r="Q10268" s="7"/>
      <c r="R10268" s="7"/>
      <c r="S10268" s="7"/>
      <c r="T10268" s="7"/>
      <c r="U10268" s="7"/>
      <c r="V10268" s="7"/>
      <c r="W10268" s="7"/>
      <c r="X10268" s="7"/>
      <c r="Y10268" s="7"/>
      <c r="Z10268" s="7"/>
    </row>
    <row r="10269" hidden="1">
      <c r="A10269" s="7"/>
      <c r="B10269" s="7"/>
      <c r="C10269" s="7"/>
      <c r="D10269" s="7"/>
      <c r="E10269" s="7"/>
      <c r="F10269" s="7"/>
      <c r="G10269" s="7"/>
      <c r="H10269" s="8"/>
      <c r="I10269" s="8"/>
      <c r="J10269" s="7"/>
      <c r="K10269" s="7"/>
      <c r="L10269" s="7"/>
      <c r="M10269" s="7"/>
      <c r="N10269" s="7"/>
      <c r="O10269" s="7"/>
      <c r="P10269" s="7"/>
      <c r="Q10269" s="7"/>
      <c r="R10269" s="7"/>
      <c r="S10269" s="7"/>
      <c r="T10269" s="7"/>
      <c r="U10269" s="7"/>
      <c r="V10269" s="7"/>
      <c r="W10269" s="7"/>
      <c r="X10269" s="7"/>
      <c r="Y10269" s="7"/>
      <c r="Z10269" s="7"/>
    </row>
    <row r="10270" hidden="1">
      <c r="A10270" s="7"/>
      <c r="B10270" s="7"/>
      <c r="C10270" s="7"/>
      <c r="D10270" s="7"/>
      <c r="E10270" s="7"/>
      <c r="F10270" s="7"/>
      <c r="G10270" s="7"/>
      <c r="H10270" s="8"/>
      <c r="I10270" s="8"/>
      <c r="J10270" s="7"/>
      <c r="K10270" s="7"/>
      <c r="L10270" s="7"/>
      <c r="M10270" s="7"/>
      <c r="N10270" s="7"/>
      <c r="O10270" s="7"/>
      <c r="P10270" s="7"/>
      <c r="Q10270" s="7"/>
      <c r="R10270" s="7"/>
      <c r="S10270" s="7"/>
      <c r="T10270" s="7"/>
      <c r="U10270" s="7"/>
      <c r="V10270" s="7"/>
      <c r="W10270" s="7"/>
      <c r="X10270" s="7"/>
      <c r="Y10270" s="7"/>
      <c r="Z10270" s="7"/>
    </row>
    <row r="10271" hidden="1">
      <c r="A10271" s="7"/>
      <c r="B10271" s="7"/>
      <c r="C10271" s="7"/>
      <c r="D10271" s="7"/>
      <c r="E10271" s="7"/>
      <c r="F10271" s="7"/>
      <c r="G10271" s="7"/>
      <c r="H10271" s="8"/>
      <c r="I10271" s="8"/>
      <c r="J10271" s="7"/>
      <c r="K10271" s="7"/>
      <c r="L10271" s="7"/>
      <c r="M10271" s="7"/>
      <c r="N10271" s="7"/>
      <c r="O10271" s="7"/>
      <c r="P10271" s="7"/>
      <c r="Q10271" s="7"/>
      <c r="R10271" s="7"/>
      <c r="S10271" s="7"/>
      <c r="T10271" s="7"/>
      <c r="U10271" s="7"/>
      <c r="V10271" s="7"/>
      <c r="W10271" s="7"/>
      <c r="X10271" s="7"/>
      <c r="Y10271" s="7"/>
      <c r="Z10271" s="7"/>
    </row>
    <row r="10272" hidden="1">
      <c r="A10272" s="7"/>
      <c r="B10272" s="7"/>
      <c r="C10272" s="7"/>
      <c r="D10272" s="7"/>
      <c r="E10272" s="7"/>
      <c r="F10272" s="7"/>
      <c r="G10272" s="7"/>
      <c r="H10272" s="8"/>
      <c r="I10272" s="8"/>
      <c r="J10272" s="7"/>
      <c r="K10272" s="7"/>
      <c r="L10272" s="7"/>
      <c r="M10272" s="7"/>
      <c r="N10272" s="7"/>
      <c r="O10272" s="7"/>
      <c r="P10272" s="7"/>
      <c r="Q10272" s="7"/>
      <c r="R10272" s="7"/>
      <c r="S10272" s="7"/>
      <c r="T10272" s="7"/>
      <c r="U10272" s="7"/>
      <c r="V10272" s="7"/>
      <c r="W10272" s="7"/>
      <c r="X10272" s="7"/>
      <c r="Y10272" s="7"/>
      <c r="Z10272" s="7"/>
    </row>
    <row r="10273" hidden="1">
      <c r="A10273" s="7"/>
      <c r="B10273" s="7"/>
      <c r="C10273" s="7"/>
      <c r="D10273" s="7"/>
      <c r="E10273" s="7"/>
      <c r="F10273" s="7"/>
      <c r="G10273" s="7"/>
      <c r="H10273" s="8"/>
      <c r="I10273" s="8"/>
      <c r="J10273" s="7"/>
      <c r="K10273" s="7"/>
      <c r="L10273" s="7"/>
      <c r="M10273" s="7"/>
      <c r="N10273" s="7"/>
      <c r="O10273" s="7"/>
      <c r="P10273" s="7"/>
      <c r="Q10273" s="7"/>
      <c r="R10273" s="7"/>
      <c r="S10273" s="7"/>
      <c r="T10273" s="7"/>
      <c r="U10273" s="7"/>
      <c r="V10273" s="7"/>
      <c r="W10273" s="7"/>
      <c r="X10273" s="7"/>
      <c r="Y10273" s="7"/>
      <c r="Z10273" s="7"/>
    </row>
    <row r="10274" hidden="1">
      <c r="A10274" s="7"/>
      <c r="B10274" s="7"/>
      <c r="C10274" s="7"/>
      <c r="D10274" s="7"/>
      <c r="E10274" s="7"/>
      <c r="F10274" s="7"/>
      <c r="G10274" s="7"/>
      <c r="H10274" s="8"/>
      <c r="I10274" s="8"/>
      <c r="J10274" s="7"/>
      <c r="K10274" s="7"/>
      <c r="L10274" s="7"/>
      <c r="M10274" s="7"/>
      <c r="N10274" s="7"/>
      <c r="O10274" s="7"/>
      <c r="P10274" s="7"/>
      <c r="Q10274" s="7"/>
      <c r="R10274" s="7"/>
      <c r="S10274" s="7"/>
      <c r="T10274" s="7"/>
      <c r="U10274" s="7"/>
      <c r="V10274" s="7"/>
      <c r="W10274" s="7"/>
      <c r="X10274" s="7"/>
      <c r="Y10274" s="7"/>
      <c r="Z10274" s="7"/>
    </row>
    <row r="10275" hidden="1">
      <c r="A10275" s="7"/>
      <c r="B10275" s="7"/>
      <c r="C10275" s="7"/>
      <c r="D10275" s="7"/>
      <c r="E10275" s="7"/>
      <c r="F10275" s="7"/>
      <c r="G10275" s="7"/>
      <c r="H10275" s="8"/>
      <c r="I10275" s="8"/>
      <c r="J10275" s="7"/>
      <c r="K10275" s="7"/>
      <c r="L10275" s="7"/>
      <c r="M10275" s="7"/>
      <c r="N10275" s="7"/>
      <c r="O10275" s="7"/>
      <c r="P10275" s="7"/>
      <c r="Q10275" s="7"/>
      <c r="R10275" s="7"/>
      <c r="S10275" s="7"/>
      <c r="T10275" s="7"/>
      <c r="U10275" s="7"/>
      <c r="V10275" s="7"/>
      <c r="W10275" s="7"/>
      <c r="X10275" s="7"/>
      <c r="Y10275" s="7"/>
      <c r="Z10275" s="7"/>
    </row>
    <row r="10276" hidden="1">
      <c r="A10276" s="7"/>
      <c r="B10276" s="7"/>
      <c r="C10276" s="7"/>
      <c r="D10276" s="7"/>
      <c r="E10276" s="7"/>
      <c r="F10276" s="7"/>
      <c r="G10276" s="7"/>
      <c r="H10276" s="8"/>
      <c r="I10276" s="8"/>
      <c r="J10276" s="7"/>
      <c r="K10276" s="7"/>
      <c r="L10276" s="7"/>
      <c r="M10276" s="7"/>
      <c r="N10276" s="7"/>
      <c r="O10276" s="7"/>
      <c r="P10276" s="7"/>
      <c r="Q10276" s="7"/>
      <c r="R10276" s="7"/>
      <c r="S10276" s="7"/>
      <c r="T10276" s="7"/>
      <c r="U10276" s="7"/>
      <c r="V10276" s="7"/>
      <c r="W10276" s="7"/>
      <c r="X10276" s="7"/>
      <c r="Y10276" s="7"/>
      <c r="Z10276" s="7"/>
    </row>
    <row r="10277" hidden="1">
      <c r="A10277" s="7"/>
      <c r="B10277" s="7"/>
      <c r="C10277" s="7"/>
      <c r="D10277" s="7"/>
      <c r="E10277" s="7"/>
      <c r="F10277" s="7"/>
      <c r="G10277" s="7"/>
      <c r="H10277" s="8"/>
      <c r="I10277" s="8"/>
      <c r="J10277" s="7"/>
      <c r="K10277" s="7"/>
      <c r="L10277" s="7"/>
      <c r="M10277" s="7"/>
      <c r="N10277" s="7"/>
      <c r="O10277" s="7"/>
      <c r="P10277" s="7"/>
      <c r="Q10277" s="7"/>
      <c r="R10277" s="7"/>
      <c r="S10277" s="7"/>
      <c r="T10277" s="7"/>
      <c r="U10277" s="7"/>
      <c r="V10277" s="7"/>
      <c r="W10277" s="7"/>
      <c r="X10277" s="7"/>
      <c r="Y10277" s="7"/>
      <c r="Z10277" s="7"/>
    </row>
    <row r="10278" hidden="1">
      <c r="A10278" s="7"/>
      <c r="B10278" s="7"/>
      <c r="C10278" s="7"/>
      <c r="D10278" s="7"/>
      <c r="E10278" s="7"/>
      <c r="F10278" s="7"/>
      <c r="G10278" s="7"/>
      <c r="H10278" s="8"/>
      <c r="I10278" s="8"/>
      <c r="J10278" s="7"/>
      <c r="K10278" s="7"/>
      <c r="L10278" s="7"/>
      <c r="M10278" s="7"/>
      <c r="N10278" s="7"/>
      <c r="O10278" s="7"/>
      <c r="P10278" s="7"/>
      <c r="Q10278" s="7"/>
      <c r="R10278" s="7"/>
      <c r="S10278" s="7"/>
      <c r="T10278" s="7"/>
      <c r="U10278" s="7"/>
      <c r="V10278" s="7"/>
      <c r="W10278" s="7"/>
      <c r="X10278" s="7"/>
      <c r="Y10278" s="7"/>
      <c r="Z10278" s="7"/>
    </row>
    <row r="10279" hidden="1">
      <c r="A10279" s="7"/>
      <c r="B10279" s="7"/>
      <c r="C10279" s="7"/>
      <c r="D10279" s="7"/>
      <c r="E10279" s="7"/>
      <c r="F10279" s="7"/>
      <c r="G10279" s="7"/>
      <c r="H10279" s="8"/>
      <c r="I10279" s="8"/>
      <c r="J10279" s="7"/>
      <c r="K10279" s="7"/>
      <c r="L10279" s="7"/>
      <c r="M10279" s="7"/>
      <c r="N10279" s="7"/>
      <c r="O10279" s="7"/>
      <c r="P10279" s="7"/>
      <c r="Q10279" s="7"/>
      <c r="R10279" s="7"/>
      <c r="S10279" s="7"/>
      <c r="T10279" s="7"/>
      <c r="U10279" s="7"/>
      <c r="V10279" s="7"/>
      <c r="W10279" s="7"/>
      <c r="X10279" s="7"/>
      <c r="Y10279" s="7"/>
      <c r="Z10279" s="7"/>
    </row>
    <row r="10280" hidden="1">
      <c r="A10280" s="7"/>
      <c r="B10280" s="7"/>
      <c r="C10280" s="7"/>
      <c r="D10280" s="7"/>
      <c r="E10280" s="7"/>
      <c r="F10280" s="7"/>
      <c r="G10280" s="7"/>
      <c r="H10280" s="8"/>
      <c r="I10280" s="8"/>
      <c r="J10280" s="7"/>
      <c r="K10280" s="7"/>
      <c r="L10280" s="7"/>
      <c r="M10280" s="7"/>
      <c r="N10280" s="7"/>
      <c r="O10280" s="7"/>
      <c r="P10280" s="7"/>
      <c r="Q10280" s="7"/>
      <c r="R10280" s="7"/>
      <c r="S10280" s="7"/>
      <c r="T10280" s="7"/>
      <c r="U10280" s="7"/>
      <c r="V10280" s="7"/>
      <c r="W10280" s="7"/>
      <c r="X10280" s="7"/>
      <c r="Y10280" s="7"/>
      <c r="Z10280" s="7"/>
    </row>
    <row r="10281" hidden="1">
      <c r="A10281" s="7"/>
      <c r="B10281" s="7"/>
      <c r="C10281" s="7"/>
      <c r="D10281" s="7"/>
      <c r="E10281" s="7"/>
      <c r="F10281" s="7"/>
      <c r="G10281" s="7"/>
      <c r="H10281" s="8"/>
      <c r="I10281" s="8"/>
      <c r="J10281" s="7"/>
      <c r="K10281" s="7"/>
      <c r="L10281" s="7"/>
      <c r="M10281" s="7"/>
      <c r="N10281" s="7"/>
      <c r="O10281" s="7"/>
      <c r="P10281" s="7"/>
      <c r="Q10281" s="7"/>
      <c r="R10281" s="7"/>
      <c r="S10281" s="7"/>
      <c r="T10281" s="7"/>
      <c r="U10281" s="7"/>
      <c r="V10281" s="7"/>
      <c r="W10281" s="7"/>
      <c r="X10281" s="7"/>
      <c r="Y10281" s="7"/>
      <c r="Z10281" s="7"/>
    </row>
    <row r="10282" hidden="1">
      <c r="A10282" s="7"/>
      <c r="B10282" s="7"/>
      <c r="C10282" s="7"/>
      <c r="D10282" s="7"/>
      <c r="E10282" s="7"/>
      <c r="F10282" s="7"/>
      <c r="G10282" s="7"/>
      <c r="H10282" s="8"/>
      <c r="I10282" s="8"/>
      <c r="J10282" s="7"/>
      <c r="K10282" s="7"/>
      <c r="L10282" s="7"/>
      <c r="M10282" s="7"/>
      <c r="N10282" s="7"/>
      <c r="O10282" s="7"/>
      <c r="P10282" s="7"/>
      <c r="Q10282" s="7"/>
      <c r="R10282" s="7"/>
      <c r="S10282" s="7"/>
      <c r="T10282" s="7"/>
      <c r="U10282" s="7"/>
      <c r="V10282" s="7"/>
      <c r="W10282" s="7"/>
      <c r="X10282" s="7"/>
      <c r="Y10282" s="7"/>
      <c r="Z10282" s="7"/>
    </row>
    <row r="10283" hidden="1">
      <c r="A10283" s="7"/>
      <c r="B10283" s="7"/>
      <c r="C10283" s="7"/>
      <c r="D10283" s="7"/>
      <c r="E10283" s="7"/>
      <c r="F10283" s="7"/>
      <c r="G10283" s="7"/>
      <c r="H10283" s="8"/>
      <c r="I10283" s="8"/>
      <c r="J10283" s="7"/>
      <c r="K10283" s="7"/>
      <c r="L10283" s="7"/>
      <c r="M10283" s="7"/>
      <c r="N10283" s="7"/>
      <c r="O10283" s="7"/>
      <c r="P10283" s="7"/>
      <c r="Q10283" s="7"/>
      <c r="R10283" s="7"/>
      <c r="S10283" s="7"/>
      <c r="T10283" s="7"/>
      <c r="U10283" s="7"/>
      <c r="V10283" s="7"/>
      <c r="W10283" s="7"/>
      <c r="X10283" s="7"/>
      <c r="Y10283" s="7"/>
      <c r="Z10283" s="7"/>
    </row>
    <row r="10284" hidden="1">
      <c r="A10284" s="7"/>
      <c r="B10284" s="7"/>
      <c r="C10284" s="7"/>
      <c r="D10284" s="7"/>
      <c r="E10284" s="7"/>
      <c r="F10284" s="7"/>
      <c r="G10284" s="7"/>
      <c r="H10284" s="8"/>
      <c r="I10284" s="8"/>
      <c r="J10284" s="7"/>
      <c r="K10284" s="7"/>
      <c r="L10284" s="7"/>
      <c r="M10284" s="7"/>
      <c r="N10284" s="7"/>
      <c r="O10284" s="7"/>
      <c r="P10284" s="7"/>
      <c r="Q10284" s="7"/>
      <c r="R10284" s="7"/>
      <c r="S10284" s="7"/>
      <c r="T10284" s="7"/>
      <c r="U10284" s="7"/>
      <c r="V10284" s="7"/>
      <c r="W10284" s="7"/>
      <c r="X10284" s="7"/>
      <c r="Y10284" s="7"/>
      <c r="Z10284" s="7"/>
    </row>
    <row r="10285" hidden="1">
      <c r="A10285" s="7"/>
      <c r="B10285" s="7"/>
      <c r="C10285" s="7"/>
      <c r="D10285" s="7"/>
      <c r="E10285" s="7"/>
      <c r="F10285" s="7"/>
      <c r="G10285" s="7"/>
      <c r="H10285" s="8"/>
      <c r="I10285" s="8"/>
      <c r="J10285" s="7"/>
      <c r="K10285" s="7"/>
      <c r="L10285" s="7"/>
      <c r="M10285" s="7"/>
      <c r="N10285" s="7"/>
      <c r="O10285" s="7"/>
      <c r="P10285" s="7"/>
      <c r="Q10285" s="7"/>
      <c r="R10285" s="7"/>
      <c r="S10285" s="7"/>
      <c r="T10285" s="7"/>
      <c r="U10285" s="7"/>
      <c r="V10285" s="7"/>
      <c r="W10285" s="7"/>
      <c r="X10285" s="7"/>
      <c r="Y10285" s="7"/>
      <c r="Z10285" s="7"/>
    </row>
    <row r="10286" hidden="1">
      <c r="A10286" s="7"/>
      <c r="B10286" s="7"/>
      <c r="C10286" s="7"/>
      <c r="D10286" s="7"/>
      <c r="E10286" s="7"/>
      <c r="F10286" s="7"/>
      <c r="G10286" s="7"/>
      <c r="H10286" s="8"/>
      <c r="I10286" s="8"/>
      <c r="J10286" s="7"/>
      <c r="K10286" s="7"/>
      <c r="L10286" s="7"/>
      <c r="M10286" s="7"/>
      <c r="N10286" s="7"/>
      <c r="O10286" s="7"/>
      <c r="P10286" s="7"/>
      <c r="Q10286" s="7"/>
      <c r="R10286" s="7"/>
      <c r="S10286" s="7"/>
      <c r="T10286" s="7"/>
      <c r="U10286" s="7"/>
      <c r="V10286" s="7"/>
      <c r="W10286" s="7"/>
      <c r="X10286" s="7"/>
      <c r="Y10286" s="7"/>
      <c r="Z10286" s="7"/>
    </row>
    <row r="10287" hidden="1">
      <c r="A10287" s="7"/>
      <c r="B10287" s="7"/>
      <c r="C10287" s="7"/>
      <c r="D10287" s="7"/>
      <c r="E10287" s="7"/>
      <c r="F10287" s="7"/>
      <c r="G10287" s="7"/>
      <c r="H10287" s="8"/>
      <c r="I10287" s="8"/>
      <c r="J10287" s="7"/>
      <c r="K10287" s="7"/>
      <c r="L10287" s="7"/>
      <c r="M10287" s="7"/>
      <c r="N10287" s="7"/>
      <c r="O10287" s="7"/>
      <c r="P10287" s="7"/>
      <c r="Q10287" s="7"/>
      <c r="R10287" s="7"/>
      <c r="S10287" s="7"/>
      <c r="T10287" s="7"/>
      <c r="U10287" s="7"/>
      <c r="V10287" s="7"/>
      <c r="W10287" s="7"/>
      <c r="X10287" s="7"/>
      <c r="Y10287" s="7"/>
      <c r="Z10287" s="7"/>
    </row>
    <row r="10288" hidden="1">
      <c r="A10288" s="7"/>
      <c r="B10288" s="7"/>
      <c r="C10288" s="7"/>
      <c r="D10288" s="7"/>
      <c r="E10288" s="7"/>
      <c r="F10288" s="7"/>
      <c r="G10288" s="7"/>
      <c r="H10288" s="8"/>
      <c r="I10288" s="8"/>
      <c r="J10288" s="7"/>
      <c r="K10288" s="7"/>
      <c r="L10288" s="7"/>
      <c r="M10288" s="7"/>
      <c r="N10288" s="7"/>
      <c r="O10288" s="7"/>
      <c r="P10288" s="7"/>
      <c r="Q10288" s="7"/>
      <c r="R10288" s="7"/>
      <c r="S10288" s="7"/>
      <c r="T10288" s="7"/>
      <c r="U10288" s="7"/>
      <c r="V10288" s="7"/>
      <c r="W10288" s="7"/>
      <c r="X10288" s="7"/>
      <c r="Y10288" s="7"/>
      <c r="Z10288" s="7"/>
    </row>
    <row r="10289" hidden="1">
      <c r="A10289" s="7"/>
      <c r="B10289" s="7"/>
      <c r="C10289" s="7"/>
      <c r="D10289" s="7"/>
      <c r="E10289" s="7"/>
      <c r="F10289" s="7"/>
      <c r="G10289" s="7"/>
      <c r="H10289" s="8"/>
      <c r="I10289" s="8"/>
      <c r="J10289" s="7"/>
      <c r="K10289" s="7"/>
      <c r="L10289" s="7"/>
      <c r="M10289" s="7"/>
      <c r="N10289" s="7"/>
      <c r="O10289" s="7"/>
      <c r="P10289" s="7"/>
      <c r="Q10289" s="7"/>
      <c r="R10289" s="7"/>
      <c r="S10289" s="7"/>
      <c r="T10289" s="7"/>
      <c r="U10289" s="7"/>
      <c r="V10289" s="7"/>
      <c r="W10289" s="7"/>
      <c r="X10289" s="7"/>
      <c r="Y10289" s="7"/>
      <c r="Z10289" s="7"/>
    </row>
    <row r="10290" hidden="1">
      <c r="A10290" s="7"/>
      <c r="B10290" s="7"/>
      <c r="C10290" s="7"/>
      <c r="D10290" s="7"/>
      <c r="E10290" s="7"/>
      <c r="F10290" s="7"/>
      <c r="G10290" s="7"/>
      <c r="H10290" s="8"/>
      <c r="I10290" s="8"/>
      <c r="J10290" s="7"/>
      <c r="K10290" s="7"/>
      <c r="L10290" s="7"/>
      <c r="M10290" s="7"/>
      <c r="N10290" s="7"/>
      <c r="O10290" s="7"/>
      <c r="P10290" s="7"/>
      <c r="Q10290" s="7"/>
      <c r="R10290" s="7"/>
      <c r="S10290" s="7"/>
      <c r="T10290" s="7"/>
      <c r="U10290" s="7"/>
      <c r="V10290" s="7"/>
      <c r="W10290" s="7"/>
      <c r="X10290" s="7"/>
      <c r="Y10290" s="7"/>
      <c r="Z10290" s="7"/>
    </row>
    <row r="10291" hidden="1">
      <c r="A10291" s="7"/>
      <c r="B10291" s="7"/>
      <c r="C10291" s="7"/>
      <c r="D10291" s="7"/>
      <c r="E10291" s="7"/>
      <c r="F10291" s="7"/>
      <c r="G10291" s="7"/>
      <c r="H10291" s="8"/>
      <c r="I10291" s="8"/>
      <c r="J10291" s="7"/>
      <c r="K10291" s="7"/>
      <c r="L10291" s="7"/>
      <c r="M10291" s="7"/>
      <c r="N10291" s="7"/>
      <c r="O10291" s="7"/>
      <c r="P10291" s="7"/>
      <c r="Q10291" s="7"/>
      <c r="R10291" s="7"/>
      <c r="S10291" s="7"/>
      <c r="T10291" s="7"/>
      <c r="U10291" s="7"/>
      <c r="V10291" s="7"/>
      <c r="W10291" s="7"/>
      <c r="X10291" s="7"/>
      <c r="Y10291" s="7"/>
      <c r="Z10291" s="7"/>
    </row>
    <row r="10292" hidden="1">
      <c r="A10292" s="7"/>
      <c r="B10292" s="7"/>
      <c r="C10292" s="7"/>
      <c r="D10292" s="7"/>
      <c r="E10292" s="7"/>
      <c r="F10292" s="7"/>
      <c r="G10292" s="7"/>
      <c r="H10292" s="8"/>
      <c r="I10292" s="8"/>
      <c r="J10292" s="7"/>
      <c r="K10292" s="7"/>
      <c r="L10292" s="7"/>
      <c r="M10292" s="7"/>
      <c r="N10292" s="7"/>
      <c r="O10292" s="7"/>
      <c r="P10292" s="7"/>
      <c r="Q10292" s="7"/>
      <c r="R10292" s="7"/>
      <c r="S10292" s="7"/>
      <c r="T10292" s="7"/>
      <c r="U10292" s="7"/>
      <c r="V10292" s="7"/>
      <c r="W10292" s="7"/>
      <c r="X10292" s="7"/>
      <c r="Y10292" s="7"/>
      <c r="Z10292" s="7"/>
    </row>
    <row r="10293" hidden="1">
      <c r="A10293" s="7"/>
      <c r="B10293" s="7"/>
      <c r="C10293" s="7"/>
      <c r="D10293" s="7"/>
      <c r="E10293" s="7"/>
      <c r="F10293" s="7"/>
      <c r="G10293" s="7"/>
      <c r="H10293" s="8"/>
      <c r="I10293" s="8"/>
      <c r="J10293" s="7"/>
      <c r="K10293" s="7"/>
      <c r="L10293" s="7"/>
      <c r="M10293" s="7"/>
      <c r="N10293" s="7"/>
      <c r="O10293" s="7"/>
      <c r="P10293" s="7"/>
      <c r="Q10293" s="7"/>
      <c r="R10293" s="7"/>
      <c r="S10293" s="7"/>
      <c r="T10293" s="7"/>
      <c r="U10293" s="7"/>
      <c r="V10293" s="7"/>
      <c r="W10293" s="7"/>
      <c r="X10293" s="7"/>
      <c r="Y10293" s="7"/>
      <c r="Z10293" s="7"/>
    </row>
    <row r="10294" hidden="1">
      <c r="A10294" s="7"/>
      <c r="B10294" s="7"/>
      <c r="C10294" s="7"/>
      <c r="D10294" s="7"/>
      <c r="E10294" s="7"/>
      <c r="F10294" s="7"/>
      <c r="G10294" s="7"/>
      <c r="H10294" s="8"/>
      <c r="I10294" s="8"/>
      <c r="J10294" s="7"/>
      <c r="K10294" s="7"/>
      <c r="L10294" s="7"/>
      <c r="M10294" s="7"/>
      <c r="N10294" s="7"/>
      <c r="O10294" s="7"/>
      <c r="P10294" s="7"/>
      <c r="Q10294" s="7"/>
      <c r="R10294" s="7"/>
      <c r="S10294" s="7"/>
      <c r="T10294" s="7"/>
      <c r="U10294" s="7"/>
      <c r="V10294" s="7"/>
      <c r="W10294" s="7"/>
      <c r="X10294" s="7"/>
      <c r="Y10294" s="7"/>
      <c r="Z10294" s="7"/>
    </row>
    <row r="10295" hidden="1">
      <c r="A10295" s="7"/>
      <c r="B10295" s="7"/>
      <c r="C10295" s="7"/>
      <c r="D10295" s="7"/>
      <c r="E10295" s="7"/>
      <c r="F10295" s="7"/>
      <c r="G10295" s="7"/>
      <c r="H10295" s="8"/>
      <c r="I10295" s="8"/>
      <c r="J10295" s="7"/>
      <c r="K10295" s="7"/>
      <c r="L10295" s="7"/>
      <c r="M10295" s="7"/>
      <c r="N10295" s="7"/>
      <c r="O10295" s="7"/>
      <c r="P10295" s="7"/>
      <c r="Q10295" s="7"/>
      <c r="R10295" s="7"/>
      <c r="S10295" s="7"/>
      <c r="T10295" s="7"/>
      <c r="U10295" s="7"/>
      <c r="V10295" s="7"/>
      <c r="W10295" s="7"/>
      <c r="X10295" s="7"/>
      <c r="Y10295" s="7"/>
      <c r="Z10295" s="7"/>
    </row>
    <row r="10296" hidden="1">
      <c r="A10296" s="7"/>
      <c r="B10296" s="7"/>
      <c r="C10296" s="7"/>
      <c r="D10296" s="7"/>
      <c r="E10296" s="7"/>
      <c r="F10296" s="7"/>
      <c r="G10296" s="7"/>
      <c r="H10296" s="8"/>
      <c r="I10296" s="8"/>
      <c r="J10296" s="7"/>
      <c r="K10296" s="7"/>
      <c r="L10296" s="7"/>
      <c r="M10296" s="7"/>
      <c r="N10296" s="7"/>
      <c r="O10296" s="7"/>
      <c r="P10296" s="7"/>
      <c r="Q10296" s="7"/>
      <c r="R10296" s="7"/>
      <c r="S10296" s="7"/>
      <c r="T10296" s="7"/>
      <c r="U10296" s="7"/>
      <c r="V10296" s="7"/>
      <c r="W10296" s="7"/>
      <c r="X10296" s="7"/>
      <c r="Y10296" s="7"/>
      <c r="Z10296" s="7"/>
    </row>
    <row r="10297" hidden="1">
      <c r="A10297" s="7"/>
      <c r="B10297" s="7"/>
      <c r="C10297" s="7"/>
      <c r="D10297" s="7"/>
      <c r="E10297" s="7"/>
      <c r="F10297" s="7"/>
      <c r="G10297" s="7"/>
      <c r="H10297" s="8"/>
      <c r="I10297" s="8"/>
      <c r="J10297" s="7"/>
      <c r="K10297" s="7"/>
      <c r="L10297" s="7"/>
      <c r="M10297" s="7"/>
      <c r="N10297" s="7"/>
      <c r="O10297" s="7"/>
      <c r="P10297" s="7"/>
      <c r="Q10297" s="7"/>
      <c r="R10297" s="7"/>
      <c r="S10297" s="7"/>
      <c r="T10297" s="7"/>
      <c r="U10297" s="7"/>
      <c r="V10297" s="7"/>
      <c r="W10297" s="7"/>
      <c r="X10297" s="7"/>
      <c r="Y10297" s="7"/>
      <c r="Z10297" s="7"/>
    </row>
    <row r="10298" hidden="1">
      <c r="A10298" s="7"/>
      <c r="B10298" s="7"/>
      <c r="C10298" s="7"/>
      <c r="D10298" s="7"/>
      <c r="E10298" s="7"/>
      <c r="F10298" s="7"/>
      <c r="G10298" s="7"/>
      <c r="H10298" s="8"/>
      <c r="I10298" s="8"/>
      <c r="J10298" s="7"/>
      <c r="K10298" s="7"/>
      <c r="L10298" s="7"/>
      <c r="M10298" s="7"/>
      <c r="N10298" s="7"/>
      <c r="O10298" s="7"/>
      <c r="P10298" s="7"/>
      <c r="Q10298" s="7"/>
      <c r="R10298" s="7"/>
      <c r="S10298" s="7"/>
      <c r="T10298" s="7"/>
      <c r="U10298" s="7"/>
      <c r="V10298" s="7"/>
      <c r="W10298" s="7"/>
      <c r="X10298" s="7"/>
      <c r="Y10298" s="7"/>
      <c r="Z10298" s="7"/>
    </row>
    <row r="10299" hidden="1">
      <c r="A10299" s="7"/>
      <c r="B10299" s="7"/>
      <c r="C10299" s="7"/>
      <c r="D10299" s="7"/>
      <c r="E10299" s="7"/>
      <c r="F10299" s="7"/>
      <c r="G10299" s="7"/>
      <c r="H10299" s="8"/>
      <c r="I10299" s="8"/>
      <c r="J10299" s="7"/>
      <c r="K10299" s="7"/>
      <c r="L10299" s="7"/>
      <c r="M10299" s="7"/>
      <c r="N10299" s="7"/>
      <c r="O10299" s="7"/>
      <c r="P10299" s="7"/>
      <c r="Q10299" s="7"/>
      <c r="R10299" s="7"/>
      <c r="S10299" s="7"/>
      <c r="T10299" s="7"/>
      <c r="U10299" s="7"/>
      <c r="V10299" s="7"/>
      <c r="W10299" s="7"/>
      <c r="X10299" s="7"/>
      <c r="Y10299" s="7"/>
      <c r="Z10299" s="7"/>
    </row>
    <row r="10300" hidden="1">
      <c r="A10300" s="7"/>
      <c r="B10300" s="7"/>
      <c r="C10300" s="7"/>
      <c r="D10300" s="7"/>
      <c r="E10300" s="7"/>
      <c r="F10300" s="7"/>
      <c r="G10300" s="7"/>
      <c r="H10300" s="8"/>
      <c r="I10300" s="8"/>
      <c r="J10300" s="7"/>
      <c r="K10300" s="7"/>
      <c r="L10300" s="7"/>
      <c r="M10300" s="7"/>
      <c r="N10300" s="7"/>
      <c r="O10300" s="7"/>
      <c r="P10300" s="7"/>
      <c r="Q10300" s="7"/>
      <c r="R10300" s="7"/>
      <c r="S10300" s="7"/>
      <c r="T10300" s="7"/>
      <c r="U10300" s="7"/>
      <c r="V10300" s="7"/>
      <c r="W10300" s="7"/>
      <c r="X10300" s="7"/>
      <c r="Y10300" s="7"/>
      <c r="Z10300" s="7"/>
    </row>
    <row r="10301" hidden="1">
      <c r="A10301" s="7"/>
      <c r="B10301" s="7"/>
      <c r="C10301" s="7"/>
      <c r="D10301" s="7"/>
      <c r="E10301" s="7"/>
      <c r="F10301" s="7"/>
      <c r="G10301" s="7"/>
      <c r="H10301" s="8"/>
      <c r="I10301" s="8"/>
      <c r="J10301" s="7"/>
      <c r="K10301" s="7"/>
      <c r="L10301" s="7"/>
      <c r="M10301" s="7"/>
      <c r="N10301" s="7"/>
      <c r="O10301" s="7"/>
      <c r="P10301" s="7"/>
      <c r="Q10301" s="7"/>
      <c r="R10301" s="7"/>
      <c r="S10301" s="7"/>
      <c r="T10301" s="7"/>
      <c r="U10301" s="7"/>
      <c r="V10301" s="7"/>
      <c r="W10301" s="7"/>
      <c r="X10301" s="7"/>
      <c r="Y10301" s="7"/>
      <c r="Z10301" s="7"/>
    </row>
    <row r="10302" hidden="1">
      <c r="A10302" s="7"/>
      <c r="B10302" s="7"/>
      <c r="C10302" s="7"/>
      <c r="D10302" s="7"/>
      <c r="E10302" s="7"/>
      <c r="F10302" s="7"/>
      <c r="G10302" s="7"/>
      <c r="H10302" s="8"/>
      <c r="I10302" s="8"/>
      <c r="J10302" s="7"/>
      <c r="K10302" s="7"/>
      <c r="L10302" s="7"/>
      <c r="M10302" s="7"/>
      <c r="N10302" s="7"/>
      <c r="O10302" s="7"/>
      <c r="P10302" s="7"/>
      <c r="Q10302" s="7"/>
      <c r="R10302" s="7"/>
      <c r="S10302" s="7"/>
      <c r="T10302" s="7"/>
      <c r="U10302" s="7"/>
      <c r="V10302" s="7"/>
      <c r="W10302" s="7"/>
      <c r="X10302" s="7"/>
      <c r="Y10302" s="7"/>
      <c r="Z10302" s="7"/>
    </row>
    <row r="10303" hidden="1">
      <c r="A10303" s="7"/>
      <c r="B10303" s="7"/>
      <c r="C10303" s="7"/>
      <c r="D10303" s="7"/>
      <c r="E10303" s="7"/>
      <c r="F10303" s="7"/>
      <c r="G10303" s="7"/>
      <c r="H10303" s="8"/>
      <c r="I10303" s="8"/>
      <c r="J10303" s="7"/>
      <c r="K10303" s="7"/>
      <c r="L10303" s="7"/>
      <c r="M10303" s="7"/>
      <c r="N10303" s="7"/>
      <c r="O10303" s="7"/>
      <c r="P10303" s="7"/>
      <c r="Q10303" s="7"/>
      <c r="R10303" s="7"/>
      <c r="S10303" s="7"/>
      <c r="T10303" s="7"/>
      <c r="U10303" s="7"/>
      <c r="V10303" s="7"/>
      <c r="W10303" s="7"/>
      <c r="X10303" s="7"/>
      <c r="Y10303" s="7"/>
      <c r="Z10303" s="7"/>
    </row>
    <row r="10304" hidden="1">
      <c r="A10304" s="7"/>
      <c r="B10304" s="7"/>
      <c r="C10304" s="7"/>
      <c r="D10304" s="7"/>
      <c r="E10304" s="7"/>
      <c r="F10304" s="7"/>
      <c r="G10304" s="7"/>
      <c r="H10304" s="8"/>
      <c r="I10304" s="8"/>
      <c r="J10304" s="7"/>
      <c r="K10304" s="7"/>
      <c r="L10304" s="7"/>
      <c r="M10304" s="7"/>
      <c r="N10304" s="7"/>
      <c r="O10304" s="7"/>
      <c r="P10304" s="7"/>
      <c r="Q10304" s="7"/>
      <c r="R10304" s="7"/>
      <c r="S10304" s="7"/>
      <c r="T10304" s="7"/>
      <c r="U10304" s="7"/>
      <c r="V10304" s="7"/>
      <c r="W10304" s="7"/>
      <c r="X10304" s="7"/>
      <c r="Y10304" s="7"/>
      <c r="Z10304" s="7"/>
    </row>
    <row r="10305" hidden="1">
      <c r="A10305" s="7"/>
      <c r="B10305" s="7"/>
      <c r="C10305" s="7"/>
      <c r="D10305" s="7"/>
      <c r="E10305" s="7"/>
      <c r="F10305" s="7"/>
      <c r="G10305" s="7"/>
      <c r="H10305" s="8"/>
      <c r="I10305" s="8"/>
      <c r="J10305" s="7"/>
      <c r="K10305" s="7"/>
      <c r="L10305" s="7"/>
      <c r="M10305" s="7"/>
      <c r="N10305" s="7"/>
      <c r="O10305" s="7"/>
      <c r="P10305" s="7"/>
      <c r="Q10305" s="7"/>
      <c r="R10305" s="7"/>
      <c r="S10305" s="7"/>
      <c r="T10305" s="7"/>
      <c r="U10305" s="7"/>
      <c r="V10305" s="7"/>
      <c r="W10305" s="7"/>
      <c r="X10305" s="7"/>
      <c r="Y10305" s="7"/>
      <c r="Z10305" s="7"/>
    </row>
    <row r="10306" hidden="1">
      <c r="A10306" s="7"/>
      <c r="B10306" s="7"/>
      <c r="C10306" s="7"/>
      <c r="D10306" s="7"/>
      <c r="E10306" s="7"/>
      <c r="F10306" s="7"/>
      <c r="G10306" s="7"/>
      <c r="H10306" s="8"/>
      <c r="I10306" s="8"/>
      <c r="J10306" s="7"/>
      <c r="K10306" s="7"/>
      <c r="L10306" s="7"/>
      <c r="M10306" s="7"/>
      <c r="N10306" s="7"/>
      <c r="O10306" s="7"/>
      <c r="P10306" s="7"/>
      <c r="Q10306" s="7"/>
      <c r="R10306" s="7"/>
      <c r="S10306" s="7"/>
      <c r="T10306" s="7"/>
      <c r="U10306" s="7"/>
      <c r="V10306" s="7"/>
      <c r="W10306" s="7"/>
      <c r="X10306" s="7"/>
      <c r="Y10306" s="7"/>
      <c r="Z10306" s="7"/>
    </row>
    <row r="10307" hidden="1">
      <c r="A10307" s="7"/>
      <c r="B10307" s="7"/>
      <c r="C10307" s="7"/>
      <c r="D10307" s="7"/>
      <c r="E10307" s="7"/>
      <c r="F10307" s="7"/>
      <c r="G10307" s="7"/>
      <c r="H10307" s="8"/>
      <c r="I10307" s="8"/>
      <c r="J10307" s="7"/>
      <c r="K10307" s="7"/>
      <c r="L10307" s="7"/>
      <c r="M10307" s="7"/>
      <c r="N10307" s="7"/>
      <c r="O10307" s="7"/>
      <c r="P10307" s="7"/>
      <c r="Q10307" s="7"/>
      <c r="R10307" s="7"/>
      <c r="S10307" s="7"/>
      <c r="T10307" s="7"/>
      <c r="U10307" s="7"/>
      <c r="V10307" s="7"/>
      <c r="W10307" s="7"/>
      <c r="X10307" s="7"/>
      <c r="Y10307" s="7"/>
      <c r="Z10307" s="7"/>
    </row>
    <row r="10308" hidden="1">
      <c r="A10308" s="7"/>
      <c r="B10308" s="7"/>
      <c r="C10308" s="7"/>
      <c r="D10308" s="7"/>
      <c r="E10308" s="7"/>
      <c r="F10308" s="7"/>
      <c r="G10308" s="7"/>
      <c r="H10308" s="8"/>
      <c r="I10308" s="8"/>
      <c r="J10308" s="7"/>
      <c r="K10308" s="7"/>
      <c r="L10308" s="7"/>
      <c r="M10308" s="7"/>
      <c r="N10308" s="7"/>
      <c r="O10308" s="7"/>
      <c r="P10308" s="7"/>
      <c r="Q10308" s="7"/>
      <c r="R10308" s="7"/>
      <c r="S10308" s="7"/>
      <c r="T10308" s="7"/>
      <c r="U10308" s="7"/>
      <c r="V10308" s="7"/>
      <c r="W10308" s="7"/>
      <c r="X10308" s="7"/>
      <c r="Y10308" s="7"/>
      <c r="Z10308" s="7"/>
    </row>
    <row r="10309" hidden="1">
      <c r="A10309" s="7"/>
      <c r="B10309" s="7"/>
      <c r="C10309" s="7"/>
      <c r="D10309" s="7"/>
      <c r="E10309" s="7"/>
      <c r="F10309" s="7"/>
      <c r="G10309" s="7"/>
      <c r="H10309" s="8"/>
      <c r="I10309" s="8"/>
      <c r="J10309" s="7"/>
      <c r="K10309" s="7"/>
      <c r="L10309" s="7"/>
      <c r="M10309" s="7"/>
      <c r="N10309" s="7"/>
      <c r="O10309" s="7"/>
      <c r="P10309" s="7"/>
      <c r="Q10309" s="7"/>
      <c r="R10309" s="7"/>
      <c r="S10309" s="7"/>
      <c r="T10309" s="7"/>
      <c r="U10309" s="7"/>
      <c r="V10309" s="7"/>
      <c r="W10309" s="7"/>
      <c r="X10309" s="7"/>
      <c r="Y10309" s="7"/>
      <c r="Z10309" s="7"/>
    </row>
    <row r="10310" hidden="1">
      <c r="A10310" s="7"/>
      <c r="B10310" s="7"/>
      <c r="C10310" s="7"/>
      <c r="D10310" s="7"/>
      <c r="E10310" s="7"/>
      <c r="F10310" s="7"/>
      <c r="G10310" s="7"/>
      <c r="H10310" s="8"/>
      <c r="I10310" s="8"/>
      <c r="J10310" s="7"/>
      <c r="K10310" s="7"/>
      <c r="L10310" s="7"/>
      <c r="M10310" s="7"/>
      <c r="N10310" s="7"/>
      <c r="O10310" s="7"/>
      <c r="P10310" s="7"/>
      <c r="Q10310" s="7"/>
      <c r="R10310" s="7"/>
      <c r="S10310" s="7"/>
      <c r="T10310" s="7"/>
      <c r="U10310" s="7"/>
      <c r="V10310" s="7"/>
      <c r="W10310" s="7"/>
      <c r="X10310" s="7"/>
      <c r="Y10310" s="7"/>
      <c r="Z10310" s="7"/>
    </row>
    <row r="10311" hidden="1">
      <c r="A10311" s="7"/>
      <c r="B10311" s="7"/>
      <c r="C10311" s="7"/>
      <c r="D10311" s="7"/>
      <c r="E10311" s="7"/>
      <c r="F10311" s="7"/>
      <c r="G10311" s="7"/>
      <c r="H10311" s="8"/>
      <c r="I10311" s="8"/>
      <c r="J10311" s="7"/>
      <c r="K10311" s="7"/>
      <c r="L10311" s="7"/>
      <c r="M10311" s="7"/>
      <c r="N10311" s="7"/>
      <c r="O10311" s="7"/>
      <c r="P10311" s="7"/>
      <c r="Q10311" s="7"/>
      <c r="R10311" s="7"/>
      <c r="S10311" s="7"/>
      <c r="T10311" s="7"/>
      <c r="U10311" s="7"/>
      <c r="V10311" s="7"/>
      <c r="W10311" s="7"/>
      <c r="X10311" s="7"/>
      <c r="Y10311" s="7"/>
      <c r="Z10311" s="7"/>
    </row>
    <row r="10312" hidden="1">
      <c r="A10312" s="7"/>
      <c r="B10312" s="7"/>
      <c r="C10312" s="7"/>
      <c r="D10312" s="7"/>
      <c r="E10312" s="7"/>
      <c r="F10312" s="7"/>
      <c r="G10312" s="7"/>
      <c r="H10312" s="8"/>
      <c r="I10312" s="8"/>
      <c r="J10312" s="7"/>
      <c r="K10312" s="7"/>
      <c r="L10312" s="7"/>
      <c r="M10312" s="7"/>
      <c r="N10312" s="7"/>
      <c r="O10312" s="7"/>
      <c r="P10312" s="7"/>
      <c r="Q10312" s="7"/>
      <c r="R10312" s="7"/>
      <c r="S10312" s="7"/>
      <c r="T10312" s="7"/>
      <c r="U10312" s="7"/>
      <c r="V10312" s="7"/>
      <c r="W10312" s="7"/>
      <c r="X10312" s="7"/>
      <c r="Y10312" s="7"/>
      <c r="Z10312" s="7"/>
    </row>
    <row r="10313" hidden="1">
      <c r="A10313" s="7"/>
      <c r="B10313" s="7"/>
      <c r="C10313" s="7"/>
      <c r="D10313" s="7"/>
      <c r="E10313" s="7"/>
      <c r="F10313" s="7"/>
      <c r="G10313" s="7"/>
      <c r="H10313" s="8"/>
      <c r="I10313" s="8"/>
      <c r="J10313" s="7"/>
      <c r="K10313" s="7"/>
      <c r="L10313" s="7"/>
      <c r="M10313" s="7"/>
      <c r="N10313" s="7"/>
      <c r="O10313" s="7"/>
      <c r="P10313" s="7"/>
      <c r="Q10313" s="7"/>
      <c r="R10313" s="7"/>
      <c r="S10313" s="7"/>
      <c r="T10313" s="7"/>
      <c r="U10313" s="7"/>
      <c r="V10313" s="7"/>
      <c r="W10313" s="7"/>
      <c r="X10313" s="7"/>
      <c r="Y10313" s="7"/>
      <c r="Z10313" s="7"/>
    </row>
    <row r="10314" hidden="1">
      <c r="A10314" s="7"/>
      <c r="B10314" s="7"/>
      <c r="C10314" s="7"/>
      <c r="D10314" s="7"/>
      <c r="E10314" s="7"/>
      <c r="F10314" s="7"/>
      <c r="G10314" s="7"/>
      <c r="H10314" s="8"/>
      <c r="I10314" s="8"/>
      <c r="J10314" s="7"/>
      <c r="K10314" s="7"/>
      <c r="L10314" s="7"/>
      <c r="M10314" s="7"/>
      <c r="N10314" s="7"/>
      <c r="O10314" s="7"/>
      <c r="P10314" s="7"/>
      <c r="Q10314" s="7"/>
      <c r="R10314" s="7"/>
      <c r="S10314" s="7"/>
      <c r="T10314" s="7"/>
      <c r="U10314" s="7"/>
      <c r="V10314" s="7"/>
      <c r="W10314" s="7"/>
      <c r="X10314" s="7"/>
      <c r="Y10314" s="7"/>
      <c r="Z10314" s="7"/>
    </row>
    <row r="10315" hidden="1">
      <c r="A10315" s="7"/>
      <c r="B10315" s="7"/>
      <c r="C10315" s="7"/>
      <c r="D10315" s="7"/>
      <c r="E10315" s="7"/>
      <c r="F10315" s="7"/>
      <c r="G10315" s="7"/>
      <c r="H10315" s="8"/>
      <c r="I10315" s="8"/>
      <c r="J10315" s="7"/>
      <c r="K10315" s="7"/>
      <c r="L10315" s="7"/>
      <c r="M10315" s="7"/>
      <c r="N10315" s="7"/>
      <c r="O10315" s="7"/>
      <c r="P10315" s="7"/>
      <c r="Q10315" s="7"/>
      <c r="R10315" s="7"/>
      <c r="S10315" s="7"/>
      <c r="T10315" s="7"/>
      <c r="U10315" s="7"/>
      <c r="V10315" s="7"/>
      <c r="W10315" s="7"/>
      <c r="X10315" s="7"/>
      <c r="Y10315" s="7"/>
      <c r="Z10315" s="7"/>
    </row>
    <row r="10316" hidden="1">
      <c r="A10316" s="7"/>
      <c r="B10316" s="7"/>
      <c r="C10316" s="7"/>
      <c r="D10316" s="7"/>
      <c r="E10316" s="7"/>
      <c r="F10316" s="7"/>
      <c r="G10316" s="7"/>
      <c r="H10316" s="8"/>
      <c r="I10316" s="8"/>
      <c r="J10316" s="7"/>
      <c r="K10316" s="7"/>
      <c r="L10316" s="7"/>
      <c r="M10316" s="7"/>
      <c r="N10316" s="7"/>
      <c r="O10316" s="7"/>
      <c r="P10316" s="7"/>
      <c r="Q10316" s="7"/>
      <c r="R10316" s="7"/>
      <c r="S10316" s="7"/>
      <c r="T10316" s="7"/>
      <c r="U10316" s="7"/>
      <c r="V10316" s="7"/>
      <c r="W10316" s="7"/>
      <c r="X10316" s="7"/>
      <c r="Y10316" s="7"/>
      <c r="Z10316" s="7"/>
    </row>
    <row r="10317" hidden="1">
      <c r="A10317" s="7"/>
      <c r="B10317" s="7"/>
      <c r="C10317" s="7"/>
      <c r="D10317" s="7"/>
      <c r="E10317" s="7"/>
      <c r="F10317" s="7"/>
      <c r="G10317" s="7"/>
      <c r="H10317" s="8"/>
      <c r="I10317" s="8"/>
      <c r="J10317" s="7"/>
      <c r="K10317" s="7"/>
      <c r="L10317" s="7"/>
      <c r="M10317" s="7"/>
      <c r="N10317" s="7"/>
      <c r="O10317" s="7"/>
      <c r="P10317" s="7"/>
      <c r="Q10317" s="7"/>
      <c r="R10317" s="7"/>
      <c r="S10317" s="7"/>
      <c r="T10317" s="7"/>
      <c r="U10317" s="7"/>
      <c r="V10317" s="7"/>
      <c r="W10317" s="7"/>
      <c r="X10317" s="7"/>
      <c r="Y10317" s="7"/>
      <c r="Z10317" s="7"/>
    </row>
    <row r="10318" hidden="1">
      <c r="A10318" s="7"/>
      <c r="B10318" s="7"/>
      <c r="C10318" s="7"/>
      <c r="D10318" s="7"/>
      <c r="E10318" s="7"/>
      <c r="F10318" s="7"/>
      <c r="G10318" s="7"/>
      <c r="H10318" s="8"/>
      <c r="I10318" s="8"/>
      <c r="J10318" s="7"/>
      <c r="K10318" s="7"/>
      <c r="L10318" s="7"/>
      <c r="M10318" s="7"/>
      <c r="N10318" s="7"/>
      <c r="O10318" s="7"/>
      <c r="P10318" s="7"/>
      <c r="Q10318" s="7"/>
      <c r="R10318" s="7"/>
      <c r="S10318" s="7"/>
      <c r="T10318" s="7"/>
      <c r="U10318" s="7"/>
      <c r="V10318" s="7"/>
      <c r="W10318" s="7"/>
      <c r="X10318" s="7"/>
      <c r="Y10318" s="7"/>
      <c r="Z10318" s="7"/>
    </row>
    <row r="10319" hidden="1">
      <c r="A10319" s="7"/>
      <c r="B10319" s="7"/>
      <c r="C10319" s="7"/>
      <c r="D10319" s="7"/>
      <c r="E10319" s="7"/>
      <c r="F10319" s="7"/>
      <c r="G10319" s="7"/>
      <c r="H10319" s="8"/>
      <c r="I10319" s="8"/>
      <c r="J10319" s="7"/>
      <c r="K10319" s="7"/>
      <c r="L10319" s="7"/>
      <c r="M10319" s="7"/>
      <c r="N10319" s="7"/>
      <c r="O10319" s="7"/>
      <c r="P10319" s="7"/>
      <c r="Q10319" s="7"/>
      <c r="R10319" s="7"/>
      <c r="S10319" s="7"/>
      <c r="T10319" s="7"/>
      <c r="U10319" s="7"/>
      <c r="V10319" s="7"/>
      <c r="W10319" s="7"/>
      <c r="X10319" s="7"/>
      <c r="Y10319" s="7"/>
      <c r="Z10319" s="7"/>
    </row>
    <row r="10320" hidden="1">
      <c r="A10320" s="7"/>
      <c r="B10320" s="7"/>
      <c r="C10320" s="7"/>
      <c r="D10320" s="7"/>
      <c r="E10320" s="7"/>
      <c r="F10320" s="7"/>
      <c r="G10320" s="7"/>
      <c r="H10320" s="8"/>
      <c r="I10320" s="8"/>
      <c r="J10320" s="7"/>
      <c r="K10320" s="7"/>
      <c r="L10320" s="7"/>
      <c r="M10320" s="7"/>
      <c r="N10320" s="7"/>
      <c r="O10320" s="7"/>
      <c r="P10320" s="7"/>
      <c r="Q10320" s="7"/>
      <c r="R10320" s="7"/>
      <c r="S10320" s="7"/>
      <c r="T10320" s="7"/>
      <c r="U10320" s="7"/>
      <c r="V10320" s="7"/>
      <c r="W10320" s="7"/>
      <c r="X10320" s="7"/>
      <c r="Y10320" s="7"/>
      <c r="Z10320" s="7"/>
    </row>
    <row r="10321" hidden="1">
      <c r="A10321" s="7"/>
      <c r="B10321" s="7"/>
      <c r="C10321" s="7"/>
      <c r="D10321" s="7"/>
      <c r="E10321" s="7"/>
      <c r="F10321" s="7"/>
      <c r="G10321" s="7"/>
      <c r="H10321" s="8"/>
      <c r="I10321" s="8"/>
      <c r="J10321" s="7"/>
      <c r="K10321" s="7"/>
      <c r="L10321" s="7"/>
      <c r="M10321" s="7"/>
      <c r="N10321" s="7"/>
      <c r="O10321" s="7"/>
      <c r="P10321" s="7"/>
      <c r="Q10321" s="7"/>
      <c r="R10321" s="7"/>
      <c r="S10321" s="7"/>
      <c r="T10321" s="7"/>
      <c r="U10321" s="7"/>
      <c r="V10321" s="7"/>
      <c r="W10321" s="7"/>
      <c r="X10321" s="7"/>
      <c r="Y10321" s="7"/>
      <c r="Z10321" s="7"/>
    </row>
    <row r="10322" hidden="1">
      <c r="A10322" s="7"/>
      <c r="B10322" s="7"/>
      <c r="C10322" s="7"/>
      <c r="D10322" s="7"/>
      <c r="E10322" s="7"/>
      <c r="F10322" s="7"/>
      <c r="G10322" s="7"/>
      <c r="H10322" s="8"/>
      <c r="I10322" s="8"/>
      <c r="J10322" s="7"/>
      <c r="K10322" s="7"/>
      <c r="L10322" s="7"/>
      <c r="M10322" s="7"/>
      <c r="N10322" s="7"/>
      <c r="O10322" s="7"/>
      <c r="P10322" s="7"/>
      <c r="Q10322" s="7"/>
      <c r="R10322" s="7"/>
      <c r="S10322" s="7"/>
      <c r="T10322" s="7"/>
      <c r="U10322" s="7"/>
      <c r="V10322" s="7"/>
      <c r="W10322" s="7"/>
      <c r="X10322" s="7"/>
      <c r="Y10322" s="7"/>
      <c r="Z10322" s="7"/>
    </row>
    <row r="10323" hidden="1">
      <c r="A10323" s="7"/>
      <c r="B10323" s="7"/>
      <c r="C10323" s="7"/>
      <c r="D10323" s="7"/>
      <c r="E10323" s="7"/>
      <c r="F10323" s="7"/>
      <c r="G10323" s="7"/>
      <c r="H10323" s="8"/>
      <c r="I10323" s="8"/>
      <c r="J10323" s="7"/>
      <c r="K10323" s="7"/>
      <c r="L10323" s="7"/>
      <c r="M10323" s="7"/>
      <c r="N10323" s="7"/>
      <c r="O10323" s="7"/>
      <c r="P10323" s="7"/>
      <c r="Q10323" s="7"/>
      <c r="R10323" s="7"/>
      <c r="S10323" s="7"/>
      <c r="T10323" s="7"/>
      <c r="U10323" s="7"/>
      <c r="V10323" s="7"/>
      <c r="W10323" s="7"/>
      <c r="X10323" s="7"/>
      <c r="Y10323" s="7"/>
      <c r="Z10323" s="7"/>
    </row>
    <row r="10324" hidden="1">
      <c r="A10324" s="7"/>
      <c r="B10324" s="7"/>
      <c r="C10324" s="7"/>
      <c r="D10324" s="7"/>
      <c r="E10324" s="7"/>
      <c r="F10324" s="7"/>
      <c r="G10324" s="7"/>
      <c r="H10324" s="8"/>
      <c r="I10324" s="8"/>
      <c r="J10324" s="7"/>
      <c r="K10324" s="7"/>
      <c r="L10324" s="7"/>
      <c r="M10324" s="7"/>
      <c r="N10324" s="7"/>
      <c r="O10324" s="7"/>
      <c r="P10324" s="7"/>
      <c r="Q10324" s="7"/>
      <c r="R10324" s="7"/>
      <c r="S10324" s="7"/>
      <c r="T10324" s="7"/>
      <c r="U10324" s="7"/>
      <c r="V10324" s="7"/>
      <c r="W10324" s="7"/>
      <c r="X10324" s="7"/>
      <c r="Y10324" s="7"/>
      <c r="Z10324" s="7"/>
    </row>
    <row r="10325" hidden="1">
      <c r="A10325" s="7"/>
      <c r="B10325" s="7"/>
      <c r="C10325" s="7"/>
      <c r="D10325" s="7"/>
      <c r="E10325" s="7"/>
      <c r="F10325" s="7"/>
      <c r="G10325" s="7"/>
      <c r="H10325" s="8"/>
      <c r="I10325" s="8"/>
      <c r="J10325" s="7"/>
      <c r="K10325" s="7"/>
      <c r="L10325" s="7"/>
      <c r="M10325" s="7"/>
      <c r="N10325" s="7"/>
      <c r="O10325" s="7"/>
      <c r="P10325" s="7"/>
      <c r="Q10325" s="7"/>
      <c r="R10325" s="7"/>
      <c r="S10325" s="7"/>
      <c r="T10325" s="7"/>
      <c r="U10325" s="7"/>
      <c r="V10325" s="7"/>
      <c r="W10325" s="7"/>
      <c r="X10325" s="7"/>
      <c r="Y10325" s="7"/>
      <c r="Z10325" s="7"/>
    </row>
    <row r="10326" hidden="1">
      <c r="A10326" s="7"/>
      <c r="B10326" s="7"/>
      <c r="C10326" s="7"/>
      <c r="D10326" s="7"/>
      <c r="E10326" s="7"/>
      <c r="F10326" s="7"/>
      <c r="G10326" s="7"/>
      <c r="H10326" s="8"/>
      <c r="I10326" s="8"/>
      <c r="J10326" s="7"/>
      <c r="K10326" s="7"/>
      <c r="L10326" s="7"/>
      <c r="M10326" s="7"/>
      <c r="N10326" s="7"/>
      <c r="O10326" s="7"/>
      <c r="P10326" s="7"/>
      <c r="Q10326" s="7"/>
      <c r="R10326" s="7"/>
      <c r="S10326" s="7"/>
      <c r="T10326" s="7"/>
      <c r="U10326" s="7"/>
      <c r="V10326" s="7"/>
      <c r="W10326" s="7"/>
      <c r="X10326" s="7"/>
      <c r="Y10326" s="7"/>
      <c r="Z10326" s="7"/>
    </row>
    <row r="10327" hidden="1">
      <c r="A10327" s="7"/>
      <c r="B10327" s="7"/>
      <c r="C10327" s="7"/>
      <c r="D10327" s="7"/>
      <c r="E10327" s="7"/>
      <c r="F10327" s="7"/>
      <c r="G10327" s="7"/>
      <c r="H10327" s="8"/>
      <c r="I10327" s="8"/>
      <c r="J10327" s="7"/>
      <c r="K10327" s="7"/>
      <c r="L10327" s="7"/>
      <c r="M10327" s="7"/>
      <c r="N10327" s="7"/>
      <c r="O10327" s="7"/>
      <c r="P10327" s="7"/>
      <c r="Q10327" s="7"/>
      <c r="R10327" s="7"/>
      <c r="S10327" s="7"/>
      <c r="T10327" s="7"/>
      <c r="U10327" s="7"/>
      <c r="V10327" s="7"/>
      <c r="W10327" s="7"/>
      <c r="X10327" s="7"/>
      <c r="Y10327" s="7"/>
      <c r="Z10327" s="7"/>
    </row>
    <row r="10328" hidden="1">
      <c r="A10328" s="7"/>
      <c r="B10328" s="7"/>
      <c r="C10328" s="7"/>
      <c r="D10328" s="7"/>
      <c r="E10328" s="7"/>
      <c r="F10328" s="7"/>
      <c r="G10328" s="7"/>
      <c r="H10328" s="8"/>
      <c r="I10328" s="8"/>
      <c r="J10328" s="7"/>
      <c r="K10328" s="7"/>
      <c r="L10328" s="7"/>
      <c r="M10328" s="7"/>
      <c r="N10328" s="7"/>
      <c r="O10328" s="7"/>
      <c r="P10328" s="7"/>
      <c r="Q10328" s="7"/>
      <c r="R10328" s="7"/>
      <c r="S10328" s="7"/>
      <c r="T10328" s="7"/>
      <c r="U10328" s="7"/>
      <c r="V10328" s="7"/>
      <c r="W10328" s="7"/>
      <c r="X10328" s="7"/>
      <c r="Y10328" s="7"/>
      <c r="Z10328" s="7"/>
    </row>
    <row r="10329" hidden="1">
      <c r="A10329" s="7"/>
      <c r="B10329" s="7"/>
      <c r="C10329" s="7"/>
      <c r="D10329" s="7"/>
      <c r="E10329" s="7"/>
      <c r="F10329" s="7"/>
      <c r="G10329" s="7"/>
      <c r="H10329" s="8"/>
      <c r="I10329" s="8"/>
      <c r="J10329" s="7"/>
      <c r="K10329" s="7"/>
      <c r="L10329" s="7"/>
      <c r="M10329" s="7"/>
      <c r="N10329" s="7"/>
      <c r="O10329" s="7"/>
      <c r="P10329" s="7"/>
      <c r="Q10329" s="7"/>
      <c r="R10329" s="7"/>
      <c r="S10329" s="7"/>
      <c r="T10329" s="7"/>
      <c r="U10329" s="7"/>
      <c r="V10329" s="7"/>
      <c r="W10329" s="7"/>
      <c r="X10329" s="7"/>
      <c r="Y10329" s="7"/>
      <c r="Z10329" s="7"/>
    </row>
    <row r="10330" hidden="1">
      <c r="A10330" s="7"/>
      <c r="B10330" s="7"/>
      <c r="C10330" s="7"/>
      <c r="D10330" s="7"/>
      <c r="E10330" s="7"/>
      <c r="F10330" s="7"/>
      <c r="G10330" s="7"/>
      <c r="H10330" s="8"/>
      <c r="I10330" s="8"/>
      <c r="J10330" s="7"/>
      <c r="K10330" s="7"/>
      <c r="L10330" s="7"/>
      <c r="M10330" s="7"/>
      <c r="N10330" s="7"/>
      <c r="O10330" s="7"/>
      <c r="P10330" s="7"/>
      <c r="Q10330" s="7"/>
      <c r="R10330" s="7"/>
      <c r="S10330" s="7"/>
      <c r="T10330" s="7"/>
      <c r="U10330" s="7"/>
      <c r="V10330" s="7"/>
      <c r="W10330" s="7"/>
      <c r="X10330" s="7"/>
      <c r="Y10330" s="7"/>
      <c r="Z10330" s="7"/>
    </row>
    <row r="10331" hidden="1">
      <c r="A10331" s="7"/>
      <c r="B10331" s="7"/>
      <c r="C10331" s="7"/>
      <c r="D10331" s="7"/>
      <c r="E10331" s="7"/>
      <c r="F10331" s="7"/>
      <c r="G10331" s="7"/>
      <c r="H10331" s="8"/>
      <c r="I10331" s="8"/>
      <c r="J10331" s="7"/>
      <c r="K10331" s="7"/>
      <c r="L10331" s="7"/>
      <c r="M10331" s="7"/>
      <c r="N10331" s="7"/>
      <c r="O10331" s="7"/>
      <c r="P10331" s="7"/>
      <c r="Q10331" s="7"/>
      <c r="R10331" s="7"/>
      <c r="S10331" s="7"/>
      <c r="T10331" s="7"/>
      <c r="U10331" s="7"/>
      <c r="V10331" s="7"/>
      <c r="W10331" s="7"/>
      <c r="X10331" s="7"/>
      <c r="Y10331" s="7"/>
      <c r="Z10331" s="7"/>
    </row>
    <row r="10332" hidden="1">
      <c r="A10332" s="7"/>
      <c r="B10332" s="7"/>
      <c r="C10332" s="7"/>
      <c r="D10332" s="7"/>
      <c r="E10332" s="7"/>
      <c r="F10332" s="7"/>
      <c r="G10332" s="7"/>
      <c r="H10332" s="8"/>
      <c r="I10332" s="8"/>
      <c r="J10332" s="7"/>
      <c r="K10332" s="7"/>
      <c r="L10332" s="7"/>
      <c r="M10332" s="7"/>
      <c r="N10332" s="7"/>
      <c r="O10332" s="7"/>
      <c r="P10332" s="7"/>
      <c r="Q10332" s="7"/>
      <c r="R10332" s="7"/>
      <c r="S10332" s="7"/>
      <c r="T10332" s="7"/>
      <c r="U10332" s="7"/>
      <c r="V10332" s="7"/>
      <c r="W10332" s="7"/>
      <c r="X10332" s="7"/>
      <c r="Y10332" s="7"/>
      <c r="Z10332" s="7"/>
    </row>
    <row r="10333" hidden="1">
      <c r="A10333" s="7"/>
      <c r="B10333" s="7"/>
      <c r="C10333" s="7"/>
      <c r="D10333" s="7"/>
      <c r="E10333" s="7"/>
      <c r="F10333" s="7"/>
      <c r="G10333" s="7"/>
      <c r="H10333" s="8"/>
      <c r="I10333" s="8"/>
      <c r="J10333" s="7"/>
      <c r="K10333" s="7"/>
      <c r="L10333" s="7"/>
      <c r="M10333" s="7"/>
      <c r="N10333" s="7"/>
      <c r="O10333" s="7"/>
      <c r="P10333" s="7"/>
      <c r="Q10333" s="7"/>
      <c r="R10333" s="7"/>
      <c r="S10333" s="7"/>
      <c r="T10333" s="7"/>
      <c r="U10333" s="7"/>
      <c r="V10333" s="7"/>
      <c r="W10333" s="7"/>
      <c r="X10333" s="7"/>
      <c r="Y10333" s="7"/>
      <c r="Z10333" s="7"/>
    </row>
    <row r="10334" hidden="1">
      <c r="A10334" s="7"/>
      <c r="B10334" s="7"/>
      <c r="C10334" s="7"/>
      <c r="D10334" s="7"/>
      <c r="E10334" s="7"/>
      <c r="F10334" s="7"/>
      <c r="G10334" s="7"/>
      <c r="H10334" s="8"/>
      <c r="I10334" s="8"/>
      <c r="J10334" s="7"/>
      <c r="K10334" s="7"/>
      <c r="L10334" s="7"/>
      <c r="M10334" s="7"/>
      <c r="N10334" s="7"/>
      <c r="O10334" s="7"/>
      <c r="P10334" s="7"/>
      <c r="Q10334" s="7"/>
      <c r="R10334" s="7"/>
      <c r="S10334" s="7"/>
      <c r="T10334" s="7"/>
      <c r="U10334" s="7"/>
      <c r="V10334" s="7"/>
      <c r="W10334" s="7"/>
      <c r="X10334" s="7"/>
      <c r="Y10334" s="7"/>
      <c r="Z10334" s="7"/>
    </row>
    <row r="10335" hidden="1">
      <c r="A10335" s="7"/>
      <c r="B10335" s="7"/>
      <c r="C10335" s="7"/>
      <c r="D10335" s="7"/>
      <c r="E10335" s="7"/>
      <c r="F10335" s="7"/>
      <c r="G10335" s="7"/>
      <c r="H10335" s="8"/>
      <c r="I10335" s="8"/>
      <c r="J10335" s="7"/>
      <c r="K10335" s="7"/>
      <c r="L10335" s="7"/>
      <c r="M10335" s="7"/>
      <c r="N10335" s="7"/>
      <c r="O10335" s="7"/>
      <c r="P10335" s="7"/>
      <c r="Q10335" s="7"/>
      <c r="R10335" s="7"/>
      <c r="S10335" s="7"/>
      <c r="T10335" s="7"/>
      <c r="U10335" s="7"/>
      <c r="V10335" s="7"/>
      <c r="W10335" s="7"/>
      <c r="X10335" s="7"/>
      <c r="Y10335" s="7"/>
      <c r="Z10335" s="7"/>
    </row>
    <row r="10336" hidden="1">
      <c r="A10336" s="7"/>
      <c r="B10336" s="7"/>
      <c r="C10336" s="7"/>
      <c r="D10336" s="7"/>
      <c r="E10336" s="7"/>
      <c r="F10336" s="7"/>
      <c r="G10336" s="7"/>
      <c r="H10336" s="8"/>
      <c r="I10336" s="8"/>
      <c r="J10336" s="7"/>
      <c r="K10336" s="7"/>
      <c r="L10336" s="7"/>
      <c r="M10336" s="7"/>
      <c r="N10336" s="7"/>
      <c r="O10336" s="7"/>
      <c r="P10336" s="7"/>
      <c r="Q10336" s="7"/>
      <c r="R10336" s="7"/>
      <c r="S10336" s="7"/>
      <c r="T10336" s="7"/>
      <c r="U10336" s="7"/>
      <c r="V10336" s="7"/>
      <c r="W10336" s="7"/>
      <c r="X10336" s="7"/>
      <c r="Y10336" s="7"/>
      <c r="Z10336" s="7"/>
    </row>
    <row r="10337" hidden="1">
      <c r="A10337" s="7"/>
      <c r="B10337" s="7"/>
      <c r="C10337" s="7"/>
      <c r="D10337" s="7"/>
      <c r="E10337" s="7"/>
      <c r="F10337" s="7"/>
      <c r="G10337" s="7"/>
      <c r="H10337" s="8"/>
      <c r="I10337" s="8"/>
      <c r="J10337" s="7"/>
      <c r="K10337" s="7"/>
      <c r="L10337" s="7"/>
      <c r="M10337" s="7"/>
      <c r="N10337" s="7"/>
      <c r="O10337" s="7"/>
      <c r="P10337" s="7"/>
      <c r="Q10337" s="7"/>
      <c r="R10337" s="7"/>
      <c r="S10337" s="7"/>
      <c r="T10337" s="7"/>
      <c r="U10337" s="7"/>
      <c r="V10337" s="7"/>
      <c r="W10337" s="7"/>
      <c r="X10337" s="7"/>
      <c r="Y10337" s="7"/>
      <c r="Z10337" s="7"/>
    </row>
    <row r="10338" hidden="1">
      <c r="A10338" s="7"/>
      <c r="B10338" s="7"/>
      <c r="C10338" s="7"/>
      <c r="D10338" s="7"/>
      <c r="E10338" s="7"/>
      <c r="F10338" s="7"/>
      <c r="G10338" s="7"/>
      <c r="H10338" s="8"/>
      <c r="I10338" s="8"/>
      <c r="J10338" s="7"/>
      <c r="K10338" s="7"/>
      <c r="L10338" s="7"/>
      <c r="M10338" s="7"/>
      <c r="N10338" s="7"/>
      <c r="O10338" s="7"/>
      <c r="P10338" s="7"/>
      <c r="Q10338" s="7"/>
      <c r="R10338" s="7"/>
      <c r="S10338" s="7"/>
      <c r="T10338" s="7"/>
      <c r="U10338" s="7"/>
      <c r="V10338" s="7"/>
      <c r="W10338" s="7"/>
      <c r="X10338" s="7"/>
      <c r="Y10338" s="7"/>
      <c r="Z10338" s="7"/>
    </row>
    <row r="10339" hidden="1">
      <c r="A10339" s="7"/>
      <c r="B10339" s="7"/>
      <c r="C10339" s="7"/>
      <c r="D10339" s="7"/>
      <c r="E10339" s="7"/>
      <c r="F10339" s="7"/>
      <c r="G10339" s="7"/>
      <c r="H10339" s="8"/>
      <c r="I10339" s="8"/>
      <c r="J10339" s="7"/>
      <c r="K10339" s="7"/>
      <c r="L10339" s="7"/>
      <c r="M10339" s="7"/>
      <c r="N10339" s="7"/>
      <c r="O10339" s="7"/>
      <c r="P10339" s="7"/>
      <c r="Q10339" s="7"/>
      <c r="R10339" s="7"/>
      <c r="S10339" s="7"/>
      <c r="T10339" s="7"/>
      <c r="U10339" s="7"/>
      <c r="V10339" s="7"/>
      <c r="W10339" s="7"/>
      <c r="X10339" s="7"/>
      <c r="Y10339" s="7"/>
      <c r="Z10339" s="7"/>
    </row>
    <row r="10340" hidden="1">
      <c r="A10340" s="7"/>
      <c r="B10340" s="7"/>
      <c r="C10340" s="7"/>
      <c r="D10340" s="7"/>
      <c r="E10340" s="7"/>
      <c r="F10340" s="7"/>
      <c r="G10340" s="7"/>
      <c r="H10340" s="8"/>
      <c r="I10340" s="8"/>
      <c r="J10340" s="7"/>
      <c r="K10340" s="7"/>
      <c r="L10340" s="7"/>
      <c r="M10340" s="7"/>
      <c r="N10340" s="7"/>
      <c r="O10340" s="7"/>
      <c r="P10340" s="7"/>
      <c r="Q10340" s="7"/>
      <c r="R10340" s="7"/>
      <c r="S10340" s="7"/>
      <c r="T10340" s="7"/>
      <c r="U10340" s="7"/>
      <c r="V10340" s="7"/>
      <c r="W10340" s="7"/>
      <c r="X10340" s="7"/>
      <c r="Y10340" s="7"/>
      <c r="Z10340" s="7"/>
    </row>
    <row r="10341" hidden="1">
      <c r="A10341" s="7"/>
      <c r="B10341" s="7"/>
      <c r="C10341" s="7"/>
      <c r="D10341" s="7"/>
      <c r="E10341" s="7"/>
      <c r="F10341" s="7"/>
      <c r="G10341" s="7"/>
      <c r="H10341" s="8"/>
      <c r="I10341" s="8"/>
      <c r="J10341" s="7"/>
      <c r="K10341" s="7"/>
      <c r="L10341" s="7"/>
      <c r="M10341" s="7"/>
      <c r="N10341" s="7"/>
      <c r="O10341" s="7"/>
      <c r="P10341" s="7"/>
      <c r="Q10341" s="7"/>
      <c r="R10341" s="7"/>
      <c r="S10341" s="7"/>
      <c r="T10341" s="7"/>
      <c r="U10341" s="7"/>
      <c r="V10341" s="7"/>
      <c r="W10341" s="7"/>
      <c r="X10341" s="7"/>
      <c r="Y10341" s="7"/>
      <c r="Z10341" s="7"/>
    </row>
    <row r="10342" hidden="1">
      <c r="A10342" s="7"/>
      <c r="B10342" s="7"/>
      <c r="C10342" s="7"/>
      <c r="D10342" s="7"/>
      <c r="E10342" s="7"/>
      <c r="F10342" s="7"/>
      <c r="G10342" s="7"/>
      <c r="H10342" s="8"/>
      <c r="I10342" s="8"/>
      <c r="J10342" s="7"/>
      <c r="K10342" s="7"/>
      <c r="L10342" s="7"/>
      <c r="M10342" s="7"/>
      <c r="N10342" s="7"/>
      <c r="O10342" s="7"/>
      <c r="P10342" s="7"/>
      <c r="Q10342" s="7"/>
      <c r="R10342" s="7"/>
      <c r="S10342" s="7"/>
      <c r="T10342" s="7"/>
      <c r="U10342" s="7"/>
      <c r="V10342" s="7"/>
      <c r="W10342" s="7"/>
      <c r="X10342" s="7"/>
      <c r="Y10342" s="7"/>
      <c r="Z10342" s="7"/>
    </row>
    <row r="10343" hidden="1">
      <c r="A10343" s="7"/>
      <c r="B10343" s="7"/>
      <c r="C10343" s="7"/>
      <c r="D10343" s="7"/>
      <c r="E10343" s="7"/>
      <c r="F10343" s="7"/>
      <c r="G10343" s="7"/>
      <c r="H10343" s="8"/>
      <c r="I10343" s="8"/>
      <c r="J10343" s="7"/>
      <c r="K10343" s="7"/>
      <c r="L10343" s="7"/>
      <c r="M10343" s="7"/>
      <c r="N10343" s="7"/>
      <c r="O10343" s="7"/>
      <c r="P10343" s="7"/>
      <c r="Q10343" s="7"/>
      <c r="R10343" s="7"/>
      <c r="S10343" s="7"/>
      <c r="T10343" s="7"/>
      <c r="U10343" s="7"/>
      <c r="V10343" s="7"/>
      <c r="W10343" s="7"/>
      <c r="X10343" s="7"/>
      <c r="Y10343" s="7"/>
      <c r="Z10343" s="7"/>
    </row>
    <row r="10344" hidden="1">
      <c r="A10344" s="7"/>
      <c r="B10344" s="7"/>
      <c r="C10344" s="7"/>
      <c r="D10344" s="7"/>
      <c r="E10344" s="7"/>
      <c r="F10344" s="7"/>
      <c r="G10344" s="7"/>
      <c r="H10344" s="8"/>
      <c r="I10344" s="8"/>
      <c r="J10344" s="7"/>
      <c r="K10344" s="7"/>
      <c r="L10344" s="7"/>
      <c r="M10344" s="7"/>
      <c r="N10344" s="7"/>
      <c r="O10344" s="7"/>
      <c r="P10344" s="7"/>
      <c r="Q10344" s="7"/>
      <c r="R10344" s="7"/>
      <c r="S10344" s="7"/>
      <c r="T10344" s="7"/>
      <c r="U10344" s="7"/>
      <c r="V10344" s="7"/>
      <c r="W10344" s="7"/>
      <c r="X10344" s="7"/>
      <c r="Y10344" s="7"/>
      <c r="Z10344" s="7"/>
    </row>
    <row r="10345" hidden="1">
      <c r="A10345" s="7"/>
      <c r="B10345" s="7"/>
      <c r="C10345" s="7"/>
      <c r="D10345" s="7"/>
      <c r="E10345" s="7"/>
      <c r="F10345" s="7"/>
      <c r="G10345" s="7"/>
      <c r="H10345" s="8"/>
      <c r="I10345" s="8"/>
      <c r="J10345" s="7"/>
      <c r="K10345" s="7"/>
      <c r="L10345" s="7"/>
      <c r="M10345" s="7"/>
      <c r="N10345" s="7"/>
      <c r="O10345" s="7"/>
      <c r="P10345" s="7"/>
      <c r="Q10345" s="7"/>
      <c r="R10345" s="7"/>
      <c r="S10345" s="7"/>
      <c r="T10345" s="7"/>
      <c r="U10345" s="7"/>
      <c r="V10345" s="7"/>
      <c r="W10345" s="7"/>
      <c r="X10345" s="7"/>
      <c r="Y10345" s="7"/>
      <c r="Z10345" s="7"/>
    </row>
    <row r="10346" hidden="1">
      <c r="A10346" s="7"/>
      <c r="B10346" s="7"/>
      <c r="C10346" s="7"/>
      <c r="D10346" s="7"/>
      <c r="E10346" s="7"/>
      <c r="F10346" s="7"/>
      <c r="G10346" s="7"/>
      <c r="H10346" s="8"/>
      <c r="I10346" s="8"/>
      <c r="J10346" s="7"/>
      <c r="K10346" s="7"/>
      <c r="L10346" s="7"/>
      <c r="M10346" s="7"/>
      <c r="N10346" s="7"/>
      <c r="O10346" s="7"/>
      <c r="P10346" s="7"/>
      <c r="Q10346" s="7"/>
      <c r="R10346" s="7"/>
      <c r="S10346" s="7"/>
      <c r="T10346" s="7"/>
      <c r="U10346" s="7"/>
      <c r="V10346" s="7"/>
      <c r="W10346" s="7"/>
      <c r="X10346" s="7"/>
      <c r="Y10346" s="7"/>
      <c r="Z10346" s="7"/>
    </row>
    <row r="10347" hidden="1">
      <c r="A10347" s="7"/>
      <c r="B10347" s="7"/>
      <c r="C10347" s="7"/>
      <c r="D10347" s="7"/>
      <c r="E10347" s="7"/>
      <c r="F10347" s="7"/>
      <c r="G10347" s="7"/>
      <c r="H10347" s="8"/>
      <c r="I10347" s="8"/>
      <c r="J10347" s="7"/>
      <c r="K10347" s="7"/>
      <c r="L10347" s="7"/>
      <c r="M10347" s="7"/>
      <c r="N10347" s="7"/>
      <c r="O10347" s="7"/>
      <c r="P10347" s="7"/>
      <c r="Q10347" s="7"/>
      <c r="R10347" s="7"/>
      <c r="S10347" s="7"/>
      <c r="T10347" s="7"/>
      <c r="U10347" s="7"/>
      <c r="V10347" s="7"/>
      <c r="W10347" s="7"/>
      <c r="X10347" s="7"/>
      <c r="Y10347" s="7"/>
      <c r="Z10347" s="7"/>
    </row>
    <row r="10348" hidden="1">
      <c r="A10348" s="7"/>
      <c r="B10348" s="7"/>
      <c r="C10348" s="7"/>
      <c r="D10348" s="7"/>
      <c r="E10348" s="7"/>
      <c r="F10348" s="7"/>
      <c r="G10348" s="7"/>
      <c r="H10348" s="8"/>
      <c r="I10348" s="8"/>
      <c r="J10348" s="7"/>
      <c r="K10348" s="7"/>
      <c r="L10348" s="7"/>
      <c r="M10348" s="7"/>
      <c r="N10348" s="7"/>
      <c r="O10348" s="7"/>
      <c r="P10348" s="7"/>
      <c r="Q10348" s="7"/>
      <c r="R10348" s="7"/>
      <c r="S10348" s="7"/>
      <c r="T10348" s="7"/>
      <c r="U10348" s="7"/>
      <c r="V10348" s="7"/>
      <c r="W10348" s="7"/>
      <c r="X10348" s="7"/>
      <c r="Y10348" s="7"/>
      <c r="Z10348" s="7"/>
    </row>
    <row r="10349" hidden="1">
      <c r="A10349" s="7"/>
      <c r="B10349" s="7"/>
      <c r="C10349" s="7"/>
      <c r="D10349" s="7"/>
      <c r="E10349" s="7"/>
      <c r="F10349" s="7"/>
      <c r="G10349" s="7"/>
      <c r="H10349" s="8"/>
      <c r="I10349" s="8"/>
      <c r="J10349" s="7"/>
      <c r="K10349" s="7"/>
      <c r="L10349" s="7"/>
      <c r="M10349" s="7"/>
      <c r="N10349" s="7"/>
      <c r="O10349" s="7"/>
      <c r="P10349" s="7"/>
      <c r="Q10349" s="7"/>
      <c r="R10349" s="7"/>
      <c r="S10349" s="7"/>
      <c r="T10349" s="7"/>
      <c r="U10349" s="7"/>
      <c r="V10349" s="7"/>
      <c r="W10349" s="7"/>
      <c r="X10349" s="7"/>
      <c r="Y10349" s="7"/>
      <c r="Z10349" s="7"/>
    </row>
    <row r="10350" hidden="1">
      <c r="A10350" s="7"/>
      <c r="B10350" s="7"/>
      <c r="C10350" s="7"/>
      <c r="D10350" s="7"/>
      <c r="E10350" s="7"/>
      <c r="F10350" s="7"/>
      <c r="G10350" s="7"/>
      <c r="H10350" s="8"/>
      <c r="I10350" s="8"/>
      <c r="J10350" s="7"/>
      <c r="K10350" s="7"/>
      <c r="L10350" s="7"/>
      <c r="M10350" s="7"/>
      <c r="N10350" s="7"/>
      <c r="O10350" s="7"/>
      <c r="P10350" s="7"/>
      <c r="Q10350" s="7"/>
      <c r="R10350" s="7"/>
      <c r="S10350" s="7"/>
      <c r="T10350" s="7"/>
      <c r="U10350" s="7"/>
      <c r="V10350" s="7"/>
      <c r="W10350" s="7"/>
      <c r="X10350" s="7"/>
      <c r="Y10350" s="7"/>
      <c r="Z10350" s="7"/>
    </row>
    <row r="10351" hidden="1">
      <c r="A10351" s="7"/>
      <c r="B10351" s="7"/>
      <c r="C10351" s="7"/>
      <c r="D10351" s="7"/>
      <c r="E10351" s="7"/>
      <c r="F10351" s="7"/>
      <c r="G10351" s="7"/>
      <c r="H10351" s="8"/>
      <c r="I10351" s="8"/>
      <c r="J10351" s="7"/>
      <c r="K10351" s="7"/>
      <c r="L10351" s="7"/>
      <c r="M10351" s="7"/>
      <c r="N10351" s="7"/>
      <c r="O10351" s="7"/>
      <c r="P10351" s="7"/>
      <c r="Q10351" s="7"/>
      <c r="R10351" s="7"/>
      <c r="S10351" s="7"/>
      <c r="T10351" s="7"/>
      <c r="U10351" s="7"/>
      <c r="V10351" s="7"/>
      <c r="W10351" s="7"/>
      <c r="X10351" s="7"/>
      <c r="Y10351" s="7"/>
      <c r="Z10351" s="7"/>
    </row>
    <row r="10352" hidden="1">
      <c r="A10352" s="7"/>
      <c r="B10352" s="7"/>
      <c r="C10352" s="7"/>
      <c r="D10352" s="7"/>
      <c r="E10352" s="7"/>
      <c r="F10352" s="7"/>
      <c r="G10352" s="7"/>
      <c r="H10352" s="8"/>
      <c r="I10352" s="8"/>
      <c r="J10352" s="7"/>
      <c r="K10352" s="7"/>
      <c r="L10352" s="7"/>
      <c r="M10352" s="7"/>
      <c r="N10352" s="7"/>
      <c r="O10352" s="7"/>
      <c r="P10352" s="7"/>
      <c r="Q10352" s="7"/>
      <c r="R10352" s="7"/>
      <c r="S10352" s="7"/>
      <c r="T10352" s="7"/>
      <c r="U10352" s="7"/>
      <c r="V10352" s="7"/>
      <c r="W10352" s="7"/>
      <c r="X10352" s="7"/>
      <c r="Y10352" s="7"/>
      <c r="Z10352" s="7"/>
    </row>
    <row r="10353" hidden="1">
      <c r="A10353" s="7"/>
      <c r="B10353" s="7"/>
      <c r="C10353" s="7"/>
      <c r="D10353" s="7"/>
      <c r="E10353" s="7"/>
      <c r="F10353" s="7"/>
      <c r="G10353" s="7"/>
      <c r="H10353" s="8"/>
      <c r="I10353" s="8"/>
      <c r="J10353" s="7"/>
      <c r="K10353" s="7"/>
      <c r="L10353" s="7"/>
      <c r="M10353" s="7"/>
      <c r="N10353" s="7"/>
      <c r="O10353" s="7"/>
      <c r="P10353" s="7"/>
      <c r="Q10353" s="7"/>
      <c r="R10353" s="7"/>
      <c r="S10353" s="7"/>
      <c r="T10353" s="7"/>
      <c r="U10353" s="7"/>
      <c r="V10353" s="7"/>
      <c r="W10353" s="7"/>
      <c r="X10353" s="7"/>
      <c r="Y10353" s="7"/>
      <c r="Z10353" s="7"/>
    </row>
    <row r="10354" hidden="1">
      <c r="A10354" s="7"/>
      <c r="B10354" s="7"/>
      <c r="C10354" s="7"/>
      <c r="D10354" s="7"/>
      <c r="E10354" s="7"/>
      <c r="F10354" s="7"/>
      <c r="G10354" s="7"/>
      <c r="H10354" s="8"/>
      <c r="I10354" s="8"/>
      <c r="J10354" s="7"/>
      <c r="K10354" s="7"/>
      <c r="L10354" s="7"/>
      <c r="M10354" s="7"/>
      <c r="N10354" s="7"/>
      <c r="O10354" s="7"/>
      <c r="P10354" s="7"/>
      <c r="Q10354" s="7"/>
      <c r="R10354" s="7"/>
      <c r="S10354" s="7"/>
      <c r="T10354" s="7"/>
      <c r="U10354" s="7"/>
      <c r="V10354" s="7"/>
      <c r="W10354" s="7"/>
      <c r="X10354" s="7"/>
      <c r="Y10354" s="7"/>
      <c r="Z10354" s="7"/>
    </row>
    <row r="10355" hidden="1">
      <c r="A10355" s="7"/>
      <c r="B10355" s="7"/>
      <c r="C10355" s="7"/>
      <c r="D10355" s="7"/>
      <c r="E10355" s="7"/>
      <c r="F10355" s="7"/>
      <c r="G10355" s="7"/>
      <c r="H10355" s="8"/>
      <c r="I10355" s="8"/>
      <c r="J10355" s="7"/>
      <c r="K10355" s="7"/>
      <c r="L10355" s="7"/>
      <c r="M10355" s="7"/>
      <c r="N10355" s="7"/>
      <c r="O10355" s="7"/>
      <c r="P10355" s="7"/>
      <c r="Q10355" s="7"/>
      <c r="R10355" s="7"/>
      <c r="S10355" s="7"/>
      <c r="T10355" s="7"/>
      <c r="U10355" s="7"/>
      <c r="V10355" s="7"/>
      <c r="W10355" s="7"/>
      <c r="X10355" s="7"/>
      <c r="Y10355" s="7"/>
      <c r="Z10355" s="7"/>
    </row>
    <row r="10356" hidden="1">
      <c r="A10356" s="7"/>
      <c r="B10356" s="7"/>
      <c r="C10356" s="7"/>
      <c r="D10356" s="7"/>
      <c r="E10356" s="7"/>
      <c r="F10356" s="7"/>
      <c r="G10356" s="7"/>
      <c r="H10356" s="8"/>
      <c r="I10356" s="8"/>
      <c r="J10356" s="7"/>
      <c r="K10356" s="7"/>
      <c r="L10356" s="7"/>
      <c r="M10356" s="7"/>
      <c r="N10356" s="7"/>
      <c r="O10356" s="7"/>
      <c r="P10356" s="7"/>
      <c r="Q10356" s="7"/>
      <c r="R10356" s="7"/>
      <c r="S10356" s="7"/>
      <c r="T10356" s="7"/>
      <c r="U10356" s="7"/>
      <c r="V10356" s="7"/>
      <c r="W10356" s="7"/>
      <c r="X10356" s="7"/>
      <c r="Y10356" s="7"/>
      <c r="Z10356" s="7"/>
    </row>
    <row r="10357" hidden="1">
      <c r="A10357" s="7"/>
      <c r="B10357" s="7"/>
      <c r="C10357" s="7"/>
      <c r="D10357" s="7"/>
      <c r="E10357" s="7"/>
      <c r="F10357" s="7"/>
      <c r="G10357" s="7"/>
      <c r="H10357" s="8"/>
      <c r="I10357" s="8"/>
      <c r="J10357" s="7"/>
      <c r="K10357" s="7"/>
      <c r="L10357" s="7"/>
      <c r="M10357" s="7"/>
      <c r="N10357" s="7"/>
      <c r="O10357" s="7"/>
      <c r="P10357" s="7"/>
      <c r="Q10357" s="7"/>
      <c r="R10357" s="7"/>
      <c r="S10357" s="7"/>
      <c r="T10357" s="7"/>
      <c r="U10357" s="7"/>
      <c r="V10357" s="7"/>
      <c r="W10357" s="7"/>
      <c r="X10357" s="7"/>
      <c r="Y10357" s="7"/>
      <c r="Z10357" s="7"/>
    </row>
    <row r="10358" hidden="1">
      <c r="A10358" s="7"/>
      <c r="B10358" s="7"/>
      <c r="C10358" s="7"/>
      <c r="D10358" s="7"/>
      <c r="E10358" s="7"/>
      <c r="F10358" s="7"/>
      <c r="G10358" s="7"/>
      <c r="H10358" s="8"/>
      <c r="I10358" s="8"/>
      <c r="J10358" s="7"/>
      <c r="K10358" s="7"/>
      <c r="L10358" s="7"/>
      <c r="M10358" s="7"/>
      <c r="N10358" s="7"/>
      <c r="O10358" s="7"/>
      <c r="P10358" s="7"/>
      <c r="Q10358" s="7"/>
      <c r="R10358" s="7"/>
      <c r="S10358" s="7"/>
      <c r="T10358" s="7"/>
      <c r="U10358" s="7"/>
      <c r="V10358" s="7"/>
      <c r="W10358" s="7"/>
      <c r="X10358" s="7"/>
      <c r="Y10358" s="7"/>
      <c r="Z10358" s="7"/>
    </row>
    <row r="10359" hidden="1">
      <c r="A10359" s="7"/>
      <c r="B10359" s="7"/>
      <c r="C10359" s="7"/>
      <c r="D10359" s="7"/>
      <c r="E10359" s="7"/>
      <c r="F10359" s="7"/>
      <c r="G10359" s="7"/>
      <c r="H10359" s="8"/>
      <c r="I10359" s="8"/>
      <c r="J10359" s="7"/>
      <c r="K10359" s="7"/>
      <c r="L10359" s="7"/>
      <c r="M10359" s="7"/>
      <c r="N10359" s="7"/>
      <c r="O10359" s="7"/>
      <c r="P10359" s="7"/>
      <c r="Q10359" s="7"/>
      <c r="R10359" s="7"/>
      <c r="S10359" s="7"/>
      <c r="T10359" s="7"/>
      <c r="U10359" s="7"/>
      <c r="V10359" s="7"/>
      <c r="W10359" s="7"/>
      <c r="X10359" s="7"/>
      <c r="Y10359" s="7"/>
      <c r="Z10359" s="7"/>
    </row>
    <row r="10360" hidden="1">
      <c r="A10360" s="7"/>
      <c r="B10360" s="7"/>
      <c r="C10360" s="7"/>
      <c r="D10360" s="7"/>
      <c r="E10360" s="7"/>
      <c r="F10360" s="7"/>
      <c r="G10360" s="7"/>
      <c r="H10360" s="8"/>
      <c r="I10360" s="8"/>
      <c r="J10360" s="7"/>
      <c r="K10360" s="7"/>
      <c r="L10360" s="7"/>
      <c r="M10360" s="7"/>
      <c r="N10360" s="7"/>
      <c r="O10360" s="7"/>
      <c r="P10360" s="7"/>
      <c r="Q10360" s="7"/>
      <c r="R10360" s="7"/>
      <c r="S10360" s="7"/>
      <c r="T10360" s="7"/>
      <c r="U10360" s="7"/>
      <c r="V10360" s="7"/>
      <c r="W10360" s="7"/>
      <c r="X10360" s="7"/>
      <c r="Y10360" s="7"/>
      <c r="Z10360" s="7"/>
    </row>
    <row r="10361" hidden="1">
      <c r="A10361" s="7"/>
      <c r="B10361" s="7"/>
      <c r="C10361" s="7"/>
      <c r="D10361" s="7"/>
      <c r="E10361" s="7"/>
      <c r="F10361" s="7"/>
      <c r="G10361" s="7"/>
      <c r="H10361" s="8"/>
      <c r="I10361" s="8"/>
      <c r="J10361" s="7"/>
      <c r="K10361" s="7"/>
      <c r="L10361" s="7"/>
      <c r="M10361" s="7"/>
      <c r="N10361" s="7"/>
      <c r="O10361" s="7"/>
      <c r="P10361" s="7"/>
      <c r="Q10361" s="7"/>
      <c r="R10361" s="7"/>
      <c r="S10361" s="7"/>
      <c r="T10361" s="7"/>
      <c r="U10361" s="7"/>
      <c r="V10361" s="7"/>
      <c r="W10361" s="7"/>
      <c r="X10361" s="7"/>
      <c r="Y10361" s="7"/>
      <c r="Z10361" s="7"/>
    </row>
    <row r="10362" hidden="1">
      <c r="A10362" s="7"/>
      <c r="B10362" s="7"/>
      <c r="C10362" s="7"/>
      <c r="D10362" s="7"/>
      <c r="E10362" s="7"/>
      <c r="F10362" s="7"/>
      <c r="G10362" s="7"/>
      <c r="H10362" s="8"/>
      <c r="I10362" s="8"/>
      <c r="J10362" s="7"/>
      <c r="K10362" s="7"/>
      <c r="L10362" s="7"/>
      <c r="M10362" s="7"/>
      <c r="N10362" s="7"/>
      <c r="O10362" s="7"/>
      <c r="P10362" s="7"/>
      <c r="Q10362" s="7"/>
      <c r="R10362" s="7"/>
      <c r="S10362" s="7"/>
      <c r="T10362" s="7"/>
      <c r="U10362" s="7"/>
      <c r="V10362" s="7"/>
      <c r="W10362" s="7"/>
      <c r="X10362" s="7"/>
      <c r="Y10362" s="7"/>
      <c r="Z10362" s="7"/>
    </row>
    <row r="10363" hidden="1">
      <c r="A10363" s="7"/>
      <c r="B10363" s="7"/>
      <c r="C10363" s="7"/>
      <c r="D10363" s="7"/>
      <c r="E10363" s="7"/>
      <c r="F10363" s="7"/>
      <c r="G10363" s="7"/>
      <c r="H10363" s="8"/>
      <c r="I10363" s="8"/>
      <c r="J10363" s="7"/>
      <c r="K10363" s="7"/>
      <c r="L10363" s="7"/>
      <c r="M10363" s="7"/>
      <c r="N10363" s="7"/>
      <c r="O10363" s="7"/>
      <c r="P10363" s="7"/>
      <c r="Q10363" s="7"/>
      <c r="R10363" s="7"/>
      <c r="S10363" s="7"/>
      <c r="T10363" s="7"/>
      <c r="U10363" s="7"/>
      <c r="V10363" s="7"/>
      <c r="W10363" s="7"/>
      <c r="X10363" s="7"/>
      <c r="Y10363" s="7"/>
      <c r="Z10363" s="7"/>
    </row>
    <row r="10364" hidden="1">
      <c r="A10364" s="7"/>
      <c r="B10364" s="7"/>
      <c r="C10364" s="7"/>
      <c r="D10364" s="7"/>
      <c r="E10364" s="7"/>
      <c r="F10364" s="7"/>
      <c r="G10364" s="7"/>
      <c r="H10364" s="8"/>
      <c r="I10364" s="8"/>
      <c r="J10364" s="7"/>
      <c r="K10364" s="7"/>
      <c r="L10364" s="7"/>
      <c r="M10364" s="7"/>
      <c r="N10364" s="7"/>
      <c r="O10364" s="7"/>
      <c r="P10364" s="7"/>
      <c r="Q10364" s="7"/>
      <c r="R10364" s="7"/>
      <c r="S10364" s="7"/>
      <c r="T10364" s="7"/>
      <c r="U10364" s="7"/>
      <c r="V10364" s="7"/>
      <c r="W10364" s="7"/>
      <c r="X10364" s="7"/>
      <c r="Y10364" s="7"/>
      <c r="Z10364" s="7"/>
    </row>
    <row r="10365" hidden="1">
      <c r="A10365" s="7"/>
      <c r="B10365" s="7"/>
      <c r="C10365" s="7"/>
      <c r="D10365" s="7"/>
      <c r="E10365" s="7"/>
      <c r="F10365" s="7"/>
      <c r="G10365" s="7"/>
      <c r="H10365" s="8"/>
      <c r="I10365" s="8"/>
      <c r="J10365" s="7"/>
      <c r="K10365" s="7"/>
      <c r="L10365" s="7"/>
      <c r="M10365" s="7"/>
      <c r="N10365" s="7"/>
      <c r="O10365" s="7"/>
      <c r="P10365" s="7"/>
      <c r="Q10365" s="7"/>
      <c r="R10365" s="7"/>
      <c r="S10365" s="7"/>
      <c r="T10365" s="7"/>
      <c r="U10365" s="7"/>
      <c r="V10365" s="7"/>
      <c r="W10365" s="7"/>
      <c r="X10365" s="7"/>
      <c r="Y10365" s="7"/>
      <c r="Z10365" s="7"/>
    </row>
    <row r="10366" hidden="1">
      <c r="A10366" s="7"/>
      <c r="B10366" s="7"/>
      <c r="C10366" s="7"/>
      <c r="D10366" s="7"/>
      <c r="E10366" s="7"/>
      <c r="F10366" s="7"/>
      <c r="G10366" s="7"/>
      <c r="H10366" s="8"/>
      <c r="I10366" s="8"/>
      <c r="J10366" s="7"/>
      <c r="K10366" s="7"/>
      <c r="L10366" s="7"/>
      <c r="M10366" s="7"/>
      <c r="N10366" s="7"/>
      <c r="O10366" s="7"/>
      <c r="P10366" s="7"/>
      <c r="Q10366" s="7"/>
      <c r="R10366" s="7"/>
      <c r="S10366" s="7"/>
      <c r="T10366" s="7"/>
      <c r="U10366" s="7"/>
      <c r="V10366" s="7"/>
      <c r="W10366" s="7"/>
      <c r="X10366" s="7"/>
      <c r="Y10366" s="7"/>
      <c r="Z10366" s="7"/>
    </row>
    <row r="10367" hidden="1">
      <c r="A10367" s="7"/>
      <c r="B10367" s="7"/>
      <c r="C10367" s="7"/>
      <c r="D10367" s="7"/>
      <c r="E10367" s="7"/>
      <c r="F10367" s="7"/>
      <c r="G10367" s="7"/>
      <c r="H10367" s="8"/>
      <c r="I10367" s="8"/>
      <c r="J10367" s="7"/>
      <c r="K10367" s="7"/>
      <c r="L10367" s="7"/>
      <c r="M10367" s="7"/>
      <c r="N10367" s="7"/>
      <c r="O10367" s="7"/>
      <c r="P10367" s="7"/>
      <c r="Q10367" s="7"/>
      <c r="R10367" s="7"/>
      <c r="S10367" s="7"/>
      <c r="T10367" s="7"/>
      <c r="U10367" s="7"/>
      <c r="V10367" s="7"/>
      <c r="W10367" s="7"/>
      <c r="X10367" s="7"/>
      <c r="Y10367" s="7"/>
      <c r="Z10367" s="7"/>
    </row>
    <row r="10368" hidden="1">
      <c r="A10368" s="7"/>
      <c r="B10368" s="7"/>
      <c r="C10368" s="7"/>
      <c r="D10368" s="7"/>
      <c r="E10368" s="7"/>
      <c r="F10368" s="7"/>
      <c r="G10368" s="7"/>
      <c r="H10368" s="8"/>
      <c r="I10368" s="8"/>
      <c r="J10368" s="7"/>
      <c r="K10368" s="7"/>
      <c r="L10368" s="7"/>
      <c r="M10368" s="7"/>
      <c r="N10368" s="7"/>
      <c r="O10368" s="7"/>
      <c r="P10368" s="7"/>
      <c r="Q10368" s="7"/>
      <c r="R10368" s="7"/>
      <c r="S10368" s="7"/>
      <c r="T10368" s="7"/>
      <c r="U10368" s="7"/>
      <c r="V10368" s="7"/>
      <c r="W10368" s="7"/>
      <c r="X10368" s="7"/>
      <c r="Y10368" s="7"/>
      <c r="Z10368" s="7"/>
    </row>
    <row r="10369" hidden="1">
      <c r="A10369" s="7"/>
      <c r="B10369" s="7"/>
      <c r="C10369" s="7"/>
      <c r="D10369" s="7"/>
      <c r="E10369" s="7"/>
      <c r="F10369" s="7"/>
      <c r="G10369" s="7"/>
      <c r="H10369" s="8"/>
      <c r="I10369" s="8"/>
      <c r="J10369" s="7"/>
      <c r="K10369" s="7"/>
      <c r="L10369" s="7"/>
      <c r="M10369" s="7"/>
      <c r="N10369" s="7"/>
      <c r="O10369" s="7"/>
      <c r="P10369" s="7"/>
      <c r="Q10369" s="7"/>
      <c r="R10369" s="7"/>
      <c r="S10369" s="7"/>
      <c r="T10369" s="7"/>
      <c r="U10369" s="7"/>
      <c r="V10369" s="7"/>
      <c r="W10369" s="7"/>
      <c r="X10369" s="7"/>
      <c r="Y10369" s="7"/>
      <c r="Z10369" s="7"/>
    </row>
    <row r="10370" hidden="1">
      <c r="A10370" s="7"/>
      <c r="B10370" s="7"/>
      <c r="C10370" s="7"/>
      <c r="D10370" s="7"/>
      <c r="E10370" s="7"/>
      <c r="F10370" s="7"/>
      <c r="G10370" s="7"/>
      <c r="H10370" s="8"/>
      <c r="I10370" s="8"/>
      <c r="J10370" s="7"/>
      <c r="K10370" s="7"/>
      <c r="L10370" s="7"/>
      <c r="M10370" s="7"/>
      <c r="N10370" s="7"/>
      <c r="O10370" s="7"/>
      <c r="P10370" s="7"/>
      <c r="Q10370" s="7"/>
      <c r="R10370" s="7"/>
      <c r="S10370" s="7"/>
      <c r="T10370" s="7"/>
      <c r="U10370" s="7"/>
      <c r="V10370" s="7"/>
      <c r="W10370" s="7"/>
      <c r="X10370" s="7"/>
      <c r="Y10370" s="7"/>
      <c r="Z10370" s="7"/>
    </row>
    <row r="10371" hidden="1">
      <c r="A10371" s="7"/>
      <c r="B10371" s="7"/>
      <c r="C10371" s="7"/>
      <c r="D10371" s="7"/>
      <c r="E10371" s="7"/>
      <c r="F10371" s="7"/>
      <c r="G10371" s="7"/>
      <c r="H10371" s="8"/>
      <c r="I10371" s="8"/>
      <c r="J10371" s="7"/>
      <c r="K10371" s="7"/>
      <c r="L10371" s="7"/>
      <c r="M10371" s="7"/>
      <c r="N10371" s="7"/>
      <c r="O10371" s="7"/>
      <c r="P10371" s="7"/>
      <c r="Q10371" s="7"/>
      <c r="R10371" s="7"/>
      <c r="S10371" s="7"/>
      <c r="T10371" s="7"/>
      <c r="U10371" s="7"/>
      <c r="V10371" s="7"/>
      <c r="W10371" s="7"/>
      <c r="X10371" s="7"/>
      <c r="Y10371" s="7"/>
      <c r="Z10371" s="7"/>
    </row>
    <row r="10372" hidden="1">
      <c r="A10372" s="7"/>
      <c r="B10372" s="7"/>
      <c r="C10372" s="7"/>
      <c r="D10372" s="7"/>
      <c r="E10372" s="7"/>
      <c r="F10372" s="7"/>
      <c r="G10372" s="7"/>
      <c r="H10372" s="8"/>
      <c r="I10372" s="8"/>
      <c r="J10372" s="7"/>
      <c r="K10372" s="7"/>
      <c r="L10372" s="7"/>
      <c r="M10372" s="7"/>
      <c r="N10372" s="7"/>
      <c r="O10372" s="7"/>
      <c r="P10372" s="7"/>
      <c r="Q10372" s="7"/>
      <c r="R10372" s="7"/>
      <c r="S10372" s="7"/>
      <c r="T10372" s="7"/>
      <c r="U10372" s="7"/>
      <c r="V10372" s="7"/>
      <c r="W10372" s="7"/>
      <c r="X10372" s="7"/>
      <c r="Y10372" s="7"/>
      <c r="Z10372" s="7"/>
    </row>
    <row r="10373" hidden="1">
      <c r="A10373" s="7"/>
      <c r="B10373" s="7"/>
      <c r="C10373" s="7"/>
      <c r="D10373" s="7"/>
      <c r="E10373" s="7"/>
      <c r="F10373" s="7"/>
      <c r="G10373" s="7"/>
      <c r="H10373" s="8"/>
      <c r="I10373" s="8"/>
      <c r="J10373" s="7"/>
      <c r="K10373" s="7"/>
      <c r="L10373" s="7"/>
      <c r="M10373" s="7"/>
      <c r="N10373" s="7"/>
      <c r="O10373" s="7"/>
      <c r="P10373" s="7"/>
      <c r="Q10373" s="7"/>
      <c r="R10373" s="7"/>
      <c r="S10373" s="7"/>
      <c r="T10373" s="7"/>
      <c r="U10373" s="7"/>
      <c r="V10373" s="7"/>
      <c r="W10373" s="7"/>
      <c r="X10373" s="7"/>
      <c r="Y10373" s="7"/>
      <c r="Z10373" s="7"/>
    </row>
    <row r="10374" hidden="1">
      <c r="A10374" s="7"/>
      <c r="B10374" s="7"/>
      <c r="C10374" s="7"/>
      <c r="D10374" s="7"/>
      <c r="E10374" s="7"/>
      <c r="F10374" s="7"/>
      <c r="G10374" s="7"/>
      <c r="H10374" s="8"/>
      <c r="I10374" s="8"/>
      <c r="J10374" s="7"/>
      <c r="K10374" s="7"/>
      <c r="L10374" s="7"/>
      <c r="M10374" s="7"/>
      <c r="N10374" s="7"/>
      <c r="O10374" s="7"/>
      <c r="P10374" s="7"/>
      <c r="Q10374" s="7"/>
      <c r="R10374" s="7"/>
      <c r="S10374" s="7"/>
      <c r="T10374" s="7"/>
      <c r="U10374" s="7"/>
      <c r="V10374" s="7"/>
      <c r="W10374" s="7"/>
      <c r="X10374" s="7"/>
      <c r="Y10374" s="7"/>
      <c r="Z10374" s="7"/>
    </row>
    <row r="10375" hidden="1">
      <c r="A10375" s="7"/>
      <c r="B10375" s="7"/>
      <c r="C10375" s="7"/>
      <c r="D10375" s="7"/>
      <c r="E10375" s="7"/>
      <c r="F10375" s="7"/>
      <c r="G10375" s="7"/>
      <c r="H10375" s="8"/>
      <c r="I10375" s="8"/>
      <c r="J10375" s="7"/>
      <c r="K10375" s="7"/>
      <c r="L10375" s="7"/>
      <c r="M10375" s="7"/>
      <c r="N10375" s="7"/>
      <c r="O10375" s="7"/>
      <c r="P10375" s="7"/>
      <c r="Q10375" s="7"/>
      <c r="R10375" s="7"/>
      <c r="S10375" s="7"/>
      <c r="T10375" s="7"/>
      <c r="U10375" s="7"/>
      <c r="V10375" s="7"/>
      <c r="W10375" s="7"/>
      <c r="X10375" s="7"/>
      <c r="Y10375" s="7"/>
      <c r="Z10375" s="7"/>
    </row>
    <row r="10376" hidden="1">
      <c r="A10376" s="7"/>
      <c r="B10376" s="7"/>
      <c r="C10376" s="7"/>
      <c r="D10376" s="7"/>
      <c r="E10376" s="7"/>
      <c r="F10376" s="7"/>
      <c r="G10376" s="7"/>
      <c r="H10376" s="8"/>
      <c r="I10376" s="8"/>
      <c r="J10376" s="7"/>
      <c r="K10376" s="7"/>
      <c r="L10376" s="7"/>
      <c r="M10376" s="7"/>
      <c r="N10376" s="7"/>
      <c r="O10376" s="7"/>
      <c r="P10376" s="7"/>
      <c r="Q10376" s="7"/>
      <c r="R10376" s="7"/>
      <c r="S10376" s="7"/>
      <c r="T10376" s="7"/>
      <c r="U10376" s="7"/>
      <c r="V10376" s="7"/>
      <c r="W10376" s="7"/>
      <c r="X10376" s="7"/>
      <c r="Y10376" s="7"/>
      <c r="Z10376" s="7"/>
    </row>
    <row r="10377" hidden="1">
      <c r="A10377" s="7"/>
      <c r="B10377" s="7"/>
      <c r="C10377" s="7"/>
      <c r="D10377" s="7"/>
      <c r="E10377" s="7"/>
      <c r="F10377" s="7"/>
      <c r="G10377" s="7"/>
      <c r="H10377" s="8"/>
      <c r="I10377" s="8"/>
      <c r="J10377" s="7"/>
      <c r="K10377" s="7"/>
      <c r="L10377" s="7"/>
      <c r="M10377" s="7"/>
      <c r="N10377" s="7"/>
      <c r="O10377" s="7"/>
      <c r="P10377" s="7"/>
      <c r="Q10377" s="7"/>
      <c r="R10377" s="7"/>
      <c r="S10377" s="7"/>
      <c r="T10377" s="7"/>
      <c r="U10377" s="7"/>
      <c r="V10377" s="7"/>
      <c r="W10377" s="7"/>
      <c r="X10377" s="7"/>
      <c r="Y10377" s="7"/>
      <c r="Z10377" s="7"/>
    </row>
    <row r="10378" hidden="1">
      <c r="A10378" s="7"/>
      <c r="B10378" s="7"/>
      <c r="C10378" s="7"/>
      <c r="D10378" s="7"/>
      <c r="E10378" s="7"/>
      <c r="F10378" s="7"/>
      <c r="G10378" s="7"/>
      <c r="H10378" s="8"/>
      <c r="I10378" s="8"/>
      <c r="J10378" s="7"/>
      <c r="K10378" s="7"/>
      <c r="L10378" s="7"/>
      <c r="M10378" s="7"/>
      <c r="N10378" s="7"/>
      <c r="O10378" s="7"/>
      <c r="P10378" s="7"/>
      <c r="Q10378" s="7"/>
      <c r="R10378" s="7"/>
      <c r="S10378" s="7"/>
      <c r="T10378" s="7"/>
      <c r="U10378" s="7"/>
      <c r="V10378" s="7"/>
      <c r="W10378" s="7"/>
      <c r="X10378" s="7"/>
      <c r="Y10378" s="7"/>
      <c r="Z10378" s="7"/>
    </row>
    <row r="10379" hidden="1">
      <c r="A10379" s="7"/>
      <c r="B10379" s="7"/>
      <c r="C10379" s="7"/>
      <c r="D10379" s="7"/>
      <c r="E10379" s="7"/>
      <c r="F10379" s="7"/>
      <c r="G10379" s="7"/>
      <c r="H10379" s="8"/>
      <c r="I10379" s="8"/>
      <c r="J10379" s="7"/>
      <c r="K10379" s="7"/>
      <c r="L10379" s="7"/>
      <c r="M10379" s="7"/>
      <c r="N10379" s="7"/>
      <c r="O10379" s="7"/>
      <c r="P10379" s="7"/>
      <c r="Q10379" s="7"/>
      <c r="R10379" s="7"/>
      <c r="S10379" s="7"/>
      <c r="T10379" s="7"/>
      <c r="U10379" s="7"/>
      <c r="V10379" s="7"/>
      <c r="W10379" s="7"/>
      <c r="X10379" s="7"/>
      <c r="Y10379" s="7"/>
      <c r="Z10379" s="7"/>
    </row>
    <row r="10380" hidden="1">
      <c r="A10380" s="7"/>
      <c r="B10380" s="7"/>
      <c r="C10380" s="7"/>
      <c r="D10380" s="7"/>
      <c r="E10380" s="7"/>
      <c r="F10380" s="7"/>
      <c r="G10380" s="7"/>
      <c r="H10380" s="8"/>
      <c r="I10380" s="8"/>
      <c r="J10380" s="7"/>
      <c r="K10380" s="7"/>
      <c r="L10380" s="7"/>
      <c r="M10380" s="7"/>
      <c r="N10380" s="7"/>
      <c r="O10380" s="7"/>
      <c r="P10380" s="7"/>
      <c r="Q10380" s="7"/>
      <c r="R10380" s="7"/>
      <c r="S10380" s="7"/>
      <c r="T10380" s="7"/>
      <c r="U10380" s="7"/>
      <c r="V10380" s="7"/>
      <c r="W10380" s="7"/>
      <c r="X10380" s="7"/>
      <c r="Y10380" s="7"/>
      <c r="Z10380" s="7"/>
    </row>
    <row r="10381" hidden="1">
      <c r="A10381" s="7"/>
      <c r="B10381" s="7"/>
      <c r="C10381" s="7"/>
      <c r="D10381" s="7"/>
      <c r="E10381" s="7"/>
      <c r="F10381" s="7"/>
      <c r="G10381" s="7"/>
      <c r="H10381" s="8"/>
      <c r="I10381" s="8"/>
      <c r="J10381" s="7"/>
      <c r="K10381" s="7"/>
      <c r="L10381" s="7"/>
      <c r="M10381" s="7"/>
      <c r="N10381" s="7"/>
      <c r="O10381" s="7"/>
      <c r="P10381" s="7"/>
      <c r="Q10381" s="7"/>
      <c r="R10381" s="7"/>
      <c r="S10381" s="7"/>
      <c r="T10381" s="7"/>
      <c r="U10381" s="7"/>
      <c r="V10381" s="7"/>
      <c r="W10381" s="7"/>
      <c r="X10381" s="7"/>
      <c r="Y10381" s="7"/>
      <c r="Z10381" s="7"/>
    </row>
    <row r="10382" hidden="1">
      <c r="A10382" s="7"/>
      <c r="B10382" s="7"/>
      <c r="C10382" s="7"/>
      <c r="D10382" s="7"/>
      <c r="E10382" s="7"/>
      <c r="F10382" s="7"/>
      <c r="G10382" s="7"/>
      <c r="H10382" s="8"/>
      <c r="I10382" s="8"/>
      <c r="J10382" s="7"/>
      <c r="K10382" s="7"/>
      <c r="L10382" s="7"/>
      <c r="M10382" s="7"/>
      <c r="N10382" s="7"/>
      <c r="O10382" s="7"/>
      <c r="P10382" s="7"/>
      <c r="Q10382" s="7"/>
      <c r="R10382" s="7"/>
      <c r="S10382" s="7"/>
      <c r="T10382" s="7"/>
      <c r="U10382" s="7"/>
      <c r="V10382" s="7"/>
      <c r="W10382" s="7"/>
      <c r="X10382" s="7"/>
      <c r="Y10382" s="7"/>
      <c r="Z10382" s="7"/>
    </row>
    <row r="10383" hidden="1">
      <c r="A10383" s="7"/>
      <c r="B10383" s="7"/>
      <c r="C10383" s="7"/>
      <c r="D10383" s="7"/>
      <c r="E10383" s="7"/>
      <c r="F10383" s="7"/>
      <c r="G10383" s="7"/>
      <c r="H10383" s="8"/>
      <c r="I10383" s="8"/>
      <c r="J10383" s="7"/>
      <c r="K10383" s="7"/>
      <c r="L10383" s="7"/>
      <c r="M10383" s="7"/>
      <c r="N10383" s="7"/>
      <c r="O10383" s="7"/>
      <c r="P10383" s="7"/>
      <c r="Q10383" s="7"/>
      <c r="R10383" s="7"/>
      <c r="S10383" s="7"/>
      <c r="T10383" s="7"/>
      <c r="U10383" s="7"/>
      <c r="V10383" s="7"/>
      <c r="W10383" s="7"/>
      <c r="X10383" s="7"/>
      <c r="Y10383" s="7"/>
      <c r="Z10383" s="7"/>
    </row>
    <row r="10384" hidden="1">
      <c r="A10384" s="7"/>
      <c r="B10384" s="7"/>
      <c r="C10384" s="7"/>
      <c r="D10384" s="7"/>
      <c r="E10384" s="7"/>
      <c r="F10384" s="7"/>
      <c r="G10384" s="7"/>
      <c r="H10384" s="8"/>
      <c r="I10384" s="8"/>
      <c r="J10384" s="7"/>
      <c r="K10384" s="7"/>
      <c r="L10384" s="7"/>
      <c r="M10384" s="7"/>
      <c r="N10384" s="7"/>
      <c r="O10384" s="7"/>
      <c r="P10384" s="7"/>
      <c r="Q10384" s="7"/>
      <c r="R10384" s="7"/>
      <c r="S10384" s="7"/>
      <c r="T10384" s="7"/>
      <c r="U10384" s="7"/>
      <c r="V10384" s="7"/>
      <c r="W10384" s="7"/>
      <c r="X10384" s="7"/>
      <c r="Y10384" s="7"/>
      <c r="Z10384" s="7"/>
    </row>
    <row r="10385" hidden="1">
      <c r="A10385" s="7"/>
      <c r="B10385" s="7"/>
      <c r="C10385" s="7"/>
      <c r="D10385" s="7"/>
      <c r="E10385" s="7"/>
      <c r="F10385" s="7"/>
      <c r="G10385" s="7"/>
      <c r="H10385" s="8"/>
      <c r="I10385" s="8"/>
      <c r="J10385" s="7"/>
      <c r="K10385" s="7"/>
      <c r="L10385" s="7"/>
      <c r="M10385" s="7"/>
      <c r="N10385" s="7"/>
      <c r="O10385" s="7"/>
      <c r="P10385" s="7"/>
      <c r="Q10385" s="7"/>
      <c r="R10385" s="7"/>
      <c r="S10385" s="7"/>
      <c r="T10385" s="7"/>
      <c r="U10385" s="7"/>
      <c r="V10385" s="7"/>
      <c r="W10385" s="7"/>
      <c r="X10385" s="7"/>
      <c r="Y10385" s="7"/>
      <c r="Z10385" s="7"/>
    </row>
    <row r="10386" hidden="1">
      <c r="A10386" s="7"/>
      <c r="B10386" s="7"/>
      <c r="C10386" s="7"/>
      <c r="D10386" s="7"/>
      <c r="E10386" s="7"/>
      <c r="F10386" s="7"/>
      <c r="G10386" s="7"/>
      <c r="H10386" s="8"/>
      <c r="I10386" s="8"/>
      <c r="J10386" s="7"/>
      <c r="K10386" s="7"/>
      <c r="L10386" s="7"/>
      <c r="M10386" s="7"/>
      <c r="N10386" s="7"/>
      <c r="O10386" s="7"/>
      <c r="P10386" s="7"/>
      <c r="Q10386" s="7"/>
      <c r="R10386" s="7"/>
      <c r="S10386" s="7"/>
      <c r="T10386" s="7"/>
      <c r="U10386" s="7"/>
      <c r="V10386" s="7"/>
      <c r="W10386" s="7"/>
      <c r="X10386" s="7"/>
      <c r="Y10386" s="7"/>
      <c r="Z10386" s="7"/>
    </row>
    <row r="10387" hidden="1">
      <c r="A10387" s="7"/>
      <c r="B10387" s="7"/>
      <c r="C10387" s="7"/>
      <c r="D10387" s="7"/>
      <c r="E10387" s="7"/>
      <c r="F10387" s="7"/>
      <c r="G10387" s="7"/>
      <c r="H10387" s="8"/>
      <c r="I10387" s="8"/>
      <c r="J10387" s="7"/>
      <c r="K10387" s="7"/>
      <c r="L10387" s="7"/>
      <c r="M10387" s="7"/>
      <c r="N10387" s="7"/>
      <c r="O10387" s="7"/>
      <c r="P10387" s="7"/>
      <c r="Q10387" s="7"/>
      <c r="R10387" s="7"/>
      <c r="S10387" s="7"/>
      <c r="T10387" s="7"/>
      <c r="U10387" s="7"/>
      <c r="V10387" s="7"/>
      <c r="W10387" s="7"/>
      <c r="X10387" s="7"/>
      <c r="Y10387" s="7"/>
      <c r="Z10387" s="7"/>
    </row>
    <row r="10388" hidden="1">
      <c r="A10388" s="7"/>
      <c r="B10388" s="7"/>
      <c r="C10388" s="7"/>
      <c r="D10388" s="7"/>
      <c r="E10388" s="7"/>
      <c r="F10388" s="7"/>
      <c r="G10388" s="7"/>
      <c r="H10388" s="8"/>
      <c r="I10388" s="8"/>
      <c r="J10388" s="7"/>
      <c r="K10388" s="7"/>
      <c r="L10388" s="7"/>
      <c r="M10388" s="7"/>
      <c r="N10388" s="7"/>
      <c r="O10388" s="7"/>
      <c r="P10388" s="7"/>
      <c r="Q10388" s="7"/>
      <c r="R10388" s="7"/>
      <c r="S10388" s="7"/>
      <c r="T10388" s="7"/>
      <c r="U10388" s="7"/>
      <c r="V10388" s="7"/>
      <c r="W10388" s="7"/>
      <c r="X10388" s="7"/>
      <c r="Y10388" s="7"/>
      <c r="Z10388" s="7"/>
    </row>
    <row r="10389" hidden="1">
      <c r="A10389" s="7"/>
      <c r="B10389" s="7"/>
      <c r="C10389" s="7"/>
      <c r="D10389" s="7"/>
      <c r="E10389" s="7"/>
      <c r="F10389" s="7"/>
      <c r="G10389" s="7"/>
      <c r="H10389" s="8"/>
      <c r="I10389" s="8"/>
      <c r="J10389" s="7"/>
      <c r="K10389" s="7"/>
      <c r="L10389" s="7"/>
      <c r="M10389" s="7"/>
      <c r="N10389" s="7"/>
      <c r="O10389" s="7"/>
      <c r="P10389" s="7"/>
      <c r="Q10389" s="7"/>
      <c r="R10389" s="7"/>
      <c r="S10389" s="7"/>
      <c r="T10389" s="7"/>
      <c r="U10389" s="7"/>
      <c r="V10389" s="7"/>
      <c r="W10389" s="7"/>
      <c r="X10389" s="7"/>
      <c r="Y10389" s="7"/>
      <c r="Z10389" s="7"/>
    </row>
    <row r="10390" hidden="1">
      <c r="A10390" s="7"/>
      <c r="B10390" s="7"/>
      <c r="C10390" s="7"/>
      <c r="D10390" s="7"/>
      <c r="E10390" s="7"/>
      <c r="F10390" s="7"/>
      <c r="G10390" s="7"/>
      <c r="H10390" s="8"/>
      <c r="I10390" s="8"/>
      <c r="J10390" s="7"/>
      <c r="K10390" s="7"/>
      <c r="L10390" s="7"/>
      <c r="M10390" s="7"/>
      <c r="N10390" s="7"/>
      <c r="O10390" s="7"/>
      <c r="P10390" s="7"/>
      <c r="Q10390" s="7"/>
      <c r="R10390" s="7"/>
      <c r="S10390" s="7"/>
      <c r="T10390" s="7"/>
      <c r="U10390" s="7"/>
      <c r="V10390" s="7"/>
      <c r="W10390" s="7"/>
      <c r="X10390" s="7"/>
      <c r="Y10390" s="7"/>
      <c r="Z10390" s="7"/>
    </row>
    <row r="10391" hidden="1">
      <c r="A10391" s="7"/>
      <c r="B10391" s="7"/>
      <c r="C10391" s="7"/>
      <c r="D10391" s="7"/>
      <c r="E10391" s="7"/>
      <c r="F10391" s="7"/>
      <c r="G10391" s="7"/>
      <c r="H10391" s="8"/>
      <c r="I10391" s="8"/>
      <c r="J10391" s="7"/>
      <c r="K10391" s="7"/>
      <c r="L10391" s="7"/>
      <c r="M10391" s="7"/>
      <c r="N10391" s="7"/>
      <c r="O10391" s="7"/>
      <c r="P10391" s="7"/>
      <c r="Q10391" s="7"/>
      <c r="R10391" s="7"/>
      <c r="S10391" s="7"/>
      <c r="T10391" s="7"/>
      <c r="U10391" s="7"/>
      <c r="V10391" s="7"/>
      <c r="W10391" s="7"/>
      <c r="X10391" s="7"/>
      <c r="Y10391" s="7"/>
      <c r="Z10391" s="7"/>
    </row>
    <row r="10392" hidden="1">
      <c r="A10392" s="7"/>
      <c r="B10392" s="7"/>
      <c r="C10392" s="7"/>
      <c r="D10392" s="7"/>
      <c r="E10392" s="7"/>
      <c r="F10392" s="7"/>
      <c r="G10392" s="7"/>
      <c r="H10392" s="8"/>
      <c r="I10392" s="8"/>
      <c r="J10392" s="7"/>
      <c r="K10392" s="7"/>
      <c r="L10392" s="7"/>
      <c r="M10392" s="7"/>
      <c r="N10392" s="7"/>
      <c r="O10392" s="7"/>
      <c r="P10392" s="7"/>
      <c r="Q10392" s="7"/>
      <c r="R10392" s="7"/>
      <c r="S10392" s="7"/>
      <c r="T10392" s="7"/>
      <c r="U10392" s="7"/>
      <c r="V10392" s="7"/>
      <c r="W10392" s="7"/>
      <c r="X10392" s="7"/>
      <c r="Y10392" s="7"/>
      <c r="Z10392" s="7"/>
    </row>
    <row r="10393" hidden="1">
      <c r="A10393" s="7"/>
      <c r="B10393" s="7"/>
      <c r="C10393" s="7"/>
      <c r="D10393" s="7"/>
      <c r="E10393" s="7"/>
      <c r="F10393" s="7"/>
      <c r="G10393" s="7"/>
      <c r="H10393" s="8"/>
      <c r="I10393" s="8"/>
      <c r="J10393" s="7"/>
      <c r="K10393" s="7"/>
      <c r="L10393" s="7"/>
      <c r="M10393" s="7"/>
      <c r="N10393" s="7"/>
      <c r="O10393" s="7"/>
      <c r="P10393" s="7"/>
      <c r="Q10393" s="7"/>
      <c r="R10393" s="7"/>
      <c r="S10393" s="7"/>
      <c r="T10393" s="7"/>
      <c r="U10393" s="7"/>
      <c r="V10393" s="7"/>
      <c r="W10393" s="7"/>
      <c r="X10393" s="7"/>
      <c r="Y10393" s="7"/>
      <c r="Z10393" s="7"/>
    </row>
    <row r="10394" hidden="1">
      <c r="A10394" s="7"/>
      <c r="B10394" s="7"/>
      <c r="C10394" s="7"/>
      <c r="D10394" s="7"/>
      <c r="E10394" s="7"/>
      <c r="F10394" s="7"/>
      <c r="G10394" s="7"/>
      <c r="H10394" s="8"/>
      <c r="I10394" s="8"/>
      <c r="J10394" s="7"/>
      <c r="K10394" s="7"/>
      <c r="L10394" s="7"/>
      <c r="M10394" s="7"/>
      <c r="N10394" s="7"/>
      <c r="O10394" s="7"/>
      <c r="P10394" s="7"/>
      <c r="Q10394" s="7"/>
      <c r="R10394" s="7"/>
      <c r="S10394" s="7"/>
      <c r="T10394" s="7"/>
      <c r="U10394" s="7"/>
      <c r="V10394" s="7"/>
      <c r="W10394" s="7"/>
      <c r="X10394" s="7"/>
      <c r="Y10394" s="7"/>
      <c r="Z10394" s="7"/>
    </row>
    <row r="10395" hidden="1">
      <c r="A10395" s="7"/>
      <c r="B10395" s="7"/>
      <c r="C10395" s="7"/>
      <c r="D10395" s="7"/>
      <c r="E10395" s="7"/>
      <c r="F10395" s="7"/>
      <c r="G10395" s="7"/>
      <c r="H10395" s="8"/>
      <c r="I10395" s="8"/>
      <c r="J10395" s="7"/>
      <c r="K10395" s="7"/>
      <c r="L10395" s="7"/>
      <c r="M10395" s="7"/>
      <c r="N10395" s="7"/>
      <c r="O10395" s="7"/>
      <c r="P10395" s="7"/>
      <c r="Q10395" s="7"/>
      <c r="R10395" s="7"/>
      <c r="S10395" s="7"/>
      <c r="T10395" s="7"/>
      <c r="U10395" s="7"/>
      <c r="V10395" s="7"/>
      <c r="W10395" s="7"/>
      <c r="X10395" s="7"/>
      <c r="Y10395" s="7"/>
      <c r="Z10395" s="7"/>
    </row>
    <row r="10396" hidden="1">
      <c r="A10396" s="7"/>
      <c r="B10396" s="7"/>
      <c r="C10396" s="7"/>
      <c r="D10396" s="7"/>
      <c r="E10396" s="7"/>
      <c r="F10396" s="7"/>
      <c r="G10396" s="7"/>
      <c r="H10396" s="8"/>
      <c r="I10396" s="8"/>
      <c r="J10396" s="7"/>
      <c r="K10396" s="7"/>
      <c r="L10396" s="7"/>
      <c r="M10396" s="7"/>
      <c r="N10396" s="7"/>
      <c r="O10396" s="7"/>
      <c r="P10396" s="7"/>
      <c r="Q10396" s="7"/>
      <c r="R10396" s="7"/>
      <c r="S10396" s="7"/>
      <c r="T10396" s="7"/>
      <c r="U10396" s="7"/>
      <c r="V10396" s="7"/>
      <c r="W10396" s="7"/>
      <c r="X10396" s="7"/>
      <c r="Y10396" s="7"/>
      <c r="Z10396" s="7"/>
    </row>
    <row r="10397" hidden="1">
      <c r="A10397" s="7"/>
      <c r="B10397" s="7"/>
      <c r="C10397" s="7"/>
      <c r="D10397" s="7"/>
      <c r="E10397" s="7"/>
      <c r="F10397" s="7"/>
      <c r="G10397" s="7"/>
      <c r="H10397" s="8"/>
      <c r="I10397" s="8"/>
      <c r="J10397" s="7"/>
      <c r="K10397" s="7"/>
      <c r="L10397" s="7"/>
      <c r="M10397" s="7"/>
      <c r="N10397" s="7"/>
      <c r="O10397" s="7"/>
      <c r="P10397" s="7"/>
      <c r="Q10397" s="7"/>
      <c r="R10397" s="7"/>
      <c r="S10397" s="7"/>
      <c r="T10397" s="7"/>
      <c r="U10397" s="7"/>
      <c r="V10397" s="7"/>
      <c r="W10397" s="7"/>
      <c r="X10397" s="7"/>
      <c r="Y10397" s="7"/>
      <c r="Z10397" s="7"/>
    </row>
    <row r="10398" hidden="1">
      <c r="A10398" s="7"/>
      <c r="B10398" s="7"/>
      <c r="C10398" s="7"/>
      <c r="D10398" s="7"/>
      <c r="E10398" s="7"/>
      <c r="F10398" s="7"/>
      <c r="G10398" s="7"/>
      <c r="H10398" s="8"/>
      <c r="I10398" s="8"/>
      <c r="J10398" s="7"/>
      <c r="K10398" s="7"/>
      <c r="L10398" s="7"/>
      <c r="M10398" s="7"/>
      <c r="N10398" s="7"/>
      <c r="O10398" s="7"/>
      <c r="P10398" s="7"/>
      <c r="Q10398" s="7"/>
      <c r="R10398" s="7"/>
      <c r="S10398" s="7"/>
      <c r="T10398" s="7"/>
      <c r="U10398" s="7"/>
      <c r="V10398" s="7"/>
      <c r="W10398" s="7"/>
      <c r="X10398" s="7"/>
      <c r="Y10398" s="7"/>
      <c r="Z10398" s="7"/>
    </row>
    <row r="10399" hidden="1">
      <c r="A10399" s="7"/>
      <c r="B10399" s="7"/>
      <c r="C10399" s="7"/>
      <c r="D10399" s="7"/>
      <c r="E10399" s="7"/>
      <c r="F10399" s="7"/>
      <c r="G10399" s="7"/>
      <c r="H10399" s="8"/>
      <c r="I10399" s="8"/>
      <c r="J10399" s="7"/>
      <c r="K10399" s="7"/>
      <c r="L10399" s="7"/>
      <c r="M10399" s="7"/>
      <c r="N10399" s="7"/>
      <c r="O10399" s="7"/>
      <c r="P10399" s="7"/>
      <c r="Q10399" s="7"/>
      <c r="R10399" s="7"/>
      <c r="S10399" s="7"/>
      <c r="T10399" s="7"/>
      <c r="U10399" s="7"/>
      <c r="V10399" s="7"/>
      <c r="W10399" s="7"/>
      <c r="X10399" s="7"/>
      <c r="Y10399" s="7"/>
      <c r="Z10399" s="7"/>
    </row>
    <row r="10400" hidden="1">
      <c r="A10400" s="7"/>
      <c r="B10400" s="7"/>
      <c r="C10400" s="7"/>
      <c r="D10400" s="7"/>
      <c r="E10400" s="7"/>
      <c r="F10400" s="7"/>
      <c r="G10400" s="7"/>
      <c r="H10400" s="8"/>
      <c r="I10400" s="8"/>
      <c r="J10400" s="7"/>
      <c r="K10400" s="7"/>
      <c r="L10400" s="7"/>
      <c r="M10400" s="7"/>
      <c r="N10400" s="7"/>
      <c r="O10400" s="7"/>
      <c r="P10400" s="7"/>
      <c r="Q10400" s="7"/>
      <c r="R10400" s="7"/>
      <c r="S10400" s="7"/>
      <c r="T10400" s="7"/>
      <c r="U10400" s="7"/>
      <c r="V10400" s="7"/>
      <c r="W10400" s="7"/>
      <c r="X10400" s="7"/>
      <c r="Y10400" s="7"/>
      <c r="Z10400" s="7"/>
    </row>
    <row r="10401" hidden="1">
      <c r="A10401" s="7"/>
      <c r="B10401" s="7"/>
      <c r="C10401" s="7"/>
      <c r="D10401" s="7"/>
      <c r="E10401" s="7"/>
      <c r="F10401" s="7"/>
      <c r="G10401" s="7"/>
      <c r="H10401" s="8"/>
      <c r="I10401" s="8"/>
      <c r="J10401" s="7"/>
      <c r="K10401" s="7"/>
      <c r="L10401" s="7"/>
      <c r="M10401" s="7"/>
      <c r="N10401" s="7"/>
      <c r="O10401" s="7"/>
      <c r="P10401" s="7"/>
      <c r="Q10401" s="7"/>
      <c r="R10401" s="7"/>
      <c r="S10401" s="7"/>
      <c r="T10401" s="7"/>
      <c r="U10401" s="7"/>
      <c r="V10401" s="7"/>
      <c r="W10401" s="7"/>
      <c r="X10401" s="7"/>
      <c r="Y10401" s="7"/>
      <c r="Z10401" s="7"/>
    </row>
    <row r="10402" hidden="1">
      <c r="A10402" s="7"/>
      <c r="B10402" s="7"/>
      <c r="C10402" s="7"/>
      <c r="D10402" s="7"/>
      <c r="E10402" s="7"/>
      <c r="F10402" s="7"/>
      <c r="G10402" s="7"/>
      <c r="H10402" s="8"/>
      <c r="I10402" s="8"/>
      <c r="J10402" s="7"/>
      <c r="K10402" s="7"/>
      <c r="L10402" s="7"/>
      <c r="M10402" s="7"/>
      <c r="N10402" s="7"/>
      <c r="O10402" s="7"/>
      <c r="P10402" s="7"/>
      <c r="Q10402" s="7"/>
      <c r="R10402" s="7"/>
      <c r="S10402" s="7"/>
      <c r="T10402" s="7"/>
      <c r="U10402" s="7"/>
      <c r="V10402" s="7"/>
      <c r="W10402" s="7"/>
      <c r="X10402" s="7"/>
      <c r="Y10402" s="7"/>
      <c r="Z10402" s="7"/>
    </row>
    <row r="10403" hidden="1">
      <c r="A10403" s="7"/>
      <c r="B10403" s="7"/>
      <c r="C10403" s="7"/>
      <c r="D10403" s="7"/>
      <c r="E10403" s="7"/>
      <c r="F10403" s="7"/>
      <c r="G10403" s="7"/>
      <c r="H10403" s="8"/>
      <c r="I10403" s="8"/>
      <c r="J10403" s="7"/>
      <c r="K10403" s="7"/>
      <c r="L10403" s="7"/>
      <c r="M10403" s="7"/>
      <c r="N10403" s="7"/>
      <c r="O10403" s="7"/>
      <c r="P10403" s="7"/>
      <c r="Q10403" s="7"/>
      <c r="R10403" s="7"/>
      <c r="S10403" s="7"/>
      <c r="T10403" s="7"/>
      <c r="U10403" s="7"/>
      <c r="V10403" s="7"/>
      <c r="W10403" s="7"/>
      <c r="X10403" s="7"/>
      <c r="Y10403" s="7"/>
      <c r="Z10403" s="7"/>
    </row>
    <row r="10404" hidden="1">
      <c r="A10404" s="7"/>
      <c r="B10404" s="7"/>
      <c r="C10404" s="7"/>
      <c r="D10404" s="7"/>
      <c r="E10404" s="7"/>
      <c r="F10404" s="7"/>
      <c r="G10404" s="7"/>
      <c r="H10404" s="8"/>
      <c r="I10404" s="8"/>
      <c r="J10404" s="7"/>
      <c r="K10404" s="7"/>
      <c r="L10404" s="7"/>
      <c r="M10404" s="7"/>
      <c r="N10404" s="7"/>
      <c r="O10404" s="7"/>
      <c r="P10404" s="7"/>
      <c r="Q10404" s="7"/>
      <c r="R10404" s="7"/>
      <c r="S10404" s="7"/>
      <c r="T10404" s="7"/>
      <c r="U10404" s="7"/>
      <c r="V10404" s="7"/>
      <c r="W10404" s="7"/>
      <c r="X10404" s="7"/>
      <c r="Y10404" s="7"/>
      <c r="Z10404" s="7"/>
    </row>
    <row r="10405" hidden="1">
      <c r="A10405" s="7"/>
      <c r="B10405" s="7"/>
      <c r="C10405" s="7"/>
      <c r="D10405" s="7"/>
      <c r="E10405" s="7"/>
      <c r="F10405" s="7"/>
      <c r="G10405" s="7"/>
      <c r="H10405" s="8"/>
      <c r="I10405" s="8"/>
      <c r="J10405" s="7"/>
      <c r="K10405" s="7"/>
      <c r="L10405" s="7"/>
      <c r="M10405" s="7"/>
      <c r="N10405" s="7"/>
      <c r="O10405" s="7"/>
      <c r="P10405" s="7"/>
      <c r="Q10405" s="7"/>
      <c r="R10405" s="7"/>
      <c r="S10405" s="7"/>
      <c r="T10405" s="7"/>
      <c r="U10405" s="7"/>
      <c r="V10405" s="7"/>
      <c r="W10405" s="7"/>
      <c r="X10405" s="7"/>
      <c r="Y10405" s="7"/>
      <c r="Z10405" s="7"/>
    </row>
    <row r="10406" hidden="1">
      <c r="A10406" s="7"/>
      <c r="B10406" s="7"/>
      <c r="C10406" s="7"/>
      <c r="D10406" s="7"/>
      <c r="E10406" s="7"/>
      <c r="F10406" s="7"/>
      <c r="G10406" s="7"/>
      <c r="H10406" s="8"/>
      <c r="I10406" s="8"/>
      <c r="J10406" s="7"/>
      <c r="K10406" s="7"/>
      <c r="L10406" s="7"/>
      <c r="M10406" s="7"/>
      <c r="N10406" s="7"/>
      <c r="O10406" s="7"/>
      <c r="P10406" s="7"/>
      <c r="Q10406" s="7"/>
      <c r="R10406" s="7"/>
      <c r="S10406" s="7"/>
      <c r="T10406" s="7"/>
      <c r="U10406" s="7"/>
      <c r="V10406" s="7"/>
      <c r="W10406" s="7"/>
      <c r="X10406" s="7"/>
      <c r="Y10406" s="7"/>
      <c r="Z10406" s="7"/>
    </row>
    <row r="10407" hidden="1">
      <c r="A10407" s="7"/>
      <c r="B10407" s="7"/>
      <c r="C10407" s="7"/>
      <c r="D10407" s="7"/>
      <c r="E10407" s="7"/>
      <c r="F10407" s="7"/>
      <c r="G10407" s="7"/>
      <c r="H10407" s="8"/>
      <c r="I10407" s="8"/>
      <c r="J10407" s="7"/>
      <c r="K10407" s="7"/>
      <c r="L10407" s="7"/>
      <c r="M10407" s="7"/>
      <c r="N10407" s="7"/>
      <c r="O10407" s="7"/>
      <c r="P10407" s="7"/>
      <c r="Q10407" s="7"/>
      <c r="R10407" s="7"/>
      <c r="S10407" s="7"/>
      <c r="T10407" s="7"/>
      <c r="U10407" s="7"/>
      <c r="V10407" s="7"/>
      <c r="W10407" s="7"/>
      <c r="X10407" s="7"/>
      <c r="Y10407" s="7"/>
      <c r="Z10407" s="7"/>
    </row>
    <row r="10408" hidden="1">
      <c r="A10408" s="7"/>
      <c r="B10408" s="7"/>
      <c r="C10408" s="7"/>
      <c r="D10408" s="7"/>
      <c r="E10408" s="7"/>
      <c r="F10408" s="7"/>
      <c r="G10408" s="7"/>
      <c r="H10408" s="8"/>
      <c r="I10408" s="8"/>
      <c r="J10408" s="7"/>
      <c r="K10408" s="7"/>
      <c r="L10408" s="7"/>
      <c r="M10408" s="7"/>
      <c r="N10408" s="7"/>
      <c r="O10408" s="7"/>
      <c r="P10408" s="7"/>
      <c r="Q10408" s="7"/>
      <c r="R10408" s="7"/>
      <c r="S10408" s="7"/>
      <c r="T10408" s="7"/>
      <c r="U10408" s="7"/>
      <c r="V10408" s="7"/>
      <c r="W10408" s="7"/>
      <c r="X10408" s="7"/>
      <c r="Y10408" s="7"/>
      <c r="Z10408" s="7"/>
    </row>
    <row r="10409" hidden="1">
      <c r="A10409" s="7"/>
      <c r="B10409" s="7"/>
      <c r="C10409" s="7"/>
      <c r="D10409" s="7"/>
      <c r="E10409" s="7"/>
      <c r="F10409" s="7"/>
      <c r="G10409" s="7"/>
      <c r="H10409" s="8"/>
      <c r="I10409" s="8"/>
      <c r="J10409" s="7"/>
      <c r="K10409" s="7"/>
      <c r="L10409" s="7"/>
      <c r="M10409" s="7"/>
      <c r="N10409" s="7"/>
      <c r="O10409" s="7"/>
      <c r="P10409" s="7"/>
      <c r="Q10409" s="7"/>
      <c r="R10409" s="7"/>
      <c r="S10409" s="7"/>
      <c r="T10409" s="7"/>
      <c r="U10409" s="7"/>
      <c r="V10409" s="7"/>
      <c r="W10409" s="7"/>
      <c r="X10409" s="7"/>
      <c r="Y10409" s="7"/>
      <c r="Z10409" s="7"/>
    </row>
    <row r="10410" hidden="1">
      <c r="A10410" s="7"/>
      <c r="B10410" s="7"/>
      <c r="C10410" s="7"/>
      <c r="D10410" s="7"/>
      <c r="E10410" s="7"/>
      <c r="F10410" s="7"/>
      <c r="G10410" s="7"/>
      <c r="H10410" s="8"/>
      <c r="I10410" s="8"/>
      <c r="J10410" s="7"/>
      <c r="K10410" s="7"/>
      <c r="L10410" s="7"/>
      <c r="M10410" s="7"/>
      <c r="N10410" s="7"/>
      <c r="O10410" s="7"/>
      <c r="P10410" s="7"/>
      <c r="Q10410" s="7"/>
      <c r="R10410" s="7"/>
      <c r="S10410" s="7"/>
      <c r="T10410" s="7"/>
      <c r="U10410" s="7"/>
      <c r="V10410" s="7"/>
      <c r="W10410" s="7"/>
      <c r="X10410" s="7"/>
      <c r="Y10410" s="7"/>
      <c r="Z10410" s="7"/>
    </row>
    <row r="10411" hidden="1">
      <c r="A10411" s="7"/>
      <c r="B10411" s="7"/>
      <c r="C10411" s="7"/>
      <c r="D10411" s="7"/>
      <c r="E10411" s="7"/>
      <c r="F10411" s="7"/>
      <c r="G10411" s="7"/>
      <c r="H10411" s="8"/>
      <c r="I10411" s="8"/>
      <c r="J10411" s="7"/>
      <c r="K10411" s="7"/>
      <c r="L10411" s="7"/>
      <c r="M10411" s="7"/>
      <c r="N10411" s="7"/>
      <c r="O10411" s="7"/>
      <c r="P10411" s="7"/>
      <c r="Q10411" s="7"/>
      <c r="R10411" s="7"/>
      <c r="S10411" s="7"/>
      <c r="T10411" s="7"/>
      <c r="U10411" s="7"/>
      <c r="V10411" s="7"/>
      <c r="W10411" s="7"/>
      <c r="X10411" s="7"/>
      <c r="Y10411" s="7"/>
      <c r="Z10411" s="7"/>
    </row>
    <row r="10412" hidden="1">
      <c r="A10412" s="7"/>
      <c r="B10412" s="7"/>
      <c r="C10412" s="7"/>
      <c r="D10412" s="7"/>
      <c r="E10412" s="7"/>
      <c r="F10412" s="7"/>
      <c r="G10412" s="7"/>
      <c r="H10412" s="8"/>
      <c r="I10412" s="8"/>
      <c r="J10412" s="7"/>
      <c r="K10412" s="7"/>
      <c r="L10412" s="7"/>
      <c r="M10412" s="7"/>
      <c r="N10412" s="7"/>
      <c r="O10412" s="7"/>
      <c r="P10412" s="7"/>
      <c r="Q10412" s="7"/>
      <c r="R10412" s="7"/>
      <c r="S10412" s="7"/>
      <c r="T10412" s="7"/>
      <c r="U10412" s="7"/>
      <c r="V10412" s="7"/>
      <c r="W10412" s="7"/>
      <c r="X10412" s="7"/>
      <c r="Y10412" s="7"/>
      <c r="Z10412" s="7"/>
    </row>
    <row r="10413" hidden="1">
      <c r="A10413" s="7"/>
      <c r="B10413" s="7"/>
      <c r="C10413" s="7"/>
      <c r="D10413" s="7"/>
      <c r="E10413" s="7"/>
      <c r="F10413" s="7"/>
      <c r="G10413" s="7"/>
      <c r="H10413" s="8"/>
      <c r="I10413" s="8"/>
      <c r="J10413" s="7"/>
      <c r="K10413" s="7"/>
      <c r="L10413" s="7"/>
      <c r="M10413" s="7"/>
      <c r="N10413" s="7"/>
      <c r="O10413" s="7"/>
      <c r="P10413" s="7"/>
      <c r="Q10413" s="7"/>
      <c r="R10413" s="7"/>
      <c r="S10413" s="7"/>
      <c r="T10413" s="7"/>
      <c r="U10413" s="7"/>
      <c r="V10413" s="7"/>
      <c r="W10413" s="7"/>
      <c r="X10413" s="7"/>
      <c r="Y10413" s="7"/>
      <c r="Z10413" s="7"/>
    </row>
    <row r="10414" hidden="1">
      <c r="A10414" s="7"/>
      <c r="B10414" s="7"/>
      <c r="C10414" s="7"/>
      <c r="D10414" s="7"/>
      <c r="E10414" s="7"/>
      <c r="F10414" s="7"/>
      <c r="G10414" s="7"/>
      <c r="H10414" s="8"/>
      <c r="I10414" s="8"/>
      <c r="J10414" s="7"/>
      <c r="K10414" s="7"/>
      <c r="L10414" s="7"/>
      <c r="M10414" s="7"/>
      <c r="N10414" s="7"/>
      <c r="O10414" s="7"/>
      <c r="P10414" s="7"/>
      <c r="Q10414" s="7"/>
      <c r="R10414" s="7"/>
      <c r="S10414" s="7"/>
      <c r="T10414" s="7"/>
      <c r="U10414" s="7"/>
      <c r="V10414" s="7"/>
      <c r="W10414" s="7"/>
      <c r="X10414" s="7"/>
      <c r="Y10414" s="7"/>
      <c r="Z10414" s="7"/>
    </row>
    <row r="10415" hidden="1">
      <c r="A10415" s="7"/>
      <c r="B10415" s="7"/>
      <c r="C10415" s="7"/>
      <c r="D10415" s="7"/>
      <c r="E10415" s="7"/>
      <c r="F10415" s="7"/>
      <c r="G10415" s="7"/>
      <c r="H10415" s="8"/>
      <c r="I10415" s="8"/>
      <c r="J10415" s="7"/>
      <c r="K10415" s="7"/>
      <c r="L10415" s="7"/>
      <c r="M10415" s="7"/>
      <c r="N10415" s="7"/>
      <c r="O10415" s="7"/>
      <c r="P10415" s="7"/>
      <c r="Q10415" s="7"/>
      <c r="R10415" s="7"/>
      <c r="S10415" s="7"/>
      <c r="T10415" s="7"/>
      <c r="U10415" s="7"/>
      <c r="V10415" s="7"/>
      <c r="W10415" s="7"/>
      <c r="X10415" s="7"/>
      <c r="Y10415" s="7"/>
      <c r="Z10415" s="7"/>
    </row>
    <row r="10416" hidden="1">
      <c r="A10416" s="7"/>
      <c r="B10416" s="7"/>
      <c r="C10416" s="7"/>
      <c r="D10416" s="7"/>
      <c r="E10416" s="7"/>
      <c r="F10416" s="7"/>
      <c r="G10416" s="7"/>
      <c r="H10416" s="8"/>
      <c r="I10416" s="8"/>
      <c r="J10416" s="7"/>
      <c r="K10416" s="7"/>
      <c r="L10416" s="7"/>
      <c r="M10416" s="7"/>
      <c r="N10416" s="7"/>
      <c r="O10416" s="7"/>
      <c r="P10416" s="7"/>
      <c r="Q10416" s="7"/>
      <c r="R10416" s="7"/>
      <c r="S10416" s="7"/>
      <c r="T10416" s="7"/>
      <c r="U10416" s="7"/>
      <c r="V10416" s="7"/>
      <c r="W10416" s="7"/>
      <c r="X10416" s="7"/>
      <c r="Y10416" s="7"/>
      <c r="Z10416" s="7"/>
    </row>
    <row r="10417" hidden="1">
      <c r="A10417" s="7"/>
      <c r="B10417" s="7"/>
      <c r="C10417" s="7"/>
      <c r="D10417" s="7"/>
      <c r="E10417" s="7"/>
      <c r="F10417" s="7"/>
      <c r="G10417" s="7"/>
      <c r="H10417" s="8"/>
      <c r="I10417" s="8"/>
      <c r="J10417" s="7"/>
      <c r="K10417" s="7"/>
      <c r="L10417" s="7"/>
      <c r="M10417" s="7"/>
      <c r="N10417" s="7"/>
      <c r="O10417" s="7"/>
      <c r="P10417" s="7"/>
      <c r="Q10417" s="7"/>
      <c r="R10417" s="7"/>
      <c r="S10417" s="7"/>
      <c r="T10417" s="7"/>
      <c r="U10417" s="7"/>
      <c r="V10417" s="7"/>
      <c r="W10417" s="7"/>
      <c r="X10417" s="7"/>
      <c r="Y10417" s="7"/>
      <c r="Z10417" s="7"/>
    </row>
    <row r="10418" hidden="1">
      <c r="A10418" s="7"/>
      <c r="B10418" s="7"/>
      <c r="C10418" s="7"/>
      <c r="D10418" s="7"/>
      <c r="E10418" s="7"/>
      <c r="F10418" s="7"/>
      <c r="G10418" s="7"/>
      <c r="H10418" s="8"/>
      <c r="I10418" s="8"/>
      <c r="J10418" s="7"/>
      <c r="K10418" s="7"/>
      <c r="L10418" s="7"/>
      <c r="M10418" s="7"/>
      <c r="N10418" s="7"/>
      <c r="O10418" s="7"/>
      <c r="P10418" s="7"/>
      <c r="Q10418" s="7"/>
      <c r="R10418" s="7"/>
      <c r="S10418" s="7"/>
      <c r="T10418" s="7"/>
      <c r="U10418" s="7"/>
      <c r="V10418" s="7"/>
      <c r="W10418" s="7"/>
      <c r="X10418" s="7"/>
      <c r="Y10418" s="7"/>
      <c r="Z10418" s="7"/>
    </row>
    <row r="10419" hidden="1">
      <c r="A10419" s="7"/>
      <c r="B10419" s="7"/>
      <c r="C10419" s="7"/>
      <c r="D10419" s="7"/>
      <c r="E10419" s="7"/>
      <c r="F10419" s="7"/>
      <c r="G10419" s="7"/>
      <c r="H10419" s="8"/>
      <c r="I10419" s="8"/>
      <c r="J10419" s="7"/>
      <c r="K10419" s="7"/>
      <c r="L10419" s="7"/>
      <c r="M10419" s="7"/>
      <c r="N10419" s="7"/>
      <c r="O10419" s="7"/>
      <c r="P10419" s="7"/>
      <c r="Q10419" s="7"/>
      <c r="R10419" s="7"/>
      <c r="S10419" s="7"/>
      <c r="T10419" s="7"/>
      <c r="U10419" s="7"/>
      <c r="V10419" s="7"/>
      <c r="W10419" s="7"/>
      <c r="X10419" s="7"/>
      <c r="Y10419" s="7"/>
      <c r="Z10419" s="7"/>
    </row>
    <row r="10420" hidden="1">
      <c r="A10420" s="7"/>
      <c r="B10420" s="7"/>
      <c r="C10420" s="7"/>
      <c r="D10420" s="7"/>
      <c r="E10420" s="7"/>
      <c r="F10420" s="7"/>
      <c r="G10420" s="7"/>
      <c r="H10420" s="8"/>
      <c r="I10420" s="8"/>
      <c r="J10420" s="7"/>
      <c r="K10420" s="7"/>
      <c r="L10420" s="7"/>
      <c r="M10420" s="7"/>
      <c r="N10420" s="7"/>
      <c r="O10420" s="7"/>
      <c r="P10420" s="7"/>
      <c r="Q10420" s="7"/>
      <c r="R10420" s="7"/>
      <c r="S10420" s="7"/>
      <c r="T10420" s="7"/>
      <c r="U10420" s="7"/>
      <c r="V10420" s="7"/>
      <c r="W10420" s="7"/>
      <c r="X10420" s="7"/>
      <c r="Y10420" s="7"/>
      <c r="Z10420" s="7"/>
    </row>
    <row r="10421" hidden="1">
      <c r="A10421" s="7"/>
      <c r="B10421" s="7"/>
      <c r="C10421" s="7"/>
      <c r="D10421" s="7"/>
      <c r="E10421" s="7"/>
      <c r="F10421" s="7"/>
      <c r="G10421" s="7"/>
      <c r="H10421" s="8"/>
      <c r="I10421" s="8"/>
      <c r="J10421" s="7"/>
      <c r="K10421" s="7"/>
      <c r="L10421" s="7"/>
      <c r="M10421" s="7"/>
      <c r="N10421" s="7"/>
      <c r="O10421" s="7"/>
      <c r="P10421" s="7"/>
      <c r="Q10421" s="7"/>
      <c r="R10421" s="7"/>
      <c r="S10421" s="7"/>
      <c r="T10421" s="7"/>
      <c r="U10421" s="7"/>
      <c r="V10421" s="7"/>
      <c r="W10421" s="7"/>
      <c r="X10421" s="7"/>
      <c r="Y10421" s="7"/>
      <c r="Z10421" s="7"/>
    </row>
    <row r="10422" hidden="1">
      <c r="A10422" s="7"/>
      <c r="B10422" s="7"/>
      <c r="C10422" s="7"/>
      <c r="D10422" s="7"/>
      <c r="E10422" s="7"/>
      <c r="F10422" s="7"/>
      <c r="G10422" s="7"/>
      <c r="H10422" s="8"/>
      <c r="I10422" s="8"/>
      <c r="J10422" s="7"/>
      <c r="K10422" s="7"/>
      <c r="L10422" s="7"/>
      <c r="M10422" s="7"/>
      <c r="N10422" s="7"/>
      <c r="O10422" s="7"/>
      <c r="P10422" s="7"/>
      <c r="Q10422" s="7"/>
      <c r="R10422" s="7"/>
      <c r="S10422" s="7"/>
      <c r="T10422" s="7"/>
      <c r="U10422" s="7"/>
      <c r="V10422" s="7"/>
      <c r="W10422" s="7"/>
      <c r="X10422" s="7"/>
      <c r="Y10422" s="7"/>
      <c r="Z10422" s="7"/>
    </row>
    <row r="10423" hidden="1">
      <c r="A10423" s="7"/>
      <c r="B10423" s="7"/>
      <c r="C10423" s="7"/>
      <c r="D10423" s="7"/>
      <c r="E10423" s="7"/>
      <c r="F10423" s="7"/>
      <c r="G10423" s="7"/>
      <c r="H10423" s="8"/>
      <c r="I10423" s="8"/>
      <c r="J10423" s="7"/>
      <c r="K10423" s="7"/>
      <c r="L10423" s="7"/>
      <c r="M10423" s="7"/>
      <c r="N10423" s="7"/>
      <c r="O10423" s="7"/>
      <c r="P10423" s="7"/>
      <c r="Q10423" s="7"/>
      <c r="R10423" s="7"/>
      <c r="S10423" s="7"/>
      <c r="T10423" s="7"/>
      <c r="U10423" s="7"/>
      <c r="V10423" s="7"/>
      <c r="W10423" s="7"/>
      <c r="X10423" s="7"/>
      <c r="Y10423" s="7"/>
      <c r="Z10423" s="7"/>
    </row>
    <row r="10424" hidden="1">
      <c r="A10424" s="7"/>
      <c r="B10424" s="7"/>
      <c r="C10424" s="7"/>
      <c r="D10424" s="7"/>
      <c r="E10424" s="7"/>
      <c r="F10424" s="7"/>
      <c r="G10424" s="7"/>
      <c r="H10424" s="8"/>
      <c r="I10424" s="8"/>
      <c r="J10424" s="7"/>
      <c r="K10424" s="7"/>
      <c r="L10424" s="7"/>
      <c r="M10424" s="7"/>
      <c r="N10424" s="7"/>
      <c r="O10424" s="7"/>
      <c r="P10424" s="7"/>
      <c r="Q10424" s="7"/>
      <c r="R10424" s="7"/>
      <c r="S10424" s="7"/>
      <c r="T10424" s="7"/>
      <c r="U10424" s="7"/>
      <c r="V10424" s="7"/>
      <c r="W10424" s="7"/>
      <c r="X10424" s="7"/>
      <c r="Y10424" s="7"/>
      <c r="Z10424" s="7"/>
    </row>
    <row r="10425" hidden="1">
      <c r="A10425" s="7"/>
      <c r="B10425" s="7"/>
      <c r="C10425" s="7"/>
      <c r="D10425" s="7"/>
      <c r="E10425" s="7"/>
      <c r="F10425" s="7"/>
      <c r="G10425" s="7"/>
      <c r="H10425" s="8"/>
      <c r="I10425" s="8"/>
      <c r="J10425" s="7"/>
      <c r="K10425" s="7"/>
      <c r="L10425" s="7"/>
      <c r="M10425" s="7"/>
      <c r="N10425" s="7"/>
      <c r="O10425" s="7"/>
      <c r="P10425" s="7"/>
      <c r="Q10425" s="7"/>
      <c r="R10425" s="7"/>
      <c r="S10425" s="7"/>
      <c r="T10425" s="7"/>
      <c r="U10425" s="7"/>
      <c r="V10425" s="7"/>
      <c r="W10425" s="7"/>
      <c r="X10425" s="7"/>
      <c r="Y10425" s="7"/>
      <c r="Z10425" s="7"/>
    </row>
    <row r="10426" hidden="1">
      <c r="A10426" s="7"/>
      <c r="B10426" s="7"/>
      <c r="C10426" s="7"/>
      <c r="D10426" s="7"/>
      <c r="E10426" s="7"/>
      <c r="F10426" s="7"/>
      <c r="G10426" s="7"/>
      <c r="H10426" s="8"/>
      <c r="I10426" s="8"/>
      <c r="J10426" s="7"/>
      <c r="K10426" s="7"/>
      <c r="L10426" s="7"/>
      <c r="M10426" s="7"/>
      <c r="N10426" s="7"/>
      <c r="O10426" s="7"/>
      <c r="P10426" s="7"/>
      <c r="Q10426" s="7"/>
      <c r="R10426" s="7"/>
      <c r="S10426" s="7"/>
      <c r="T10426" s="7"/>
      <c r="U10426" s="7"/>
      <c r="V10426" s="7"/>
      <c r="W10426" s="7"/>
      <c r="X10426" s="7"/>
      <c r="Y10426" s="7"/>
      <c r="Z10426" s="7"/>
    </row>
    <row r="10427" hidden="1">
      <c r="A10427" s="7"/>
      <c r="B10427" s="7"/>
      <c r="C10427" s="7"/>
      <c r="D10427" s="7"/>
      <c r="E10427" s="7"/>
      <c r="F10427" s="7"/>
      <c r="G10427" s="7"/>
      <c r="H10427" s="8"/>
      <c r="I10427" s="8"/>
      <c r="J10427" s="7"/>
      <c r="K10427" s="7"/>
      <c r="L10427" s="7"/>
      <c r="M10427" s="7"/>
      <c r="N10427" s="7"/>
      <c r="O10427" s="7"/>
      <c r="P10427" s="7"/>
      <c r="Q10427" s="7"/>
      <c r="R10427" s="7"/>
      <c r="S10427" s="7"/>
      <c r="T10427" s="7"/>
      <c r="U10427" s="7"/>
      <c r="V10427" s="7"/>
      <c r="W10427" s="7"/>
      <c r="X10427" s="7"/>
      <c r="Y10427" s="7"/>
      <c r="Z10427" s="7"/>
    </row>
    <row r="10428" hidden="1">
      <c r="A10428" s="7"/>
      <c r="B10428" s="7"/>
      <c r="C10428" s="7"/>
      <c r="D10428" s="7"/>
      <c r="E10428" s="7"/>
      <c r="F10428" s="7"/>
      <c r="G10428" s="7"/>
      <c r="H10428" s="8"/>
      <c r="I10428" s="8"/>
      <c r="J10428" s="7"/>
      <c r="K10428" s="7"/>
      <c r="L10428" s="7"/>
      <c r="M10428" s="7"/>
      <c r="N10428" s="7"/>
      <c r="O10428" s="7"/>
      <c r="P10428" s="7"/>
      <c r="Q10428" s="7"/>
      <c r="R10428" s="7"/>
      <c r="S10428" s="7"/>
      <c r="T10428" s="7"/>
      <c r="U10428" s="7"/>
      <c r="V10428" s="7"/>
      <c r="W10428" s="7"/>
      <c r="X10428" s="7"/>
      <c r="Y10428" s="7"/>
      <c r="Z10428" s="7"/>
    </row>
    <row r="10429" hidden="1">
      <c r="A10429" s="7"/>
      <c r="B10429" s="7"/>
      <c r="C10429" s="7"/>
      <c r="D10429" s="7"/>
      <c r="E10429" s="7"/>
      <c r="F10429" s="7"/>
      <c r="G10429" s="7"/>
      <c r="H10429" s="8"/>
      <c r="I10429" s="8"/>
      <c r="J10429" s="7"/>
      <c r="K10429" s="7"/>
      <c r="L10429" s="7"/>
      <c r="M10429" s="7"/>
      <c r="N10429" s="7"/>
      <c r="O10429" s="7"/>
      <c r="P10429" s="7"/>
      <c r="Q10429" s="7"/>
      <c r="R10429" s="7"/>
      <c r="S10429" s="7"/>
      <c r="T10429" s="7"/>
      <c r="U10429" s="7"/>
      <c r="V10429" s="7"/>
      <c r="W10429" s="7"/>
      <c r="X10429" s="7"/>
      <c r="Y10429" s="7"/>
      <c r="Z10429" s="7"/>
    </row>
    <row r="10430" hidden="1">
      <c r="A10430" s="7"/>
      <c r="B10430" s="7"/>
      <c r="C10430" s="7"/>
      <c r="D10430" s="7"/>
      <c r="E10430" s="7"/>
      <c r="F10430" s="7"/>
      <c r="G10430" s="7"/>
      <c r="H10430" s="8"/>
      <c r="I10430" s="8"/>
      <c r="J10430" s="7"/>
      <c r="K10430" s="7"/>
      <c r="L10430" s="7"/>
      <c r="M10430" s="7"/>
      <c r="N10430" s="7"/>
      <c r="O10430" s="7"/>
      <c r="P10430" s="7"/>
      <c r="Q10430" s="7"/>
      <c r="R10430" s="7"/>
      <c r="S10430" s="7"/>
      <c r="T10430" s="7"/>
      <c r="U10430" s="7"/>
      <c r="V10430" s="7"/>
      <c r="W10430" s="7"/>
      <c r="X10430" s="7"/>
      <c r="Y10430" s="7"/>
      <c r="Z10430" s="7"/>
    </row>
    <row r="10431" hidden="1">
      <c r="A10431" s="7"/>
      <c r="B10431" s="7"/>
      <c r="C10431" s="7"/>
      <c r="D10431" s="7"/>
      <c r="E10431" s="7"/>
      <c r="F10431" s="7"/>
      <c r="G10431" s="7"/>
      <c r="H10431" s="8"/>
      <c r="I10431" s="8"/>
      <c r="J10431" s="7"/>
      <c r="K10431" s="7"/>
      <c r="L10431" s="7"/>
      <c r="M10431" s="7"/>
      <c r="N10431" s="7"/>
      <c r="O10431" s="7"/>
      <c r="P10431" s="7"/>
      <c r="Q10431" s="7"/>
      <c r="R10431" s="7"/>
      <c r="S10431" s="7"/>
      <c r="T10431" s="7"/>
      <c r="U10431" s="7"/>
      <c r="V10431" s="7"/>
      <c r="W10431" s="7"/>
      <c r="X10431" s="7"/>
      <c r="Y10431" s="7"/>
      <c r="Z10431" s="7"/>
    </row>
    <row r="10432" hidden="1">
      <c r="A10432" s="7"/>
      <c r="B10432" s="7"/>
      <c r="C10432" s="7"/>
      <c r="D10432" s="7"/>
      <c r="E10432" s="7"/>
      <c r="F10432" s="7"/>
      <c r="G10432" s="7"/>
      <c r="H10432" s="8"/>
      <c r="I10432" s="8"/>
      <c r="J10432" s="7"/>
      <c r="K10432" s="7"/>
      <c r="L10432" s="7"/>
      <c r="M10432" s="7"/>
      <c r="N10432" s="7"/>
      <c r="O10432" s="7"/>
      <c r="P10432" s="7"/>
      <c r="Q10432" s="7"/>
      <c r="R10432" s="7"/>
      <c r="S10432" s="7"/>
      <c r="T10432" s="7"/>
      <c r="U10432" s="7"/>
      <c r="V10432" s="7"/>
      <c r="W10432" s="7"/>
      <c r="X10432" s="7"/>
      <c r="Y10432" s="7"/>
      <c r="Z10432" s="7"/>
    </row>
    <row r="10433" hidden="1">
      <c r="A10433" s="7"/>
      <c r="B10433" s="7"/>
      <c r="C10433" s="7"/>
      <c r="D10433" s="7"/>
      <c r="E10433" s="7"/>
      <c r="F10433" s="7"/>
      <c r="G10433" s="7"/>
      <c r="H10433" s="8"/>
      <c r="I10433" s="8"/>
      <c r="J10433" s="7"/>
      <c r="K10433" s="7"/>
      <c r="L10433" s="7"/>
      <c r="M10433" s="7"/>
      <c r="N10433" s="7"/>
      <c r="O10433" s="7"/>
      <c r="P10433" s="7"/>
      <c r="Q10433" s="7"/>
      <c r="R10433" s="7"/>
      <c r="S10433" s="7"/>
      <c r="T10433" s="7"/>
      <c r="U10433" s="7"/>
      <c r="V10433" s="7"/>
      <c r="W10433" s="7"/>
      <c r="X10433" s="7"/>
      <c r="Y10433" s="7"/>
      <c r="Z10433" s="7"/>
    </row>
    <row r="10434" hidden="1">
      <c r="A10434" s="7"/>
      <c r="B10434" s="7"/>
      <c r="C10434" s="7"/>
      <c r="D10434" s="7"/>
      <c r="E10434" s="7"/>
      <c r="F10434" s="7"/>
      <c r="G10434" s="7"/>
      <c r="H10434" s="8"/>
      <c r="I10434" s="8"/>
      <c r="J10434" s="7"/>
      <c r="K10434" s="7"/>
      <c r="L10434" s="7"/>
      <c r="M10434" s="7"/>
      <c r="N10434" s="7"/>
      <c r="O10434" s="7"/>
      <c r="P10434" s="7"/>
      <c r="Q10434" s="7"/>
      <c r="R10434" s="7"/>
      <c r="S10434" s="7"/>
      <c r="T10434" s="7"/>
      <c r="U10434" s="7"/>
      <c r="V10434" s="7"/>
      <c r="W10434" s="7"/>
      <c r="X10434" s="7"/>
      <c r="Y10434" s="7"/>
      <c r="Z10434" s="7"/>
    </row>
    <row r="10435" hidden="1">
      <c r="A10435" s="7"/>
      <c r="B10435" s="7"/>
      <c r="C10435" s="7"/>
      <c r="D10435" s="7"/>
      <c r="E10435" s="7"/>
      <c r="F10435" s="7"/>
      <c r="G10435" s="7"/>
      <c r="H10435" s="8"/>
      <c r="I10435" s="8"/>
      <c r="J10435" s="7"/>
      <c r="K10435" s="7"/>
      <c r="L10435" s="7"/>
      <c r="M10435" s="7"/>
      <c r="N10435" s="7"/>
      <c r="O10435" s="7"/>
      <c r="P10435" s="7"/>
      <c r="Q10435" s="7"/>
      <c r="R10435" s="7"/>
      <c r="S10435" s="7"/>
      <c r="T10435" s="7"/>
      <c r="U10435" s="7"/>
      <c r="V10435" s="7"/>
      <c r="W10435" s="7"/>
      <c r="X10435" s="7"/>
      <c r="Y10435" s="7"/>
      <c r="Z10435" s="7"/>
    </row>
    <row r="10436" hidden="1">
      <c r="A10436" s="7"/>
      <c r="B10436" s="7"/>
      <c r="C10436" s="7"/>
      <c r="D10436" s="7"/>
      <c r="E10436" s="7"/>
      <c r="F10436" s="7"/>
      <c r="G10436" s="7"/>
      <c r="H10436" s="8"/>
      <c r="I10436" s="8"/>
      <c r="J10436" s="7"/>
      <c r="K10436" s="7"/>
      <c r="L10436" s="7"/>
      <c r="M10436" s="7"/>
      <c r="N10436" s="7"/>
      <c r="O10436" s="7"/>
      <c r="P10436" s="7"/>
      <c r="Q10436" s="7"/>
      <c r="R10436" s="7"/>
      <c r="S10436" s="7"/>
      <c r="T10436" s="7"/>
      <c r="U10436" s="7"/>
      <c r="V10436" s="7"/>
      <c r="W10436" s="7"/>
      <c r="X10436" s="7"/>
      <c r="Y10436" s="7"/>
      <c r="Z10436" s="7"/>
    </row>
    <row r="10437" hidden="1">
      <c r="A10437" s="7"/>
      <c r="B10437" s="7"/>
      <c r="C10437" s="7"/>
      <c r="D10437" s="7"/>
      <c r="E10437" s="7"/>
      <c r="F10437" s="7"/>
      <c r="G10437" s="7"/>
      <c r="H10437" s="8"/>
      <c r="I10437" s="8"/>
      <c r="J10437" s="7"/>
      <c r="K10437" s="7"/>
      <c r="L10437" s="7"/>
      <c r="M10437" s="7"/>
      <c r="N10437" s="7"/>
      <c r="O10437" s="7"/>
      <c r="P10437" s="7"/>
      <c r="Q10437" s="7"/>
      <c r="R10437" s="7"/>
      <c r="S10437" s="7"/>
      <c r="T10437" s="7"/>
      <c r="U10437" s="7"/>
      <c r="V10437" s="7"/>
      <c r="W10437" s="7"/>
      <c r="X10437" s="7"/>
      <c r="Y10437" s="7"/>
      <c r="Z10437" s="7"/>
    </row>
    <row r="10438" hidden="1">
      <c r="A10438" s="7"/>
      <c r="B10438" s="7"/>
      <c r="C10438" s="7"/>
      <c r="D10438" s="7"/>
      <c r="E10438" s="7"/>
      <c r="F10438" s="7"/>
      <c r="G10438" s="7"/>
      <c r="H10438" s="8"/>
      <c r="I10438" s="8"/>
      <c r="J10438" s="7"/>
      <c r="K10438" s="7"/>
      <c r="L10438" s="7"/>
      <c r="M10438" s="7"/>
      <c r="N10438" s="7"/>
      <c r="O10438" s="7"/>
      <c r="P10438" s="7"/>
      <c r="Q10438" s="7"/>
      <c r="R10438" s="7"/>
      <c r="S10438" s="7"/>
      <c r="T10438" s="7"/>
      <c r="U10438" s="7"/>
      <c r="V10438" s="7"/>
      <c r="W10438" s="7"/>
      <c r="X10438" s="7"/>
      <c r="Y10438" s="7"/>
      <c r="Z10438" s="7"/>
    </row>
    <row r="10439" hidden="1">
      <c r="A10439" s="7"/>
      <c r="B10439" s="7"/>
      <c r="C10439" s="7"/>
      <c r="D10439" s="7"/>
      <c r="E10439" s="7"/>
      <c r="F10439" s="7"/>
      <c r="G10439" s="7"/>
      <c r="H10439" s="8"/>
      <c r="I10439" s="8"/>
      <c r="J10439" s="7"/>
      <c r="K10439" s="7"/>
      <c r="L10439" s="7"/>
      <c r="M10439" s="7"/>
      <c r="N10439" s="7"/>
      <c r="O10439" s="7"/>
      <c r="P10439" s="7"/>
      <c r="Q10439" s="7"/>
      <c r="R10439" s="7"/>
      <c r="S10439" s="7"/>
      <c r="T10439" s="7"/>
      <c r="U10439" s="7"/>
      <c r="V10439" s="7"/>
      <c r="W10439" s="7"/>
      <c r="X10439" s="7"/>
      <c r="Y10439" s="7"/>
      <c r="Z10439" s="7"/>
    </row>
    <row r="10440" hidden="1">
      <c r="A10440" s="7"/>
      <c r="B10440" s="7"/>
      <c r="C10440" s="7"/>
      <c r="D10440" s="7"/>
      <c r="E10440" s="7"/>
      <c r="F10440" s="7"/>
      <c r="G10440" s="7"/>
      <c r="H10440" s="8"/>
      <c r="I10440" s="8"/>
      <c r="J10440" s="7"/>
      <c r="K10440" s="7"/>
      <c r="L10440" s="7"/>
      <c r="M10440" s="7"/>
      <c r="N10440" s="7"/>
      <c r="O10440" s="7"/>
      <c r="P10440" s="7"/>
      <c r="Q10440" s="7"/>
      <c r="R10440" s="7"/>
      <c r="S10440" s="7"/>
      <c r="T10440" s="7"/>
      <c r="U10440" s="7"/>
      <c r="V10440" s="7"/>
      <c r="W10440" s="7"/>
      <c r="X10440" s="7"/>
      <c r="Y10440" s="7"/>
      <c r="Z10440" s="7"/>
    </row>
    <row r="10441" hidden="1">
      <c r="A10441" s="7"/>
      <c r="B10441" s="7"/>
      <c r="C10441" s="7"/>
      <c r="D10441" s="7"/>
      <c r="E10441" s="7"/>
      <c r="F10441" s="7"/>
      <c r="G10441" s="7"/>
      <c r="H10441" s="8"/>
      <c r="I10441" s="8"/>
      <c r="J10441" s="7"/>
      <c r="K10441" s="7"/>
      <c r="L10441" s="7"/>
      <c r="M10441" s="7"/>
      <c r="N10441" s="7"/>
      <c r="O10441" s="7"/>
      <c r="P10441" s="7"/>
      <c r="Q10441" s="7"/>
      <c r="R10441" s="7"/>
      <c r="S10441" s="7"/>
      <c r="T10441" s="7"/>
      <c r="U10441" s="7"/>
      <c r="V10441" s="7"/>
      <c r="W10441" s="7"/>
      <c r="X10441" s="7"/>
      <c r="Y10441" s="7"/>
      <c r="Z10441" s="7"/>
    </row>
    <row r="10442" hidden="1">
      <c r="A10442" s="7"/>
      <c r="B10442" s="7"/>
      <c r="C10442" s="7"/>
      <c r="D10442" s="7"/>
      <c r="E10442" s="7"/>
      <c r="F10442" s="7"/>
      <c r="G10442" s="7"/>
      <c r="H10442" s="8"/>
      <c r="I10442" s="8"/>
      <c r="J10442" s="7"/>
      <c r="K10442" s="7"/>
      <c r="L10442" s="7"/>
      <c r="M10442" s="7"/>
      <c r="N10442" s="7"/>
      <c r="O10442" s="7"/>
      <c r="P10442" s="7"/>
      <c r="Q10442" s="7"/>
      <c r="R10442" s="7"/>
      <c r="S10442" s="7"/>
      <c r="T10442" s="7"/>
      <c r="U10442" s="7"/>
      <c r="V10442" s="7"/>
      <c r="W10442" s="7"/>
      <c r="X10442" s="7"/>
      <c r="Y10442" s="7"/>
      <c r="Z10442" s="7"/>
    </row>
    <row r="10443" hidden="1">
      <c r="A10443" s="7"/>
      <c r="B10443" s="7"/>
      <c r="C10443" s="7"/>
      <c r="D10443" s="7"/>
      <c r="E10443" s="7"/>
      <c r="F10443" s="7"/>
      <c r="G10443" s="7"/>
      <c r="H10443" s="8"/>
      <c r="I10443" s="8"/>
      <c r="J10443" s="7"/>
      <c r="K10443" s="7"/>
      <c r="L10443" s="7"/>
      <c r="M10443" s="7"/>
      <c r="N10443" s="7"/>
      <c r="O10443" s="7"/>
      <c r="P10443" s="7"/>
      <c r="Q10443" s="7"/>
      <c r="R10443" s="7"/>
      <c r="S10443" s="7"/>
      <c r="T10443" s="7"/>
      <c r="U10443" s="7"/>
      <c r="V10443" s="7"/>
      <c r="W10443" s="7"/>
      <c r="X10443" s="7"/>
      <c r="Y10443" s="7"/>
      <c r="Z10443" s="7"/>
    </row>
    <row r="10444" hidden="1">
      <c r="A10444" s="7"/>
      <c r="B10444" s="7"/>
      <c r="C10444" s="7"/>
      <c r="D10444" s="7"/>
      <c r="E10444" s="7"/>
      <c r="F10444" s="7"/>
      <c r="G10444" s="7"/>
      <c r="H10444" s="8"/>
      <c r="I10444" s="8"/>
      <c r="J10444" s="7"/>
      <c r="K10444" s="7"/>
      <c r="L10444" s="7"/>
      <c r="M10444" s="7"/>
      <c r="N10444" s="7"/>
      <c r="O10444" s="7"/>
      <c r="P10444" s="7"/>
      <c r="Q10444" s="7"/>
      <c r="R10444" s="7"/>
      <c r="S10444" s="7"/>
      <c r="T10444" s="7"/>
      <c r="U10444" s="7"/>
      <c r="V10444" s="7"/>
      <c r="W10444" s="7"/>
      <c r="X10444" s="7"/>
      <c r="Y10444" s="7"/>
      <c r="Z10444" s="7"/>
    </row>
    <row r="10445" hidden="1">
      <c r="A10445" s="7"/>
      <c r="B10445" s="7"/>
      <c r="C10445" s="7"/>
      <c r="D10445" s="7"/>
      <c r="E10445" s="7"/>
      <c r="F10445" s="7"/>
      <c r="G10445" s="7"/>
      <c r="H10445" s="8"/>
      <c r="I10445" s="8"/>
      <c r="J10445" s="7"/>
      <c r="K10445" s="7"/>
      <c r="L10445" s="7"/>
      <c r="M10445" s="7"/>
      <c r="N10445" s="7"/>
      <c r="O10445" s="7"/>
      <c r="P10445" s="7"/>
      <c r="Q10445" s="7"/>
      <c r="R10445" s="7"/>
      <c r="S10445" s="7"/>
      <c r="T10445" s="7"/>
      <c r="U10445" s="7"/>
      <c r="V10445" s="7"/>
      <c r="W10445" s="7"/>
      <c r="X10445" s="7"/>
      <c r="Y10445" s="7"/>
      <c r="Z10445" s="7"/>
    </row>
    <row r="10446" hidden="1">
      <c r="A10446" s="7"/>
      <c r="B10446" s="7"/>
      <c r="C10446" s="7"/>
      <c r="D10446" s="7"/>
      <c r="E10446" s="7"/>
      <c r="F10446" s="7"/>
      <c r="G10446" s="7"/>
      <c r="H10446" s="8"/>
      <c r="I10446" s="8"/>
      <c r="J10446" s="7"/>
      <c r="K10446" s="7"/>
      <c r="L10446" s="7"/>
      <c r="M10446" s="7"/>
      <c r="N10446" s="7"/>
      <c r="O10446" s="7"/>
      <c r="P10446" s="7"/>
      <c r="Q10446" s="7"/>
      <c r="R10446" s="7"/>
      <c r="S10446" s="7"/>
      <c r="T10446" s="7"/>
      <c r="U10446" s="7"/>
      <c r="V10446" s="7"/>
      <c r="W10446" s="7"/>
      <c r="X10446" s="7"/>
      <c r="Y10446" s="7"/>
      <c r="Z10446" s="7"/>
    </row>
    <row r="10447" hidden="1">
      <c r="A10447" s="7"/>
      <c r="B10447" s="7"/>
      <c r="C10447" s="7"/>
      <c r="D10447" s="7"/>
      <c r="E10447" s="7"/>
      <c r="F10447" s="7"/>
      <c r="G10447" s="7"/>
      <c r="H10447" s="8"/>
      <c r="I10447" s="8"/>
      <c r="J10447" s="7"/>
      <c r="K10447" s="7"/>
      <c r="L10447" s="7"/>
      <c r="M10447" s="7"/>
      <c r="N10447" s="7"/>
      <c r="O10447" s="7"/>
      <c r="P10447" s="7"/>
      <c r="Q10447" s="7"/>
      <c r="R10447" s="7"/>
      <c r="S10447" s="7"/>
      <c r="T10447" s="7"/>
      <c r="U10447" s="7"/>
      <c r="V10447" s="7"/>
      <c r="W10447" s="7"/>
      <c r="X10447" s="7"/>
      <c r="Y10447" s="7"/>
      <c r="Z10447" s="7"/>
    </row>
    <row r="10448" hidden="1">
      <c r="A10448" s="7"/>
      <c r="B10448" s="7"/>
      <c r="C10448" s="7"/>
      <c r="D10448" s="7"/>
      <c r="E10448" s="7"/>
      <c r="F10448" s="7"/>
      <c r="G10448" s="7"/>
      <c r="H10448" s="8"/>
      <c r="I10448" s="8"/>
      <c r="J10448" s="7"/>
      <c r="K10448" s="7"/>
      <c r="L10448" s="7"/>
      <c r="M10448" s="7"/>
      <c r="N10448" s="7"/>
      <c r="O10448" s="7"/>
      <c r="P10448" s="7"/>
      <c r="Q10448" s="7"/>
      <c r="R10448" s="7"/>
      <c r="S10448" s="7"/>
      <c r="T10448" s="7"/>
      <c r="U10448" s="7"/>
      <c r="V10448" s="7"/>
      <c r="W10448" s="7"/>
      <c r="X10448" s="7"/>
      <c r="Y10448" s="7"/>
      <c r="Z10448" s="7"/>
    </row>
    <row r="10449" hidden="1">
      <c r="A10449" s="7"/>
      <c r="B10449" s="7"/>
      <c r="C10449" s="7"/>
      <c r="D10449" s="7"/>
      <c r="E10449" s="7"/>
      <c r="F10449" s="7"/>
      <c r="G10449" s="7"/>
      <c r="H10449" s="8"/>
      <c r="I10449" s="8"/>
      <c r="J10449" s="7"/>
      <c r="K10449" s="7"/>
      <c r="L10449" s="7"/>
      <c r="M10449" s="7"/>
      <c r="N10449" s="7"/>
      <c r="O10449" s="7"/>
      <c r="P10449" s="7"/>
      <c r="Q10449" s="7"/>
      <c r="R10449" s="7"/>
      <c r="S10449" s="7"/>
      <c r="T10449" s="7"/>
      <c r="U10449" s="7"/>
      <c r="V10449" s="7"/>
      <c r="W10449" s="7"/>
      <c r="X10449" s="7"/>
      <c r="Y10449" s="7"/>
      <c r="Z10449" s="7"/>
    </row>
    <row r="10450" hidden="1">
      <c r="A10450" s="7"/>
      <c r="B10450" s="7"/>
      <c r="C10450" s="7"/>
      <c r="D10450" s="7"/>
      <c r="E10450" s="7"/>
      <c r="F10450" s="7"/>
      <c r="G10450" s="7"/>
      <c r="H10450" s="8"/>
      <c r="I10450" s="8"/>
      <c r="J10450" s="7"/>
      <c r="K10450" s="7"/>
      <c r="L10450" s="7"/>
      <c r="M10450" s="7"/>
      <c r="N10450" s="7"/>
      <c r="O10450" s="7"/>
      <c r="P10450" s="7"/>
      <c r="Q10450" s="7"/>
      <c r="R10450" s="7"/>
      <c r="S10450" s="7"/>
      <c r="T10450" s="7"/>
      <c r="U10450" s="7"/>
      <c r="V10450" s="7"/>
      <c r="W10450" s="7"/>
      <c r="X10450" s="7"/>
      <c r="Y10450" s="7"/>
      <c r="Z10450" s="7"/>
    </row>
    <row r="10451" hidden="1">
      <c r="A10451" s="7"/>
      <c r="B10451" s="7"/>
      <c r="C10451" s="7"/>
      <c r="D10451" s="7"/>
      <c r="E10451" s="7"/>
      <c r="F10451" s="7"/>
      <c r="G10451" s="7"/>
      <c r="H10451" s="8"/>
      <c r="I10451" s="8"/>
      <c r="J10451" s="7"/>
      <c r="K10451" s="7"/>
      <c r="L10451" s="7"/>
      <c r="M10451" s="7"/>
      <c r="N10451" s="7"/>
      <c r="O10451" s="7"/>
      <c r="P10451" s="7"/>
      <c r="Q10451" s="7"/>
      <c r="R10451" s="7"/>
      <c r="S10451" s="7"/>
      <c r="T10451" s="7"/>
      <c r="U10451" s="7"/>
      <c r="V10451" s="7"/>
      <c r="W10451" s="7"/>
      <c r="X10451" s="7"/>
      <c r="Y10451" s="7"/>
      <c r="Z10451" s="7"/>
    </row>
    <row r="10452" hidden="1">
      <c r="A10452" s="7"/>
      <c r="B10452" s="7"/>
      <c r="C10452" s="7"/>
      <c r="D10452" s="7"/>
      <c r="E10452" s="7"/>
      <c r="F10452" s="7"/>
      <c r="G10452" s="7"/>
      <c r="H10452" s="8"/>
      <c r="I10452" s="8"/>
      <c r="J10452" s="7"/>
      <c r="K10452" s="7"/>
      <c r="L10452" s="7"/>
      <c r="M10452" s="7"/>
      <c r="N10452" s="7"/>
      <c r="O10452" s="7"/>
      <c r="P10452" s="7"/>
      <c r="Q10452" s="7"/>
      <c r="R10452" s="7"/>
      <c r="S10452" s="7"/>
      <c r="T10452" s="7"/>
      <c r="U10452" s="7"/>
      <c r="V10452" s="7"/>
      <c r="W10452" s="7"/>
      <c r="X10452" s="7"/>
      <c r="Y10452" s="7"/>
      <c r="Z10452" s="7"/>
    </row>
    <row r="10453" hidden="1">
      <c r="A10453" s="7"/>
      <c r="B10453" s="7"/>
      <c r="C10453" s="7"/>
      <c r="D10453" s="7"/>
      <c r="E10453" s="7"/>
      <c r="F10453" s="7"/>
      <c r="G10453" s="7"/>
      <c r="H10453" s="8"/>
      <c r="I10453" s="8"/>
      <c r="J10453" s="7"/>
      <c r="K10453" s="7"/>
      <c r="L10453" s="7"/>
      <c r="M10453" s="7"/>
      <c r="N10453" s="7"/>
      <c r="O10453" s="7"/>
      <c r="P10453" s="7"/>
      <c r="Q10453" s="7"/>
      <c r="R10453" s="7"/>
      <c r="S10453" s="7"/>
      <c r="T10453" s="7"/>
      <c r="U10453" s="7"/>
      <c r="V10453" s="7"/>
      <c r="W10453" s="7"/>
      <c r="X10453" s="7"/>
      <c r="Y10453" s="7"/>
      <c r="Z10453" s="7"/>
    </row>
    <row r="10454" hidden="1">
      <c r="A10454" s="7"/>
      <c r="B10454" s="7"/>
      <c r="C10454" s="7"/>
      <c r="D10454" s="7"/>
      <c r="E10454" s="7"/>
      <c r="F10454" s="7"/>
      <c r="G10454" s="7"/>
      <c r="H10454" s="8"/>
      <c r="I10454" s="8"/>
      <c r="J10454" s="7"/>
      <c r="K10454" s="7"/>
      <c r="L10454" s="7"/>
      <c r="M10454" s="7"/>
      <c r="N10454" s="7"/>
      <c r="O10454" s="7"/>
      <c r="P10454" s="7"/>
      <c r="Q10454" s="7"/>
      <c r="R10454" s="7"/>
      <c r="S10454" s="7"/>
      <c r="T10454" s="7"/>
      <c r="U10454" s="7"/>
      <c r="V10454" s="7"/>
      <c r="W10454" s="7"/>
      <c r="X10454" s="7"/>
      <c r="Y10454" s="7"/>
      <c r="Z10454" s="7"/>
    </row>
    <row r="10455" hidden="1">
      <c r="A10455" s="7"/>
      <c r="B10455" s="7"/>
      <c r="C10455" s="7"/>
      <c r="D10455" s="7"/>
      <c r="E10455" s="7"/>
      <c r="F10455" s="7"/>
      <c r="G10455" s="7"/>
      <c r="H10455" s="8"/>
      <c r="I10455" s="8"/>
      <c r="J10455" s="7"/>
      <c r="K10455" s="7"/>
      <c r="L10455" s="7"/>
      <c r="M10455" s="7"/>
      <c r="N10455" s="7"/>
      <c r="O10455" s="7"/>
      <c r="P10455" s="7"/>
      <c r="Q10455" s="7"/>
      <c r="R10455" s="7"/>
      <c r="S10455" s="7"/>
      <c r="T10455" s="7"/>
      <c r="U10455" s="7"/>
      <c r="V10455" s="7"/>
      <c r="W10455" s="7"/>
      <c r="X10455" s="7"/>
      <c r="Y10455" s="7"/>
      <c r="Z10455" s="7"/>
    </row>
    <row r="10456" hidden="1">
      <c r="A10456" s="7"/>
      <c r="B10456" s="7"/>
      <c r="C10456" s="7"/>
      <c r="D10456" s="7"/>
      <c r="E10456" s="7"/>
      <c r="F10456" s="7"/>
      <c r="G10456" s="7"/>
      <c r="H10456" s="8"/>
      <c r="I10456" s="8"/>
      <c r="J10456" s="7"/>
      <c r="K10456" s="7"/>
      <c r="L10456" s="7"/>
      <c r="M10456" s="7"/>
      <c r="N10456" s="7"/>
      <c r="O10456" s="7"/>
      <c r="P10456" s="7"/>
      <c r="Q10456" s="7"/>
      <c r="R10456" s="7"/>
      <c r="S10456" s="7"/>
      <c r="T10456" s="7"/>
      <c r="U10456" s="7"/>
      <c r="V10456" s="7"/>
      <c r="W10456" s="7"/>
      <c r="X10456" s="7"/>
      <c r="Y10456" s="7"/>
      <c r="Z10456" s="7"/>
    </row>
    <row r="10457" hidden="1">
      <c r="A10457" s="7"/>
      <c r="B10457" s="7"/>
      <c r="C10457" s="7"/>
      <c r="D10457" s="7"/>
      <c r="E10457" s="7"/>
      <c r="F10457" s="7"/>
      <c r="G10457" s="7"/>
      <c r="H10457" s="8"/>
      <c r="I10457" s="8"/>
      <c r="J10457" s="7"/>
      <c r="K10457" s="7"/>
      <c r="L10457" s="7"/>
      <c r="M10457" s="7"/>
      <c r="N10457" s="7"/>
      <c r="O10457" s="7"/>
      <c r="P10457" s="7"/>
      <c r="Q10457" s="7"/>
      <c r="R10457" s="7"/>
      <c r="S10457" s="7"/>
      <c r="T10457" s="7"/>
      <c r="U10457" s="7"/>
      <c r="V10457" s="7"/>
      <c r="W10457" s="7"/>
      <c r="X10457" s="7"/>
      <c r="Y10457" s="7"/>
      <c r="Z10457" s="7"/>
    </row>
    <row r="10458" hidden="1">
      <c r="A10458" s="7"/>
      <c r="B10458" s="7"/>
      <c r="C10458" s="7"/>
      <c r="D10458" s="7"/>
      <c r="E10458" s="7"/>
      <c r="F10458" s="7"/>
      <c r="G10458" s="7"/>
      <c r="H10458" s="8"/>
      <c r="I10458" s="8"/>
      <c r="J10458" s="7"/>
      <c r="K10458" s="7"/>
      <c r="L10458" s="7"/>
      <c r="M10458" s="7"/>
      <c r="N10458" s="7"/>
      <c r="O10458" s="7"/>
      <c r="P10458" s="7"/>
      <c r="Q10458" s="7"/>
      <c r="R10458" s="7"/>
      <c r="S10458" s="7"/>
      <c r="T10458" s="7"/>
      <c r="U10458" s="7"/>
      <c r="V10458" s="7"/>
      <c r="W10458" s="7"/>
      <c r="X10458" s="7"/>
      <c r="Y10458" s="7"/>
      <c r="Z10458" s="7"/>
    </row>
    <row r="10459" hidden="1">
      <c r="A10459" s="7"/>
      <c r="B10459" s="7"/>
      <c r="C10459" s="7"/>
      <c r="D10459" s="7"/>
      <c r="E10459" s="7"/>
      <c r="F10459" s="7"/>
      <c r="G10459" s="7"/>
      <c r="H10459" s="8"/>
      <c r="I10459" s="8"/>
      <c r="J10459" s="7"/>
      <c r="K10459" s="7"/>
      <c r="L10459" s="7"/>
      <c r="M10459" s="7"/>
      <c r="N10459" s="7"/>
      <c r="O10459" s="7"/>
      <c r="P10459" s="7"/>
      <c r="Q10459" s="7"/>
      <c r="R10459" s="7"/>
      <c r="S10459" s="7"/>
      <c r="T10459" s="7"/>
      <c r="U10459" s="7"/>
      <c r="V10459" s="7"/>
      <c r="W10459" s="7"/>
      <c r="X10459" s="7"/>
      <c r="Y10459" s="7"/>
      <c r="Z10459" s="7"/>
    </row>
    <row r="10460" hidden="1">
      <c r="A10460" s="7"/>
      <c r="B10460" s="7"/>
      <c r="C10460" s="7"/>
      <c r="D10460" s="7"/>
      <c r="E10460" s="7"/>
      <c r="F10460" s="7"/>
      <c r="G10460" s="7"/>
      <c r="H10460" s="8"/>
      <c r="I10460" s="8"/>
      <c r="J10460" s="7"/>
      <c r="K10460" s="7"/>
      <c r="L10460" s="7"/>
      <c r="M10460" s="7"/>
      <c r="N10460" s="7"/>
      <c r="O10460" s="7"/>
      <c r="P10460" s="7"/>
      <c r="Q10460" s="7"/>
      <c r="R10460" s="7"/>
      <c r="S10460" s="7"/>
      <c r="T10460" s="7"/>
      <c r="U10460" s="7"/>
      <c r="V10460" s="7"/>
      <c r="W10460" s="7"/>
      <c r="X10460" s="7"/>
      <c r="Y10460" s="7"/>
      <c r="Z10460" s="7"/>
    </row>
    <row r="10461" hidden="1">
      <c r="A10461" s="7"/>
      <c r="B10461" s="7"/>
      <c r="C10461" s="7"/>
      <c r="D10461" s="7"/>
      <c r="E10461" s="7"/>
      <c r="F10461" s="7"/>
      <c r="G10461" s="7"/>
      <c r="H10461" s="8"/>
      <c r="I10461" s="8"/>
      <c r="J10461" s="7"/>
      <c r="K10461" s="7"/>
      <c r="L10461" s="7"/>
      <c r="M10461" s="7"/>
      <c r="N10461" s="7"/>
      <c r="O10461" s="7"/>
      <c r="P10461" s="7"/>
      <c r="Q10461" s="7"/>
      <c r="R10461" s="7"/>
      <c r="S10461" s="7"/>
      <c r="T10461" s="7"/>
      <c r="U10461" s="7"/>
      <c r="V10461" s="7"/>
      <c r="W10461" s="7"/>
      <c r="X10461" s="7"/>
      <c r="Y10461" s="7"/>
      <c r="Z10461" s="7"/>
    </row>
    <row r="10462" hidden="1">
      <c r="A10462" s="7"/>
      <c r="B10462" s="7"/>
      <c r="C10462" s="7"/>
      <c r="D10462" s="7"/>
      <c r="E10462" s="7"/>
      <c r="F10462" s="7"/>
      <c r="G10462" s="7"/>
      <c r="H10462" s="8"/>
      <c r="I10462" s="8"/>
      <c r="J10462" s="7"/>
      <c r="K10462" s="7"/>
      <c r="L10462" s="7"/>
      <c r="M10462" s="7"/>
      <c r="N10462" s="7"/>
      <c r="O10462" s="7"/>
      <c r="P10462" s="7"/>
      <c r="Q10462" s="7"/>
      <c r="R10462" s="7"/>
      <c r="S10462" s="7"/>
      <c r="T10462" s="7"/>
      <c r="U10462" s="7"/>
      <c r="V10462" s="7"/>
      <c r="W10462" s="7"/>
      <c r="X10462" s="7"/>
      <c r="Y10462" s="7"/>
      <c r="Z10462" s="7"/>
    </row>
    <row r="10463" hidden="1">
      <c r="A10463" s="7"/>
      <c r="B10463" s="7"/>
      <c r="C10463" s="7"/>
      <c r="D10463" s="7"/>
      <c r="E10463" s="7"/>
      <c r="F10463" s="7"/>
      <c r="G10463" s="7"/>
      <c r="H10463" s="8"/>
      <c r="I10463" s="8"/>
      <c r="J10463" s="7"/>
      <c r="K10463" s="7"/>
      <c r="L10463" s="7"/>
      <c r="M10463" s="7"/>
      <c r="N10463" s="7"/>
      <c r="O10463" s="7"/>
      <c r="P10463" s="7"/>
      <c r="Q10463" s="7"/>
      <c r="R10463" s="7"/>
      <c r="S10463" s="7"/>
      <c r="T10463" s="7"/>
      <c r="U10463" s="7"/>
      <c r="V10463" s="7"/>
      <c r="W10463" s="7"/>
      <c r="X10463" s="7"/>
      <c r="Y10463" s="7"/>
      <c r="Z10463" s="7"/>
    </row>
    <row r="10464" hidden="1">
      <c r="A10464" s="7"/>
      <c r="B10464" s="7"/>
      <c r="C10464" s="7"/>
      <c r="D10464" s="7"/>
      <c r="E10464" s="7"/>
      <c r="F10464" s="7"/>
      <c r="G10464" s="7"/>
      <c r="H10464" s="8"/>
      <c r="I10464" s="8"/>
      <c r="J10464" s="7"/>
      <c r="K10464" s="7"/>
      <c r="L10464" s="7"/>
      <c r="M10464" s="7"/>
      <c r="N10464" s="7"/>
      <c r="O10464" s="7"/>
      <c r="P10464" s="7"/>
      <c r="Q10464" s="7"/>
      <c r="R10464" s="7"/>
      <c r="S10464" s="7"/>
      <c r="T10464" s="7"/>
      <c r="U10464" s="7"/>
      <c r="V10464" s="7"/>
      <c r="W10464" s="7"/>
      <c r="X10464" s="7"/>
      <c r="Y10464" s="7"/>
      <c r="Z10464" s="7"/>
    </row>
    <row r="10465" hidden="1">
      <c r="A10465" s="7"/>
      <c r="B10465" s="7"/>
      <c r="C10465" s="7"/>
      <c r="D10465" s="7"/>
      <c r="E10465" s="7"/>
      <c r="F10465" s="7"/>
      <c r="G10465" s="7"/>
      <c r="H10465" s="8"/>
      <c r="I10465" s="8"/>
      <c r="J10465" s="7"/>
      <c r="K10465" s="7"/>
      <c r="L10465" s="7"/>
      <c r="M10465" s="7"/>
      <c r="N10465" s="7"/>
      <c r="O10465" s="7"/>
      <c r="P10465" s="7"/>
      <c r="Q10465" s="7"/>
      <c r="R10465" s="7"/>
      <c r="S10465" s="7"/>
      <c r="T10465" s="7"/>
      <c r="U10465" s="7"/>
      <c r="V10465" s="7"/>
      <c r="W10465" s="7"/>
      <c r="X10465" s="7"/>
      <c r="Y10465" s="7"/>
      <c r="Z10465" s="7"/>
    </row>
    <row r="10466" hidden="1">
      <c r="A10466" s="7"/>
      <c r="B10466" s="7"/>
      <c r="C10466" s="7"/>
      <c r="D10466" s="7"/>
      <c r="E10466" s="7"/>
      <c r="F10466" s="7"/>
      <c r="G10466" s="7"/>
      <c r="H10466" s="8"/>
      <c r="I10466" s="8"/>
      <c r="J10466" s="7"/>
      <c r="K10466" s="7"/>
      <c r="L10466" s="7"/>
      <c r="M10466" s="7"/>
      <c r="N10466" s="7"/>
      <c r="O10466" s="7"/>
      <c r="P10466" s="7"/>
      <c r="Q10466" s="7"/>
      <c r="R10466" s="7"/>
      <c r="S10466" s="7"/>
      <c r="T10466" s="7"/>
      <c r="U10466" s="7"/>
      <c r="V10466" s="7"/>
      <c r="W10466" s="7"/>
      <c r="X10466" s="7"/>
      <c r="Y10466" s="7"/>
      <c r="Z10466" s="7"/>
    </row>
    <row r="10467" hidden="1">
      <c r="A10467" s="7"/>
      <c r="B10467" s="7"/>
      <c r="C10467" s="7"/>
      <c r="D10467" s="7"/>
      <c r="E10467" s="7"/>
      <c r="F10467" s="7"/>
      <c r="G10467" s="7"/>
      <c r="H10467" s="8"/>
      <c r="I10467" s="8"/>
      <c r="J10467" s="7"/>
      <c r="K10467" s="7"/>
      <c r="L10467" s="7"/>
      <c r="M10467" s="7"/>
      <c r="N10467" s="7"/>
      <c r="O10467" s="7"/>
      <c r="P10467" s="7"/>
      <c r="Q10467" s="7"/>
      <c r="R10467" s="7"/>
      <c r="S10467" s="7"/>
      <c r="T10467" s="7"/>
      <c r="U10467" s="7"/>
      <c r="V10467" s="7"/>
      <c r="W10467" s="7"/>
      <c r="X10467" s="7"/>
      <c r="Y10467" s="7"/>
      <c r="Z10467" s="7"/>
    </row>
    <row r="10468" hidden="1">
      <c r="A10468" s="7"/>
      <c r="B10468" s="7"/>
      <c r="C10468" s="7"/>
      <c r="D10468" s="7"/>
      <c r="E10468" s="7"/>
      <c r="F10468" s="7"/>
      <c r="G10468" s="7"/>
      <c r="H10468" s="8"/>
      <c r="I10468" s="8"/>
      <c r="J10468" s="7"/>
      <c r="K10468" s="7"/>
      <c r="L10468" s="7"/>
      <c r="M10468" s="7"/>
      <c r="N10468" s="7"/>
      <c r="O10468" s="7"/>
      <c r="P10468" s="7"/>
      <c r="Q10468" s="7"/>
      <c r="R10468" s="7"/>
      <c r="S10468" s="7"/>
      <c r="T10468" s="7"/>
      <c r="U10468" s="7"/>
      <c r="V10468" s="7"/>
      <c r="W10468" s="7"/>
      <c r="X10468" s="7"/>
      <c r="Y10468" s="7"/>
      <c r="Z10468" s="7"/>
    </row>
    <row r="10469" hidden="1">
      <c r="A10469" s="7"/>
      <c r="B10469" s="7"/>
      <c r="C10469" s="7"/>
      <c r="D10469" s="7"/>
      <c r="E10469" s="7"/>
      <c r="F10469" s="7"/>
      <c r="G10469" s="7"/>
      <c r="H10469" s="8"/>
      <c r="I10469" s="8"/>
      <c r="J10469" s="7"/>
      <c r="K10469" s="7"/>
      <c r="L10469" s="7"/>
      <c r="M10469" s="7"/>
      <c r="N10469" s="7"/>
      <c r="O10469" s="7"/>
      <c r="P10469" s="7"/>
      <c r="Q10469" s="7"/>
      <c r="R10469" s="7"/>
      <c r="S10469" s="7"/>
      <c r="T10469" s="7"/>
      <c r="U10469" s="7"/>
      <c r="V10469" s="7"/>
      <c r="W10469" s="7"/>
      <c r="X10469" s="7"/>
      <c r="Y10469" s="7"/>
      <c r="Z10469" s="7"/>
    </row>
    <row r="10470" hidden="1">
      <c r="A10470" s="7"/>
      <c r="B10470" s="7"/>
      <c r="C10470" s="7"/>
      <c r="D10470" s="7"/>
      <c r="E10470" s="7"/>
      <c r="F10470" s="7"/>
      <c r="G10470" s="7"/>
      <c r="H10470" s="8"/>
      <c r="I10470" s="8"/>
      <c r="J10470" s="7"/>
      <c r="K10470" s="7"/>
      <c r="L10470" s="7"/>
      <c r="M10470" s="7"/>
      <c r="N10470" s="7"/>
      <c r="O10470" s="7"/>
      <c r="P10470" s="7"/>
      <c r="Q10470" s="7"/>
      <c r="R10470" s="7"/>
      <c r="S10470" s="7"/>
      <c r="T10470" s="7"/>
      <c r="U10470" s="7"/>
      <c r="V10470" s="7"/>
      <c r="W10470" s="7"/>
      <c r="X10470" s="7"/>
      <c r="Y10470" s="7"/>
      <c r="Z10470" s="7"/>
    </row>
    <row r="10471" hidden="1">
      <c r="A10471" s="7"/>
      <c r="B10471" s="7"/>
      <c r="C10471" s="7"/>
      <c r="D10471" s="7"/>
      <c r="E10471" s="7"/>
      <c r="F10471" s="7"/>
      <c r="G10471" s="7"/>
      <c r="H10471" s="8"/>
      <c r="I10471" s="8"/>
      <c r="J10471" s="7"/>
      <c r="K10471" s="7"/>
      <c r="L10471" s="7"/>
      <c r="M10471" s="7"/>
      <c r="N10471" s="7"/>
      <c r="O10471" s="7"/>
      <c r="P10471" s="7"/>
      <c r="Q10471" s="7"/>
      <c r="R10471" s="7"/>
      <c r="S10471" s="7"/>
      <c r="T10471" s="7"/>
      <c r="U10471" s="7"/>
      <c r="V10471" s="7"/>
      <c r="W10471" s="7"/>
      <c r="X10471" s="7"/>
      <c r="Y10471" s="7"/>
      <c r="Z10471" s="7"/>
    </row>
    <row r="10472" hidden="1">
      <c r="A10472" s="7"/>
      <c r="B10472" s="7"/>
      <c r="C10472" s="7"/>
      <c r="D10472" s="7"/>
      <c r="E10472" s="7"/>
      <c r="F10472" s="7"/>
      <c r="G10472" s="7"/>
      <c r="H10472" s="8"/>
      <c r="I10472" s="8"/>
      <c r="J10472" s="7"/>
      <c r="K10472" s="7"/>
      <c r="L10472" s="7"/>
      <c r="M10472" s="7"/>
      <c r="N10472" s="7"/>
      <c r="O10472" s="7"/>
      <c r="P10472" s="7"/>
      <c r="Q10472" s="7"/>
      <c r="R10472" s="7"/>
      <c r="S10472" s="7"/>
      <c r="T10472" s="7"/>
      <c r="U10472" s="7"/>
      <c r="V10472" s="7"/>
      <c r="W10472" s="7"/>
      <c r="X10472" s="7"/>
      <c r="Y10472" s="7"/>
      <c r="Z10472" s="7"/>
    </row>
    <row r="10473" hidden="1">
      <c r="A10473" s="7"/>
      <c r="B10473" s="7"/>
      <c r="C10473" s="7"/>
      <c r="D10473" s="7"/>
      <c r="E10473" s="7"/>
      <c r="F10473" s="7"/>
      <c r="G10473" s="7"/>
      <c r="H10473" s="8"/>
      <c r="I10473" s="8"/>
      <c r="J10473" s="7"/>
      <c r="K10473" s="7"/>
      <c r="L10473" s="7"/>
      <c r="M10473" s="7"/>
      <c r="N10473" s="7"/>
      <c r="O10473" s="7"/>
      <c r="P10473" s="7"/>
      <c r="Q10473" s="7"/>
      <c r="R10473" s="7"/>
      <c r="S10473" s="7"/>
      <c r="T10473" s="7"/>
      <c r="U10473" s="7"/>
      <c r="V10473" s="7"/>
      <c r="W10473" s="7"/>
      <c r="X10473" s="7"/>
      <c r="Y10473" s="7"/>
      <c r="Z10473" s="7"/>
    </row>
    <row r="10474" hidden="1">
      <c r="A10474" s="7"/>
      <c r="B10474" s="7"/>
      <c r="C10474" s="7"/>
      <c r="D10474" s="7"/>
      <c r="E10474" s="7"/>
      <c r="F10474" s="7"/>
      <c r="G10474" s="7"/>
      <c r="H10474" s="8"/>
      <c r="I10474" s="8"/>
      <c r="J10474" s="7"/>
      <c r="K10474" s="7"/>
      <c r="L10474" s="7"/>
      <c r="M10474" s="7"/>
      <c r="N10474" s="7"/>
      <c r="O10474" s="7"/>
      <c r="P10474" s="7"/>
      <c r="Q10474" s="7"/>
      <c r="R10474" s="7"/>
      <c r="S10474" s="7"/>
      <c r="T10474" s="7"/>
      <c r="U10474" s="7"/>
      <c r="V10474" s="7"/>
      <c r="W10474" s="7"/>
      <c r="X10474" s="7"/>
      <c r="Y10474" s="7"/>
      <c r="Z10474" s="7"/>
    </row>
    <row r="10475" hidden="1">
      <c r="A10475" s="7"/>
      <c r="B10475" s="7"/>
      <c r="C10475" s="7"/>
      <c r="D10475" s="7"/>
      <c r="E10475" s="7"/>
      <c r="F10475" s="7"/>
      <c r="G10475" s="7"/>
      <c r="H10475" s="8"/>
      <c r="I10475" s="8"/>
      <c r="J10475" s="7"/>
      <c r="K10475" s="7"/>
      <c r="L10475" s="7"/>
      <c r="M10475" s="7"/>
      <c r="N10475" s="7"/>
      <c r="O10475" s="7"/>
      <c r="P10475" s="7"/>
      <c r="Q10475" s="7"/>
      <c r="R10475" s="7"/>
      <c r="S10475" s="7"/>
      <c r="T10475" s="7"/>
      <c r="U10475" s="7"/>
      <c r="V10475" s="7"/>
      <c r="W10475" s="7"/>
      <c r="X10475" s="7"/>
      <c r="Y10475" s="7"/>
      <c r="Z10475" s="7"/>
    </row>
    <row r="10476" hidden="1">
      <c r="A10476" s="7"/>
      <c r="B10476" s="7"/>
      <c r="C10476" s="7"/>
      <c r="D10476" s="7"/>
      <c r="E10476" s="7"/>
      <c r="F10476" s="7"/>
      <c r="G10476" s="7"/>
      <c r="H10476" s="8"/>
      <c r="I10476" s="8"/>
      <c r="J10476" s="7"/>
      <c r="K10476" s="7"/>
      <c r="L10476" s="7"/>
      <c r="M10476" s="7"/>
      <c r="N10476" s="7"/>
      <c r="O10476" s="7"/>
      <c r="P10476" s="7"/>
      <c r="Q10476" s="7"/>
      <c r="R10476" s="7"/>
      <c r="S10476" s="7"/>
      <c r="T10476" s="7"/>
      <c r="U10476" s="7"/>
      <c r="V10476" s="7"/>
      <c r="W10476" s="7"/>
      <c r="X10476" s="7"/>
      <c r="Y10476" s="7"/>
      <c r="Z10476" s="7"/>
    </row>
    <row r="10477" hidden="1">
      <c r="A10477" s="7"/>
      <c r="B10477" s="7"/>
      <c r="C10477" s="7"/>
      <c r="D10477" s="7"/>
      <c r="E10477" s="7"/>
      <c r="F10477" s="7"/>
      <c r="G10477" s="7"/>
      <c r="H10477" s="8"/>
      <c r="I10477" s="8"/>
      <c r="J10477" s="7"/>
      <c r="K10477" s="7"/>
      <c r="L10477" s="7"/>
      <c r="M10477" s="7"/>
      <c r="N10477" s="7"/>
      <c r="O10477" s="7"/>
      <c r="P10477" s="7"/>
      <c r="Q10477" s="7"/>
      <c r="R10477" s="7"/>
      <c r="S10477" s="7"/>
      <c r="T10477" s="7"/>
      <c r="U10477" s="7"/>
      <c r="V10477" s="7"/>
      <c r="W10477" s="7"/>
      <c r="X10477" s="7"/>
      <c r="Y10477" s="7"/>
      <c r="Z10477" s="7"/>
    </row>
    <row r="10478" hidden="1">
      <c r="A10478" s="7"/>
      <c r="B10478" s="7"/>
      <c r="C10478" s="7"/>
      <c r="D10478" s="7"/>
      <c r="E10478" s="7"/>
      <c r="F10478" s="7"/>
      <c r="G10478" s="7"/>
      <c r="H10478" s="8"/>
      <c r="I10478" s="8"/>
      <c r="J10478" s="7"/>
      <c r="K10478" s="7"/>
      <c r="L10478" s="7"/>
      <c r="M10478" s="7"/>
      <c r="N10478" s="7"/>
      <c r="O10478" s="7"/>
      <c r="P10478" s="7"/>
      <c r="Q10478" s="7"/>
      <c r="R10478" s="7"/>
      <c r="S10478" s="7"/>
      <c r="T10478" s="7"/>
      <c r="U10478" s="7"/>
      <c r="V10478" s="7"/>
      <c r="W10478" s="7"/>
      <c r="X10478" s="7"/>
      <c r="Y10478" s="7"/>
      <c r="Z10478" s="7"/>
    </row>
    <row r="10479" hidden="1">
      <c r="A10479" s="7"/>
      <c r="B10479" s="7"/>
      <c r="C10479" s="7"/>
      <c r="D10479" s="7"/>
      <c r="E10479" s="7"/>
      <c r="F10479" s="7"/>
      <c r="G10479" s="7"/>
      <c r="H10479" s="8"/>
      <c r="I10479" s="8"/>
      <c r="J10479" s="7"/>
      <c r="K10479" s="7"/>
      <c r="L10479" s="7"/>
      <c r="M10479" s="7"/>
      <c r="N10479" s="7"/>
      <c r="O10479" s="7"/>
      <c r="P10479" s="7"/>
      <c r="Q10479" s="7"/>
      <c r="R10479" s="7"/>
      <c r="S10479" s="7"/>
      <c r="T10479" s="7"/>
      <c r="U10479" s="7"/>
      <c r="V10479" s="7"/>
      <c r="W10479" s="7"/>
      <c r="X10479" s="7"/>
      <c r="Y10479" s="7"/>
      <c r="Z10479" s="7"/>
    </row>
    <row r="10480" hidden="1">
      <c r="A10480" s="7"/>
      <c r="B10480" s="7"/>
      <c r="C10480" s="7"/>
      <c r="D10480" s="7"/>
      <c r="E10480" s="7"/>
      <c r="F10480" s="7"/>
      <c r="G10480" s="7"/>
      <c r="H10480" s="8"/>
      <c r="I10480" s="8"/>
      <c r="J10480" s="7"/>
      <c r="K10480" s="7"/>
      <c r="L10480" s="7"/>
      <c r="M10480" s="7"/>
      <c r="N10480" s="7"/>
      <c r="O10480" s="7"/>
      <c r="P10480" s="7"/>
      <c r="Q10480" s="7"/>
      <c r="R10480" s="7"/>
      <c r="S10480" s="7"/>
      <c r="T10480" s="7"/>
      <c r="U10480" s="7"/>
      <c r="V10480" s="7"/>
      <c r="W10480" s="7"/>
      <c r="X10480" s="7"/>
      <c r="Y10480" s="7"/>
      <c r="Z10480" s="7"/>
    </row>
    <row r="10481" hidden="1">
      <c r="A10481" s="7"/>
      <c r="B10481" s="7"/>
      <c r="C10481" s="7"/>
      <c r="D10481" s="7"/>
      <c r="E10481" s="7"/>
      <c r="F10481" s="7"/>
      <c r="G10481" s="7"/>
      <c r="H10481" s="8"/>
      <c r="I10481" s="8"/>
      <c r="J10481" s="7"/>
      <c r="K10481" s="7"/>
      <c r="L10481" s="7"/>
      <c r="M10481" s="7"/>
      <c r="N10481" s="7"/>
      <c r="O10481" s="7"/>
      <c r="P10481" s="7"/>
      <c r="Q10481" s="7"/>
      <c r="R10481" s="7"/>
      <c r="S10481" s="7"/>
      <c r="T10481" s="7"/>
      <c r="U10481" s="7"/>
      <c r="V10481" s="7"/>
      <c r="W10481" s="7"/>
      <c r="X10481" s="7"/>
      <c r="Y10481" s="7"/>
      <c r="Z10481" s="7"/>
    </row>
    <row r="10482" hidden="1">
      <c r="A10482" s="7"/>
      <c r="B10482" s="7"/>
      <c r="C10482" s="7"/>
      <c r="D10482" s="7"/>
      <c r="E10482" s="7"/>
      <c r="F10482" s="7"/>
      <c r="G10482" s="7"/>
      <c r="H10482" s="8"/>
      <c r="I10482" s="8"/>
      <c r="J10482" s="7"/>
      <c r="K10482" s="7"/>
      <c r="L10482" s="7"/>
      <c r="M10482" s="7"/>
      <c r="N10482" s="7"/>
      <c r="O10482" s="7"/>
      <c r="P10482" s="7"/>
      <c r="Q10482" s="7"/>
      <c r="R10482" s="7"/>
      <c r="S10482" s="7"/>
      <c r="T10482" s="7"/>
      <c r="U10482" s="7"/>
      <c r="V10482" s="7"/>
      <c r="W10482" s="7"/>
      <c r="X10482" s="7"/>
      <c r="Y10482" s="7"/>
      <c r="Z10482" s="7"/>
    </row>
    <row r="10483" hidden="1">
      <c r="A10483" s="7"/>
      <c r="B10483" s="7"/>
      <c r="C10483" s="7"/>
      <c r="D10483" s="7"/>
      <c r="E10483" s="7"/>
      <c r="F10483" s="7"/>
      <c r="G10483" s="7"/>
      <c r="H10483" s="8"/>
      <c r="I10483" s="8"/>
      <c r="J10483" s="7"/>
      <c r="K10483" s="7"/>
      <c r="L10483" s="7"/>
      <c r="M10483" s="7"/>
      <c r="N10483" s="7"/>
      <c r="O10483" s="7"/>
      <c r="P10483" s="7"/>
      <c r="Q10483" s="7"/>
      <c r="R10483" s="7"/>
      <c r="S10483" s="7"/>
      <c r="T10483" s="7"/>
      <c r="U10483" s="7"/>
      <c r="V10483" s="7"/>
      <c r="W10483" s="7"/>
      <c r="X10483" s="7"/>
      <c r="Y10483" s="7"/>
      <c r="Z10483" s="7"/>
    </row>
    <row r="10484" hidden="1">
      <c r="A10484" s="7"/>
      <c r="B10484" s="7"/>
      <c r="C10484" s="7"/>
      <c r="D10484" s="7"/>
      <c r="E10484" s="7"/>
      <c r="F10484" s="7"/>
      <c r="G10484" s="7"/>
      <c r="H10484" s="8"/>
      <c r="I10484" s="8"/>
      <c r="J10484" s="7"/>
      <c r="K10484" s="7"/>
      <c r="L10484" s="7"/>
      <c r="M10484" s="7"/>
      <c r="N10484" s="7"/>
      <c r="O10484" s="7"/>
      <c r="P10484" s="7"/>
      <c r="Q10484" s="7"/>
      <c r="R10484" s="7"/>
      <c r="S10484" s="7"/>
      <c r="T10484" s="7"/>
      <c r="U10484" s="7"/>
      <c r="V10484" s="7"/>
      <c r="W10484" s="7"/>
      <c r="X10484" s="7"/>
      <c r="Y10484" s="7"/>
      <c r="Z10484" s="7"/>
    </row>
    <row r="10485" hidden="1">
      <c r="A10485" s="7"/>
      <c r="B10485" s="7"/>
      <c r="C10485" s="7"/>
      <c r="D10485" s="7"/>
      <c r="E10485" s="7"/>
      <c r="F10485" s="7"/>
      <c r="G10485" s="7"/>
      <c r="H10485" s="8"/>
      <c r="I10485" s="8"/>
      <c r="J10485" s="7"/>
      <c r="K10485" s="7"/>
      <c r="L10485" s="7"/>
      <c r="M10485" s="7"/>
      <c r="N10485" s="7"/>
      <c r="O10485" s="7"/>
      <c r="P10485" s="7"/>
      <c r="Q10485" s="7"/>
      <c r="R10485" s="7"/>
      <c r="S10485" s="7"/>
      <c r="T10485" s="7"/>
      <c r="U10485" s="7"/>
      <c r="V10485" s="7"/>
      <c r="W10485" s="7"/>
      <c r="X10485" s="7"/>
      <c r="Y10485" s="7"/>
      <c r="Z10485" s="7"/>
    </row>
    <row r="10486" hidden="1">
      <c r="A10486" s="7"/>
      <c r="B10486" s="7"/>
      <c r="C10486" s="7"/>
      <c r="D10486" s="7"/>
      <c r="E10486" s="7"/>
      <c r="F10486" s="7"/>
      <c r="G10486" s="7"/>
      <c r="H10486" s="8"/>
      <c r="I10486" s="8"/>
      <c r="J10486" s="7"/>
      <c r="K10486" s="7"/>
      <c r="L10486" s="7"/>
      <c r="M10486" s="7"/>
      <c r="N10486" s="7"/>
      <c r="O10486" s="7"/>
      <c r="P10486" s="7"/>
      <c r="Q10486" s="7"/>
      <c r="R10486" s="7"/>
      <c r="S10486" s="7"/>
      <c r="T10486" s="7"/>
      <c r="U10486" s="7"/>
      <c r="V10486" s="7"/>
      <c r="W10486" s="7"/>
      <c r="X10486" s="7"/>
      <c r="Y10486" s="7"/>
      <c r="Z10486" s="7"/>
    </row>
    <row r="10487" hidden="1">
      <c r="A10487" s="7"/>
      <c r="B10487" s="7"/>
      <c r="C10487" s="7"/>
      <c r="D10487" s="7"/>
      <c r="E10487" s="7"/>
      <c r="F10487" s="7"/>
      <c r="G10487" s="7"/>
      <c r="H10487" s="8"/>
      <c r="I10487" s="8"/>
      <c r="J10487" s="7"/>
      <c r="K10487" s="7"/>
      <c r="L10487" s="7"/>
      <c r="M10487" s="7"/>
      <c r="N10487" s="7"/>
      <c r="O10487" s="7"/>
      <c r="P10487" s="7"/>
      <c r="Q10487" s="7"/>
      <c r="R10487" s="7"/>
      <c r="S10487" s="7"/>
      <c r="T10487" s="7"/>
      <c r="U10487" s="7"/>
      <c r="V10487" s="7"/>
      <c r="W10487" s="7"/>
      <c r="X10487" s="7"/>
      <c r="Y10487" s="7"/>
      <c r="Z10487" s="7"/>
    </row>
    <row r="10488" hidden="1">
      <c r="A10488" s="7"/>
      <c r="B10488" s="7"/>
      <c r="C10488" s="7"/>
      <c r="D10488" s="7"/>
      <c r="E10488" s="7"/>
      <c r="F10488" s="7"/>
      <c r="G10488" s="7"/>
      <c r="H10488" s="8"/>
      <c r="I10488" s="8"/>
      <c r="J10488" s="7"/>
      <c r="K10488" s="7"/>
      <c r="L10488" s="7"/>
      <c r="M10488" s="7"/>
      <c r="N10488" s="7"/>
      <c r="O10488" s="7"/>
      <c r="P10488" s="7"/>
      <c r="Q10488" s="7"/>
      <c r="R10488" s="7"/>
      <c r="S10488" s="7"/>
      <c r="T10488" s="7"/>
      <c r="U10488" s="7"/>
      <c r="V10488" s="7"/>
      <c r="W10488" s="7"/>
      <c r="X10488" s="7"/>
      <c r="Y10488" s="7"/>
      <c r="Z10488" s="7"/>
    </row>
    <row r="10489" hidden="1">
      <c r="A10489" s="7"/>
      <c r="B10489" s="7"/>
      <c r="C10489" s="7"/>
      <c r="D10489" s="7"/>
      <c r="E10489" s="7"/>
      <c r="F10489" s="7"/>
      <c r="G10489" s="7"/>
      <c r="H10489" s="8"/>
      <c r="I10489" s="8"/>
      <c r="J10489" s="7"/>
      <c r="K10489" s="7"/>
      <c r="L10489" s="7"/>
      <c r="M10489" s="7"/>
      <c r="N10489" s="7"/>
      <c r="O10489" s="7"/>
      <c r="P10489" s="7"/>
      <c r="Q10489" s="7"/>
      <c r="R10489" s="7"/>
      <c r="S10489" s="7"/>
      <c r="T10489" s="7"/>
      <c r="U10489" s="7"/>
      <c r="V10489" s="7"/>
      <c r="W10489" s="7"/>
      <c r="X10489" s="7"/>
      <c r="Y10489" s="7"/>
      <c r="Z10489" s="7"/>
    </row>
    <row r="10490" hidden="1">
      <c r="A10490" s="7"/>
      <c r="B10490" s="7"/>
      <c r="C10490" s="7"/>
      <c r="D10490" s="7"/>
      <c r="E10490" s="7"/>
      <c r="F10490" s="7"/>
      <c r="G10490" s="7"/>
      <c r="H10490" s="8"/>
      <c r="I10490" s="8"/>
      <c r="J10490" s="7"/>
      <c r="K10490" s="7"/>
      <c r="L10490" s="7"/>
      <c r="M10490" s="7"/>
      <c r="N10490" s="7"/>
      <c r="O10490" s="7"/>
      <c r="P10490" s="7"/>
      <c r="Q10490" s="7"/>
      <c r="R10490" s="7"/>
      <c r="S10490" s="7"/>
      <c r="T10490" s="7"/>
      <c r="U10490" s="7"/>
      <c r="V10490" s="7"/>
      <c r="W10490" s="7"/>
      <c r="X10490" s="7"/>
      <c r="Y10490" s="7"/>
      <c r="Z10490" s="7"/>
    </row>
    <row r="10491" hidden="1">
      <c r="A10491" s="7"/>
      <c r="B10491" s="7"/>
      <c r="C10491" s="7"/>
      <c r="D10491" s="7"/>
      <c r="E10491" s="7"/>
      <c r="F10491" s="7"/>
      <c r="G10491" s="7"/>
      <c r="H10491" s="8"/>
      <c r="I10491" s="8"/>
      <c r="J10491" s="7"/>
      <c r="K10491" s="7"/>
      <c r="L10491" s="7"/>
      <c r="M10491" s="7"/>
      <c r="N10491" s="7"/>
      <c r="O10491" s="7"/>
      <c r="P10491" s="7"/>
      <c r="Q10491" s="7"/>
      <c r="R10491" s="7"/>
      <c r="S10491" s="7"/>
      <c r="T10491" s="7"/>
      <c r="U10491" s="7"/>
      <c r="V10491" s="7"/>
      <c r="W10491" s="7"/>
      <c r="X10491" s="7"/>
      <c r="Y10491" s="7"/>
      <c r="Z10491" s="7"/>
    </row>
  </sheetData>
  <autoFilter ref="$A$1:$Z$10491">
    <filterColumn colId="0">
      <filters>
        <filter val="1/2/2025"/>
        <filter val="6/18/2025"/>
        <filter val="7/29/2025"/>
        <filter val="10/3/2024"/>
        <filter val="12/3/2024"/>
        <filter val="8/1/2025"/>
        <filter val="10/11/2024"/>
        <filter val="10/25/2024"/>
        <filter val="7/15/2025"/>
        <filter val="8/26/2025"/>
        <filter val="2/19/2025"/>
        <filter val="12/16/2024"/>
        <filter val="2/20/2025"/>
        <filter val="4/1/2025"/>
        <filter val="11/19/2024"/>
        <filter val="4/25/2025"/>
        <filter val="2/17/2025"/>
        <filter val="4/30/2025"/>
        <filter val="11/4/2024"/>
        <filter val="5/19/2025"/>
        <filter val="10/30/2024"/>
        <filter val="1/23/2025"/>
        <filter val="2/3/2025"/>
        <filter val="4/3/2025"/>
        <filter val="4/11/2025"/>
        <filter val="6/3/2025"/>
        <filter val="7/2/2025"/>
        <filter val="9/2/2025"/>
        <filter val="8/12/2025"/>
        <filter val="5/2/2025"/>
        <filter val="12/5/2024"/>
        <filter val="1/21/2025"/>
        <filter val="11/6/2024"/>
        <filter val="9/4/2025"/>
        <filter val="6/23/2025"/>
        <filter val="2/5/2025"/>
        <filter val="2/10/2025"/>
        <filter val="5/20/2025"/>
        <filter val="3/18/2025"/>
        <filter val="9/11/2025"/>
        <filter val="12/23/2024"/>
        <filter val="7/25/2025"/>
        <filter val="3/12/2025"/>
        <filter val="4/15/2025"/>
        <filter val="8/14/2025"/>
        <filter val="1/27/2025"/>
        <filter val="5/26/2025"/>
        <filter val="3/28/2025"/>
        <filter val="3/6/2025"/>
        <filter val="5/14/2025"/>
        <filter val="10/15/2024"/>
        <filter val="10/18/2024"/>
        <filter val="1/30/2025"/>
        <filter val="12/26/2024"/>
        <filter val="4/21/2025"/>
        <filter val="6/5/2025"/>
        <filter val="9/23/2024"/>
        <filter val="7/9/2025"/>
        <filter val="6/16/2025"/>
        <filter val="5/29/2025"/>
        <filter val="11/14/2024"/>
        <filter val="3/24/2025"/>
        <filter val="11/28/2024"/>
        <filter val="2/13/2025"/>
        <filter val="4/8/2025"/>
        <filter val="8/18/2025"/>
        <filter val="10/17/2024"/>
        <filter val="1/8/2025"/>
        <filter val="10/9/2024"/>
        <filter val="1/15/2025"/>
        <filter val="2/7/2025"/>
        <filter val="2/12/2025"/>
        <filter val="1/16/2025"/>
        <filter val="5/7/2025"/>
        <filter val="2/27/2025"/>
        <filter val="11/13/2024"/>
        <filter val="12/24/2024"/>
        <filter val="7/7/2025"/>
        <filter val="10/21/2024"/>
        <filter val="4/7/2025"/>
        <filter val="4/9/2025"/>
        <filter val="2/11/2025"/>
        <filter val="2/6/2025"/>
        <filter val="2/28/2025"/>
        <filter val="10/16/2024"/>
        <filter val="6/9/2025"/>
        <filter val="11/7/2024"/>
        <filter val="6/25/2025"/>
        <filter val="1/20/2025"/>
        <filter val="7/10/2025"/>
        <filter val="8/6/2025"/>
        <filter val="9/8/2025"/>
        <filter val="9/16/2024"/>
        <filter val="9/16/2025"/>
        <filter val="11/12/2024"/>
        <filter val="11/29/2024"/>
        <filter val="7/8/2025"/>
        <filter val="5/27/2025"/>
        <filter val="5/5/2025"/>
        <filter val="7/21/2025"/>
        <filter val="4/17/2025"/>
        <filter val="5/13/2025"/>
        <filter val="5/12/2025"/>
        <filter val="3/5/2025"/>
        <filter val="12/6/2024"/>
        <filter val="8/29/2025"/>
        <filter val="3/4/2025"/>
        <filter val="7/17/2025"/>
        <filter val="8/28/2025"/>
        <filter val="6/4/2025"/>
        <filter val="9/25/2024"/>
        <filter val="8/22/2025"/>
        <filter val="7/11/2025"/>
        <filter val="10/10/2024"/>
        <filter val="5/6/2025"/>
        <filter val="8/13/2025"/>
        <filter val="8/19/2025"/>
        <filter val="7/30/2025"/>
        <filter val="1/9/2025"/>
        <filter val="5/28/2025"/>
        <filter val="1/3/2025"/>
        <filter val="10/4/2024"/>
        <filter val="5/22/2025"/>
        <filter val="9/3/2025"/>
        <filter val="11/8/2024"/>
        <filter val="4/16/2025"/>
        <filter val="6/24/2025"/>
        <filter val="9/9/2025"/>
        <filter val="9/15/2025"/>
        <filter val="11/22/2024"/>
        <filter val="8/5/2025"/>
        <filter val="4/2/2025"/>
        <filter val="1/24/2025"/>
        <filter val="2/21/2025"/>
        <filter val="12/17/2024"/>
        <filter val="9/1/2025"/>
        <filter val="7/1/2025"/>
        <filter val="1/10/2025"/>
        <filter val="6/20/2025"/>
        <filter val="7/31/2025"/>
        <filter val="2/18/2025"/>
        <filter val="6/17/2025"/>
        <filter val="12/20/2024"/>
        <filter val="7/14/2025"/>
        <filter val="8/25/2025"/>
        <filter val="1/1/2025"/>
        <filter val="8/11/2025"/>
        <filter val="5/23/2025"/>
        <filter val="11/21/2024"/>
        <filter val="9/10/2025"/>
        <filter val="10/24/2024"/>
        <filter val="9/24/2024"/>
        <filter val="9/19/2024"/>
        <filter val="5/21/2025"/>
        <filter val="12/2/2024"/>
        <filter val="11/18/2024"/>
        <filter val="7/16/2025"/>
        <filter val="4/28/2025"/>
        <filter val="10/31/2024"/>
        <filter val="8/4/2025"/>
        <filter val="7/18/2025"/>
        <filter val="9/26/2024"/>
        <filter val="4/24/2025"/>
        <filter val="10/22/2024"/>
        <filter val="3/13/2025"/>
        <filter val="3/19/2025"/>
        <filter val="10/28/2024"/>
        <filter val="12/13/2024"/>
        <filter val="4/4/2025"/>
        <filter val="9/17/2024"/>
        <filter val="12/19/2024"/>
        <filter val="11/27/2024"/>
        <filter val="1/14/2025"/>
        <filter val="1/17/2025"/>
        <filter val="6/19/2025"/>
        <filter val="8/21/2025"/>
        <filter val="12/10/2024"/>
        <filter val="12/4/2024"/>
        <filter val="3/3/2025"/>
        <filter val="7/28/2025"/>
        <filter val="5/30/2025"/>
        <filter val="7/3/2025"/>
        <filter val="6/2/2025"/>
        <filter val="6/10/2025"/>
        <filter val="6/13/2025"/>
        <filter val="9/20/2024"/>
        <filter val="11/11/2024"/>
        <filter val="3/25/2025"/>
        <filter val="5/15/2025"/>
        <filter val="7/23/2025"/>
        <filter val="12/11/2024"/>
        <filter val="6/26/2025"/>
        <filter val="8/20/2025"/>
        <filter val="12/9/2024"/>
        <filter val="6/12/2025"/>
        <filter val="1/7/2025"/>
        <filter val="9/30/2024"/>
        <filter val="12/12/2024"/>
        <filter val="6/11/2025"/>
        <filter val="7/22/2025"/>
        <filter val="3/7/2025"/>
        <filter val="8/7/2025"/>
        <filter val="2/14/2025"/>
        <filter val="4/22/2025"/>
        <filter val="6/30/2025"/>
        <filter val="6/6/2025"/>
        <filter val="9/27/2024"/>
        <filter val="1/31/2025"/>
        <filter val="1/29/2025"/>
        <filter val="5/8/2025"/>
        <filter val="12/30/2024"/>
        <filter val="10/8/2024"/>
        <filter val="3/10/2025"/>
        <filter val="11/26/2024"/>
        <filter val="5/16/2025"/>
        <filter val="9/5/2025"/>
        <filter val="7/24/2025"/>
        <filter val="2/25/2025"/>
        <filter val="1/13/2025"/>
        <filter val="2/24/2025"/>
        <filter val="11/25/2024"/>
        <filter val="10/14/2024"/>
        <filter val="3/21/2025"/>
        <filter val="4/29/2025"/>
        <filter val="12/31/2024"/>
        <filter val="2/4/2025"/>
        <filter val="3/20/2025"/>
        <filter val="3/26/2025"/>
        <filter val="10/7/2024"/>
        <filter val="3/27/2025"/>
        <filter val="7/4/2025"/>
        <filter val="4/23/2025"/>
        <filter val="12/27/2024"/>
        <filter val="3/11/2025"/>
        <filter val="5/9/2025"/>
        <filter val="12/18/2024"/>
        <filter val="1/6/2025"/>
        <filter val="1/28/2025"/>
        <filter val="8/8/2025"/>
        <filter val="10/1/2024"/>
        <filter val="9/18/2024"/>
        <filter val="6/27/2025"/>
        <filter val="10/23/2024"/>
        <filter val="1/22/2025"/>
        <filter val="10/29/2024"/>
        <filter val="9/12/2025"/>
        <filter val="3/17/2025"/>
        <filter val="11/5/2024"/>
      </filters>
    </filterColumn>
  </autoFilter>
  <conditionalFormatting sqref="N1:N10491">
    <cfRule type="containsText" dxfId="0" priority="1" operator="containsText" text="PRICE_MOVE">
      <formula>NOT(ISERROR(SEARCH(("PRICE_MOVE"),(N1))))</formula>
    </cfRule>
  </conditionalFormatting>
  <conditionalFormatting sqref="N1:N10491">
    <cfRule type="containsText" dxfId="1" priority="2" operator="containsText" text="VOL_SPIKE">
      <formula>NOT(ISERROR(SEARCH(("VOL_SPIKE"),(N1))))</formula>
    </cfRule>
  </conditionalFormatting>
  <conditionalFormatting sqref="O1:O10491">
    <cfRule type="containsText" dxfId="2" priority="3" operator="containsText" text="RULE_FAIL">
      <formula>NOT(ISERROR(SEARCH(("RULE_FAIL"),(O1))))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75"/>
  </cols>
  <sheetData>
    <row r="1">
      <c r="AR1" s="7"/>
      <c r="AS1" s="7"/>
      <c r="AT1" s="7"/>
      <c r="AU1" s="7"/>
      <c r="AV1" s="7"/>
      <c r="AW1" s="7"/>
      <c r="AX1" s="7"/>
      <c r="AY1" s="7"/>
      <c r="AZ1" s="7"/>
      <c r="BA1" s="7"/>
    </row>
    <row r="2">
      <c r="AR2" s="7"/>
      <c r="AS2" s="7"/>
      <c r="AT2" s="7"/>
      <c r="AU2" s="7"/>
      <c r="AV2" s="7"/>
      <c r="AW2" s="7"/>
      <c r="AX2" s="7"/>
      <c r="AY2" s="7"/>
      <c r="AZ2" s="7"/>
      <c r="BA2" s="7"/>
    </row>
    <row r="3">
      <c r="AR3" s="7"/>
      <c r="AS3" s="7"/>
      <c r="AT3" s="7"/>
      <c r="AU3" s="7"/>
      <c r="AV3" s="7"/>
      <c r="AW3" s="7"/>
      <c r="AX3" s="7"/>
      <c r="AY3" s="7"/>
      <c r="AZ3" s="7"/>
      <c r="BA3" s="7"/>
    </row>
    <row r="4">
      <c r="AR4" s="7"/>
      <c r="AS4" s="7"/>
      <c r="AT4" s="7"/>
      <c r="AU4" s="7"/>
      <c r="AV4" s="7"/>
      <c r="AW4" s="7"/>
      <c r="AX4" s="7"/>
      <c r="AY4" s="7"/>
      <c r="AZ4" s="7"/>
      <c r="BA4" s="7"/>
    </row>
    <row r="5">
      <c r="AR5" s="7"/>
      <c r="AS5" s="7"/>
      <c r="AT5" s="7"/>
      <c r="AU5" s="7"/>
      <c r="AV5" s="7"/>
      <c r="AW5" s="7"/>
      <c r="AX5" s="7"/>
      <c r="AY5" s="7"/>
      <c r="AZ5" s="7"/>
      <c r="BA5" s="7"/>
    </row>
    <row r="6">
      <c r="AR6" s="7"/>
      <c r="AS6" s="7"/>
      <c r="AT6" s="7"/>
      <c r="AU6" s="7"/>
      <c r="AV6" s="7"/>
      <c r="AW6" s="7"/>
      <c r="AX6" s="7"/>
      <c r="AY6" s="7"/>
      <c r="AZ6" s="7"/>
      <c r="BA6" s="7"/>
    </row>
    <row r="7">
      <c r="AR7" s="7"/>
      <c r="AS7" s="7"/>
      <c r="AT7" s="7"/>
      <c r="AU7" s="7"/>
      <c r="AV7" s="7"/>
      <c r="AW7" s="7"/>
      <c r="AX7" s="7"/>
      <c r="AY7" s="7"/>
      <c r="AZ7" s="7"/>
      <c r="BA7" s="7"/>
    </row>
    <row r="8">
      <c r="AR8" s="7"/>
      <c r="AS8" s="7"/>
      <c r="AT8" s="7"/>
      <c r="AU8" s="7"/>
      <c r="AV8" s="7"/>
      <c r="AW8" s="7"/>
      <c r="AX8" s="7"/>
      <c r="AY8" s="7"/>
      <c r="AZ8" s="7"/>
      <c r="BA8" s="7"/>
    </row>
    <row r="9">
      <c r="AR9" s="7"/>
      <c r="AS9" s="7"/>
      <c r="AT9" s="7"/>
      <c r="AU9" s="7"/>
      <c r="AV9" s="7"/>
      <c r="AW9" s="7"/>
      <c r="AX9" s="7"/>
      <c r="AY9" s="7"/>
      <c r="AZ9" s="7"/>
      <c r="BA9" s="7"/>
    </row>
    <row r="10"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>
      <c r="A14" s="7"/>
      <c r="B14" s="7"/>
      <c r="C14" s="10"/>
      <c r="D14" s="7"/>
      <c r="E14" s="6"/>
      <c r="F14" s="10"/>
      <c r="G14" s="7"/>
      <c r="H14" s="6"/>
      <c r="I14" s="10"/>
      <c r="J14" s="7"/>
      <c r="K14" s="6"/>
      <c r="L14" s="10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0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>
      <c r="A15" s="7"/>
      <c r="B15" s="7"/>
      <c r="C15" s="10"/>
      <c r="D15" s="7"/>
      <c r="E15" s="6"/>
      <c r="F15" s="10"/>
      <c r="G15" s="7"/>
      <c r="H15" s="6"/>
      <c r="I15" s="10"/>
      <c r="J15" s="7"/>
      <c r="K15" s="6"/>
      <c r="L15" s="10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0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>
      <c r="A16" s="7"/>
      <c r="B16" s="7"/>
      <c r="C16" s="10"/>
      <c r="D16" s="7"/>
      <c r="E16" s="6"/>
      <c r="F16" s="10"/>
      <c r="G16" s="7"/>
      <c r="H16" s="6"/>
      <c r="I16" s="10"/>
      <c r="J16" s="7"/>
      <c r="K16" s="6"/>
      <c r="L16" s="10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0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>
      <c r="A17" s="7"/>
      <c r="B17" s="7"/>
      <c r="C17" s="10"/>
      <c r="D17" s="7"/>
      <c r="E17" s="6"/>
      <c r="F17" s="10"/>
      <c r="G17" s="7"/>
      <c r="H17" s="6"/>
      <c r="I17" s="10"/>
      <c r="J17" s="7"/>
      <c r="K17" s="6"/>
      <c r="L17" s="10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10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>
      <c r="A18" s="7"/>
      <c r="B18" s="7"/>
      <c r="C18" s="10"/>
      <c r="D18" s="7"/>
      <c r="E18" s="6"/>
      <c r="F18" s="10"/>
      <c r="G18" s="7"/>
      <c r="H18" s="6"/>
      <c r="I18" s="10"/>
      <c r="J18" s="7"/>
      <c r="K18" s="6"/>
      <c r="L18" s="10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0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>
      <c r="A19" s="7"/>
      <c r="B19" s="7"/>
      <c r="C19" s="10"/>
      <c r="D19" s="7"/>
      <c r="E19" s="6"/>
      <c r="F19" s="10"/>
      <c r="G19" s="7"/>
      <c r="H19" s="6"/>
      <c r="I19" s="10"/>
      <c r="J19" s="7"/>
      <c r="K19" s="6"/>
      <c r="L19" s="10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10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>
      <c r="A20" s="7"/>
      <c r="B20" s="7"/>
      <c r="C20" s="10"/>
      <c r="D20" s="7"/>
      <c r="E20" s="6"/>
      <c r="F20" s="10"/>
      <c r="G20" s="7"/>
      <c r="H20" s="6"/>
      <c r="I20" s="10"/>
      <c r="J20" s="7"/>
      <c r="K20" s="6"/>
      <c r="L20" s="10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10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>
      <c r="A21" s="7"/>
      <c r="B21" s="7"/>
      <c r="C21" s="10"/>
      <c r="D21" s="7"/>
      <c r="E21" s="6"/>
      <c r="F21" s="10"/>
      <c r="G21" s="7"/>
      <c r="H21" s="6"/>
      <c r="I21" s="10"/>
      <c r="J21" s="7"/>
      <c r="K21" s="6"/>
      <c r="L21" s="10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10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>
      <c r="A22" s="7"/>
      <c r="B22" s="7"/>
      <c r="C22" s="10"/>
      <c r="D22" s="7"/>
      <c r="E22" s="6"/>
      <c r="F22" s="10"/>
      <c r="G22" s="7"/>
      <c r="H22" s="6"/>
      <c r="I22" s="10"/>
      <c r="J22" s="7"/>
      <c r="K22" s="6"/>
      <c r="L22" s="10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10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</row>
    <row r="23">
      <c r="A23" s="7"/>
      <c r="B23" s="7"/>
      <c r="C23" s="10"/>
      <c r="D23" s="7"/>
      <c r="E23" s="6"/>
      <c r="F23" s="10"/>
      <c r="G23" s="7"/>
      <c r="H23" s="6"/>
      <c r="I23" s="10"/>
      <c r="J23" s="7"/>
      <c r="K23" s="6"/>
      <c r="L23" s="10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10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>
      <c r="A24" s="7"/>
      <c r="B24" s="7"/>
      <c r="C24" s="10"/>
      <c r="D24" s="7"/>
      <c r="E24" s="6"/>
      <c r="F24" s="10"/>
      <c r="G24" s="7"/>
      <c r="H24" s="6"/>
      <c r="I24" s="10"/>
      <c r="J24" s="7"/>
      <c r="K24" s="6"/>
      <c r="L24" s="10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10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>
      <c r="A25" s="7"/>
      <c r="B25" s="7"/>
      <c r="C25" s="10"/>
      <c r="D25" s="7"/>
      <c r="E25" s="6"/>
      <c r="F25" s="10"/>
      <c r="G25" s="7"/>
      <c r="H25" s="6"/>
      <c r="I25" s="10"/>
      <c r="J25" s="7"/>
      <c r="K25" s="6"/>
      <c r="L25" s="10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10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  <row r="26">
      <c r="A26" s="7"/>
      <c r="B26" s="7"/>
      <c r="C26" s="10"/>
      <c r="D26" s="7"/>
      <c r="E26" s="6"/>
      <c r="F26" s="10"/>
      <c r="G26" s="7"/>
      <c r="H26" s="6"/>
      <c r="I26" s="10"/>
      <c r="J26" s="7"/>
      <c r="K26" s="6"/>
      <c r="L26" s="10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10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</row>
    <row r="27">
      <c r="A27" s="7"/>
      <c r="B27" s="7"/>
      <c r="C27" s="10"/>
      <c r="D27" s="7"/>
      <c r="E27" s="6"/>
      <c r="F27" s="10"/>
      <c r="G27" s="7"/>
      <c r="H27" s="6"/>
      <c r="I27" s="10"/>
      <c r="J27" s="7"/>
      <c r="K27" s="6"/>
      <c r="L27" s="10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10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</row>
    <row r="28">
      <c r="A28" s="7"/>
      <c r="B28" s="7"/>
      <c r="C28" s="10"/>
      <c r="D28" s="7"/>
      <c r="E28" s="6"/>
      <c r="F28" s="10"/>
      <c r="G28" s="7"/>
      <c r="H28" s="6"/>
      <c r="I28" s="10"/>
      <c r="J28" s="7"/>
      <c r="K28" s="6"/>
      <c r="L28" s="10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10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</row>
    <row r="29">
      <c r="A29" s="7"/>
      <c r="B29" s="7"/>
      <c r="C29" s="10"/>
      <c r="D29" s="7"/>
      <c r="E29" s="6"/>
      <c r="F29" s="10"/>
      <c r="G29" s="7"/>
      <c r="H29" s="6"/>
      <c r="I29" s="10"/>
      <c r="J29" s="7"/>
      <c r="K29" s="6"/>
      <c r="L29" s="10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10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</row>
    <row r="30">
      <c r="A30" s="7"/>
      <c r="B30" s="7"/>
      <c r="C30" s="10"/>
      <c r="D30" s="7"/>
      <c r="E30" s="6"/>
      <c r="F30" s="10"/>
      <c r="G30" s="7"/>
      <c r="H30" s="6"/>
      <c r="I30" s="10"/>
      <c r="J30" s="7"/>
      <c r="K30" s="6"/>
      <c r="L30" s="10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10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</row>
    <row r="31">
      <c r="A31" s="7"/>
      <c r="B31" s="7"/>
      <c r="C31" s="10"/>
      <c r="D31" s="7"/>
      <c r="E31" s="6"/>
      <c r="F31" s="10"/>
      <c r="G31" s="7"/>
      <c r="H31" s="6"/>
      <c r="I31" s="10"/>
      <c r="J31" s="7"/>
      <c r="K31" s="6"/>
      <c r="L31" s="10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10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</row>
    <row r="32">
      <c r="A32" s="7"/>
      <c r="B32" s="7"/>
      <c r="C32" s="10"/>
      <c r="D32" s="7"/>
      <c r="E32" s="6"/>
      <c r="F32" s="10"/>
      <c r="G32" s="7"/>
      <c r="H32" s="6"/>
      <c r="I32" s="10"/>
      <c r="J32" s="7"/>
      <c r="K32" s="6"/>
      <c r="L32" s="10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10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>
      <c r="A33" s="7"/>
      <c r="B33" s="7"/>
      <c r="C33" s="10"/>
      <c r="D33" s="7"/>
      <c r="E33" s="6"/>
      <c r="F33" s="10"/>
      <c r="G33" s="7"/>
      <c r="H33" s="6"/>
      <c r="I33" s="10"/>
      <c r="J33" s="7"/>
      <c r="K33" s="6"/>
      <c r="L33" s="10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10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</row>
    <row r="34">
      <c r="A34" s="7"/>
      <c r="B34" s="7"/>
      <c r="C34" s="10"/>
      <c r="D34" s="7"/>
      <c r="E34" s="6"/>
      <c r="F34" s="10"/>
      <c r="G34" s="7"/>
      <c r="H34" s="6"/>
      <c r="I34" s="10"/>
      <c r="J34" s="7"/>
      <c r="K34" s="6"/>
      <c r="L34" s="10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10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</row>
    <row r="35">
      <c r="A35" s="7"/>
      <c r="B35" s="7"/>
      <c r="C35" s="10"/>
      <c r="D35" s="7"/>
      <c r="E35" s="6"/>
      <c r="F35" s="10"/>
      <c r="G35" s="7"/>
      <c r="H35" s="6"/>
      <c r="I35" s="10"/>
      <c r="J35" s="7"/>
      <c r="K35" s="6"/>
      <c r="L35" s="10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10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</row>
    <row r="36">
      <c r="A36" s="7"/>
      <c r="B36" s="7"/>
      <c r="C36" s="10"/>
      <c r="D36" s="7"/>
      <c r="E36" s="6"/>
      <c r="F36" s="10"/>
      <c r="G36" s="7"/>
      <c r="H36" s="6"/>
      <c r="I36" s="10"/>
      <c r="J36" s="7"/>
      <c r="K36" s="6"/>
      <c r="L36" s="10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10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</row>
    <row r="37">
      <c r="A37" s="7"/>
      <c r="B37" s="7"/>
      <c r="C37" s="10"/>
      <c r="D37" s="7"/>
      <c r="E37" s="6"/>
      <c r="F37" s="10"/>
      <c r="G37" s="7"/>
      <c r="H37" s="6"/>
      <c r="I37" s="10"/>
      <c r="J37" s="7"/>
      <c r="K37" s="6"/>
      <c r="L37" s="10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10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</row>
    <row r="38">
      <c r="A38" s="7"/>
      <c r="B38" s="7"/>
      <c r="C38" s="10"/>
      <c r="D38" s="7"/>
      <c r="E38" s="6"/>
      <c r="F38" s="10"/>
      <c r="G38" s="7"/>
      <c r="H38" s="6"/>
      <c r="I38" s="10"/>
      <c r="J38" s="7"/>
      <c r="K38" s="6"/>
      <c r="L38" s="10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10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</row>
    <row r="39">
      <c r="A39" s="7"/>
      <c r="B39" s="7"/>
      <c r="C39" s="10"/>
      <c r="D39" s="7"/>
      <c r="E39" s="6"/>
      <c r="F39" s="10"/>
      <c r="G39" s="7"/>
      <c r="H39" s="6"/>
      <c r="I39" s="10"/>
      <c r="J39" s="7"/>
      <c r="K39" s="6"/>
      <c r="L39" s="10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10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>
      <c r="A40" s="7"/>
      <c r="B40" s="7"/>
      <c r="C40" s="10"/>
      <c r="D40" s="7"/>
      <c r="E40" s="6"/>
      <c r="F40" s="10"/>
      <c r="G40" s="7"/>
      <c r="H40" s="6"/>
      <c r="I40" s="10"/>
      <c r="J40" s="7"/>
      <c r="K40" s="6"/>
      <c r="L40" s="10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10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</row>
    <row r="41">
      <c r="A41" s="7"/>
      <c r="B41" s="7"/>
      <c r="C41" s="10"/>
      <c r="D41" s="7"/>
      <c r="E41" s="6"/>
      <c r="F41" s="10"/>
      <c r="G41" s="7"/>
      <c r="H41" s="6"/>
      <c r="I41" s="10"/>
      <c r="J41" s="7"/>
      <c r="K41" s="6"/>
      <c r="L41" s="10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10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</row>
    <row r="42">
      <c r="A42" s="7"/>
      <c r="B42" s="7"/>
      <c r="C42" s="10"/>
      <c r="D42" s="7"/>
      <c r="E42" s="6"/>
      <c r="F42" s="10"/>
      <c r="G42" s="7"/>
      <c r="H42" s="6"/>
      <c r="I42" s="10"/>
      <c r="J42" s="7"/>
      <c r="K42" s="6"/>
      <c r="L42" s="10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10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</row>
    <row r="43">
      <c r="A43" s="7"/>
      <c r="B43" s="7"/>
      <c r="C43" s="10"/>
      <c r="D43" s="7"/>
      <c r="E43" s="6"/>
      <c r="F43" s="10"/>
      <c r="G43" s="7"/>
      <c r="H43" s="6"/>
      <c r="I43" s="10"/>
      <c r="J43" s="7"/>
      <c r="K43" s="6"/>
      <c r="L43" s="10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10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>
      <c r="A44" s="7"/>
      <c r="B44" s="7"/>
      <c r="C44" s="10"/>
      <c r="D44" s="7"/>
      <c r="E44" s="6"/>
      <c r="F44" s="10"/>
      <c r="G44" s="7"/>
      <c r="H44" s="6"/>
      <c r="I44" s="10"/>
      <c r="J44" s="7"/>
      <c r="K44" s="6"/>
      <c r="L44" s="10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10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</row>
    <row r="45">
      <c r="A45" s="7"/>
      <c r="B45" s="7"/>
      <c r="C45" s="10"/>
      <c r="D45" s="7"/>
      <c r="E45" s="6"/>
      <c r="F45" s="10"/>
      <c r="G45" s="7"/>
      <c r="H45" s="6"/>
      <c r="I45" s="10"/>
      <c r="J45" s="7"/>
      <c r="K45" s="6"/>
      <c r="L45" s="10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10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</row>
    <row r="46">
      <c r="A46" s="7"/>
      <c r="B46" s="7"/>
      <c r="C46" s="10"/>
      <c r="D46" s="7"/>
      <c r="E46" s="6"/>
      <c r="F46" s="10"/>
      <c r="G46" s="7"/>
      <c r="H46" s="6"/>
      <c r="I46" s="10"/>
      <c r="J46" s="7"/>
      <c r="K46" s="6"/>
      <c r="L46" s="10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10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</row>
    <row r="47">
      <c r="A47" s="7"/>
      <c r="B47" s="7"/>
      <c r="C47" s="10"/>
      <c r="D47" s="7"/>
      <c r="E47" s="6"/>
      <c r="F47" s="10"/>
      <c r="G47" s="7"/>
      <c r="H47" s="6"/>
      <c r="I47" s="10"/>
      <c r="J47" s="7"/>
      <c r="K47" s="6"/>
      <c r="L47" s="10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10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</row>
    <row r="48">
      <c r="A48" s="7"/>
      <c r="B48" s="7"/>
      <c r="C48" s="10"/>
      <c r="D48" s="7"/>
      <c r="E48" s="6"/>
      <c r="F48" s="10"/>
      <c r="G48" s="7"/>
      <c r="H48" s="6"/>
      <c r="I48" s="10"/>
      <c r="J48" s="7"/>
      <c r="K48" s="6"/>
      <c r="L48" s="10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10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</row>
    <row r="49">
      <c r="A49" s="7"/>
      <c r="B49" s="7"/>
      <c r="C49" s="10"/>
      <c r="D49" s="7"/>
      <c r="E49" s="6"/>
      <c r="F49" s="10"/>
      <c r="G49" s="7"/>
      <c r="H49" s="6"/>
      <c r="I49" s="10"/>
      <c r="J49" s="7"/>
      <c r="K49" s="6"/>
      <c r="L49" s="10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10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</row>
    <row r="50">
      <c r="A50" s="7"/>
      <c r="B50" s="7"/>
      <c r="C50" s="10"/>
      <c r="D50" s="7"/>
      <c r="E50" s="6"/>
      <c r="F50" s="10"/>
      <c r="G50" s="7"/>
      <c r="H50" s="6"/>
      <c r="I50" s="10"/>
      <c r="J50" s="7"/>
      <c r="K50" s="6"/>
      <c r="L50" s="10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10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</row>
    <row r="51">
      <c r="A51" s="7"/>
      <c r="B51" s="7"/>
      <c r="C51" s="10"/>
      <c r="D51" s="7"/>
      <c r="E51" s="6"/>
      <c r="F51" s="10"/>
      <c r="G51" s="7"/>
      <c r="H51" s="6"/>
      <c r="I51" s="10"/>
      <c r="J51" s="7"/>
      <c r="K51" s="6"/>
      <c r="L51" s="10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10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</row>
    <row r="52">
      <c r="A52" s="7"/>
      <c r="B52" s="7"/>
      <c r="C52" s="10"/>
      <c r="D52" s="7"/>
      <c r="E52" s="6"/>
      <c r="F52" s="10"/>
      <c r="G52" s="7"/>
      <c r="H52" s="6"/>
      <c r="I52" s="10"/>
      <c r="J52" s="7"/>
      <c r="K52" s="6"/>
      <c r="L52" s="10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10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</row>
    <row r="53">
      <c r="A53" s="7"/>
      <c r="B53" s="7"/>
      <c r="C53" s="10"/>
      <c r="D53" s="7"/>
      <c r="E53" s="6"/>
      <c r="F53" s="10"/>
      <c r="G53" s="7"/>
      <c r="H53" s="6"/>
      <c r="I53" s="10"/>
      <c r="J53" s="7"/>
      <c r="K53" s="6"/>
      <c r="L53" s="10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10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</row>
    <row r="54">
      <c r="A54" s="7"/>
      <c r="B54" s="7"/>
      <c r="C54" s="10"/>
      <c r="D54" s="7"/>
      <c r="E54" s="6"/>
      <c r="F54" s="10"/>
      <c r="G54" s="7"/>
      <c r="H54" s="6"/>
      <c r="I54" s="10"/>
      <c r="J54" s="7"/>
      <c r="K54" s="6"/>
      <c r="L54" s="10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10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</row>
    <row r="55">
      <c r="A55" s="7"/>
      <c r="B55" s="7"/>
      <c r="C55" s="10"/>
      <c r="D55" s="7"/>
      <c r="E55" s="6"/>
      <c r="F55" s="10"/>
      <c r="G55" s="7"/>
      <c r="H55" s="6"/>
      <c r="I55" s="10"/>
      <c r="J55" s="7"/>
      <c r="K55" s="6"/>
      <c r="L55" s="10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10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</row>
    <row r="56">
      <c r="A56" s="7"/>
      <c r="B56" s="7"/>
      <c r="C56" s="10"/>
      <c r="D56" s="7"/>
      <c r="E56" s="6"/>
      <c r="F56" s="10"/>
      <c r="G56" s="7"/>
      <c r="H56" s="6"/>
      <c r="I56" s="10"/>
      <c r="J56" s="7"/>
      <c r="K56" s="6"/>
      <c r="L56" s="10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10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</row>
    <row r="57">
      <c r="A57" s="7"/>
      <c r="B57" s="7"/>
      <c r="C57" s="10"/>
      <c r="D57" s="7"/>
      <c r="E57" s="6"/>
      <c r="F57" s="10"/>
      <c r="G57" s="7"/>
      <c r="H57" s="6"/>
      <c r="I57" s="10"/>
      <c r="J57" s="7"/>
      <c r="K57" s="6"/>
      <c r="L57" s="10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10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</row>
    <row r="58">
      <c r="A58" s="7"/>
      <c r="B58" s="7"/>
      <c r="C58" s="10"/>
      <c r="D58" s="7"/>
      <c r="E58" s="6"/>
      <c r="F58" s="10"/>
      <c r="G58" s="7"/>
      <c r="H58" s="6"/>
      <c r="I58" s="10"/>
      <c r="J58" s="7"/>
      <c r="K58" s="6"/>
      <c r="L58" s="10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10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</row>
    <row r="59">
      <c r="A59" s="7"/>
      <c r="B59" s="7"/>
      <c r="C59" s="10"/>
      <c r="D59" s="7"/>
      <c r="E59" s="6"/>
      <c r="F59" s="10"/>
      <c r="G59" s="7"/>
      <c r="H59" s="6"/>
      <c r="I59" s="10"/>
      <c r="J59" s="7"/>
      <c r="K59" s="6"/>
      <c r="L59" s="10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10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</row>
    <row r="60">
      <c r="A60" s="7"/>
      <c r="B60" s="7"/>
      <c r="C60" s="10"/>
      <c r="D60" s="7"/>
      <c r="E60" s="6"/>
      <c r="F60" s="10"/>
      <c r="G60" s="7"/>
      <c r="H60" s="6"/>
      <c r="I60" s="10"/>
      <c r="J60" s="7"/>
      <c r="K60" s="6"/>
      <c r="L60" s="10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10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</row>
    <row r="61">
      <c r="A61" s="7"/>
      <c r="B61" s="7"/>
      <c r="C61" s="10"/>
      <c r="D61" s="7"/>
      <c r="E61" s="6"/>
      <c r="F61" s="10"/>
      <c r="G61" s="7"/>
      <c r="H61" s="6"/>
      <c r="I61" s="10"/>
      <c r="J61" s="7"/>
      <c r="K61" s="6"/>
      <c r="L61" s="10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10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</row>
    <row r="62">
      <c r="A62" s="7"/>
      <c r="B62" s="7"/>
      <c r="C62" s="10"/>
      <c r="D62" s="7"/>
      <c r="E62" s="6"/>
      <c r="F62" s="10"/>
      <c r="G62" s="7"/>
      <c r="H62" s="6"/>
      <c r="I62" s="10"/>
      <c r="J62" s="7"/>
      <c r="K62" s="6"/>
      <c r="L62" s="10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10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</row>
    <row r="63">
      <c r="A63" s="7"/>
      <c r="B63" s="7"/>
      <c r="C63" s="10"/>
      <c r="D63" s="7"/>
      <c r="E63" s="6"/>
      <c r="F63" s="10"/>
      <c r="G63" s="7"/>
      <c r="H63" s="6"/>
      <c r="I63" s="10"/>
      <c r="J63" s="7"/>
      <c r="K63" s="6"/>
      <c r="L63" s="10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10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</row>
    <row r="64">
      <c r="A64" s="7"/>
      <c r="B64" s="7"/>
      <c r="C64" s="10"/>
      <c r="D64" s="7"/>
      <c r="E64" s="6"/>
      <c r="F64" s="10"/>
      <c r="G64" s="7"/>
      <c r="H64" s="6"/>
      <c r="I64" s="10"/>
      <c r="J64" s="7"/>
      <c r="K64" s="6"/>
      <c r="L64" s="10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10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</row>
    <row r="65">
      <c r="A65" s="7"/>
      <c r="B65" s="7"/>
      <c r="C65" s="10"/>
      <c r="D65" s="7"/>
      <c r="E65" s="6"/>
      <c r="F65" s="10"/>
      <c r="G65" s="7"/>
      <c r="H65" s="6"/>
      <c r="I65" s="10"/>
      <c r="J65" s="7"/>
      <c r="K65" s="6"/>
      <c r="L65" s="10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10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</row>
    <row r="66">
      <c r="A66" s="7"/>
      <c r="B66" s="7"/>
      <c r="C66" s="10"/>
      <c r="D66" s="7"/>
      <c r="E66" s="6"/>
      <c r="F66" s="10"/>
      <c r="G66" s="7"/>
      <c r="H66" s="6"/>
      <c r="I66" s="10"/>
      <c r="J66" s="7"/>
      <c r="K66" s="6"/>
      <c r="L66" s="10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10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</row>
    <row r="67">
      <c r="A67" s="7"/>
      <c r="B67" s="7"/>
      <c r="C67" s="10"/>
      <c r="D67" s="7"/>
      <c r="E67" s="6"/>
      <c r="F67" s="10"/>
      <c r="G67" s="7"/>
      <c r="H67" s="6"/>
      <c r="I67" s="10"/>
      <c r="J67" s="7"/>
      <c r="K67" s="6"/>
      <c r="L67" s="10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10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</row>
    <row r="68">
      <c r="A68" s="7"/>
      <c r="B68" s="7"/>
      <c r="C68" s="10"/>
      <c r="D68" s="7"/>
      <c r="E68" s="6"/>
      <c r="F68" s="10"/>
      <c r="G68" s="7"/>
      <c r="H68" s="6"/>
      <c r="I68" s="10"/>
      <c r="J68" s="7"/>
      <c r="K68" s="6"/>
      <c r="L68" s="10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10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</row>
    <row r="69">
      <c r="A69" s="7"/>
      <c r="B69" s="7"/>
      <c r="C69" s="10"/>
      <c r="D69" s="7"/>
      <c r="E69" s="6"/>
      <c r="F69" s="10"/>
      <c r="G69" s="7"/>
      <c r="H69" s="6"/>
      <c r="I69" s="10"/>
      <c r="J69" s="7"/>
      <c r="K69" s="6"/>
      <c r="L69" s="10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10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</row>
    <row r="70">
      <c r="A70" s="7"/>
      <c r="B70" s="7"/>
      <c r="C70" s="10"/>
      <c r="D70" s="7"/>
      <c r="E70" s="6"/>
      <c r="F70" s="10"/>
      <c r="G70" s="7"/>
      <c r="H70" s="6"/>
      <c r="I70" s="10"/>
      <c r="J70" s="7"/>
      <c r="K70" s="6"/>
      <c r="L70" s="10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10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</row>
    <row r="71">
      <c r="A71" s="7"/>
      <c r="B71" s="7"/>
      <c r="C71" s="10"/>
      <c r="D71" s="7"/>
      <c r="E71" s="6"/>
      <c r="F71" s="10"/>
      <c r="G71" s="7"/>
      <c r="H71" s="6"/>
      <c r="I71" s="10"/>
      <c r="J71" s="7"/>
      <c r="K71" s="6"/>
      <c r="L71" s="10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10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</row>
    <row r="72">
      <c r="A72" s="7"/>
      <c r="B72" s="7"/>
      <c r="C72" s="10"/>
      <c r="D72" s="7"/>
      <c r="E72" s="6"/>
      <c r="F72" s="10"/>
      <c r="G72" s="7"/>
      <c r="H72" s="6"/>
      <c r="I72" s="10"/>
      <c r="J72" s="7"/>
      <c r="K72" s="6"/>
      <c r="L72" s="10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10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</row>
    <row r="73">
      <c r="A73" s="7"/>
      <c r="B73" s="7"/>
      <c r="C73" s="10"/>
      <c r="D73" s="7"/>
      <c r="E73" s="6"/>
      <c r="F73" s="10"/>
      <c r="G73" s="7"/>
      <c r="H73" s="6"/>
      <c r="I73" s="10"/>
      <c r="J73" s="7"/>
      <c r="K73" s="6"/>
      <c r="L73" s="10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10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</row>
    <row r="74">
      <c r="A74" s="7"/>
      <c r="B74" s="7"/>
      <c r="C74" s="10"/>
      <c r="D74" s="7"/>
      <c r="E74" s="6"/>
      <c r="F74" s="10"/>
      <c r="G74" s="7"/>
      <c r="H74" s="6"/>
      <c r="I74" s="10"/>
      <c r="J74" s="7"/>
      <c r="K74" s="6"/>
      <c r="L74" s="10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10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</row>
    <row r="75">
      <c r="A75" s="7"/>
      <c r="B75" s="7"/>
      <c r="C75" s="10"/>
      <c r="D75" s="7"/>
      <c r="E75" s="6"/>
      <c r="F75" s="10"/>
      <c r="G75" s="7"/>
      <c r="H75" s="6"/>
      <c r="I75" s="10"/>
      <c r="J75" s="7"/>
      <c r="K75" s="6"/>
      <c r="L75" s="10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10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</row>
    <row r="76">
      <c r="A76" s="7"/>
      <c r="B76" s="7"/>
      <c r="C76" s="10"/>
      <c r="D76" s="7"/>
      <c r="E76" s="6"/>
      <c r="F76" s="10"/>
      <c r="G76" s="7"/>
      <c r="H76" s="6"/>
      <c r="I76" s="10"/>
      <c r="J76" s="7"/>
      <c r="K76" s="6"/>
      <c r="L76" s="10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10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</row>
    <row r="77">
      <c r="A77" s="7"/>
      <c r="B77" s="7"/>
      <c r="C77" s="10"/>
      <c r="D77" s="7"/>
      <c r="E77" s="6"/>
      <c r="F77" s="10"/>
      <c r="G77" s="7"/>
      <c r="H77" s="6"/>
      <c r="I77" s="10"/>
      <c r="J77" s="7"/>
      <c r="K77" s="6"/>
      <c r="L77" s="10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10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</row>
    <row r="78">
      <c r="A78" s="7"/>
      <c r="B78" s="7"/>
      <c r="C78" s="10"/>
      <c r="D78" s="7"/>
      <c r="E78" s="6"/>
      <c r="F78" s="10"/>
      <c r="G78" s="7"/>
      <c r="H78" s="6"/>
      <c r="I78" s="10"/>
      <c r="J78" s="7"/>
      <c r="K78" s="6"/>
      <c r="L78" s="10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10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</row>
    <row r="79">
      <c r="A79" s="7"/>
      <c r="B79" s="7"/>
      <c r="C79" s="10"/>
      <c r="D79" s="7"/>
      <c r="E79" s="6"/>
      <c r="F79" s="10"/>
      <c r="G79" s="7"/>
      <c r="H79" s="6"/>
      <c r="I79" s="10"/>
      <c r="J79" s="7"/>
      <c r="K79" s="6"/>
      <c r="L79" s="10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10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</row>
    <row r="80">
      <c r="A80" s="7"/>
      <c r="B80" s="7"/>
      <c r="C80" s="10"/>
      <c r="D80" s="7"/>
      <c r="E80" s="6"/>
      <c r="F80" s="10"/>
      <c r="G80" s="7"/>
      <c r="H80" s="6"/>
      <c r="I80" s="10"/>
      <c r="J80" s="7"/>
      <c r="K80" s="6"/>
      <c r="L80" s="10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10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</row>
    <row r="81">
      <c r="A81" s="7"/>
      <c r="B81" s="7"/>
      <c r="C81" s="10"/>
      <c r="D81" s="7"/>
      <c r="E81" s="6"/>
      <c r="F81" s="10"/>
      <c r="G81" s="7"/>
      <c r="H81" s="6"/>
      <c r="I81" s="10"/>
      <c r="J81" s="7"/>
      <c r="K81" s="6"/>
      <c r="L81" s="10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10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</row>
    <row r="82">
      <c r="A82" s="7"/>
      <c r="B82" s="7"/>
      <c r="C82" s="10"/>
      <c r="D82" s="7"/>
      <c r="E82" s="6"/>
      <c r="F82" s="10"/>
      <c r="G82" s="7"/>
      <c r="H82" s="6"/>
      <c r="I82" s="10"/>
      <c r="J82" s="7"/>
      <c r="K82" s="6"/>
      <c r="L82" s="10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10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</row>
    <row r="83">
      <c r="A83" s="7"/>
      <c r="B83" s="7"/>
      <c r="C83" s="10"/>
      <c r="D83" s="7"/>
      <c r="E83" s="6"/>
      <c r="F83" s="10"/>
      <c r="G83" s="7"/>
      <c r="H83" s="6"/>
      <c r="I83" s="10"/>
      <c r="J83" s="7"/>
      <c r="K83" s="6"/>
      <c r="L83" s="10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10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</row>
    <row r="84">
      <c r="A84" s="7"/>
      <c r="B84" s="7"/>
      <c r="C84" s="10"/>
      <c r="D84" s="7"/>
      <c r="E84" s="6"/>
      <c r="F84" s="10"/>
      <c r="G84" s="7"/>
      <c r="H84" s="6"/>
      <c r="I84" s="10"/>
      <c r="J84" s="7"/>
      <c r="K84" s="6"/>
      <c r="L84" s="10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10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</row>
    <row r="85">
      <c r="A85" s="7"/>
      <c r="B85" s="7"/>
      <c r="C85" s="10"/>
      <c r="D85" s="7"/>
      <c r="E85" s="6"/>
      <c r="F85" s="10"/>
      <c r="G85" s="7"/>
      <c r="H85" s="6"/>
      <c r="I85" s="10"/>
      <c r="J85" s="7"/>
      <c r="K85" s="6"/>
      <c r="L85" s="10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10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</row>
    <row r="86">
      <c r="A86" s="7"/>
      <c r="B86" s="7"/>
      <c r="C86" s="10"/>
      <c r="D86" s="7"/>
      <c r="E86" s="6"/>
      <c r="F86" s="10"/>
      <c r="G86" s="7"/>
      <c r="H86" s="6"/>
      <c r="I86" s="10"/>
      <c r="J86" s="7"/>
      <c r="K86" s="6"/>
      <c r="L86" s="10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10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</row>
    <row r="87">
      <c r="A87" s="7"/>
      <c r="B87" s="7"/>
      <c r="C87" s="10"/>
      <c r="D87" s="7"/>
      <c r="E87" s="6"/>
      <c r="F87" s="10"/>
      <c r="G87" s="7"/>
      <c r="H87" s="6"/>
      <c r="I87" s="10"/>
      <c r="J87" s="7"/>
      <c r="K87" s="6"/>
      <c r="L87" s="10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10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</row>
    <row r="88">
      <c r="A88" s="7"/>
      <c r="B88" s="7"/>
      <c r="C88" s="10"/>
      <c r="D88" s="7"/>
      <c r="E88" s="6"/>
      <c r="F88" s="10"/>
      <c r="G88" s="7"/>
      <c r="H88" s="6"/>
      <c r="I88" s="10"/>
      <c r="J88" s="7"/>
      <c r="K88" s="6"/>
      <c r="L88" s="10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10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</row>
    <row r="89">
      <c r="A89" s="7"/>
      <c r="B89" s="7"/>
      <c r="C89" s="10"/>
      <c r="D89" s="7"/>
      <c r="E89" s="6"/>
      <c r="F89" s="10"/>
      <c r="G89" s="7"/>
      <c r="H89" s="6"/>
      <c r="I89" s="10"/>
      <c r="J89" s="7"/>
      <c r="K89" s="6"/>
      <c r="L89" s="10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10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</row>
    <row r="90">
      <c r="A90" s="7"/>
      <c r="B90" s="7"/>
      <c r="C90" s="10"/>
      <c r="D90" s="7"/>
      <c r="E90" s="6"/>
      <c r="F90" s="10"/>
      <c r="G90" s="7"/>
      <c r="H90" s="6"/>
      <c r="I90" s="10"/>
      <c r="J90" s="7"/>
      <c r="K90" s="6"/>
      <c r="L90" s="10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10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</row>
    <row r="91">
      <c r="A91" s="7"/>
      <c r="B91" s="7"/>
      <c r="C91" s="10"/>
      <c r="D91" s="7"/>
      <c r="E91" s="6"/>
      <c r="F91" s="10"/>
      <c r="G91" s="7"/>
      <c r="H91" s="6"/>
      <c r="I91" s="10"/>
      <c r="J91" s="7"/>
      <c r="K91" s="6"/>
      <c r="L91" s="10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10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</row>
    <row r="92">
      <c r="A92" s="7"/>
      <c r="B92" s="7"/>
      <c r="C92" s="10"/>
      <c r="D92" s="7"/>
      <c r="E92" s="6"/>
      <c r="F92" s="10"/>
      <c r="G92" s="7"/>
      <c r="H92" s="6"/>
      <c r="I92" s="10"/>
      <c r="J92" s="7"/>
      <c r="K92" s="6"/>
      <c r="L92" s="10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10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</row>
    <row r="93">
      <c r="A93" s="7"/>
      <c r="B93" s="7"/>
      <c r="C93" s="10"/>
      <c r="D93" s="7"/>
      <c r="E93" s="6"/>
      <c r="F93" s="10"/>
      <c r="G93" s="7"/>
      <c r="H93" s="6"/>
      <c r="I93" s="10"/>
      <c r="J93" s="7"/>
      <c r="K93" s="6"/>
      <c r="L93" s="10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10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</row>
    <row r="94">
      <c r="A94" s="7"/>
      <c r="B94" s="7"/>
      <c r="C94" s="10"/>
      <c r="D94" s="7"/>
      <c r="E94" s="6"/>
      <c r="F94" s="10"/>
      <c r="G94" s="7"/>
      <c r="H94" s="6"/>
      <c r="I94" s="10"/>
      <c r="J94" s="7"/>
      <c r="K94" s="6"/>
      <c r="L94" s="10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10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</row>
    <row r="95">
      <c r="A95" s="7"/>
      <c r="B95" s="7"/>
      <c r="C95" s="10"/>
      <c r="D95" s="7"/>
      <c r="E95" s="6"/>
      <c r="F95" s="10"/>
      <c r="G95" s="7"/>
      <c r="H95" s="6"/>
      <c r="I95" s="10"/>
      <c r="J95" s="7"/>
      <c r="K95" s="6"/>
      <c r="L95" s="10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10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</row>
    <row r="96">
      <c r="A96" s="7"/>
      <c r="B96" s="7"/>
      <c r="C96" s="10"/>
      <c r="D96" s="7"/>
      <c r="E96" s="6"/>
      <c r="F96" s="10"/>
      <c r="G96" s="7"/>
      <c r="H96" s="6"/>
      <c r="I96" s="10"/>
      <c r="J96" s="7"/>
      <c r="K96" s="6"/>
      <c r="L96" s="10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10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</row>
    <row r="97">
      <c r="A97" s="7"/>
      <c r="B97" s="7"/>
      <c r="C97" s="10"/>
      <c r="D97" s="7"/>
      <c r="E97" s="6"/>
      <c r="F97" s="10"/>
      <c r="G97" s="7"/>
      <c r="H97" s="6"/>
      <c r="I97" s="10"/>
      <c r="J97" s="7"/>
      <c r="K97" s="6"/>
      <c r="L97" s="10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10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</row>
    <row r="98">
      <c r="A98" s="7"/>
      <c r="B98" s="7"/>
      <c r="C98" s="10"/>
      <c r="D98" s="7"/>
      <c r="E98" s="6"/>
      <c r="F98" s="10"/>
      <c r="G98" s="7"/>
      <c r="H98" s="6"/>
      <c r="I98" s="10"/>
      <c r="J98" s="7"/>
      <c r="K98" s="6"/>
      <c r="L98" s="10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10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</row>
    <row r="99">
      <c r="A99" s="7"/>
      <c r="B99" s="7"/>
      <c r="C99" s="10"/>
      <c r="D99" s="7"/>
      <c r="E99" s="6"/>
      <c r="F99" s="10"/>
      <c r="G99" s="7"/>
      <c r="H99" s="6"/>
      <c r="I99" s="10"/>
      <c r="J99" s="7"/>
      <c r="K99" s="6"/>
      <c r="L99" s="10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10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</row>
    <row r="100">
      <c r="A100" s="7"/>
      <c r="B100" s="7"/>
      <c r="C100" s="10"/>
      <c r="D100" s="7"/>
      <c r="E100" s="6"/>
      <c r="F100" s="10"/>
      <c r="G100" s="7"/>
      <c r="H100" s="6"/>
      <c r="I100" s="10"/>
      <c r="J100" s="7"/>
      <c r="K100" s="6"/>
      <c r="L100" s="10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10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</row>
    <row r="101">
      <c r="A101" s="7"/>
      <c r="B101" s="7"/>
      <c r="C101" s="10"/>
      <c r="D101" s="7"/>
      <c r="E101" s="6"/>
      <c r="F101" s="10"/>
      <c r="G101" s="7"/>
      <c r="H101" s="6"/>
      <c r="I101" s="10"/>
      <c r="J101" s="7"/>
      <c r="K101" s="6"/>
      <c r="L101" s="10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10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</row>
    <row r="102">
      <c r="A102" s="7"/>
      <c r="B102" s="7"/>
      <c r="C102" s="10"/>
      <c r="D102" s="7"/>
      <c r="E102" s="6"/>
      <c r="F102" s="10"/>
      <c r="G102" s="7"/>
      <c r="H102" s="6"/>
      <c r="I102" s="10"/>
      <c r="J102" s="7"/>
      <c r="K102" s="6"/>
      <c r="L102" s="10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10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</row>
    <row r="103">
      <c r="A103" s="7"/>
      <c r="B103" s="7"/>
      <c r="C103" s="10"/>
      <c r="D103" s="7"/>
      <c r="E103" s="6"/>
      <c r="F103" s="10"/>
      <c r="G103" s="7"/>
      <c r="H103" s="6"/>
      <c r="I103" s="10"/>
      <c r="J103" s="7"/>
      <c r="K103" s="6"/>
      <c r="L103" s="10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10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</row>
    <row r="104">
      <c r="A104" s="7"/>
      <c r="B104" s="7"/>
      <c r="C104" s="10"/>
      <c r="D104" s="7"/>
      <c r="E104" s="6"/>
      <c r="F104" s="10"/>
      <c r="G104" s="7"/>
      <c r="H104" s="6"/>
      <c r="I104" s="10"/>
      <c r="J104" s="7"/>
      <c r="K104" s="6"/>
      <c r="L104" s="10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10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</row>
    <row r="105">
      <c r="A105" s="7"/>
      <c r="B105" s="7"/>
      <c r="C105" s="10"/>
      <c r="D105" s="7"/>
      <c r="E105" s="6"/>
      <c r="F105" s="10"/>
      <c r="G105" s="7"/>
      <c r="H105" s="6"/>
      <c r="I105" s="10"/>
      <c r="J105" s="7"/>
      <c r="K105" s="6"/>
      <c r="L105" s="10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10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</row>
    <row r="106">
      <c r="A106" s="7"/>
      <c r="B106" s="7"/>
      <c r="C106" s="10"/>
      <c r="D106" s="7"/>
      <c r="E106" s="6"/>
      <c r="F106" s="10"/>
      <c r="G106" s="7"/>
      <c r="H106" s="6"/>
      <c r="I106" s="10"/>
      <c r="J106" s="7"/>
      <c r="K106" s="6"/>
      <c r="L106" s="10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10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</row>
    <row r="107">
      <c r="A107" s="7"/>
      <c r="B107" s="7"/>
      <c r="C107" s="10"/>
      <c r="D107" s="7"/>
      <c r="E107" s="6"/>
      <c r="F107" s="10"/>
      <c r="G107" s="7"/>
      <c r="H107" s="6"/>
      <c r="I107" s="10"/>
      <c r="J107" s="7"/>
      <c r="K107" s="6"/>
      <c r="L107" s="10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10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</row>
    <row r="108">
      <c r="A108" s="7"/>
      <c r="B108" s="7"/>
      <c r="C108" s="10"/>
      <c r="D108" s="7"/>
      <c r="E108" s="6"/>
      <c r="F108" s="10"/>
      <c r="G108" s="7"/>
      <c r="H108" s="6"/>
      <c r="I108" s="10"/>
      <c r="J108" s="7"/>
      <c r="K108" s="6"/>
      <c r="L108" s="10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10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</row>
    <row r="109">
      <c r="A109" s="7"/>
      <c r="B109" s="7"/>
      <c r="C109" s="10"/>
      <c r="D109" s="7"/>
      <c r="E109" s="6"/>
      <c r="F109" s="10"/>
      <c r="G109" s="7"/>
      <c r="H109" s="6"/>
      <c r="I109" s="10"/>
      <c r="J109" s="7"/>
      <c r="K109" s="6"/>
      <c r="L109" s="10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10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</row>
    <row r="110">
      <c r="A110" s="7"/>
      <c r="B110" s="7"/>
      <c r="C110" s="10"/>
      <c r="D110" s="7"/>
      <c r="E110" s="6"/>
      <c r="F110" s="10"/>
      <c r="G110" s="7"/>
      <c r="H110" s="6"/>
      <c r="I110" s="10"/>
      <c r="J110" s="7"/>
      <c r="K110" s="6"/>
      <c r="L110" s="10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10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</row>
    <row r="111">
      <c r="A111" s="7"/>
      <c r="B111" s="7"/>
      <c r="C111" s="10"/>
      <c r="D111" s="7"/>
      <c r="E111" s="6"/>
      <c r="F111" s="10"/>
      <c r="G111" s="7"/>
      <c r="H111" s="6"/>
      <c r="I111" s="10"/>
      <c r="J111" s="7"/>
      <c r="K111" s="6"/>
      <c r="L111" s="10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10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</row>
    <row r="112">
      <c r="A112" s="7"/>
      <c r="B112" s="7"/>
      <c r="C112" s="10"/>
      <c r="D112" s="7"/>
      <c r="E112" s="6"/>
      <c r="F112" s="10"/>
      <c r="G112" s="7"/>
      <c r="H112" s="6"/>
      <c r="I112" s="10"/>
      <c r="J112" s="7"/>
      <c r="K112" s="6"/>
      <c r="L112" s="10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10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</row>
    <row r="113">
      <c r="A113" s="7"/>
      <c r="B113" s="7"/>
      <c r="C113" s="10"/>
      <c r="D113" s="7"/>
      <c r="E113" s="6"/>
      <c r="F113" s="10"/>
      <c r="G113" s="7"/>
      <c r="H113" s="6"/>
      <c r="I113" s="10"/>
      <c r="J113" s="7"/>
      <c r="K113" s="6"/>
      <c r="L113" s="10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10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</row>
    <row r="114">
      <c r="A114" s="7"/>
      <c r="B114" s="7"/>
      <c r="C114" s="10"/>
      <c r="D114" s="7"/>
      <c r="E114" s="6"/>
      <c r="F114" s="10"/>
      <c r="G114" s="7"/>
      <c r="H114" s="6"/>
      <c r="I114" s="10"/>
      <c r="J114" s="7"/>
      <c r="K114" s="6"/>
      <c r="L114" s="10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10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</row>
    <row r="115">
      <c r="A115" s="7"/>
      <c r="B115" s="7"/>
      <c r="C115" s="10"/>
      <c r="D115" s="7"/>
      <c r="E115" s="6"/>
      <c r="F115" s="10"/>
      <c r="G115" s="7"/>
      <c r="H115" s="6"/>
      <c r="I115" s="10"/>
      <c r="J115" s="7"/>
      <c r="K115" s="6"/>
      <c r="L115" s="10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10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</row>
    <row r="116">
      <c r="A116" s="7"/>
      <c r="B116" s="7"/>
      <c r="C116" s="10"/>
      <c r="D116" s="7"/>
      <c r="E116" s="6"/>
      <c r="F116" s="10"/>
      <c r="G116" s="7"/>
      <c r="H116" s="6"/>
      <c r="I116" s="10"/>
      <c r="J116" s="7"/>
      <c r="K116" s="6"/>
      <c r="L116" s="10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10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</row>
    <row r="117">
      <c r="A117" s="7"/>
      <c r="B117" s="7"/>
      <c r="C117" s="10"/>
      <c r="D117" s="7"/>
      <c r="E117" s="6"/>
      <c r="F117" s="10"/>
      <c r="G117" s="7"/>
      <c r="H117" s="6"/>
      <c r="I117" s="10"/>
      <c r="J117" s="7"/>
      <c r="K117" s="6"/>
      <c r="L117" s="10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10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</row>
    <row r="118">
      <c r="A118" s="7"/>
      <c r="B118" s="7"/>
      <c r="C118" s="10"/>
      <c r="D118" s="7"/>
      <c r="E118" s="6"/>
      <c r="F118" s="10"/>
      <c r="G118" s="7"/>
      <c r="H118" s="6"/>
      <c r="I118" s="10"/>
      <c r="J118" s="7"/>
      <c r="K118" s="6"/>
      <c r="L118" s="10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10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</row>
    <row r="119">
      <c r="A119" s="7"/>
      <c r="B119" s="7"/>
      <c r="C119" s="10"/>
      <c r="D119" s="7"/>
      <c r="E119" s="6"/>
      <c r="F119" s="10"/>
      <c r="G119" s="7"/>
      <c r="H119" s="6"/>
      <c r="I119" s="10"/>
      <c r="J119" s="7"/>
      <c r="K119" s="6"/>
      <c r="L119" s="10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10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</row>
    <row r="120">
      <c r="A120" s="7"/>
      <c r="B120" s="7"/>
      <c r="C120" s="10"/>
      <c r="D120" s="7"/>
      <c r="E120" s="6"/>
      <c r="F120" s="10"/>
      <c r="G120" s="7"/>
      <c r="H120" s="6"/>
      <c r="I120" s="10"/>
      <c r="J120" s="7"/>
      <c r="K120" s="6"/>
      <c r="L120" s="10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10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</row>
    <row r="121">
      <c r="A121" s="7"/>
      <c r="B121" s="7"/>
      <c r="C121" s="10"/>
      <c r="D121" s="7"/>
      <c r="E121" s="6"/>
      <c r="F121" s="10"/>
      <c r="G121" s="7"/>
      <c r="H121" s="6"/>
      <c r="I121" s="10"/>
      <c r="J121" s="7"/>
      <c r="K121" s="6"/>
      <c r="L121" s="10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10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</row>
    <row r="122">
      <c r="A122" s="7"/>
      <c r="B122" s="7"/>
      <c r="C122" s="10"/>
      <c r="D122" s="7"/>
      <c r="E122" s="6"/>
      <c r="F122" s="10"/>
      <c r="G122" s="7"/>
      <c r="H122" s="6"/>
      <c r="I122" s="10"/>
      <c r="J122" s="7"/>
      <c r="K122" s="6"/>
      <c r="L122" s="10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10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</row>
    <row r="123">
      <c r="A123" s="7"/>
      <c r="B123" s="7"/>
      <c r="C123" s="10"/>
      <c r="D123" s="7"/>
      <c r="E123" s="6"/>
      <c r="F123" s="10"/>
      <c r="G123" s="7"/>
      <c r="H123" s="6"/>
      <c r="I123" s="10"/>
      <c r="J123" s="7"/>
      <c r="K123" s="6"/>
      <c r="L123" s="10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10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</row>
    <row r="124">
      <c r="A124" s="7"/>
      <c r="B124" s="7"/>
      <c r="C124" s="10"/>
      <c r="D124" s="7"/>
      <c r="E124" s="6"/>
      <c r="F124" s="10"/>
      <c r="G124" s="7"/>
      <c r="H124" s="6"/>
      <c r="I124" s="10"/>
      <c r="J124" s="7"/>
      <c r="K124" s="6"/>
      <c r="L124" s="10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10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</row>
    <row r="125">
      <c r="A125" s="7"/>
      <c r="B125" s="7"/>
      <c r="C125" s="10"/>
      <c r="D125" s="7"/>
      <c r="E125" s="6"/>
      <c r="F125" s="10"/>
      <c r="G125" s="7"/>
      <c r="H125" s="6"/>
      <c r="I125" s="10"/>
      <c r="J125" s="7"/>
      <c r="K125" s="6"/>
      <c r="L125" s="10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10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</row>
    <row r="126">
      <c r="A126" s="7"/>
      <c r="B126" s="7"/>
      <c r="C126" s="10"/>
      <c r="D126" s="7"/>
      <c r="E126" s="6"/>
      <c r="F126" s="10"/>
      <c r="G126" s="7"/>
      <c r="H126" s="6"/>
      <c r="I126" s="10"/>
      <c r="J126" s="7"/>
      <c r="K126" s="6"/>
      <c r="L126" s="10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10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</row>
    <row r="127">
      <c r="A127" s="7"/>
      <c r="B127" s="7"/>
      <c r="C127" s="10"/>
      <c r="D127" s="7"/>
      <c r="E127" s="6"/>
      <c r="F127" s="10"/>
      <c r="G127" s="7"/>
      <c r="H127" s="6"/>
      <c r="I127" s="10"/>
      <c r="J127" s="7"/>
      <c r="K127" s="6"/>
      <c r="L127" s="10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10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</row>
    <row r="128">
      <c r="A128" s="7"/>
      <c r="B128" s="7"/>
      <c r="C128" s="10"/>
      <c r="D128" s="7"/>
      <c r="E128" s="6"/>
      <c r="F128" s="10"/>
      <c r="G128" s="7"/>
      <c r="H128" s="6"/>
      <c r="I128" s="10"/>
      <c r="J128" s="7"/>
      <c r="K128" s="6"/>
      <c r="L128" s="10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10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</row>
    <row r="129">
      <c r="A129" s="7"/>
      <c r="B129" s="7"/>
      <c r="C129" s="10"/>
      <c r="D129" s="7"/>
      <c r="E129" s="6"/>
      <c r="F129" s="10"/>
      <c r="G129" s="7"/>
      <c r="H129" s="6"/>
      <c r="I129" s="10"/>
      <c r="J129" s="7"/>
      <c r="K129" s="6"/>
      <c r="L129" s="10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10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</row>
    <row r="130">
      <c r="A130" s="7"/>
      <c r="B130" s="7"/>
      <c r="C130" s="10"/>
      <c r="D130" s="7"/>
      <c r="E130" s="6"/>
      <c r="F130" s="10"/>
      <c r="G130" s="7"/>
      <c r="H130" s="6"/>
      <c r="I130" s="10"/>
      <c r="J130" s="7"/>
      <c r="K130" s="6"/>
      <c r="L130" s="10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10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</row>
    <row r="131">
      <c r="A131" s="7"/>
      <c r="B131" s="7"/>
      <c r="C131" s="10"/>
      <c r="D131" s="7"/>
      <c r="E131" s="6"/>
      <c r="F131" s="10"/>
      <c r="G131" s="7"/>
      <c r="H131" s="6"/>
      <c r="I131" s="10"/>
      <c r="J131" s="7"/>
      <c r="K131" s="6"/>
      <c r="L131" s="10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10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</row>
    <row r="132">
      <c r="A132" s="7"/>
      <c r="B132" s="7"/>
      <c r="C132" s="10"/>
      <c r="D132" s="7"/>
      <c r="E132" s="6"/>
      <c r="F132" s="10"/>
      <c r="G132" s="7"/>
      <c r="H132" s="6"/>
      <c r="I132" s="10"/>
      <c r="J132" s="7"/>
      <c r="K132" s="6"/>
      <c r="L132" s="10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10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</row>
    <row r="133">
      <c r="A133" s="7"/>
      <c r="B133" s="7"/>
      <c r="C133" s="10"/>
      <c r="D133" s="7"/>
      <c r="E133" s="6"/>
      <c r="F133" s="10"/>
      <c r="G133" s="7"/>
      <c r="H133" s="6"/>
      <c r="I133" s="10"/>
      <c r="J133" s="7"/>
      <c r="K133" s="6"/>
      <c r="L133" s="10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10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</row>
    <row r="134">
      <c r="A134" s="7"/>
      <c r="B134" s="7"/>
      <c r="C134" s="10"/>
      <c r="D134" s="7"/>
      <c r="E134" s="6"/>
      <c r="F134" s="10"/>
      <c r="G134" s="7"/>
      <c r="H134" s="6"/>
      <c r="I134" s="10"/>
      <c r="J134" s="7"/>
      <c r="K134" s="6"/>
      <c r="L134" s="10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10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</row>
    <row r="135">
      <c r="A135" s="7"/>
      <c r="B135" s="7"/>
      <c r="C135" s="10"/>
      <c r="D135" s="7"/>
      <c r="E135" s="6"/>
      <c r="F135" s="10"/>
      <c r="G135" s="7"/>
      <c r="H135" s="6"/>
      <c r="I135" s="10"/>
      <c r="J135" s="7"/>
      <c r="K135" s="6"/>
      <c r="L135" s="10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10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</row>
    <row r="136">
      <c r="A136" s="7"/>
      <c r="B136" s="7"/>
      <c r="C136" s="10"/>
      <c r="D136" s="7"/>
      <c r="E136" s="6"/>
      <c r="F136" s="10"/>
      <c r="G136" s="7"/>
      <c r="H136" s="6"/>
      <c r="I136" s="10"/>
      <c r="J136" s="7"/>
      <c r="K136" s="6"/>
      <c r="L136" s="10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10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</row>
    <row r="137">
      <c r="A137" s="7"/>
      <c r="B137" s="7"/>
      <c r="C137" s="10"/>
      <c r="D137" s="7"/>
      <c r="E137" s="6"/>
      <c r="F137" s="10"/>
      <c r="G137" s="7"/>
      <c r="H137" s="6"/>
      <c r="I137" s="10"/>
      <c r="J137" s="7"/>
      <c r="K137" s="6"/>
      <c r="L137" s="10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10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</row>
    <row r="138">
      <c r="A138" s="7"/>
      <c r="B138" s="7"/>
      <c r="C138" s="10"/>
      <c r="D138" s="7"/>
      <c r="E138" s="6"/>
      <c r="F138" s="10"/>
      <c r="G138" s="7"/>
      <c r="H138" s="6"/>
      <c r="I138" s="10"/>
      <c r="J138" s="7"/>
      <c r="K138" s="6"/>
      <c r="L138" s="10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10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</row>
    <row r="139">
      <c r="A139" s="7"/>
      <c r="B139" s="7"/>
      <c r="C139" s="10"/>
      <c r="D139" s="7"/>
      <c r="E139" s="6"/>
      <c r="F139" s="10"/>
      <c r="G139" s="7"/>
      <c r="H139" s="6"/>
      <c r="I139" s="10"/>
      <c r="J139" s="7"/>
      <c r="K139" s="6"/>
      <c r="L139" s="10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10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</row>
    <row r="140">
      <c r="A140" s="7"/>
      <c r="B140" s="7"/>
      <c r="C140" s="10"/>
      <c r="D140" s="7"/>
      <c r="E140" s="6"/>
      <c r="F140" s="10"/>
      <c r="G140" s="7"/>
      <c r="H140" s="6"/>
      <c r="I140" s="10"/>
      <c r="J140" s="7"/>
      <c r="K140" s="6"/>
      <c r="L140" s="10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10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</row>
    <row r="141">
      <c r="A141" s="7"/>
      <c r="B141" s="7"/>
      <c r="C141" s="10"/>
      <c r="D141" s="7"/>
      <c r="E141" s="6"/>
      <c r="F141" s="10"/>
      <c r="G141" s="7"/>
      <c r="H141" s="6"/>
      <c r="I141" s="10"/>
      <c r="J141" s="7"/>
      <c r="K141" s="6"/>
      <c r="L141" s="10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10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</row>
    <row r="142">
      <c r="A142" s="7"/>
      <c r="B142" s="7"/>
      <c r="C142" s="10"/>
      <c r="D142" s="7"/>
      <c r="E142" s="6"/>
      <c r="F142" s="10"/>
      <c r="G142" s="7"/>
      <c r="H142" s="6"/>
      <c r="I142" s="10"/>
      <c r="J142" s="7"/>
      <c r="K142" s="6"/>
      <c r="L142" s="10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10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</row>
    <row r="143">
      <c r="A143" s="7"/>
      <c r="B143" s="7"/>
      <c r="C143" s="10"/>
      <c r="D143" s="7"/>
      <c r="E143" s="6"/>
      <c r="F143" s="10"/>
      <c r="G143" s="7"/>
      <c r="H143" s="6"/>
      <c r="I143" s="10"/>
      <c r="J143" s="7"/>
      <c r="K143" s="6"/>
      <c r="L143" s="10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10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</row>
    <row r="144">
      <c r="A144" s="7"/>
      <c r="B144" s="7"/>
      <c r="C144" s="10"/>
      <c r="D144" s="7"/>
      <c r="E144" s="6"/>
      <c r="F144" s="10"/>
      <c r="G144" s="7"/>
      <c r="H144" s="6"/>
      <c r="I144" s="10"/>
      <c r="J144" s="7"/>
      <c r="K144" s="6"/>
      <c r="L144" s="10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10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</row>
    <row r="145">
      <c r="A145" s="7"/>
      <c r="B145" s="7"/>
      <c r="C145" s="10"/>
      <c r="D145" s="7"/>
      <c r="E145" s="6"/>
      <c r="F145" s="10"/>
      <c r="G145" s="7"/>
      <c r="H145" s="6"/>
      <c r="I145" s="10"/>
      <c r="J145" s="7"/>
      <c r="K145" s="6"/>
      <c r="L145" s="10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10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</row>
    <row r="146">
      <c r="A146" s="7"/>
      <c r="B146" s="7"/>
      <c r="C146" s="10"/>
      <c r="D146" s="7"/>
      <c r="E146" s="6"/>
      <c r="F146" s="10"/>
      <c r="G146" s="7"/>
      <c r="H146" s="6"/>
      <c r="I146" s="10"/>
      <c r="J146" s="7"/>
      <c r="K146" s="6"/>
      <c r="L146" s="10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10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</row>
    <row r="147">
      <c r="A147" s="7"/>
      <c r="B147" s="7"/>
      <c r="C147" s="10"/>
      <c r="D147" s="7"/>
      <c r="E147" s="6"/>
      <c r="F147" s="10"/>
      <c r="G147" s="7"/>
      <c r="H147" s="6"/>
      <c r="I147" s="10"/>
      <c r="J147" s="7"/>
      <c r="K147" s="6"/>
      <c r="L147" s="10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10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</row>
    <row r="148">
      <c r="A148" s="7"/>
      <c r="B148" s="7"/>
      <c r="C148" s="10"/>
      <c r="D148" s="7"/>
      <c r="E148" s="6"/>
      <c r="F148" s="10"/>
      <c r="G148" s="7"/>
      <c r="H148" s="6"/>
      <c r="I148" s="10"/>
      <c r="J148" s="7"/>
      <c r="K148" s="6"/>
      <c r="L148" s="10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10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</row>
    <row r="149">
      <c r="A149" s="7"/>
      <c r="B149" s="7"/>
      <c r="C149" s="10"/>
      <c r="D149" s="7"/>
      <c r="E149" s="6"/>
      <c r="F149" s="10"/>
      <c r="G149" s="7"/>
      <c r="H149" s="6"/>
      <c r="I149" s="10"/>
      <c r="J149" s="7"/>
      <c r="K149" s="6"/>
      <c r="L149" s="10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10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</row>
    <row r="150">
      <c r="A150" s="7"/>
      <c r="B150" s="7"/>
      <c r="C150" s="10"/>
      <c r="D150" s="7"/>
      <c r="E150" s="6"/>
      <c r="F150" s="10"/>
      <c r="G150" s="7"/>
      <c r="H150" s="6"/>
      <c r="I150" s="10"/>
      <c r="J150" s="7"/>
      <c r="K150" s="6"/>
      <c r="L150" s="10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10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</row>
    <row r="151">
      <c r="A151" s="7"/>
      <c r="B151" s="7"/>
      <c r="C151" s="10"/>
      <c r="D151" s="7"/>
      <c r="E151" s="6"/>
      <c r="F151" s="10"/>
      <c r="G151" s="7"/>
      <c r="H151" s="6"/>
      <c r="I151" s="10"/>
      <c r="J151" s="7"/>
      <c r="K151" s="6"/>
      <c r="L151" s="10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10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</row>
    <row r="152">
      <c r="A152" s="7"/>
      <c r="B152" s="7"/>
      <c r="C152" s="10"/>
      <c r="D152" s="7"/>
      <c r="E152" s="6"/>
      <c r="F152" s="10"/>
      <c r="G152" s="7"/>
      <c r="H152" s="6"/>
      <c r="I152" s="10"/>
      <c r="J152" s="7"/>
      <c r="K152" s="6"/>
      <c r="L152" s="10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10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</row>
    <row r="153">
      <c r="A153" s="7"/>
      <c r="B153" s="7"/>
      <c r="C153" s="10"/>
      <c r="D153" s="7"/>
      <c r="E153" s="6"/>
      <c r="F153" s="10"/>
      <c r="G153" s="7"/>
      <c r="H153" s="6"/>
      <c r="I153" s="10"/>
      <c r="J153" s="7"/>
      <c r="K153" s="6"/>
      <c r="L153" s="10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10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</row>
    <row r="154">
      <c r="A154" s="7"/>
      <c r="B154" s="7"/>
      <c r="C154" s="10"/>
      <c r="D154" s="7"/>
      <c r="E154" s="6"/>
      <c r="F154" s="10"/>
      <c r="G154" s="7"/>
      <c r="H154" s="6"/>
      <c r="I154" s="10"/>
      <c r="J154" s="7"/>
      <c r="K154" s="6"/>
      <c r="L154" s="10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10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</row>
    <row r="155">
      <c r="A155" s="7"/>
      <c r="B155" s="7"/>
      <c r="C155" s="10"/>
      <c r="D155" s="7"/>
      <c r="E155" s="6"/>
      <c r="F155" s="10"/>
      <c r="G155" s="7"/>
      <c r="H155" s="6"/>
      <c r="I155" s="10"/>
      <c r="J155" s="7"/>
      <c r="K155" s="6"/>
      <c r="L155" s="10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10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</row>
    <row r="156">
      <c r="A156" s="7"/>
      <c r="B156" s="7"/>
      <c r="C156" s="10"/>
      <c r="D156" s="7"/>
      <c r="E156" s="6"/>
      <c r="F156" s="10"/>
      <c r="G156" s="7"/>
      <c r="H156" s="6"/>
      <c r="I156" s="10"/>
      <c r="J156" s="7"/>
      <c r="K156" s="6"/>
      <c r="L156" s="10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10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</row>
    <row r="157">
      <c r="A157" s="7"/>
      <c r="B157" s="7"/>
      <c r="C157" s="10"/>
      <c r="D157" s="7"/>
      <c r="E157" s="6"/>
      <c r="F157" s="10"/>
      <c r="G157" s="7"/>
      <c r="H157" s="6"/>
      <c r="I157" s="10"/>
      <c r="J157" s="7"/>
      <c r="K157" s="6"/>
      <c r="L157" s="10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10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</row>
    <row r="158">
      <c r="A158" s="7"/>
      <c r="B158" s="7"/>
      <c r="C158" s="10"/>
      <c r="D158" s="7"/>
      <c r="E158" s="6"/>
      <c r="F158" s="10"/>
      <c r="G158" s="7"/>
      <c r="H158" s="6"/>
      <c r="I158" s="10"/>
      <c r="J158" s="7"/>
      <c r="K158" s="6"/>
      <c r="L158" s="10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10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</row>
    <row r="159">
      <c r="A159" s="7"/>
      <c r="B159" s="7"/>
      <c r="C159" s="10"/>
      <c r="D159" s="7"/>
      <c r="E159" s="6"/>
      <c r="F159" s="10"/>
      <c r="G159" s="7"/>
      <c r="H159" s="6"/>
      <c r="I159" s="10"/>
      <c r="J159" s="7"/>
      <c r="K159" s="6"/>
      <c r="L159" s="10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10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</row>
    <row r="160">
      <c r="A160" s="7"/>
      <c r="B160" s="7"/>
      <c r="C160" s="10"/>
      <c r="D160" s="7"/>
      <c r="E160" s="6"/>
      <c r="F160" s="10"/>
      <c r="G160" s="7"/>
      <c r="H160" s="6"/>
      <c r="I160" s="10"/>
      <c r="J160" s="7"/>
      <c r="K160" s="6"/>
      <c r="L160" s="10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10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</row>
    <row r="161">
      <c r="A161" s="7"/>
      <c r="B161" s="7"/>
      <c r="C161" s="10"/>
      <c r="D161" s="7"/>
      <c r="E161" s="6"/>
      <c r="F161" s="10"/>
      <c r="G161" s="7"/>
      <c r="H161" s="6"/>
      <c r="I161" s="10"/>
      <c r="J161" s="7"/>
      <c r="K161" s="6"/>
      <c r="L161" s="10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10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</row>
    <row r="162">
      <c r="A162" s="7"/>
      <c r="B162" s="7"/>
      <c r="C162" s="10"/>
      <c r="D162" s="7"/>
      <c r="E162" s="6"/>
      <c r="F162" s="10"/>
      <c r="G162" s="7"/>
      <c r="H162" s="6"/>
      <c r="I162" s="10"/>
      <c r="J162" s="7"/>
      <c r="K162" s="6"/>
      <c r="L162" s="10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10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</row>
    <row r="163">
      <c r="A163" s="7"/>
      <c r="B163" s="7"/>
      <c r="C163" s="10"/>
      <c r="D163" s="7"/>
      <c r="E163" s="6"/>
      <c r="F163" s="10"/>
      <c r="G163" s="7"/>
      <c r="H163" s="6"/>
      <c r="I163" s="10"/>
      <c r="J163" s="7"/>
      <c r="K163" s="6"/>
      <c r="L163" s="10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10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</row>
    <row r="164">
      <c r="A164" s="7"/>
      <c r="B164" s="7"/>
      <c r="C164" s="10"/>
      <c r="D164" s="7"/>
      <c r="E164" s="6"/>
      <c r="F164" s="10"/>
      <c r="G164" s="7"/>
      <c r="H164" s="6"/>
      <c r="I164" s="10"/>
      <c r="J164" s="7"/>
      <c r="K164" s="6"/>
      <c r="L164" s="10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10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</row>
    <row r="165">
      <c r="A165" s="7"/>
      <c r="B165" s="7"/>
      <c r="C165" s="10"/>
      <c r="D165" s="7"/>
      <c r="E165" s="6"/>
      <c r="F165" s="10"/>
      <c r="G165" s="7"/>
      <c r="H165" s="6"/>
      <c r="I165" s="10"/>
      <c r="J165" s="7"/>
      <c r="K165" s="6"/>
      <c r="L165" s="10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10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</row>
    <row r="166">
      <c r="A166" s="7"/>
      <c r="B166" s="7"/>
      <c r="C166" s="10"/>
      <c r="D166" s="7"/>
      <c r="E166" s="6"/>
      <c r="F166" s="10"/>
      <c r="G166" s="7"/>
      <c r="H166" s="6"/>
      <c r="I166" s="10"/>
      <c r="J166" s="7"/>
      <c r="K166" s="6"/>
      <c r="L166" s="10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10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</row>
    <row r="167">
      <c r="A167" s="7"/>
      <c r="B167" s="7"/>
      <c r="C167" s="10"/>
      <c r="D167" s="7"/>
      <c r="E167" s="6"/>
      <c r="F167" s="10"/>
      <c r="G167" s="7"/>
      <c r="H167" s="6"/>
      <c r="I167" s="10"/>
      <c r="J167" s="7"/>
      <c r="K167" s="6"/>
      <c r="L167" s="10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10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</row>
    <row r="168">
      <c r="A168" s="7"/>
      <c r="B168" s="7"/>
      <c r="C168" s="10"/>
      <c r="D168" s="7"/>
      <c r="E168" s="6"/>
      <c r="F168" s="10"/>
      <c r="G168" s="7"/>
      <c r="H168" s="6"/>
      <c r="I168" s="10"/>
      <c r="J168" s="7"/>
      <c r="K168" s="6"/>
      <c r="L168" s="10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10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</row>
    <row r="169">
      <c r="A169" s="7"/>
      <c r="B169" s="7"/>
      <c r="C169" s="10"/>
      <c r="D169" s="7"/>
      <c r="E169" s="6"/>
      <c r="F169" s="10"/>
      <c r="G169" s="7"/>
      <c r="H169" s="6"/>
      <c r="I169" s="10"/>
      <c r="J169" s="7"/>
      <c r="K169" s="6"/>
      <c r="L169" s="10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10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</row>
    <row r="170">
      <c r="A170" s="7"/>
      <c r="B170" s="7"/>
      <c r="C170" s="10"/>
      <c r="D170" s="7"/>
      <c r="E170" s="6"/>
      <c r="F170" s="10"/>
      <c r="G170" s="7"/>
      <c r="H170" s="6"/>
      <c r="I170" s="10"/>
      <c r="J170" s="7"/>
      <c r="K170" s="6"/>
      <c r="L170" s="10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10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</row>
    <row r="171">
      <c r="A171" s="7"/>
      <c r="B171" s="7"/>
      <c r="C171" s="10"/>
      <c r="D171" s="7"/>
      <c r="E171" s="6"/>
      <c r="F171" s="10"/>
      <c r="G171" s="7"/>
      <c r="H171" s="6"/>
      <c r="I171" s="10"/>
      <c r="J171" s="7"/>
      <c r="K171" s="6"/>
      <c r="L171" s="10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10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</row>
    <row r="172">
      <c r="A172" s="7"/>
      <c r="B172" s="7"/>
      <c r="C172" s="10"/>
      <c r="D172" s="7"/>
      <c r="E172" s="6"/>
      <c r="F172" s="10"/>
      <c r="G172" s="7"/>
      <c r="H172" s="6"/>
      <c r="I172" s="10"/>
      <c r="J172" s="7"/>
      <c r="K172" s="6"/>
      <c r="L172" s="10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10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</row>
    <row r="173">
      <c r="A173" s="7"/>
      <c r="B173" s="7"/>
      <c r="C173" s="10"/>
      <c r="D173" s="7"/>
      <c r="E173" s="6"/>
      <c r="F173" s="10"/>
      <c r="G173" s="7"/>
      <c r="H173" s="6"/>
      <c r="I173" s="10"/>
      <c r="J173" s="7"/>
      <c r="K173" s="6"/>
      <c r="L173" s="10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10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</row>
    <row r="174">
      <c r="A174" s="7"/>
      <c r="B174" s="7"/>
      <c r="C174" s="10"/>
      <c r="D174" s="7"/>
      <c r="E174" s="6"/>
      <c r="F174" s="10"/>
      <c r="G174" s="7"/>
      <c r="H174" s="6"/>
      <c r="I174" s="10"/>
      <c r="J174" s="7"/>
      <c r="K174" s="6"/>
      <c r="L174" s="10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10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</row>
    <row r="175">
      <c r="A175" s="7"/>
      <c r="B175" s="7"/>
      <c r="C175" s="10"/>
      <c r="D175" s="7"/>
      <c r="E175" s="6"/>
      <c r="F175" s="10"/>
      <c r="G175" s="7"/>
      <c r="H175" s="6"/>
      <c r="I175" s="10"/>
      <c r="J175" s="7"/>
      <c r="K175" s="6"/>
      <c r="L175" s="10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10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</row>
    <row r="176">
      <c r="A176" s="7"/>
      <c r="B176" s="7"/>
      <c r="C176" s="10"/>
      <c r="D176" s="7"/>
      <c r="E176" s="6"/>
      <c r="F176" s="10"/>
      <c r="G176" s="7"/>
      <c r="H176" s="6"/>
      <c r="I176" s="10"/>
      <c r="J176" s="7"/>
      <c r="K176" s="6"/>
      <c r="L176" s="10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10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</row>
    <row r="177">
      <c r="A177" s="7"/>
      <c r="B177" s="7"/>
      <c r="C177" s="10"/>
      <c r="D177" s="7"/>
      <c r="E177" s="6"/>
      <c r="F177" s="10"/>
      <c r="G177" s="7"/>
      <c r="H177" s="6"/>
      <c r="I177" s="10"/>
      <c r="J177" s="7"/>
      <c r="K177" s="6"/>
      <c r="L177" s="10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10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</row>
    <row r="178">
      <c r="A178" s="7"/>
      <c r="B178" s="7"/>
      <c r="C178" s="10"/>
      <c r="D178" s="7"/>
      <c r="E178" s="6"/>
      <c r="F178" s="10"/>
      <c r="G178" s="7"/>
      <c r="H178" s="6"/>
      <c r="I178" s="10"/>
      <c r="J178" s="7"/>
      <c r="K178" s="6"/>
      <c r="L178" s="10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10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</row>
    <row r="179">
      <c r="A179" s="7"/>
      <c r="B179" s="7"/>
      <c r="C179" s="10"/>
      <c r="D179" s="7"/>
      <c r="E179" s="6"/>
      <c r="F179" s="10"/>
      <c r="G179" s="7"/>
      <c r="H179" s="6"/>
      <c r="I179" s="10"/>
      <c r="J179" s="7"/>
      <c r="K179" s="6"/>
      <c r="L179" s="10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10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</row>
    <row r="180">
      <c r="A180" s="7"/>
      <c r="B180" s="7"/>
      <c r="C180" s="10"/>
      <c r="D180" s="7"/>
      <c r="E180" s="6"/>
      <c r="F180" s="10"/>
      <c r="G180" s="7"/>
      <c r="H180" s="6"/>
      <c r="I180" s="10"/>
      <c r="J180" s="7"/>
      <c r="K180" s="6"/>
      <c r="L180" s="10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10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</row>
    <row r="181">
      <c r="A181" s="7"/>
      <c r="B181" s="7"/>
      <c r="C181" s="10"/>
      <c r="D181" s="7"/>
      <c r="E181" s="6"/>
      <c r="F181" s="10"/>
      <c r="G181" s="7"/>
      <c r="H181" s="6"/>
      <c r="I181" s="10"/>
      <c r="J181" s="7"/>
      <c r="K181" s="6"/>
      <c r="L181" s="10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10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</row>
    <row r="182">
      <c r="A182" s="7"/>
      <c r="B182" s="7"/>
      <c r="C182" s="10"/>
      <c r="D182" s="7"/>
      <c r="E182" s="6"/>
      <c r="F182" s="10"/>
      <c r="G182" s="7"/>
      <c r="H182" s="6"/>
      <c r="I182" s="10"/>
      <c r="J182" s="7"/>
      <c r="K182" s="6"/>
      <c r="L182" s="10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10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</row>
    <row r="183">
      <c r="A183" s="7"/>
      <c r="B183" s="7"/>
      <c r="C183" s="10"/>
      <c r="D183" s="7"/>
      <c r="E183" s="6"/>
      <c r="F183" s="10"/>
      <c r="G183" s="7"/>
      <c r="H183" s="6"/>
      <c r="I183" s="10"/>
      <c r="J183" s="7"/>
      <c r="K183" s="6"/>
      <c r="L183" s="10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10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</row>
    <row r="184">
      <c r="A184" s="7"/>
      <c r="B184" s="7"/>
      <c r="C184" s="10"/>
      <c r="D184" s="7"/>
      <c r="E184" s="6"/>
      <c r="F184" s="10"/>
      <c r="G184" s="7"/>
      <c r="H184" s="6"/>
      <c r="I184" s="10"/>
      <c r="J184" s="7"/>
      <c r="K184" s="6"/>
      <c r="L184" s="10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10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</row>
    <row r="185">
      <c r="A185" s="7"/>
      <c r="B185" s="7"/>
      <c r="C185" s="10"/>
      <c r="D185" s="7"/>
      <c r="E185" s="6"/>
      <c r="F185" s="10"/>
      <c r="G185" s="7"/>
      <c r="H185" s="6"/>
      <c r="I185" s="10"/>
      <c r="J185" s="7"/>
      <c r="K185" s="6"/>
      <c r="L185" s="10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10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</row>
    <row r="186">
      <c r="A186" s="7"/>
      <c r="B186" s="7"/>
      <c r="C186" s="10"/>
      <c r="D186" s="7"/>
      <c r="E186" s="6"/>
      <c r="F186" s="10"/>
      <c r="G186" s="7"/>
      <c r="H186" s="6"/>
      <c r="I186" s="10"/>
      <c r="J186" s="7"/>
      <c r="K186" s="6"/>
      <c r="L186" s="10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10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</row>
    <row r="187">
      <c r="A187" s="7"/>
      <c r="B187" s="7"/>
      <c r="C187" s="10"/>
      <c r="D187" s="7"/>
      <c r="E187" s="6"/>
      <c r="F187" s="10"/>
      <c r="G187" s="7"/>
      <c r="H187" s="6"/>
      <c r="I187" s="10"/>
      <c r="J187" s="7"/>
      <c r="K187" s="6"/>
      <c r="L187" s="10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10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</row>
    <row r="188">
      <c r="A188" s="7"/>
      <c r="B188" s="7"/>
      <c r="C188" s="10"/>
      <c r="D188" s="7"/>
      <c r="E188" s="6"/>
      <c r="F188" s="10"/>
      <c r="G188" s="7"/>
      <c r="H188" s="6"/>
      <c r="I188" s="10"/>
      <c r="J188" s="7"/>
      <c r="K188" s="6"/>
      <c r="L188" s="10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10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</row>
    <row r="189">
      <c r="A189" s="7"/>
      <c r="B189" s="7"/>
      <c r="C189" s="10"/>
      <c r="D189" s="7"/>
      <c r="E189" s="6"/>
      <c r="F189" s="10"/>
      <c r="G189" s="7"/>
      <c r="H189" s="6"/>
      <c r="I189" s="10"/>
      <c r="J189" s="7"/>
      <c r="K189" s="6"/>
      <c r="L189" s="10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10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</row>
    <row r="190">
      <c r="A190" s="7"/>
      <c r="B190" s="7"/>
      <c r="C190" s="10"/>
      <c r="D190" s="7"/>
      <c r="E190" s="6"/>
      <c r="F190" s="10"/>
      <c r="G190" s="7"/>
      <c r="H190" s="6"/>
      <c r="I190" s="10"/>
      <c r="J190" s="7"/>
      <c r="K190" s="6"/>
      <c r="L190" s="10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10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</row>
    <row r="191">
      <c r="A191" s="7"/>
      <c r="B191" s="7"/>
      <c r="C191" s="10"/>
      <c r="D191" s="7"/>
      <c r="E191" s="6"/>
      <c r="F191" s="10"/>
      <c r="G191" s="7"/>
      <c r="H191" s="6"/>
      <c r="I191" s="10"/>
      <c r="J191" s="7"/>
      <c r="K191" s="6"/>
      <c r="L191" s="10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10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</row>
    <row r="192">
      <c r="A192" s="7"/>
      <c r="B192" s="7"/>
      <c r="C192" s="10"/>
      <c r="D192" s="7"/>
      <c r="E192" s="6"/>
      <c r="F192" s="10"/>
      <c r="G192" s="7"/>
      <c r="H192" s="6"/>
      <c r="I192" s="10"/>
      <c r="J192" s="7"/>
      <c r="K192" s="6"/>
      <c r="L192" s="10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10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</row>
    <row r="193">
      <c r="A193" s="7"/>
      <c r="B193" s="7"/>
      <c r="C193" s="10"/>
      <c r="D193" s="7"/>
      <c r="E193" s="6"/>
      <c r="F193" s="10"/>
      <c r="G193" s="7"/>
      <c r="H193" s="6"/>
      <c r="I193" s="10"/>
      <c r="J193" s="7"/>
      <c r="K193" s="6"/>
      <c r="L193" s="10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10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</row>
    <row r="194">
      <c r="A194" s="7"/>
      <c r="B194" s="7"/>
      <c r="C194" s="10"/>
      <c r="D194" s="7"/>
      <c r="E194" s="6"/>
      <c r="F194" s="10"/>
      <c r="G194" s="7"/>
      <c r="H194" s="6"/>
      <c r="I194" s="10"/>
      <c r="J194" s="7"/>
      <c r="K194" s="6"/>
      <c r="L194" s="10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10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</row>
    <row r="195">
      <c r="A195" s="7"/>
      <c r="B195" s="7"/>
      <c r="C195" s="10"/>
      <c r="D195" s="7"/>
      <c r="E195" s="6"/>
      <c r="F195" s="10"/>
      <c r="G195" s="7"/>
      <c r="H195" s="6"/>
      <c r="I195" s="10"/>
      <c r="J195" s="7"/>
      <c r="K195" s="6"/>
      <c r="L195" s="10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10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</row>
    <row r="196">
      <c r="A196" s="7"/>
      <c r="B196" s="7"/>
      <c r="C196" s="10"/>
      <c r="D196" s="7"/>
      <c r="E196" s="6"/>
      <c r="F196" s="10"/>
      <c r="G196" s="7"/>
      <c r="H196" s="6"/>
      <c r="I196" s="10"/>
      <c r="J196" s="7"/>
      <c r="K196" s="6"/>
      <c r="L196" s="10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10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</row>
    <row r="197">
      <c r="A197" s="7"/>
      <c r="B197" s="7"/>
      <c r="C197" s="10"/>
      <c r="D197" s="7"/>
      <c r="E197" s="6"/>
      <c r="F197" s="10"/>
      <c r="G197" s="7"/>
      <c r="H197" s="6"/>
      <c r="I197" s="10"/>
      <c r="J197" s="7"/>
      <c r="K197" s="6"/>
      <c r="L197" s="10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10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</row>
    <row r="198">
      <c r="A198" s="7"/>
      <c r="B198" s="7"/>
      <c r="C198" s="10"/>
      <c r="D198" s="7"/>
      <c r="E198" s="6"/>
      <c r="F198" s="10"/>
      <c r="G198" s="7"/>
      <c r="H198" s="6"/>
      <c r="I198" s="10"/>
      <c r="J198" s="7"/>
      <c r="K198" s="6"/>
      <c r="L198" s="10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10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</row>
    <row r="199">
      <c r="A199" s="7"/>
      <c r="B199" s="7"/>
      <c r="C199" s="10"/>
      <c r="D199" s="7"/>
      <c r="E199" s="6"/>
      <c r="F199" s="10"/>
      <c r="G199" s="7"/>
      <c r="H199" s="6"/>
      <c r="I199" s="10"/>
      <c r="J199" s="7"/>
      <c r="K199" s="6"/>
      <c r="L199" s="10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10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</row>
    <row r="200">
      <c r="A200" s="7"/>
      <c r="B200" s="7"/>
      <c r="C200" s="10"/>
      <c r="D200" s="7"/>
      <c r="E200" s="6"/>
      <c r="F200" s="10"/>
      <c r="G200" s="7"/>
      <c r="H200" s="6"/>
      <c r="I200" s="10"/>
      <c r="J200" s="7"/>
      <c r="K200" s="6"/>
      <c r="L200" s="10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10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</row>
    <row r="201">
      <c r="A201" s="7"/>
      <c r="B201" s="7"/>
      <c r="C201" s="10"/>
      <c r="D201" s="7"/>
      <c r="E201" s="6"/>
      <c r="F201" s="10"/>
      <c r="G201" s="7"/>
      <c r="H201" s="6"/>
      <c r="I201" s="10"/>
      <c r="J201" s="7"/>
      <c r="K201" s="6"/>
      <c r="L201" s="10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10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</row>
    <row r="202">
      <c r="A202" s="7"/>
      <c r="B202" s="7"/>
      <c r="C202" s="10"/>
      <c r="D202" s="7"/>
      <c r="E202" s="6"/>
      <c r="F202" s="10"/>
      <c r="G202" s="7"/>
      <c r="H202" s="6"/>
      <c r="I202" s="10"/>
      <c r="J202" s="7"/>
      <c r="K202" s="6"/>
      <c r="L202" s="10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10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</row>
    <row r="203">
      <c r="A203" s="7"/>
      <c r="B203" s="7"/>
      <c r="C203" s="10"/>
      <c r="D203" s="7"/>
      <c r="E203" s="6"/>
      <c r="F203" s="10"/>
      <c r="G203" s="7"/>
      <c r="H203" s="6"/>
      <c r="I203" s="10"/>
      <c r="J203" s="7"/>
      <c r="K203" s="6"/>
      <c r="L203" s="10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10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</row>
    <row r="204">
      <c r="A204" s="7"/>
      <c r="B204" s="7"/>
      <c r="C204" s="10"/>
      <c r="D204" s="7"/>
      <c r="E204" s="6"/>
      <c r="F204" s="10"/>
      <c r="G204" s="7"/>
      <c r="H204" s="6"/>
      <c r="I204" s="10"/>
      <c r="J204" s="7"/>
      <c r="K204" s="6"/>
      <c r="L204" s="10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10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</row>
    <row r="205">
      <c r="A205" s="7"/>
      <c r="B205" s="7"/>
      <c r="C205" s="10"/>
      <c r="D205" s="7"/>
      <c r="E205" s="6"/>
      <c r="F205" s="10"/>
      <c r="G205" s="7"/>
      <c r="H205" s="6"/>
      <c r="I205" s="10"/>
      <c r="J205" s="7"/>
      <c r="K205" s="6"/>
      <c r="L205" s="10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10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</row>
    <row r="206">
      <c r="A206" s="7"/>
      <c r="B206" s="7"/>
      <c r="C206" s="10"/>
      <c r="D206" s="7"/>
      <c r="E206" s="6"/>
      <c r="F206" s="10"/>
      <c r="G206" s="7"/>
      <c r="H206" s="6"/>
      <c r="I206" s="10"/>
      <c r="J206" s="7"/>
      <c r="K206" s="6"/>
      <c r="L206" s="10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10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</row>
    <row r="207">
      <c r="A207" s="7"/>
      <c r="B207" s="7"/>
      <c r="C207" s="10"/>
      <c r="D207" s="7"/>
      <c r="E207" s="6"/>
      <c r="F207" s="10"/>
      <c r="G207" s="7"/>
      <c r="H207" s="6"/>
      <c r="I207" s="10"/>
      <c r="J207" s="7"/>
      <c r="K207" s="6"/>
      <c r="L207" s="10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10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</row>
    <row r="208">
      <c r="A208" s="7"/>
      <c r="B208" s="7"/>
      <c r="C208" s="10"/>
      <c r="D208" s="7"/>
      <c r="E208" s="6"/>
      <c r="F208" s="10"/>
      <c r="G208" s="7"/>
      <c r="H208" s="6"/>
      <c r="I208" s="10"/>
      <c r="J208" s="7"/>
      <c r="K208" s="6"/>
      <c r="L208" s="10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10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</row>
    <row r="209">
      <c r="A209" s="7"/>
      <c r="B209" s="7"/>
      <c r="C209" s="10"/>
      <c r="D209" s="7"/>
      <c r="E209" s="6"/>
      <c r="F209" s="10"/>
      <c r="G209" s="7"/>
      <c r="H209" s="6"/>
      <c r="I209" s="10"/>
      <c r="J209" s="7"/>
      <c r="K209" s="6"/>
      <c r="L209" s="10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10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</row>
    <row r="210">
      <c r="A210" s="7"/>
      <c r="B210" s="7"/>
      <c r="C210" s="10"/>
      <c r="D210" s="7"/>
      <c r="E210" s="6"/>
      <c r="F210" s="10"/>
      <c r="G210" s="7"/>
      <c r="H210" s="6"/>
      <c r="I210" s="10"/>
      <c r="J210" s="7"/>
      <c r="K210" s="6"/>
      <c r="L210" s="10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10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</row>
    <row r="211">
      <c r="A211" s="7"/>
      <c r="B211" s="7"/>
      <c r="C211" s="10"/>
      <c r="D211" s="7"/>
      <c r="E211" s="6"/>
      <c r="F211" s="10"/>
      <c r="G211" s="7"/>
      <c r="H211" s="6"/>
      <c r="I211" s="10"/>
      <c r="J211" s="7"/>
      <c r="K211" s="6"/>
      <c r="L211" s="10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10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</row>
    <row r="212">
      <c r="A212" s="7"/>
      <c r="B212" s="7"/>
      <c r="C212" s="10"/>
      <c r="D212" s="7"/>
      <c r="E212" s="6"/>
      <c r="F212" s="10"/>
      <c r="G212" s="7"/>
      <c r="H212" s="6"/>
      <c r="I212" s="10"/>
      <c r="J212" s="7"/>
      <c r="K212" s="6"/>
      <c r="L212" s="10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10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</row>
    <row r="213">
      <c r="A213" s="7"/>
      <c r="B213" s="7"/>
      <c r="C213" s="10"/>
      <c r="D213" s="7"/>
      <c r="E213" s="6"/>
      <c r="F213" s="10"/>
      <c r="G213" s="7"/>
      <c r="H213" s="6"/>
      <c r="I213" s="10"/>
      <c r="J213" s="7"/>
      <c r="K213" s="6"/>
      <c r="L213" s="10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10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</row>
    <row r="214">
      <c r="A214" s="7"/>
      <c r="B214" s="7"/>
      <c r="C214" s="10"/>
      <c r="D214" s="7"/>
      <c r="E214" s="6"/>
      <c r="F214" s="10"/>
      <c r="G214" s="7"/>
      <c r="H214" s="6"/>
      <c r="I214" s="10"/>
      <c r="J214" s="7"/>
      <c r="K214" s="6"/>
      <c r="L214" s="10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10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</row>
    <row r="215">
      <c r="A215" s="7"/>
      <c r="B215" s="7"/>
      <c r="C215" s="10"/>
      <c r="D215" s="7"/>
      <c r="E215" s="6"/>
      <c r="F215" s="10"/>
      <c r="G215" s="7"/>
      <c r="H215" s="6"/>
      <c r="I215" s="10"/>
      <c r="J215" s="7"/>
      <c r="K215" s="6"/>
      <c r="L215" s="10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10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</row>
    <row r="216">
      <c r="A216" s="7"/>
      <c r="B216" s="7"/>
      <c r="C216" s="10"/>
      <c r="D216" s="7"/>
      <c r="E216" s="6"/>
      <c r="F216" s="10"/>
      <c r="G216" s="7"/>
      <c r="H216" s="6"/>
      <c r="I216" s="10"/>
      <c r="J216" s="7"/>
      <c r="K216" s="6"/>
      <c r="L216" s="10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10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</row>
    <row r="217">
      <c r="A217" s="7"/>
      <c r="B217" s="7"/>
      <c r="C217" s="10"/>
      <c r="D217" s="7"/>
      <c r="E217" s="6"/>
      <c r="F217" s="10"/>
      <c r="G217" s="7"/>
      <c r="H217" s="6"/>
      <c r="I217" s="10"/>
      <c r="J217" s="7"/>
      <c r="K217" s="6"/>
      <c r="L217" s="10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10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</row>
    <row r="218">
      <c r="A218" s="7"/>
      <c r="B218" s="7"/>
      <c r="C218" s="10"/>
      <c r="D218" s="7"/>
      <c r="E218" s="6"/>
      <c r="F218" s="10"/>
      <c r="G218" s="7"/>
      <c r="H218" s="6"/>
      <c r="I218" s="10"/>
      <c r="J218" s="7"/>
      <c r="K218" s="6"/>
      <c r="L218" s="10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10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</row>
    <row r="219">
      <c r="A219" s="7"/>
      <c r="B219" s="7"/>
      <c r="C219" s="10"/>
      <c r="D219" s="7"/>
      <c r="E219" s="6"/>
      <c r="F219" s="10"/>
      <c r="G219" s="7"/>
      <c r="H219" s="6"/>
      <c r="I219" s="10"/>
      <c r="J219" s="7"/>
      <c r="K219" s="6"/>
      <c r="L219" s="10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10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</row>
    <row r="220">
      <c r="A220" s="7"/>
      <c r="B220" s="7"/>
      <c r="C220" s="10"/>
      <c r="D220" s="7"/>
      <c r="E220" s="6"/>
      <c r="F220" s="10"/>
      <c r="G220" s="7"/>
      <c r="H220" s="6"/>
      <c r="I220" s="10"/>
      <c r="J220" s="7"/>
      <c r="K220" s="6"/>
      <c r="L220" s="10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10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</row>
    <row r="221">
      <c r="A221" s="7"/>
      <c r="B221" s="7"/>
      <c r="C221" s="10"/>
      <c r="D221" s="7"/>
      <c r="E221" s="6"/>
      <c r="F221" s="10"/>
      <c r="G221" s="7"/>
      <c r="H221" s="6"/>
      <c r="I221" s="10"/>
      <c r="J221" s="7"/>
      <c r="K221" s="6"/>
      <c r="L221" s="10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10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</row>
    <row r="222">
      <c r="A222" s="7"/>
      <c r="B222" s="7"/>
      <c r="C222" s="10"/>
      <c r="D222" s="7"/>
      <c r="E222" s="6"/>
      <c r="F222" s="10"/>
      <c r="G222" s="7"/>
      <c r="H222" s="6"/>
      <c r="I222" s="10"/>
      <c r="J222" s="7"/>
      <c r="K222" s="6"/>
      <c r="L222" s="10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10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</row>
    <row r="223">
      <c r="A223" s="7"/>
      <c r="B223" s="7"/>
      <c r="C223" s="10"/>
      <c r="D223" s="7"/>
      <c r="E223" s="6"/>
      <c r="F223" s="10"/>
      <c r="G223" s="7"/>
      <c r="H223" s="6"/>
      <c r="I223" s="10"/>
      <c r="J223" s="7"/>
      <c r="K223" s="6"/>
      <c r="L223" s="10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10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</row>
    <row r="224">
      <c r="A224" s="7"/>
      <c r="B224" s="7"/>
      <c r="C224" s="10"/>
      <c r="D224" s="7"/>
      <c r="E224" s="6"/>
      <c r="F224" s="10"/>
      <c r="G224" s="7"/>
      <c r="H224" s="6"/>
      <c r="I224" s="10"/>
      <c r="J224" s="7"/>
      <c r="K224" s="6"/>
      <c r="L224" s="10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10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</row>
    <row r="225">
      <c r="A225" s="7"/>
      <c r="B225" s="7"/>
      <c r="C225" s="10"/>
      <c r="D225" s="7"/>
      <c r="E225" s="6"/>
      <c r="F225" s="10"/>
      <c r="G225" s="7"/>
      <c r="H225" s="6"/>
      <c r="I225" s="10"/>
      <c r="J225" s="7"/>
      <c r="K225" s="6"/>
      <c r="L225" s="10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10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</row>
    <row r="226">
      <c r="A226" s="7"/>
      <c r="B226" s="7"/>
      <c r="C226" s="10"/>
      <c r="D226" s="7"/>
      <c r="E226" s="6"/>
      <c r="F226" s="10"/>
      <c r="G226" s="7"/>
      <c r="H226" s="6"/>
      <c r="I226" s="10"/>
      <c r="J226" s="7"/>
      <c r="K226" s="6"/>
      <c r="L226" s="10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10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</row>
    <row r="227">
      <c r="A227" s="7"/>
      <c r="B227" s="7"/>
      <c r="C227" s="10"/>
      <c r="D227" s="7"/>
      <c r="E227" s="6"/>
      <c r="F227" s="10"/>
      <c r="G227" s="7"/>
      <c r="H227" s="6"/>
      <c r="I227" s="10"/>
      <c r="J227" s="7"/>
      <c r="K227" s="6"/>
      <c r="L227" s="10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10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</row>
    <row r="228">
      <c r="A228" s="7"/>
      <c r="B228" s="7"/>
      <c r="C228" s="10"/>
      <c r="D228" s="7"/>
      <c r="E228" s="6"/>
      <c r="F228" s="10"/>
      <c r="G228" s="7"/>
      <c r="H228" s="6"/>
      <c r="I228" s="10"/>
      <c r="J228" s="7"/>
      <c r="K228" s="6"/>
      <c r="L228" s="10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10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</row>
    <row r="229">
      <c r="A229" s="7"/>
      <c r="B229" s="7"/>
      <c r="C229" s="10"/>
      <c r="D229" s="7"/>
      <c r="E229" s="6"/>
      <c r="F229" s="10"/>
      <c r="G229" s="7"/>
      <c r="H229" s="6"/>
      <c r="I229" s="10"/>
      <c r="J229" s="7"/>
      <c r="K229" s="6"/>
      <c r="L229" s="10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10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</row>
    <row r="230">
      <c r="A230" s="7"/>
      <c r="B230" s="7"/>
      <c r="C230" s="10"/>
      <c r="D230" s="7"/>
      <c r="E230" s="6"/>
      <c r="F230" s="10"/>
      <c r="G230" s="7"/>
      <c r="H230" s="6"/>
      <c r="I230" s="10"/>
      <c r="J230" s="7"/>
      <c r="K230" s="6"/>
      <c r="L230" s="10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10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</row>
    <row r="231">
      <c r="A231" s="7"/>
      <c r="B231" s="7"/>
      <c r="C231" s="10"/>
      <c r="D231" s="7"/>
      <c r="E231" s="6"/>
      <c r="F231" s="10"/>
      <c r="G231" s="7"/>
      <c r="H231" s="6"/>
      <c r="I231" s="10"/>
      <c r="J231" s="7"/>
      <c r="K231" s="6"/>
      <c r="L231" s="10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10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</row>
    <row r="232">
      <c r="A232" s="7"/>
      <c r="B232" s="7"/>
      <c r="C232" s="10"/>
      <c r="D232" s="7"/>
      <c r="E232" s="6"/>
      <c r="F232" s="10"/>
      <c r="G232" s="7"/>
      <c r="H232" s="6"/>
      <c r="I232" s="10"/>
      <c r="J232" s="7"/>
      <c r="K232" s="6"/>
      <c r="L232" s="10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10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</row>
    <row r="233">
      <c r="A233" s="7"/>
      <c r="B233" s="7"/>
      <c r="C233" s="10"/>
      <c r="D233" s="7"/>
      <c r="E233" s="6"/>
      <c r="F233" s="10"/>
      <c r="G233" s="7"/>
      <c r="H233" s="6"/>
      <c r="I233" s="10"/>
      <c r="J233" s="7"/>
      <c r="K233" s="6"/>
      <c r="L233" s="10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10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</row>
    <row r="234">
      <c r="A234" s="7"/>
      <c r="B234" s="7"/>
      <c r="C234" s="10"/>
      <c r="D234" s="7"/>
      <c r="E234" s="6"/>
      <c r="F234" s="10"/>
      <c r="G234" s="7"/>
      <c r="H234" s="6"/>
      <c r="I234" s="10"/>
      <c r="J234" s="7"/>
      <c r="K234" s="6"/>
      <c r="L234" s="10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10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</row>
    <row r="235">
      <c r="A235" s="7"/>
      <c r="B235" s="7"/>
      <c r="C235" s="10"/>
      <c r="D235" s="7"/>
      <c r="E235" s="6"/>
      <c r="F235" s="10"/>
      <c r="G235" s="7"/>
      <c r="H235" s="6"/>
      <c r="I235" s="10"/>
      <c r="J235" s="7"/>
      <c r="K235" s="6"/>
      <c r="L235" s="10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10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</row>
    <row r="236">
      <c r="A236" s="7"/>
      <c r="B236" s="7"/>
      <c r="C236" s="10"/>
      <c r="D236" s="7"/>
      <c r="E236" s="6"/>
      <c r="F236" s="10"/>
      <c r="G236" s="7"/>
      <c r="H236" s="6"/>
      <c r="I236" s="10"/>
      <c r="J236" s="7"/>
      <c r="K236" s="6"/>
      <c r="L236" s="10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10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</row>
    <row r="237">
      <c r="A237" s="7"/>
      <c r="B237" s="7"/>
      <c r="C237" s="10"/>
      <c r="D237" s="7"/>
      <c r="E237" s="6"/>
      <c r="F237" s="10"/>
      <c r="G237" s="7"/>
      <c r="H237" s="6"/>
      <c r="I237" s="10"/>
      <c r="J237" s="7"/>
      <c r="K237" s="6"/>
      <c r="L237" s="10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10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</row>
    <row r="238">
      <c r="A238" s="7"/>
      <c r="B238" s="7"/>
      <c r="C238" s="10"/>
      <c r="D238" s="7"/>
      <c r="E238" s="6"/>
      <c r="F238" s="10"/>
      <c r="G238" s="7"/>
      <c r="H238" s="6"/>
      <c r="I238" s="10"/>
      <c r="J238" s="7"/>
      <c r="K238" s="6"/>
      <c r="L238" s="10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10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</row>
    <row r="239">
      <c r="A239" s="7"/>
      <c r="B239" s="7"/>
      <c r="C239" s="10"/>
      <c r="D239" s="7"/>
      <c r="E239" s="6"/>
      <c r="F239" s="10"/>
      <c r="G239" s="7"/>
      <c r="H239" s="6"/>
      <c r="I239" s="10"/>
      <c r="J239" s="7"/>
      <c r="K239" s="6"/>
      <c r="L239" s="10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10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</row>
    <row r="240">
      <c r="A240" s="7"/>
      <c r="B240" s="7"/>
      <c r="C240" s="10"/>
      <c r="D240" s="7"/>
      <c r="E240" s="6"/>
      <c r="F240" s="10"/>
      <c r="G240" s="7"/>
      <c r="H240" s="6"/>
      <c r="I240" s="10"/>
      <c r="J240" s="7"/>
      <c r="K240" s="6"/>
      <c r="L240" s="10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10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</row>
    <row r="241">
      <c r="A241" s="7"/>
      <c r="B241" s="7"/>
      <c r="C241" s="10"/>
      <c r="D241" s="7"/>
      <c r="E241" s="6"/>
      <c r="F241" s="10"/>
      <c r="G241" s="7"/>
      <c r="H241" s="6"/>
      <c r="I241" s="10"/>
      <c r="J241" s="7"/>
      <c r="K241" s="6"/>
      <c r="L241" s="10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10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</row>
    <row r="242">
      <c r="A242" s="7"/>
      <c r="B242" s="7"/>
      <c r="C242" s="10"/>
      <c r="D242" s="7"/>
      <c r="E242" s="6"/>
      <c r="F242" s="10"/>
      <c r="G242" s="7"/>
      <c r="H242" s="6"/>
      <c r="I242" s="10"/>
      <c r="J242" s="7"/>
      <c r="K242" s="6"/>
      <c r="L242" s="10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10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</row>
    <row r="243">
      <c r="A243" s="7"/>
      <c r="B243" s="7"/>
      <c r="C243" s="10"/>
      <c r="D243" s="7"/>
      <c r="E243" s="6"/>
      <c r="F243" s="10"/>
      <c r="G243" s="7"/>
      <c r="H243" s="6"/>
      <c r="I243" s="10"/>
      <c r="J243" s="7"/>
      <c r="K243" s="6"/>
      <c r="L243" s="10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10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</row>
    <row r="244">
      <c r="A244" s="7"/>
      <c r="B244" s="7"/>
      <c r="C244" s="10"/>
      <c r="D244" s="7"/>
      <c r="E244" s="6"/>
      <c r="F244" s="10"/>
      <c r="G244" s="7"/>
      <c r="H244" s="6"/>
      <c r="I244" s="10"/>
      <c r="J244" s="7"/>
      <c r="K244" s="6"/>
      <c r="L244" s="10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10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</row>
    <row r="245">
      <c r="A245" s="7"/>
      <c r="B245" s="7"/>
      <c r="C245" s="10"/>
      <c r="D245" s="7"/>
      <c r="E245" s="6"/>
      <c r="F245" s="10"/>
      <c r="G245" s="7"/>
      <c r="H245" s="6"/>
      <c r="I245" s="10"/>
      <c r="J245" s="7"/>
      <c r="K245" s="6"/>
      <c r="L245" s="10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10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</row>
    <row r="246">
      <c r="A246" s="7"/>
      <c r="B246" s="7"/>
      <c r="C246" s="10"/>
      <c r="D246" s="7"/>
      <c r="E246" s="6"/>
      <c r="F246" s="10"/>
      <c r="G246" s="7"/>
      <c r="H246" s="6"/>
      <c r="I246" s="10"/>
      <c r="J246" s="7"/>
      <c r="K246" s="6"/>
      <c r="L246" s="10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10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</row>
    <row r="247">
      <c r="A247" s="7"/>
      <c r="B247" s="7"/>
      <c r="C247" s="10"/>
      <c r="D247" s="7"/>
      <c r="E247" s="6"/>
      <c r="F247" s="10"/>
      <c r="G247" s="7"/>
      <c r="H247" s="6"/>
      <c r="I247" s="10"/>
      <c r="J247" s="7"/>
      <c r="K247" s="6"/>
      <c r="L247" s="10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10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</row>
    <row r="248">
      <c r="A248" s="7"/>
      <c r="B248" s="7"/>
      <c r="C248" s="10"/>
      <c r="D248" s="7"/>
      <c r="E248" s="6"/>
      <c r="F248" s="10"/>
      <c r="G248" s="7"/>
      <c r="H248" s="6"/>
      <c r="I248" s="10"/>
      <c r="J248" s="7"/>
      <c r="K248" s="6"/>
      <c r="L248" s="10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10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</row>
    <row r="249">
      <c r="A249" s="7"/>
      <c r="B249" s="7"/>
      <c r="C249" s="10"/>
      <c r="D249" s="7"/>
      <c r="E249" s="6"/>
      <c r="F249" s="10"/>
      <c r="G249" s="7"/>
      <c r="H249" s="6"/>
      <c r="I249" s="10"/>
      <c r="J249" s="7"/>
      <c r="K249" s="6"/>
      <c r="L249" s="10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10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</row>
    <row r="250">
      <c r="A250" s="7"/>
      <c r="B250" s="7"/>
      <c r="C250" s="10"/>
      <c r="D250" s="7"/>
      <c r="E250" s="6"/>
      <c r="F250" s="10"/>
      <c r="G250" s="7"/>
      <c r="H250" s="6"/>
      <c r="I250" s="10"/>
      <c r="J250" s="7"/>
      <c r="K250" s="6"/>
      <c r="L250" s="10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10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</row>
    <row r="251">
      <c r="A251" s="7"/>
      <c r="B251" s="7"/>
      <c r="C251" s="10"/>
      <c r="D251" s="7"/>
      <c r="E251" s="6"/>
      <c r="F251" s="10"/>
      <c r="G251" s="7"/>
      <c r="H251" s="6"/>
      <c r="I251" s="10"/>
      <c r="J251" s="7"/>
      <c r="K251" s="6"/>
      <c r="L251" s="10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10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</row>
    <row r="252">
      <c r="A252" s="7"/>
      <c r="B252" s="7"/>
      <c r="C252" s="10"/>
      <c r="D252" s="7"/>
      <c r="E252" s="6"/>
      <c r="F252" s="10"/>
      <c r="G252" s="7"/>
      <c r="H252" s="6"/>
      <c r="I252" s="10"/>
      <c r="J252" s="7"/>
      <c r="K252" s="6"/>
      <c r="L252" s="10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10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</row>
    <row r="253">
      <c r="A253" s="7"/>
      <c r="B253" s="7"/>
      <c r="C253" s="10"/>
      <c r="D253" s="7"/>
      <c r="E253" s="6"/>
      <c r="F253" s="10"/>
      <c r="G253" s="7"/>
      <c r="H253" s="6"/>
      <c r="I253" s="10"/>
      <c r="J253" s="7"/>
      <c r="K253" s="6"/>
      <c r="L253" s="10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10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</row>
    <row r="254">
      <c r="A254" s="7"/>
      <c r="B254" s="7"/>
      <c r="C254" s="10"/>
      <c r="D254" s="7"/>
      <c r="E254" s="6"/>
      <c r="F254" s="10"/>
      <c r="G254" s="7"/>
      <c r="H254" s="6"/>
      <c r="I254" s="10"/>
      <c r="J254" s="7"/>
      <c r="K254" s="6"/>
      <c r="L254" s="10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10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</row>
    <row r="255">
      <c r="A255" s="7"/>
      <c r="B255" s="7"/>
      <c r="C255" s="10"/>
      <c r="D255" s="7"/>
      <c r="E255" s="6"/>
      <c r="F255" s="10"/>
      <c r="G255" s="7"/>
      <c r="H255" s="6"/>
      <c r="I255" s="10"/>
      <c r="J255" s="7"/>
      <c r="K255" s="6"/>
      <c r="L255" s="10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10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</row>
    <row r="256">
      <c r="A256" s="7"/>
      <c r="B256" s="7"/>
      <c r="C256" s="10"/>
      <c r="D256" s="7"/>
      <c r="E256" s="6"/>
      <c r="F256" s="10"/>
      <c r="G256" s="7"/>
      <c r="H256" s="6"/>
      <c r="I256" s="10"/>
      <c r="J256" s="7"/>
      <c r="K256" s="6"/>
      <c r="L256" s="10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10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</row>
    <row r="257">
      <c r="A257" s="7"/>
      <c r="B257" s="7"/>
      <c r="C257" s="10"/>
      <c r="D257" s="7"/>
      <c r="E257" s="6"/>
      <c r="F257" s="10"/>
      <c r="G257" s="7"/>
      <c r="H257" s="6"/>
      <c r="I257" s="10"/>
      <c r="J257" s="7"/>
      <c r="K257" s="6"/>
      <c r="L257" s="10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10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</row>
    <row r="258">
      <c r="A258" s="7"/>
      <c r="B258" s="7"/>
      <c r="C258" s="10"/>
      <c r="D258" s="7"/>
      <c r="E258" s="6"/>
      <c r="F258" s="10"/>
      <c r="G258" s="7"/>
      <c r="H258" s="6"/>
      <c r="I258" s="10"/>
      <c r="J258" s="7"/>
      <c r="K258" s="6"/>
      <c r="L258" s="10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10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</row>
    <row r="259">
      <c r="A259" s="7"/>
      <c r="B259" s="7"/>
      <c r="C259" s="10"/>
      <c r="D259" s="7"/>
      <c r="E259" s="6"/>
      <c r="F259" s="10"/>
      <c r="G259" s="7"/>
      <c r="H259" s="6"/>
      <c r="I259" s="10"/>
      <c r="J259" s="7"/>
      <c r="K259" s="6"/>
      <c r="L259" s="10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10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</row>
    <row r="260">
      <c r="A260" s="7"/>
      <c r="B260" s="7"/>
      <c r="C260" s="10"/>
      <c r="D260" s="7"/>
      <c r="E260" s="6"/>
      <c r="F260" s="10"/>
      <c r="G260" s="7"/>
      <c r="H260" s="6"/>
      <c r="I260" s="10"/>
      <c r="J260" s="7"/>
      <c r="K260" s="6"/>
      <c r="L260" s="10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10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</row>
    <row r="261">
      <c r="A261" s="7"/>
      <c r="B261" s="7"/>
      <c r="C261" s="10"/>
      <c r="D261" s="7"/>
      <c r="E261" s="6"/>
      <c r="F261" s="10"/>
      <c r="G261" s="7"/>
      <c r="H261" s="6"/>
      <c r="I261" s="10"/>
      <c r="J261" s="7"/>
      <c r="K261" s="6"/>
      <c r="L261" s="10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10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</row>
    <row r="262">
      <c r="A262" s="7"/>
      <c r="B262" s="7"/>
      <c r="C262" s="10"/>
      <c r="D262" s="7"/>
      <c r="E262" s="6"/>
      <c r="F262" s="10"/>
      <c r="G262" s="7"/>
      <c r="H262" s="6"/>
      <c r="I262" s="10"/>
      <c r="J262" s="7"/>
      <c r="K262" s="6"/>
      <c r="L262" s="10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10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</row>
    <row r="263">
      <c r="A263" s="7"/>
      <c r="B263" s="7"/>
      <c r="C263" s="10"/>
      <c r="D263" s="7"/>
      <c r="E263" s="6"/>
      <c r="F263" s="10"/>
      <c r="G263" s="7"/>
      <c r="H263" s="6"/>
      <c r="I263" s="10"/>
      <c r="J263" s="7"/>
      <c r="K263" s="6"/>
      <c r="L263" s="10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10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</row>
    <row r="264">
      <c r="A264" s="7"/>
      <c r="B264" s="7"/>
      <c r="C264" s="10"/>
      <c r="D264" s="7"/>
      <c r="E264" s="6"/>
      <c r="F264" s="10"/>
      <c r="G264" s="7"/>
      <c r="H264" s="6"/>
      <c r="I264" s="10"/>
      <c r="J264" s="7"/>
      <c r="K264" s="6"/>
      <c r="L264" s="10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10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</row>
    <row r="265">
      <c r="A265" s="7"/>
      <c r="B265" s="7"/>
      <c r="C265" s="10"/>
      <c r="D265" s="7"/>
      <c r="E265" s="6"/>
      <c r="F265" s="10"/>
      <c r="G265" s="7"/>
      <c r="H265" s="6"/>
      <c r="I265" s="10"/>
      <c r="J265" s="7"/>
      <c r="K265" s="6"/>
      <c r="L265" s="10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10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</row>
    <row r="266">
      <c r="A266" s="7"/>
      <c r="B266" s="7"/>
      <c r="C266" s="10"/>
      <c r="D266" s="7"/>
      <c r="E266" s="6"/>
      <c r="F266" s="10"/>
      <c r="G266" s="7"/>
      <c r="H266" s="6"/>
      <c r="I266" s="10"/>
      <c r="J266" s="7"/>
      <c r="K266" s="6"/>
      <c r="L266" s="10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10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</row>
    <row r="267">
      <c r="A267" s="7"/>
      <c r="B267" s="7"/>
      <c r="C267" s="10"/>
      <c r="D267" s="7"/>
      <c r="E267" s="6"/>
      <c r="F267" s="10"/>
      <c r="G267" s="7"/>
      <c r="H267" s="6"/>
      <c r="I267" s="10"/>
      <c r="J267" s="7"/>
      <c r="K267" s="6"/>
      <c r="L267" s="10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10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</row>
    <row r="268">
      <c r="A268" s="7"/>
      <c r="B268" s="7"/>
      <c r="C268" s="10"/>
      <c r="D268" s="7"/>
      <c r="E268" s="6"/>
      <c r="F268" s="10"/>
      <c r="G268" s="7"/>
      <c r="H268" s="6"/>
      <c r="I268" s="10"/>
      <c r="J268" s="7"/>
      <c r="K268" s="6"/>
      <c r="L268" s="10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10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</row>
    <row r="269">
      <c r="A269" s="7"/>
      <c r="B269" s="7"/>
      <c r="C269" s="10"/>
      <c r="D269" s="7"/>
      <c r="E269" s="6"/>
      <c r="F269" s="10"/>
      <c r="G269" s="7"/>
      <c r="H269" s="6"/>
      <c r="I269" s="10"/>
      <c r="J269" s="7"/>
      <c r="K269" s="6"/>
      <c r="L269" s="10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10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</row>
    <row r="270">
      <c r="A270" s="7"/>
      <c r="B270" s="7"/>
      <c r="C270" s="10"/>
      <c r="D270" s="7"/>
      <c r="E270" s="6"/>
      <c r="F270" s="10"/>
      <c r="G270" s="7"/>
      <c r="H270" s="6"/>
      <c r="I270" s="10"/>
      <c r="J270" s="7"/>
      <c r="K270" s="6"/>
      <c r="L270" s="10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10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</row>
    <row r="271">
      <c r="A271" s="7"/>
      <c r="B271" s="7"/>
      <c r="C271" s="10"/>
      <c r="D271" s="7"/>
      <c r="E271" s="6"/>
      <c r="F271" s="10"/>
      <c r="G271" s="7"/>
      <c r="H271" s="6"/>
      <c r="I271" s="10"/>
      <c r="J271" s="7"/>
      <c r="K271" s="6"/>
      <c r="L271" s="10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10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</row>
    <row r="272">
      <c r="A272" s="7"/>
      <c r="B272" s="7"/>
      <c r="C272" s="10"/>
      <c r="D272" s="7"/>
      <c r="E272" s="6"/>
      <c r="F272" s="10"/>
      <c r="G272" s="7"/>
      <c r="H272" s="6"/>
      <c r="I272" s="10"/>
      <c r="J272" s="7"/>
      <c r="K272" s="6"/>
      <c r="L272" s="10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10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</row>
    <row r="273">
      <c r="A273" s="7"/>
      <c r="B273" s="7"/>
      <c r="C273" s="10"/>
      <c r="D273" s="7"/>
      <c r="E273" s="6"/>
      <c r="F273" s="10"/>
      <c r="G273" s="7"/>
      <c r="H273" s="6"/>
      <c r="I273" s="10"/>
      <c r="J273" s="7"/>
      <c r="K273" s="6"/>
      <c r="L273" s="10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10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</row>
    <row r="274">
      <c r="A274" s="7"/>
      <c r="B274" s="7"/>
      <c r="C274" s="10"/>
      <c r="D274" s="7"/>
      <c r="E274" s="6"/>
      <c r="F274" s="10"/>
      <c r="G274" s="7"/>
      <c r="H274" s="6"/>
      <c r="I274" s="10"/>
      <c r="J274" s="7"/>
      <c r="K274" s="6"/>
      <c r="L274" s="10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10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</row>
    <row r="275">
      <c r="A275" s="7"/>
      <c r="B275" s="7"/>
      <c r="C275" s="10"/>
      <c r="D275" s="7"/>
      <c r="E275" s="6"/>
      <c r="F275" s="10"/>
      <c r="G275" s="7"/>
      <c r="H275" s="6"/>
      <c r="I275" s="10"/>
      <c r="J275" s="7"/>
      <c r="K275" s="6"/>
      <c r="L275" s="10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10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</row>
    <row r="276">
      <c r="A276" s="7"/>
      <c r="B276" s="7"/>
      <c r="C276" s="10"/>
      <c r="D276" s="7"/>
      <c r="E276" s="6"/>
      <c r="F276" s="10"/>
      <c r="G276" s="7"/>
      <c r="H276" s="6"/>
      <c r="I276" s="10"/>
      <c r="J276" s="7"/>
      <c r="K276" s="6"/>
      <c r="L276" s="10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10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</row>
    <row r="277">
      <c r="A277" s="7"/>
      <c r="B277" s="7"/>
      <c r="C277" s="10"/>
      <c r="D277" s="7"/>
      <c r="E277" s="6"/>
      <c r="F277" s="10"/>
      <c r="G277" s="7"/>
      <c r="H277" s="6"/>
      <c r="I277" s="10"/>
      <c r="J277" s="7"/>
      <c r="K277" s="6"/>
      <c r="L277" s="10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10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</row>
    <row r="278">
      <c r="A278" s="7"/>
      <c r="B278" s="7"/>
      <c r="C278" s="10"/>
      <c r="D278" s="7"/>
      <c r="E278" s="6"/>
      <c r="F278" s="10"/>
      <c r="G278" s="7"/>
      <c r="H278" s="6"/>
      <c r="I278" s="10"/>
      <c r="J278" s="7"/>
      <c r="K278" s="6"/>
      <c r="L278" s="10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10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</row>
    <row r="279">
      <c r="A279" s="7"/>
      <c r="B279" s="7"/>
      <c r="C279" s="10"/>
      <c r="D279" s="7"/>
      <c r="E279" s="6"/>
      <c r="F279" s="10"/>
      <c r="G279" s="7"/>
      <c r="H279" s="6"/>
      <c r="I279" s="10"/>
      <c r="J279" s="7"/>
      <c r="K279" s="6"/>
      <c r="L279" s="10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10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</row>
    <row r="280">
      <c r="A280" s="7"/>
      <c r="B280" s="7"/>
      <c r="C280" s="10"/>
      <c r="D280" s="7"/>
      <c r="E280" s="6"/>
      <c r="F280" s="10"/>
      <c r="G280" s="7"/>
      <c r="H280" s="6"/>
      <c r="I280" s="10"/>
      <c r="J280" s="7"/>
      <c r="K280" s="6"/>
      <c r="L280" s="10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10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</row>
    <row r="281">
      <c r="A281" s="7"/>
      <c r="B281" s="7"/>
      <c r="C281" s="10"/>
      <c r="D281" s="7"/>
      <c r="E281" s="6"/>
      <c r="F281" s="10"/>
      <c r="G281" s="7"/>
      <c r="H281" s="6"/>
      <c r="I281" s="10"/>
      <c r="J281" s="7"/>
      <c r="K281" s="6"/>
      <c r="L281" s="10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10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</row>
    <row r="282">
      <c r="A282" s="7"/>
      <c r="B282" s="7"/>
      <c r="C282" s="10"/>
      <c r="D282" s="7"/>
      <c r="E282" s="6"/>
      <c r="F282" s="10"/>
      <c r="G282" s="7"/>
      <c r="H282" s="6"/>
      <c r="I282" s="10"/>
      <c r="J282" s="7"/>
      <c r="K282" s="6"/>
      <c r="L282" s="10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10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</row>
    <row r="283">
      <c r="A283" s="7"/>
      <c r="B283" s="7"/>
      <c r="C283" s="10"/>
      <c r="D283" s="7"/>
      <c r="E283" s="6"/>
      <c r="F283" s="10"/>
      <c r="G283" s="7"/>
      <c r="H283" s="6"/>
      <c r="I283" s="10"/>
      <c r="J283" s="7"/>
      <c r="K283" s="6"/>
      <c r="L283" s="10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10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</row>
    <row r="284">
      <c r="A284" s="7"/>
      <c r="B284" s="7"/>
      <c r="C284" s="10"/>
      <c r="D284" s="7"/>
      <c r="E284" s="6"/>
      <c r="F284" s="10"/>
      <c r="G284" s="7"/>
      <c r="H284" s="6"/>
      <c r="I284" s="10"/>
      <c r="J284" s="7"/>
      <c r="K284" s="6"/>
      <c r="L284" s="10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10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</row>
    <row r="285">
      <c r="A285" s="7"/>
      <c r="B285" s="7"/>
      <c r="C285" s="10"/>
      <c r="D285" s="7"/>
      <c r="E285" s="6"/>
      <c r="F285" s="10"/>
      <c r="G285" s="7"/>
      <c r="H285" s="6"/>
      <c r="I285" s="10"/>
      <c r="J285" s="7"/>
      <c r="K285" s="6"/>
      <c r="L285" s="10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10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</row>
    <row r="286">
      <c r="A286" s="7"/>
      <c r="B286" s="7"/>
      <c r="C286" s="10"/>
      <c r="D286" s="7"/>
      <c r="E286" s="6"/>
      <c r="F286" s="10"/>
      <c r="G286" s="7"/>
      <c r="H286" s="6"/>
      <c r="I286" s="10"/>
      <c r="J286" s="7"/>
      <c r="K286" s="6"/>
      <c r="L286" s="10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10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</row>
    <row r="287">
      <c r="A287" s="7"/>
      <c r="B287" s="7"/>
      <c r="C287" s="10"/>
      <c r="D287" s="7"/>
      <c r="E287" s="6"/>
      <c r="F287" s="10"/>
      <c r="G287" s="7"/>
      <c r="H287" s="6"/>
      <c r="I287" s="10"/>
      <c r="J287" s="7"/>
      <c r="K287" s="6"/>
      <c r="L287" s="10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10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</row>
    <row r="288">
      <c r="A288" s="7"/>
      <c r="B288" s="7"/>
      <c r="C288" s="10"/>
      <c r="D288" s="7"/>
      <c r="E288" s="6"/>
      <c r="F288" s="10"/>
      <c r="G288" s="7"/>
      <c r="H288" s="6"/>
      <c r="I288" s="10"/>
      <c r="J288" s="7"/>
      <c r="K288" s="6"/>
      <c r="L288" s="10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10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</row>
    <row r="289">
      <c r="A289" s="7"/>
      <c r="B289" s="7"/>
      <c r="C289" s="10"/>
      <c r="D289" s="7"/>
      <c r="E289" s="6"/>
      <c r="F289" s="10"/>
      <c r="G289" s="7"/>
      <c r="H289" s="6"/>
      <c r="I289" s="10"/>
      <c r="J289" s="7"/>
      <c r="K289" s="6"/>
      <c r="L289" s="10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10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</row>
    <row r="290">
      <c r="A290" s="7"/>
      <c r="B290" s="7"/>
      <c r="C290" s="10"/>
      <c r="D290" s="7"/>
      <c r="E290" s="6"/>
      <c r="F290" s="10"/>
      <c r="G290" s="7"/>
      <c r="H290" s="6"/>
      <c r="I290" s="10"/>
      <c r="J290" s="7"/>
      <c r="K290" s="6"/>
      <c r="L290" s="10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10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</row>
    <row r="291">
      <c r="A291" s="7"/>
      <c r="B291" s="7"/>
      <c r="C291" s="10"/>
      <c r="D291" s="7"/>
      <c r="E291" s="6"/>
      <c r="F291" s="10"/>
      <c r="G291" s="7"/>
      <c r="H291" s="6"/>
      <c r="I291" s="10"/>
      <c r="J291" s="7"/>
      <c r="K291" s="6"/>
      <c r="L291" s="10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10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</row>
    <row r="292">
      <c r="A292" s="7"/>
      <c r="B292" s="7"/>
      <c r="C292" s="10"/>
      <c r="D292" s="7"/>
      <c r="E292" s="6"/>
      <c r="F292" s="10"/>
      <c r="G292" s="7"/>
      <c r="H292" s="6"/>
      <c r="I292" s="10"/>
      <c r="J292" s="7"/>
      <c r="K292" s="6"/>
      <c r="L292" s="10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10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</row>
    <row r="293">
      <c r="A293" s="7"/>
      <c r="B293" s="7"/>
      <c r="C293" s="10"/>
      <c r="D293" s="7"/>
      <c r="E293" s="6"/>
      <c r="F293" s="10"/>
      <c r="G293" s="7"/>
      <c r="H293" s="6"/>
      <c r="I293" s="10"/>
      <c r="J293" s="7"/>
      <c r="K293" s="6"/>
      <c r="L293" s="10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10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</row>
    <row r="294">
      <c r="A294" s="7"/>
      <c r="B294" s="7"/>
      <c r="C294" s="10"/>
      <c r="D294" s="7"/>
      <c r="E294" s="6"/>
      <c r="F294" s="10"/>
      <c r="G294" s="7"/>
      <c r="H294" s="6"/>
      <c r="I294" s="10"/>
      <c r="J294" s="7"/>
      <c r="K294" s="6"/>
      <c r="L294" s="10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10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</row>
    <row r="295">
      <c r="A295" s="7"/>
      <c r="B295" s="7"/>
      <c r="C295" s="10"/>
      <c r="D295" s="7"/>
      <c r="E295" s="6"/>
      <c r="F295" s="10"/>
      <c r="G295" s="7"/>
      <c r="H295" s="6"/>
      <c r="I295" s="10"/>
      <c r="J295" s="7"/>
      <c r="K295" s="6"/>
      <c r="L295" s="10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10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</row>
    <row r="296">
      <c r="A296" s="7"/>
      <c r="B296" s="7"/>
      <c r="C296" s="10"/>
      <c r="D296" s="7"/>
      <c r="E296" s="6"/>
      <c r="F296" s="10"/>
      <c r="G296" s="7"/>
      <c r="H296" s="6"/>
      <c r="I296" s="10"/>
      <c r="J296" s="7"/>
      <c r="K296" s="6"/>
      <c r="L296" s="10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10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</row>
    <row r="297">
      <c r="A297" s="7"/>
      <c r="B297" s="7"/>
      <c r="C297" s="10"/>
      <c r="D297" s="7"/>
      <c r="E297" s="6"/>
      <c r="F297" s="10"/>
      <c r="G297" s="7"/>
      <c r="H297" s="6"/>
      <c r="I297" s="10"/>
      <c r="J297" s="7"/>
      <c r="K297" s="6"/>
      <c r="L297" s="10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10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</row>
    <row r="298">
      <c r="A298" s="7"/>
      <c r="B298" s="7"/>
      <c r="C298" s="10"/>
      <c r="D298" s="7"/>
      <c r="E298" s="6"/>
      <c r="F298" s="10"/>
      <c r="G298" s="7"/>
      <c r="H298" s="6"/>
      <c r="I298" s="10"/>
      <c r="J298" s="7"/>
      <c r="K298" s="6"/>
      <c r="L298" s="10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10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</row>
    <row r="299">
      <c r="A299" s="7"/>
      <c r="B299" s="7"/>
      <c r="C299" s="10"/>
      <c r="D299" s="7"/>
      <c r="E299" s="6"/>
      <c r="F299" s="10"/>
      <c r="G299" s="7"/>
      <c r="H299" s="6"/>
      <c r="I299" s="10"/>
      <c r="J299" s="7"/>
      <c r="K299" s="6"/>
      <c r="L299" s="10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10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</row>
    <row r="300">
      <c r="A300" s="7"/>
      <c r="B300" s="7"/>
      <c r="C300" s="10"/>
      <c r="D300" s="7"/>
      <c r="E300" s="6"/>
      <c r="F300" s="10"/>
      <c r="G300" s="7"/>
      <c r="H300" s="6"/>
      <c r="I300" s="10"/>
      <c r="J300" s="7"/>
      <c r="K300" s="6"/>
      <c r="L300" s="10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10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</row>
    <row r="301">
      <c r="A301" s="7"/>
      <c r="B301" s="7"/>
      <c r="C301" s="10"/>
      <c r="D301" s="7"/>
      <c r="E301" s="6"/>
      <c r="F301" s="10"/>
      <c r="G301" s="7"/>
      <c r="H301" s="6"/>
      <c r="I301" s="10"/>
      <c r="J301" s="7"/>
      <c r="K301" s="6"/>
      <c r="L301" s="10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10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</row>
    <row r="302">
      <c r="A302" s="7"/>
      <c r="B302" s="7"/>
      <c r="C302" s="10"/>
      <c r="D302" s="7"/>
      <c r="E302" s="6"/>
      <c r="F302" s="10"/>
      <c r="G302" s="7"/>
      <c r="H302" s="6"/>
      <c r="I302" s="10"/>
      <c r="J302" s="7"/>
      <c r="K302" s="6"/>
      <c r="L302" s="10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10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</row>
    <row r="303">
      <c r="A303" s="7"/>
      <c r="B303" s="7"/>
      <c r="C303" s="10"/>
      <c r="D303" s="7"/>
      <c r="E303" s="6"/>
      <c r="F303" s="10"/>
      <c r="G303" s="7"/>
      <c r="H303" s="6"/>
      <c r="I303" s="10"/>
      <c r="J303" s="7"/>
      <c r="K303" s="6"/>
      <c r="L303" s="10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10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</row>
    <row r="304">
      <c r="A304" s="7"/>
      <c r="B304" s="7"/>
      <c r="C304" s="10"/>
      <c r="D304" s="7"/>
      <c r="E304" s="6"/>
      <c r="F304" s="10"/>
      <c r="G304" s="7"/>
      <c r="H304" s="6"/>
      <c r="I304" s="10"/>
      <c r="J304" s="7"/>
      <c r="K304" s="6"/>
      <c r="L304" s="10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10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</row>
    <row r="305">
      <c r="A305" s="7"/>
      <c r="B305" s="7"/>
      <c r="C305" s="10"/>
      <c r="D305" s="7"/>
      <c r="E305" s="6"/>
      <c r="F305" s="10"/>
      <c r="G305" s="7"/>
      <c r="H305" s="6"/>
      <c r="I305" s="10"/>
      <c r="J305" s="7"/>
      <c r="K305" s="6"/>
      <c r="L305" s="10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10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</row>
    <row r="306">
      <c r="A306" s="7"/>
      <c r="B306" s="7"/>
      <c r="C306" s="10"/>
      <c r="D306" s="7"/>
      <c r="E306" s="6"/>
      <c r="F306" s="10"/>
      <c r="G306" s="7"/>
      <c r="H306" s="6"/>
      <c r="I306" s="10"/>
      <c r="J306" s="7"/>
      <c r="K306" s="6"/>
      <c r="L306" s="10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10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</row>
    <row r="307">
      <c r="A307" s="7"/>
      <c r="B307" s="7"/>
      <c r="C307" s="10"/>
      <c r="D307" s="7"/>
      <c r="E307" s="6"/>
      <c r="F307" s="10"/>
      <c r="G307" s="7"/>
      <c r="H307" s="6"/>
      <c r="I307" s="10"/>
      <c r="J307" s="7"/>
      <c r="K307" s="6"/>
      <c r="L307" s="10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10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</row>
    <row r="308">
      <c r="A308" s="7"/>
      <c r="B308" s="7"/>
      <c r="C308" s="10"/>
      <c r="D308" s="7"/>
      <c r="E308" s="6"/>
      <c r="F308" s="10"/>
      <c r="G308" s="7"/>
      <c r="H308" s="6"/>
      <c r="I308" s="10"/>
      <c r="J308" s="7"/>
      <c r="K308" s="6"/>
      <c r="L308" s="10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10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</row>
    <row r="309">
      <c r="A309" s="7"/>
      <c r="B309" s="7"/>
      <c r="C309" s="10"/>
      <c r="D309" s="7"/>
      <c r="E309" s="6"/>
      <c r="F309" s="10"/>
      <c r="G309" s="7"/>
      <c r="H309" s="6"/>
      <c r="I309" s="10"/>
      <c r="J309" s="7"/>
      <c r="K309" s="6"/>
      <c r="L309" s="10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10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</row>
    <row r="310">
      <c r="A310" s="7"/>
      <c r="B310" s="7"/>
      <c r="C310" s="10"/>
      <c r="D310" s="7"/>
      <c r="E310" s="6"/>
      <c r="F310" s="10"/>
      <c r="G310" s="7"/>
      <c r="H310" s="6"/>
      <c r="I310" s="10"/>
      <c r="J310" s="7"/>
      <c r="K310" s="6"/>
      <c r="L310" s="10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10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</row>
    <row r="311">
      <c r="A311" s="7"/>
      <c r="B311" s="7"/>
      <c r="C311" s="10"/>
      <c r="D311" s="7"/>
      <c r="E311" s="6"/>
      <c r="F311" s="10"/>
      <c r="G311" s="7"/>
      <c r="H311" s="6"/>
      <c r="I311" s="10"/>
      <c r="J311" s="7"/>
      <c r="K311" s="6"/>
      <c r="L311" s="10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10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</row>
    <row r="312">
      <c r="A312" s="7"/>
      <c r="B312" s="7"/>
      <c r="C312" s="10"/>
      <c r="D312" s="7"/>
      <c r="E312" s="6"/>
      <c r="F312" s="10"/>
      <c r="G312" s="7"/>
      <c r="H312" s="6"/>
      <c r="I312" s="10"/>
      <c r="J312" s="7"/>
      <c r="K312" s="6"/>
      <c r="L312" s="10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10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</row>
    <row r="313">
      <c r="A313" s="7"/>
      <c r="B313" s="7"/>
      <c r="C313" s="10"/>
      <c r="D313" s="7"/>
      <c r="E313" s="6"/>
      <c r="F313" s="10"/>
      <c r="G313" s="7"/>
      <c r="H313" s="6"/>
      <c r="I313" s="10"/>
      <c r="J313" s="7"/>
      <c r="K313" s="6"/>
      <c r="L313" s="10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10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</row>
    <row r="314">
      <c r="A314" s="7"/>
      <c r="B314" s="7"/>
      <c r="C314" s="10"/>
      <c r="D314" s="7"/>
      <c r="E314" s="6"/>
      <c r="F314" s="10"/>
      <c r="G314" s="7"/>
      <c r="H314" s="6"/>
      <c r="I314" s="10"/>
      <c r="J314" s="7"/>
      <c r="K314" s="6"/>
      <c r="L314" s="10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10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</row>
    <row r="315">
      <c r="A315" s="7"/>
      <c r="B315" s="7"/>
      <c r="C315" s="10"/>
      <c r="D315" s="7"/>
      <c r="E315" s="6"/>
      <c r="F315" s="10"/>
      <c r="G315" s="7"/>
      <c r="H315" s="6"/>
      <c r="I315" s="10"/>
      <c r="J315" s="7"/>
      <c r="K315" s="6"/>
      <c r="L315" s="10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10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</row>
    <row r="316">
      <c r="A316" s="7"/>
      <c r="B316" s="7"/>
      <c r="C316" s="10"/>
      <c r="D316" s="7"/>
      <c r="E316" s="6"/>
      <c r="F316" s="10"/>
      <c r="G316" s="7"/>
      <c r="H316" s="6"/>
      <c r="I316" s="10"/>
      <c r="J316" s="7"/>
      <c r="K316" s="6"/>
      <c r="L316" s="10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10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</row>
    <row r="317">
      <c r="A317" s="7"/>
      <c r="B317" s="7"/>
      <c r="C317" s="10"/>
      <c r="D317" s="7"/>
      <c r="E317" s="6"/>
      <c r="F317" s="10"/>
      <c r="G317" s="7"/>
      <c r="H317" s="6"/>
      <c r="I317" s="10"/>
      <c r="J317" s="7"/>
      <c r="K317" s="6"/>
      <c r="L317" s="10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10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</row>
    <row r="318">
      <c r="A318" s="7"/>
      <c r="B318" s="7"/>
      <c r="C318" s="10"/>
      <c r="D318" s="7"/>
      <c r="E318" s="6"/>
      <c r="F318" s="10"/>
      <c r="G318" s="7"/>
      <c r="H318" s="6"/>
      <c r="I318" s="10"/>
      <c r="J318" s="7"/>
      <c r="K318" s="6"/>
      <c r="L318" s="10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10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</row>
    <row r="319">
      <c r="A319" s="7"/>
      <c r="B319" s="7"/>
      <c r="C319" s="10"/>
      <c r="D319" s="7"/>
      <c r="E319" s="6"/>
      <c r="F319" s="10"/>
      <c r="G319" s="7"/>
      <c r="H319" s="6"/>
      <c r="I319" s="10"/>
      <c r="J319" s="7"/>
      <c r="K319" s="6"/>
      <c r="L319" s="10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10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</row>
    <row r="320">
      <c r="A320" s="7"/>
      <c r="B320" s="7"/>
      <c r="C320" s="10"/>
      <c r="D320" s="7"/>
      <c r="E320" s="6"/>
      <c r="F320" s="10"/>
      <c r="G320" s="7"/>
      <c r="H320" s="6"/>
      <c r="I320" s="10"/>
      <c r="J320" s="7"/>
      <c r="K320" s="6"/>
      <c r="L320" s="10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10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</row>
    <row r="321">
      <c r="A321" s="7"/>
      <c r="B321" s="7"/>
      <c r="C321" s="10"/>
      <c r="D321" s="7"/>
      <c r="E321" s="6"/>
      <c r="F321" s="10"/>
      <c r="G321" s="7"/>
      <c r="H321" s="6"/>
      <c r="I321" s="10"/>
      <c r="J321" s="7"/>
      <c r="K321" s="6"/>
      <c r="L321" s="10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10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</row>
    <row r="322">
      <c r="A322" s="7"/>
      <c r="B322" s="7"/>
      <c r="C322" s="10"/>
      <c r="D322" s="7"/>
      <c r="E322" s="6"/>
      <c r="F322" s="10"/>
      <c r="G322" s="7"/>
      <c r="H322" s="6"/>
      <c r="I322" s="10"/>
      <c r="J322" s="7"/>
      <c r="K322" s="6"/>
      <c r="L322" s="10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10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</row>
    <row r="323">
      <c r="A323" s="7"/>
      <c r="B323" s="7"/>
      <c r="C323" s="10"/>
      <c r="D323" s="7"/>
      <c r="E323" s="6"/>
      <c r="F323" s="10"/>
      <c r="G323" s="7"/>
      <c r="H323" s="6"/>
      <c r="I323" s="10"/>
      <c r="J323" s="7"/>
      <c r="K323" s="6"/>
      <c r="L323" s="10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10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</row>
    <row r="324">
      <c r="A324" s="7"/>
      <c r="B324" s="7"/>
      <c r="C324" s="10"/>
      <c r="D324" s="7"/>
      <c r="E324" s="6"/>
      <c r="F324" s="10"/>
      <c r="G324" s="7"/>
      <c r="H324" s="6"/>
      <c r="I324" s="10"/>
      <c r="J324" s="7"/>
      <c r="K324" s="6"/>
      <c r="L324" s="10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10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</row>
    <row r="325">
      <c r="A325" s="7"/>
      <c r="B325" s="7"/>
      <c r="C325" s="10"/>
      <c r="D325" s="7"/>
      <c r="E325" s="6"/>
      <c r="F325" s="10"/>
      <c r="G325" s="7"/>
      <c r="H325" s="6"/>
      <c r="I325" s="10"/>
      <c r="J325" s="7"/>
      <c r="K325" s="6"/>
      <c r="L325" s="10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10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</row>
    <row r="326">
      <c r="A326" s="7"/>
      <c r="B326" s="7"/>
      <c r="C326" s="10"/>
      <c r="D326" s="7"/>
      <c r="E326" s="6"/>
      <c r="F326" s="10"/>
      <c r="G326" s="7"/>
      <c r="H326" s="6"/>
      <c r="I326" s="10"/>
      <c r="J326" s="7"/>
      <c r="K326" s="6"/>
      <c r="L326" s="10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10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</row>
    <row r="327">
      <c r="A327" s="7"/>
      <c r="B327" s="7"/>
      <c r="C327" s="10"/>
      <c r="D327" s="7"/>
      <c r="E327" s="6"/>
      <c r="F327" s="10"/>
      <c r="G327" s="7"/>
      <c r="H327" s="6"/>
      <c r="I327" s="10"/>
      <c r="J327" s="7"/>
      <c r="K327" s="6"/>
      <c r="L327" s="10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10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</row>
    <row r="328">
      <c r="A328" s="7"/>
      <c r="B328" s="7"/>
      <c r="C328" s="10"/>
      <c r="D328" s="7"/>
      <c r="E328" s="6"/>
      <c r="F328" s="10"/>
      <c r="G328" s="7"/>
      <c r="H328" s="6"/>
      <c r="I328" s="10"/>
      <c r="J328" s="7"/>
      <c r="K328" s="6"/>
      <c r="L328" s="10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10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</row>
    <row r="329">
      <c r="A329" s="7"/>
      <c r="B329" s="7"/>
      <c r="C329" s="10"/>
      <c r="D329" s="7"/>
      <c r="E329" s="6"/>
      <c r="F329" s="10"/>
      <c r="G329" s="7"/>
      <c r="H329" s="6"/>
      <c r="I329" s="10"/>
      <c r="J329" s="7"/>
      <c r="K329" s="6"/>
      <c r="L329" s="10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10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</row>
    <row r="330">
      <c r="A330" s="7"/>
      <c r="B330" s="7"/>
      <c r="C330" s="10"/>
      <c r="D330" s="7"/>
      <c r="E330" s="6"/>
      <c r="F330" s="10"/>
      <c r="G330" s="7"/>
      <c r="H330" s="6"/>
      <c r="I330" s="10"/>
      <c r="J330" s="7"/>
      <c r="K330" s="6"/>
      <c r="L330" s="10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10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</row>
    <row r="331">
      <c r="A331" s="7"/>
      <c r="B331" s="7"/>
      <c r="C331" s="10"/>
      <c r="D331" s="7"/>
      <c r="E331" s="6"/>
      <c r="F331" s="10"/>
      <c r="G331" s="7"/>
      <c r="H331" s="6"/>
      <c r="I331" s="10"/>
      <c r="J331" s="7"/>
      <c r="K331" s="6"/>
      <c r="L331" s="10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10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</row>
    <row r="332">
      <c r="A332" s="7"/>
      <c r="B332" s="7"/>
      <c r="C332" s="10"/>
      <c r="D332" s="7"/>
      <c r="E332" s="6"/>
      <c r="F332" s="10"/>
      <c r="G332" s="7"/>
      <c r="H332" s="6"/>
      <c r="I332" s="10"/>
      <c r="J332" s="7"/>
      <c r="K332" s="6"/>
      <c r="L332" s="10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10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</row>
    <row r="333">
      <c r="A333" s="7"/>
      <c r="B333" s="7"/>
      <c r="C333" s="10"/>
      <c r="D333" s="7"/>
      <c r="E333" s="6"/>
      <c r="F333" s="10"/>
      <c r="G333" s="7"/>
      <c r="H333" s="6"/>
      <c r="I333" s="10"/>
      <c r="J333" s="7"/>
      <c r="K333" s="6"/>
      <c r="L333" s="10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10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</row>
    <row r="334">
      <c r="A334" s="7"/>
      <c r="B334" s="7"/>
      <c r="C334" s="10"/>
      <c r="D334" s="7"/>
      <c r="E334" s="6"/>
      <c r="F334" s="10"/>
      <c r="G334" s="7"/>
      <c r="H334" s="6"/>
      <c r="I334" s="10"/>
      <c r="J334" s="7"/>
      <c r="K334" s="6"/>
      <c r="L334" s="10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10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</row>
    <row r="335">
      <c r="A335" s="7"/>
      <c r="B335" s="7"/>
      <c r="C335" s="10"/>
      <c r="D335" s="7"/>
      <c r="E335" s="6"/>
      <c r="F335" s="10"/>
      <c r="G335" s="7"/>
      <c r="H335" s="6"/>
      <c r="I335" s="10"/>
      <c r="J335" s="7"/>
      <c r="K335" s="6"/>
      <c r="L335" s="10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10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</row>
    <row r="336">
      <c r="A336" s="7"/>
      <c r="B336" s="7"/>
      <c r="C336" s="10"/>
      <c r="D336" s="7"/>
      <c r="E336" s="6"/>
      <c r="F336" s="10"/>
      <c r="G336" s="7"/>
      <c r="H336" s="6"/>
      <c r="I336" s="10"/>
      <c r="J336" s="7"/>
      <c r="K336" s="6"/>
      <c r="L336" s="10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10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</row>
    <row r="337">
      <c r="A337" s="7"/>
      <c r="B337" s="7"/>
      <c r="C337" s="10"/>
      <c r="D337" s="7"/>
      <c r="E337" s="6"/>
      <c r="F337" s="10"/>
      <c r="G337" s="7"/>
      <c r="H337" s="6"/>
      <c r="I337" s="10"/>
      <c r="J337" s="7"/>
      <c r="K337" s="6"/>
      <c r="L337" s="10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10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</row>
    <row r="338">
      <c r="A338" s="7"/>
      <c r="B338" s="7"/>
      <c r="C338" s="10"/>
      <c r="D338" s="7"/>
      <c r="E338" s="6"/>
      <c r="F338" s="10"/>
      <c r="G338" s="7"/>
      <c r="H338" s="6"/>
      <c r="I338" s="10"/>
      <c r="J338" s="7"/>
      <c r="K338" s="6"/>
      <c r="L338" s="10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10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</row>
    <row r="339">
      <c r="A339" s="7"/>
      <c r="B339" s="7"/>
      <c r="C339" s="10"/>
      <c r="D339" s="7"/>
      <c r="E339" s="6"/>
      <c r="F339" s="10"/>
      <c r="G339" s="7"/>
      <c r="H339" s="6"/>
      <c r="I339" s="10"/>
      <c r="J339" s="7"/>
      <c r="K339" s="6"/>
      <c r="L339" s="10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10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</row>
    <row r="340">
      <c r="A340" s="7"/>
      <c r="B340" s="7"/>
      <c r="C340" s="10"/>
      <c r="D340" s="7"/>
      <c r="E340" s="6"/>
      <c r="F340" s="10"/>
      <c r="G340" s="7"/>
      <c r="H340" s="6"/>
      <c r="I340" s="10"/>
      <c r="J340" s="7"/>
      <c r="K340" s="6"/>
      <c r="L340" s="10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10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</row>
    <row r="341">
      <c r="A341" s="7"/>
      <c r="B341" s="7"/>
      <c r="C341" s="10"/>
      <c r="D341" s="7"/>
      <c r="E341" s="6"/>
      <c r="F341" s="10"/>
      <c r="G341" s="7"/>
      <c r="H341" s="6"/>
      <c r="I341" s="10"/>
      <c r="J341" s="7"/>
      <c r="K341" s="6"/>
      <c r="L341" s="10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10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</row>
    <row r="342">
      <c r="A342" s="7"/>
      <c r="B342" s="7"/>
      <c r="C342" s="10"/>
      <c r="D342" s="7"/>
      <c r="E342" s="6"/>
      <c r="F342" s="10"/>
      <c r="G342" s="7"/>
      <c r="H342" s="6"/>
      <c r="I342" s="10"/>
      <c r="J342" s="7"/>
      <c r="K342" s="6"/>
      <c r="L342" s="10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10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</row>
    <row r="343">
      <c r="A343" s="7"/>
      <c r="B343" s="7"/>
      <c r="C343" s="10"/>
      <c r="D343" s="7"/>
      <c r="E343" s="6"/>
      <c r="F343" s="10"/>
      <c r="G343" s="7"/>
      <c r="H343" s="6"/>
      <c r="I343" s="10"/>
      <c r="J343" s="7"/>
      <c r="K343" s="6"/>
      <c r="L343" s="10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10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</row>
    <row r="344">
      <c r="A344" s="7"/>
      <c r="B344" s="7"/>
      <c r="C344" s="10"/>
      <c r="D344" s="7"/>
      <c r="E344" s="6"/>
      <c r="F344" s="10"/>
      <c r="G344" s="7"/>
      <c r="H344" s="6"/>
      <c r="I344" s="10"/>
      <c r="J344" s="7"/>
      <c r="K344" s="6"/>
      <c r="L344" s="10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10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</row>
    <row r="345">
      <c r="A345" s="7"/>
      <c r="B345" s="7"/>
      <c r="C345" s="10"/>
      <c r="D345" s="7"/>
      <c r="E345" s="6"/>
      <c r="F345" s="10"/>
      <c r="G345" s="7"/>
      <c r="H345" s="6"/>
      <c r="I345" s="10"/>
      <c r="J345" s="7"/>
      <c r="K345" s="6"/>
      <c r="L345" s="10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10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</row>
    <row r="346">
      <c r="A346" s="7"/>
      <c r="B346" s="7"/>
      <c r="C346" s="10"/>
      <c r="D346" s="7"/>
      <c r="E346" s="6"/>
      <c r="F346" s="10"/>
      <c r="G346" s="7"/>
      <c r="H346" s="6"/>
      <c r="I346" s="10"/>
      <c r="J346" s="7"/>
      <c r="K346" s="6"/>
      <c r="L346" s="10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10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</row>
    <row r="347">
      <c r="A347" s="7"/>
      <c r="B347" s="7"/>
      <c r="C347" s="10"/>
      <c r="D347" s="7"/>
      <c r="E347" s="6"/>
      <c r="F347" s="10"/>
      <c r="G347" s="7"/>
      <c r="H347" s="6"/>
      <c r="I347" s="10"/>
      <c r="J347" s="7"/>
      <c r="K347" s="6"/>
      <c r="L347" s="10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10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</row>
    <row r="348">
      <c r="A348" s="7"/>
      <c r="B348" s="7"/>
      <c r="C348" s="10"/>
      <c r="D348" s="7"/>
      <c r="E348" s="6"/>
      <c r="F348" s="10"/>
      <c r="G348" s="7"/>
      <c r="H348" s="6"/>
      <c r="I348" s="10"/>
      <c r="J348" s="7"/>
      <c r="K348" s="6"/>
      <c r="L348" s="10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10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</row>
    <row r="349">
      <c r="A349" s="7"/>
      <c r="B349" s="7"/>
      <c r="C349" s="10"/>
      <c r="D349" s="7"/>
      <c r="E349" s="6"/>
      <c r="F349" s="10"/>
      <c r="G349" s="7"/>
      <c r="H349" s="6"/>
      <c r="I349" s="10"/>
      <c r="J349" s="7"/>
      <c r="K349" s="6"/>
      <c r="L349" s="10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10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</row>
    <row r="350">
      <c r="A350" s="7"/>
      <c r="B350" s="7"/>
      <c r="C350" s="10"/>
      <c r="D350" s="7"/>
      <c r="E350" s="6"/>
      <c r="F350" s="10"/>
      <c r="G350" s="7"/>
      <c r="H350" s="6"/>
      <c r="I350" s="10"/>
      <c r="J350" s="7"/>
      <c r="K350" s="6"/>
      <c r="L350" s="10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10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</row>
    <row r="351">
      <c r="A351" s="7"/>
      <c r="B351" s="7"/>
      <c r="C351" s="10"/>
      <c r="D351" s="7"/>
      <c r="E351" s="6"/>
      <c r="F351" s="10"/>
      <c r="G351" s="7"/>
      <c r="H351" s="6"/>
      <c r="I351" s="10"/>
      <c r="J351" s="7"/>
      <c r="K351" s="6"/>
      <c r="L351" s="10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10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</row>
    <row r="352">
      <c r="A352" s="7"/>
      <c r="B352" s="7"/>
      <c r="C352" s="10"/>
      <c r="D352" s="7"/>
      <c r="E352" s="6"/>
      <c r="F352" s="10"/>
      <c r="G352" s="7"/>
      <c r="H352" s="6"/>
      <c r="I352" s="10"/>
      <c r="J352" s="7"/>
      <c r="K352" s="6"/>
      <c r="L352" s="10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10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</row>
    <row r="353">
      <c r="A353" s="7"/>
      <c r="B353" s="7"/>
      <c r="C353" s="10"/>
      <c r="D353" s="7"/>
      <c r="E353" s="6"/>
      <c r="F353" s="10"/>
      <c r="G353" s="7"/>
      <c r="H353" s="6"/>
      <c r="I353" s="10"/>
      <c r="J353" s="7"/>
      <c r="K353" s="6"/>
      <c r="L353" s="10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10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</row>
    <row r="354">
      <c r="A354" s="7"/>
      <c r="B354" s="7"/>
      <c r="C354" s="10"/>
      <c r="D354" s="7"/>
      <c r="E354" s="6"/>
      <c r="F354" s="10"/>
      <c r="G354" s="7"/>
      <c r="H354" s="6"/>
      <c r="I354" s="10"/>
      <c r="J354" s="7"/>
      <c r="K354" s="6"/>
      <c r="L354" s="10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10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</row>
    <row r="355">
      <c r="A355" s="7"/>
      <c r="B355" s="7"/>
      <c r="C355" s="10"/>
      <c r="D355" s="7"/>
      <c r="E355" s="6"/>
      <c r="F355" s="10"/>
      <c r="G355" s="7"/>
      <c r="H355" s="6"/>
      <c r="I355" s="10"/>
      <c r="J355" s="7"/>
      <c r="K355" s="6"/>
      <c r="L355" s="10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10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</row>
    <row r="356">
      <c r="A356" s="7"/>
      <c r="B356" s="7"/>
      <c r="C356" s="10"/>
      <c r="D356" s="7"/>
      <c r="E356" s="6"/>
      <c r="F356" s="10"/>
      <c r="G356" s="7"/>
      <c r="H356" s="6"/>
      <c r="I356" s="10"/>
      <c r="J356" s="7"/>
      <c r="K356" s="6"/>
      <c r="L356" s="10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10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</row>
    <row r="357">
      <c r="A357" s="7"/>
      <c r="B357" s="7"/>
      <c r="C357" s="10"/>
      <c r="D357" s="7"/>
      <c r="E357" s="6"/>
      <c r="F357" s="10"/>
      <c r="G357" s="7"/>
      <c r="H357" s="6"/>
      <c r="I357" s="10"/>
      <c r="J357" s="7"/>
      <c r="K357" s="6"/>
      <c r="L357" s="10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10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</row>
    <row r="358">
      <c r="A358" s="7"/>
      <c r="B358" s="7"/>
      <c r="C358" s="10"/>
      <c r="D358" s="7"/>
      <c r="E358" s="6"/>
      <c r="F358" s="10"/>
      <c r="G358" s="7"/>
      <c r="H358" s="6"/>
      <c r="I358" s="10"/>
      <c r="J358" s="7"/>
      <c r="K358" s="6"/>
      <c r="L358" s="10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10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</row>
    <row r="359">
      <c r="A359" s="7"/>
      <c r="B359" s="7"/>
      <c r="C359" s="10"/>
      <c r="D359" s="7"/>
      <c r="E359" s="6"/>
      <c r="F359" s="10"/>
      <c r="G359" s="7"/>
      <c r="H359" s="6"/>
      <c r="I359" s="10"/>
      <c r="J359" s="7"/>
      <c r="K359" s="6"/>
      <c r="L359" s="10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10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</row>
    <row r="360">
      <c r="A360" s="7"/>
      <c r="B360" s="7"/>
      <c r="C360" s="10"/>
      <c r="D360" s="7"/>
      <c r="E360" s="6"/>
      <c r="F360" s="10"/>
      <c r="G360" s="7"/>
      <c r="H360" s="6"/>
      <c r="I360" s="10"/>
      <c r="J360" s="7"/>
      <c r="K360" s="6"/>
      <c r="L360" s="10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10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</row>
    <row r="361">
      <c r="A361" s="7"/>
      <c r="B361" s="7"/>
      <c r="C361" s="10"/>
      <c r="D361" s="7"/>
      <c r="E361" s="6"/>
      <c r="F361" s="10"/>
      <c r="G361" s="7"/>
      <c r="H361" s="6"/>
      <c r="I361" s="10"/>
      <c r="J361" s="7"/>
      <c r="K361" s="6"/>
      <c r="L361" s="10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10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</row>
    <row r="362">
      <c r="A362" s="7"/>
      <c r="B362" s="7"/>
      <c r="C362" s="10"/>
      <c r="D362" s="7"/>
      <c r="E362" s="6"/>
      <c r="F362" s="10"/>
      <c r="G362" s="7"/>
      <c r="H362" s="6"/>
      <c r="I362" s="10"/>
      <c r="J362" s="7"/>
      <c r="K362" s="6"/>
      <c r="L362" s="10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10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</row>
    <row r="363">
      <c r="A363" s="7"/>
      <c r="B363" s="7"/>
      <c r="C363" s="10"/>
      <c r="D363" s="7"/>
      <c r="E363" s="6"/>
      <c r="F363" s="10"/>
      <c r="G363" s="7"/>
      <c r="H363" s="6"/>
      <c r="I363" s="10"/>
      <c r="J363" s="7"/>
      <c r="K363" s="6"/>
      <c r="L363" s="10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10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</row>
    <row r="364">
      <c r="A364" s="7"/>
      <c r="B364" s="7"/>
      <c r="C364" s="10"/>
      <c r="D364" s="7"/>
      <c r="E364" s="6"/>
      <c r="F364" s="10"/>
      <c r="G364" s="7"/>
      <c r="H364" s="6"/>
      <c r="I364" s="10"/>
      <c r="J364" s="7"/>
      <c r="K364" s="6"/>
      <c r="L364" s="10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10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</row>
    <row r="365">
      <c r="A365" s="7"/>
      <c r="B365" s="7"/>
      <c r="C365" s="10"/>
      <c r="D365" s="7"/>
      <c r="E365" s="6"/>
      <c r="F365" s="10"/>
      <c r="G365" s="7"/>
      <c r="H365" s="6"/>
      <c r="I365" s="10"/>
      <c r="J365" s="7"/>
      <c r="K365" s="6"/>
      <c r="L365" s="10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10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</row>
    <row r="366">
      <c r="A366" s="7"/>
      <c r="B366" s="7"/>
      <c r="C366" s="10"/>
      <c r="D366" s="7"/>
      <c r="E366" s="6"/>
      <c r="F366" s="10"/>
      <c r="G366" s="7"/>
      <c r="H366" s="6"/>
      <c r="I366" s="10"/>
      <c r="J366" s="7"/>
      <c r="K366" s="6"/>
      <c r="L366" s="10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10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</row>
    <row r="367">
      <c r="A367" s="7"/>
      <c r="B367" s="7"/>
      <c r="C367" s="10"/>
      <c r="D367" s="7"/>
      <c r="E367" s="6"/>
      <c r="F367" s="10"/>
      <c r="G367" s="7"/>
      <c r="H367" s="6"/>
      <c r="I367" s="10"/>
      <c r="J367" s="7"/>
      <c r="K367" s="6"/>
      <c r="L367" s="10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10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</row>
    <row r="368">
      <c r="A368" s="7"/>
      <c r="B368" s="7"/>
      <c r="C368" s="10"/>
      <c r="D368" s="7"/>
      <c r="E368" s="6"/>
      <c r="F368" s="10"/>
      <c r="G368" s="7"/>
      <c r="H368" s="6"/>
      <c r="I368" s="10"/>
      <c r="J368" s="7"/>
      <c r="K368" s="6"/>
      <c r="L368" s="10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10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</row>
    <row r="369">
      <c r="A369" s="7"/>
      <c r="B369" s="7"/>
      <c r="C369" s="10"/>
      <c r="D369" s="7"/>
      <c r="E369" s="6"/>
      <c r="F369" s="10"/>
      <c r="G369" s="7"/>
      <c r="H369" s="6"/>
      <c r="I369" s="10"/>
      <c r="J369" s="7"/>
      <c r="K369" s="6"/>
      <c r="L369" s="10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10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</row>
    <row r="370">
      <c r="A370" s="7"/>
      <c r="B370" s="7"/>
      <c r="C370" s="10"/>
      <c r="D370" s="7"/>
      <c r="E370" s="6"/>
      <c r="F370" s="10"/>
      <c r="G370" s="7"/>
      <c r="H370" s="6"/>
      <c r="I370" s="10"/>
      <c r="J370" s="7"/>
      <c r="K370" s="6"/>
      <c r="L370" s="10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10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</row>
    <row r="371">
      <c r="A371" s="7"/>
      <c r="B371" s="7"/>
      <c r="C371" s="10"/>
      <c r="D371" s="7"/>
      <c r="E371" s="6"/>
      <c r="F371" s="10"/>
      <c r="G371" s="7"/>
      <c r="H371" s="6"/>
      <c r="I371" s="10"/>
      <c r="J371" s="7"/>
      <c r="K371" s="6"/>
      <c r="L371" s="10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10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</row>
    <row r="372">
      <c r="A372" s="7"/>
      <c r="B372" s="7"/>
      <c r="C372" s="10"/>
      <c r="D372" s="7"/>
      <c r="E372" s="6"/>
      <c r="F372" s="10"/>
      <c r="G372" s="7"/>
      <c r="H372" s="6"/>
      <c r="I372" s="10"/>
      <c r="J372" s="7"/>
      <c r="K372" s="6"/>
      <c r="L372" s="10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10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</row>
    <row r="373">
      <c r="A373" s="7"/>
      <c r="B373" s="7"/>
      <c r="C373" s="10"/>
      <c r="D373" s="7"/>
      <c r="E373" s="6"/>
      <c r="F373" s="10"/>
      <c r="G373" s="7"/>
      <c r="H373" s="6"/>
      <c r="I373" s="10"/>
      <c r="J373" s="7"/>
      <c r="K373" s="6"/>
      <c r="L373" s="10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10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</row>
    <row r="374">
      <c r="A374" s="7"/>
      <c r="B374" s="7"/>
      <c r="C374" s="10"/>
      <c r="D374" s="7"/>
      <c r="E374" s="6"/>
      <c r="F374" s="10"/>
      <c r="G374" s="7"/>
      <c r="H374" s="6"/>
      <c r="I374" s="10"/>
      <c r="J374" s="7"/>
      <c r="K374" s="6"/>
      <c r="L374" s="10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10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</row>
    <row r="375">
      <c r="A375" s="7"/>
      <c r="B375" s="7"/>
      <c r="C375" s="10"/>
      <c r="D375" s="7"/>
      <c r="E375" s="6"/>
      <c r="F375" s="10"/>
      <c r="G375" s="7"/>
      <c r="H375" s="6"/>
      <c r="I375" s="10"/>
      <c r="J375" s="7"/>
      <c r="K375" s="6"/>
      <c r="L375" s="10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10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</row>
    <row r="376">
      <c r="A376" s="7"/>
      <c r="B376" s="7"/>
      <c r="C376" s="10"/>
      <c r="D376" s="7"/>
      <c r="E376" s="6"/>
      <c r="F376" s="10"/>
      <c r="G376" s="7"/>
      <c r="H376" s="6"/>
      <c r="I376" s="10"/>
      <c r="J376" s="7"/>
      <c r="K376" s="6"/>
      <c r="L376" s="10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10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</row>
    <row r="377">
      <c r="A377" s="7"/>
      <c r="B377" s="7"/>
      <c r="C377" s="10"/>
      <c r="D377" s="7"/>
      <c r="E377" s="6"/>
      <c r="F377" s="10"/>
      <c r="G377" s="7"/>
      <c r="H377" s="6"/>
      <c r="I377" s="10"/>
      <c r="J377" s="7"/>
      <c r="K377" s="6"/>
      <c r="L377" s="10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10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</row>
    <row r="378">
      <c r="A378" s="7"/>
      <c r="B378" s="7"/>
      <c r="C378" s="10"/>
      <c r="D378" s="7"/>
      <c r="E378" s="6"/>
      <c r="F378" s="10"/>
      <c r="G378" s="7"/>
      <c r="H378" s="6"/>
      <c r="I378" s="10"/>
      <c r="J378" s="7"/>
      <c r="K378" s="6"/>
      <c r="L378" s="10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10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</row>
    <row r="379">
      <c r="A379" s="7"/>
      <c r="B379" s="7"/>
      <c r="C379" s="10"/>
      <c r="D379" s="7"/>
      <c r="E379" s="6"/>
      <c r="F379" s="10"/>
      <c r="G379" s="7"/>
      <c r="H379" s="6"/>
      <c r="I379" s="10"/>
      <c r="J379" s="7"/>
      <c r="K379" s="6"/>
      <c r="L379" s="10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10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</row>
    <row r="380">
      <c r="A380" s="7"/>
      <c r="B380" s="7"/>
      <c r="C380" s="10"/>
      <c r="D380" s="7"/>
      <c r="E380" s="6"/>
      <c r="F380" s="10"/>
      <c r="G380" s="7"/>
      <c r="H380" s="6"/>
      <c r="I380" s="10"/>
      <c r="J380" s="7"/>
      <c r="K380" s="6"/>
      <c r="L380" s="10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10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</row>
    <row r="381">
      <c r="A381" s="7"/>
      <c r="B381" s="7"/>
      <c r="C381" s="10"/>
      <c r="D381" s="7"/>
      <c r="E381" s="6"/>
      <c r="F381" s="10"/>
      <c r="G381" s="7"/>
      <c r="H381" s="6"/>
      <c r="I381" s="10"/>
      <c r="J381" s="7"/>
      <c r="K381" s="6"/>
      <c r="L381" s="10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10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</row>
    <row r="382">
      <c r="A382" s="7"/>
      <c r="B382" s="7"/>
      <c r="C382" s="10"/>
      <c r="D382" s="7"/>
      <c r="E382" s="6"/>
      <c r="F382" s="10"/>
      <c r="G382" s="7"/>
      <c r="H382" s="6"/>
      <c r="I382" s="10"/>
      <c r="J382" s="7"/>
      <c r="K382" s="6"/>
      <c r="L382" s="10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10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</row>
    <row r="383">
      <c r="A383" s="7"/>
      <c r="B383" s="7"/>
      <c r="C383" s="10"/>
      <c r="D383" s="7"/>
      <c r="E383" s="6"/>
      <c r="F383" s="10"/>
      <c r="G383" s="7"/>
      <c r="H383" s="6"/>
      <c r="I383" s="10"/>
      <c r="J383" s="7"/>
      <c r="K383" s="6"/>
      <c r="L383" s="10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10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</row>
    <row r="384">
      <c r="A384" s="7"/>
      <c r="B384" s="7"/>
      <c r="C384" s="10"/>
      <c r="D384" s="7"/>
      <c r="E384" s="6"/>
      <c r="F384" s="10"/>
      <c r="G384" s="7"/>
      <c r="H384" s="6"/>
      <c r="I384" s="10"/>
      <c r="J384" s="7"/>
      <c r="K384" s="6"/>
      <c r="L384" s="10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10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</row>
    <row r="385">
      <c r="A385" s="7"/>
      <c r="B385" s="7"/>
      <c r="C385" s="10"/>
      <c r="D385" s="7"/>
      <c r="E385" s="6"/>
      <c r="F385" s="10"/>
      <c r="G385" s="7"/>
      <c r="H385" s="6"/>
      <c r="I385" s="10"/>
      <c r="J385" s="7"/>
      <c r="K385" s="6"/>
      <c r="L385" s="10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10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</row>
    <row r="386">
      <c r="A386" s="7"/>
      <c r="B386" s="7"/>
      <c r="C386" s="10"/>
      <c r="D386" s="7"/>
      <c r="E386" s="6"/>
      <c r="F386" s="10"/>
      <c r="G386" s="7"/>
      <c r="H386" s="6"/>
      <c r="I386" s="10"/>
      <c r="J386" s="7"/>
      <c r="K386" s="6"/>
      <c r="L386" s="10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10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</row>
    <row r="387">
      <c r="A387" s="7"/>
      <c r="B387" s="7"/>
      <c r="C387" s="10"/>
      <c r="D387" s="7"/>
      <c r="E387" s="6"/>
      <c r="F387" s="10"/>
      <c r="G387" s="7"/>
      <c r="H387" s="6"/>
      <c r="I387" s="10"/>
      <c r="J387" s="7"/>
      <c r="K387" s="6"/>
      <c r="L387" s="10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10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</row>
    <row r="388">
      <c r="A388" s="7"/>
      <c r="B388" s="7"/>
      <c r="C388" s="10"/>
      <c r="D388" s="7"/>
      <c r="E388" s="6"/>
      <c r="F388" s="10"/>
      <c r="G388" s="7"/>
      <c r="H388" s="6"/>
      <c r="I388" s="10"/>
      <c r="J388" s="7"/>
      <c r="K388" s="6"/>
      <c r="L388" s="10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10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</row>
    <row r="389">
      <c r="A389" s="7"/>
      <c r="B389" s="7"/>
      <c r="C389" s="10"/>
      <c r="D389" s="7"/>
      <c r="E389" s="6"/>
      <c r="F389" s="10"/>
      <c r="G389" s="7"/>
      <c r="H389" s="6"/>
      <c r="I389" s="10"/>
      <c r="J389" s="7"/>
      <c r="K389" s="6"/>
      <c r="L389" s="10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10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</row>
    <row r="390">
      <c r="A390" s="7"/>
      <c r="B390" s="7"/>
      <c r="C390" s="10"/>
      <c r="D390" s="7"/>
      <c r="E390" s="6"/>
      <c r="F390" s="10"/>
      <c r="G390" s="7"/>
      <c r="H390" s="6"/>
      <c r="I390" s="10"/>
      <c r="J390" s="7"/>
      <c r="K390" s="6"/>
      <c r="L390" s="10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10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</row>
    <row r="391">
      <c r="A391" s="7"/>
      <c r="B391" s="7"/>
      <c r="C391" s="10"/>
      <c r="D391" s="7"/>
      <c r="E391" s="6"/>
      <c r="F391" s="10"/>
      <c r="G391" s="7"/>
      <c r="H391" s="6"/>
      <c r="I391" s="10"/>
      <c r="J391" s="7"/>
      <c r="K391" s="6"/>
      <c r="L391" s="10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10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</row>
    <row r="392">
      <c r="A392" s="7"/>
      <c r="B392" s="7"/>
      <c r="C392" s="10"/>
      <c r="D392" s="7"/>
      <c r="E392" s="6"/>
      <c r="F392" s="10"/>
      <c r="G392" s="7"/>
      <c r="H392" s="6"/>
      <c r="I392" s="10"/>
      <c r="J392" s="7"/>
      <c r="K392" s="6"/>
      <c r="L392" s="10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10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</row>
    <row r="393">
      <c r="A393" s="7"/>
      <c r="B393" s="7"/>
      <c r="C393" s="10"/>
      <c r="D393" s="7"/>
      <c r="E393" s="6"/>
      <c r="F393" s="10"/>
      <c r="G393" s="7"/>
      <c r="H393" s="6"/>
      <c r="I393" s="10"/>
      <c r="J393" s="7"/>
      <c r="K393" s="6"/>
      <c r="L393" s="10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10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</row>
    <row r="394">
      <c r="A394" s="7"/>
      <c r="B394" s="7"/>
      <c r="C394" s="10"/>
      <c r="D394" s="7"/>
      <c r="E394" s="6"/>
      <c r="F394" s="10"/>
      <c r="G394" s="7"/>
      <c r="H394" s="6"/>
      <c r="I394" s="10"/>
      <c r="J394" s="7"/>
      <c r="K394" s="6"/>
      <c r="L394" s="10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10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</row>
    <row r="395">
      <c r="A395" s="7"/>
      <c r="B395" s="7"/>
      <c r="C395" s="10"/>
      <c r="D395" s="7"/>
      <c r="E395" s="6"/>
      <c r="F395" s="10"/>
      <c r="G395" s="7"/>
      <c r="H395" s="6"/>
      <c r="I395" s="10"/>
      <c r="J395" s="7"/>
      <c r="K395" s="6"/>
      <c r="L395" s="10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10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</row>
    <row r="396">
      <c r="A396" s="7"/>
      <c r="B396" s="7"/>
      <c r="C396" s="10"/>
      <c r="D396" s="7"/>
      <c r="E396" s="6"/>
      <c r="F396" s="10"/>
      <c r="G396" s="7"/>
      <c r="H396" s="6"/>
      <c r="I396" s="10"/>
      <c r="J396" s="7"/>
      <c r="K396" s="6"/>
      <c r="L396" s="10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10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</row>
    <row r="397">
      <c r="A397" s="7"/>
      <c r="B397" s="7"/>
      <c r="C397" s="10"/>
      <c r="D397" s="7"/>
      <c r="E397" s="6"/>
      <c r="F397" s="10"/>
      <c r="G397" s="7"/>
      <c r="H397" s="6"/>
      <c r="I397" s="10"/>
      <c r="J397" s="7"/>
      <c r="K397" s="6"/>
      <c r="L397" s="10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10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</row>
    <row r="398">
      <c r="A398" s="7"/>
      <c r="B398" s="7"/>
      <c r="C398" s="10"/>
      <c r="D398" s="7"/>
      <c r="E398" s="6"/>
      <c r="F398" s="10"/>
      <c r="G398" s="7"/>
      <c r="H398" s="6"/>
      <c r="I398" s="10"/>
      <c r="J398" s="7"/>
      <c r="K398" s="6"/>
      <c r="L398" s="10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10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</row>
    <row r="399">
      <c r="A399" s="7"/>
      <c r="B399" s="7"/>
      <c r="C399" s="10"/>
      <c r="D399" s="7"/>
      <c r="E399" s="6"/>
      <c r="F399" s="10"/>
      <c r="G399" s="7"/>
      <c r="H399" s="6"/>
      <c r="I399" s="10"/>
      <c r="J399" s="7"/>
      <c r="K399" s="6"/>
      <c r="L399" s="10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10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</row>
    <row r="400">
      <c r="A400" s="7"/>
      <c r="B400" s="7"/>
      <c r="C400" s="10"/>
      <c r="D400" s="7"/>
      <c r="E400" s="6"/>
      <c r="F400" s="10"/>
      <c r="G400" s="7"/>
      <c r="H400" s="6"/>
      <c r="I400" s="10"/>
      <c r="J400" s="7"/>
      <c r="K400" s="6"/>
      <c r="L400" s="10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10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</row>
    <row r="401">
      <c r="A401" s="7"/>
      <c r="B401" s="7"/>
      <c r="C401" s="10"/>
      <c r="D401" s="7"/>
      <c r="E401" s="6"/>
      <c r="F401" s="10"/>
      <c r="G401" s="7"/>
      <c r="H401" s="6"/>
      <c r="I401" s="10"/>
      <c r="J401" s="7"/>
      <c r="K401" s="6"/>
      <c r="L401" s="10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10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</row>
    <row r="402">
      <c r="A402" s="7"/>
      <c r="B402" s="7"/>
      <c r="C402" s="10"/>
      <c r="D402" s="7"/>
      <c r="E402" s="6"/>
      <c r="F402" s="10"/>
      <c r="G402" s="7"/>
      <c r="H402" s="6"/>
      <c r="I402" s="10"/>
      <c r="J402" s="7"/>
      <c r="K402" s="6"/>
      <c r="L402" s="10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10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</row>
    <row r="403">
      <c r="A403" s="7"/>
      <c r="B403" s="7"/>
      <c r="C403" s="10"/>
      <c r="D403" s="7"/>
      <c r="E403" s="6"/>
      <c r="F403" s="10"/>
      <c r="G403" s="7"/>
      <c r="H403" s="6"/>
      <c r="I403" s="10"/>
      <c r="J403" s="7"/>
      <c r="K403" s="6"/>
      <c r="L403" s="10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10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</row>
    <row r="404">
      <c r="A404" s="7"/>
      <c r="B404" s="7"/>
      <c r="C404" s="10"/>
      <c r="D404" s="7"/>
      <c r="E404" s="6"/>
      <c r="F404" s="10"/>
      <c r="G404" s="7"/>
      <c r="H404" s="6"/>
      <c r="I404" s="10"/>
      <c r="J404" s="7"/>
      <c r="K404" s="6"/>
      <c r="L404" s="10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10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</row>
    <row r="405">
      <c r="A405" s="7"/>
      <c r="B405" s="7"/>
      <c r="C405" s="10"/>
      <c r="D405" s="7"/>
      <c r="E405" s="6"/>
      <c r="F405" s="10"/>
      <c r="G405" s="7"/>
      <c r="H405" s="6"/>
      <c r="I405" s="10"/>
      <c r="J405" s="7"/>
      <c r="K405" s="6"/>
      <c r="L405" s="10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10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</row>
    <row r="406">
      <c r="A406" s="7"/>
      <c r="B406" s="7"/>
      <c r="C406" s="10"/>
      <c r="D406" s="7"/>
      <c r="E406" s="6"/>
      <c r="F406" s="10"/>
      <c r="G406" s="7"/>
      <c r="H406" s="6"/>
      <c r="I406" s="10"/>
      <c r="J406" s="7"/>
      <c r="K406" s="6"/>
      <c r="L406" s="10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10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</row>
    <row r="407">
      <c r="A407" s="7"/>
      <c r="B407" s="7"/>
      <c r="C407" s="10"/>
      <c r="D407" s="7"/>
      <c r="E407" s="6"/>
      <c r="F407" s="10"/>
      <c r="G407" s="7"/>
      <c r="H407" s="6"/>
      <c r="I407" s="10"/>
      <c r="J407" s="7"/>
      <c r="K407" s="6"/>
      <c r="L407" s="10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10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</row>
    <row r="408">
      <c r="A408" s="7"/>
      <c r="B408" s="7"/>
      <c r="C408" s="10"/>
      <c r="D408" s="7"/>
      <c r="E408" s="6"/>
      <c r="F408" s="10"/>
      <c r="G408" s="7"/>
      <c r="H408" s="6"/>
      <c r="I408" s="10"/>
      <c r="J408" s="7"/>
      <c r="K408" s="6"/>
      <c r="L408" s="10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10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</row>
    <row r="409">
      <c r="A409" s="7"/>
      <c r="B409" s="7"/>
      <c r="C409" s="10"/>
      <c r="D409" s="7"/>
      <c r="E409" s="6"/>
      <c r="F409" s="10"/>
      <c r="G409" s="7"/>
      <c r="H409" s="6"/>
      <c r="I409" s="10"/>
      <c r="J409" s="7"/>
      <c r="K409" s="6"/>
      <c r="L409" s="10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10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</row>
    <row r="410">
      <c r="A410" s="7"/>
      <c r="B410" s="7"/>
      <c r="C410" s="10"/>
      <c r="D410" s="7"/>
      <c r="E410" s="6"/>
      <c r="F410" s="10"/>
      <c r="G410" s="7"/>
      <c r="H410" s="6"/>
      <c r="I410" s="10"/>
      <c r="J410" s="7"/>
      <c r="K410" s="6"/>
      <c r="L410" s="10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10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</row>
    <row r="411">
      <c r="A411" s="7"/>
      <c r="B411" s="7"/>
      <c r="C411" s="10"/>
      <c r="D411" s="7"/>
      <c r="E411" s="6"/>
      <c r="F411" s="10"/>
      <c r="G411" s="7"/>
      <c r="H411" s="6"/>
      <c r="I411" s="10"/>
      <c r="J411" s="7"/>
      <c r="K411" s="6"/>
      <c r="L411" s="10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10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</row>
    <row r="412">
      <c r="A412" s="7"/>
      <c r="B412" s="7"/>
      <c r="C412" s="10"/>
      <c r="D412" s="7"/>
      <c r="E412" s="6"/>
      <c r="F412" s="10"/>
      <c r="G412" s="7"/>
      <c r="H412" s="6"/>
      <c r="I412" s="10"/>
      <c r="J412" s="7"/>
      <c r="K412" s="6"/>
      <c r="L412" s="10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10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</row>
    <row r="413">
      <c r="A413" s="7"/>
      <c r="B413" s="7"/>
      <c r="C413" s="10"/>
      <c r="D413" s="7"/>
      <c r="E413" s="6"/>
      <c r="F413" s="10"/>
      <c r="G413" s="7"/>
      <c r="H413" s="6"/>
      <c r="I413" s="10"/>
      <c r="J413" s="7"/>
      <c r="K413" s="6"/>
      <c r="L413" s="10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10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</row>
    <row r="414">
      <c r="A414" s="7"/>
      <c r="B414" s="7"/>
      <c r="C414" s="10"/>
      <c r="D414" s="7"/>
      <c r="E414" s="6"/>
      <c r="F414" s="10"/>
      <c r="G414" s="7"/>
      <c r="H414" s="6"/>
      <c r="I414" s="10"/>
      <c r="J414" s="7"/>
      <c r="K414" s="6"/>
      <c r="L414" s="10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10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</row>
    <row r="415">
      <c r="A415" s="7"/>
      <c r="B415" s="7"/>
      <c r="C415" s="10"/>
      <c r="D415" s="7"/>
      <c r="E415" s="6"/>
      <c r="F415" s="10"/>
      <c r="G415" s="7"/>
      <c r="H415" s="6"/>
      <c r="I415" s="10"/>
      <c r="J415" s="7"/>
      <c r="K415" s="6"/>
      <c r="L415" s="10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10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</row>
    <row r="416">
      <c r="A416" s="7"/>
      <c r="B416" s="7"/>
      <c r="C416" s="10"/>
      <c r="D416" s="7"/>
      <c r="E416" s="6"/>
      <c r="F416" s="10"/>
      <c r="G416" s="7"/>
      <c r="H416" s="6"/>
      <c r="I416" s="10"/>
      <c r="J416" s="7"/>
      <c r="K416" s="6"/>
      <c r="L416" s="10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10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</row>
    <row r="417">
      <c r="A417" s="7"/>
      <c r="B417" s="7"/>
      <c r="C417" s="10"/>
      <c r="D417" s="7"/>
      <c r="E417" s="6"/>
      <c r="F417" s="10"/>
      <c r="G417" s="7"/>
      <c r="H417" s="6"/>
      <c r="I417" s="10"/>
      <c r="J417" s="7"/>
      <c r="K417" s="6"/>
      <c r="L417" s="10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10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</row>
    <row r="418">
      <c r="A418" s="7"/>
      <c r="B418" s="7"/>
      <c r="C418" s="10"/>
      <c r="D418" s="7"/>
      <c r="E418" s="6"/>
      <c r="F418" s="10"/>
      <c r="G418" s="7"/>
      <c r="H418" s="6"/>
      <c r="I418" s="10"/>
      <c r="J418" s="7"/>
      <c r="K418" s="6"/>
      <c r="L418" s="10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10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</row>
    <row r="419">
      <c r="A419" s="7"/>
      <c r="B419" s="7"/>
      <c r="C419" s="10"/>
      <c r="D419" s="7"/>
      <c r="E419" s="6"/>
      <c r="F419" s="10"/>
      <c r="G419" s="7"/>
      <c r="H419" s="6"/>
      <c r="I419" s="10"/>
      <c r="J419" s="7"/>
      <c r="K419" s="6"/>
      <c r="L419" s="10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10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</row>
    <row r="420">
      <c r="A420" s="7"/>
      <c r="B420" s="7"/>
      <c r="C420" s="10"/>
      <c r="D420" s="7"/>
      <c r="E420" s="6"/>
      <c r="F420" s="10"/>
      <c r="G420" s="7"/>
      <c r="H420" s="6"/>
      <c r="I420" s="10"/>
      <c r="J420" s="7"/>
      <c r="K420" s="6"/>
      <c r="L420" s="10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10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</row>
    <row r="421">
      <c r="A421" s="7"/>
      <c r="B421" s="7"/>
      <c r="C421" s="10"/>
      <c r="D421" s="7"/>
      <c r="E421" s="6"/>
      <c r="F421" s="10"/>
      <c r="G421" s="7"/>
      <c r="H421" s="6"/>
      <c r="I421" s="10"/>
      <c r="J421" s="7"/>
      <c r="K421" s="6"/>
      <c r="L421" s="10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10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</row>
    <row r="422">
      <c r="A422" s="7"/>
      <c r="B422" s="7"/>
      <c r="C422" s="10"/>
      <c r="D422" s="7"/>
      <c r="E422" s="6"/>
      <c r="F422" s="10"/>
      <c r="G422" s="7"/>
      <c r="H422" s="6"/>
      <c r="I422" s="10"/>
      <c r="J422" s="7"/>
      <c r="K422" s="6"/>
      <c r="L422" s="10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10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</row>
    <row r="423">
      <c r="A423" s="7"/>
      <c r="B423" s="7"/>
      <c r="C423" s="10"/>
      <c r="D423" s="7"/>
      <c r="E423" s="6"/>
      <c r="F423" s="10"/>
      <c r="G423" s="7"/>
      <c r="H423" s="6"/>
      <c r="I423" s="10"/>
      <c r="J423" s="7"/>
      <c r="K423" s="6"/>
      <c r="L423" s="10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10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</row>
    <row r="424">
      <c r="A424" s="7"/>
      <c r="B424" s="7"/>
      <c r="C424" s="10"/>
      <c r="D424" s="7"/>
      <c r="E424" s="6"/>
      <c r="F424" s="10"/>
      <c r="G424" s="7"/>
      <c r="H424" s="6"/>
      <c r="I424" s="10"/>
      <c r="J424" s="7"/>
      <c r="K424" s="6"/>
      <c r="L424" s="10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10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</row>
    <row r="425">
      <c r="A425" s="7"/>
      <c r="B425" s="7"/>
      <c r="C425" s="10"/>
      <c r="D425" s="7"/>
      <c r="E425" s="6"/>
      <c r="F425" s="10"/>
      <c r="G425" s="7"/>
      <c r="H425" s="6"/>
      <c r="I425" s="10"/>
      <c r="J425" s="7"/>
      <c r="K425" s="6"/>
      <c r="L425" s="10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10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</row>
    <row r="426">
      <c r="A426" s="7"/>
      <c r="B426" s="7"/>
      <c r="C426" s="10"/>
      <c r="D426" s="7"/>
      <c r="E426" s="6"/>
      <c r="F426" s="10"/>
      <c r="G426" s="7"/>
      <c r="H426" s="6"/>
      <c r="I426" s="10"/>
      <c r="J426" s="7"/>
      <c r="K426" s="6"/>
      <c r="L426" s="10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10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</row>
    <row r="427">
      <c r="A427" s="7"/>
      <c r="B427" s="7"/>
      <c r="C427" s="10"/>
      <c r="D427" s="7"/>
      <c r="E427" s="6"/>
      <c r="F427" s="10"/>
      <c r="G427" s="7"/>
      <c r="H427" s="6"/>
      <c r="I427" s="10"/>
      <c r="J427" s="7"/>
      <c r="K427" s="6"/>
      <c r="L427" s="10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10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</row>
    <row r="428">
      <c r="A428" s="7"/>
      <c r="B428" s="7"/>
      <c r="C428" s="10"/>
      <c r="D428" s="7"/>
      <c r="E428" s="6"/>
      <c r="F428" s="10"/>
      <c r="G428" s="7"/>
      <c r="H428" s="6"/>
      <c r="I428" s="10"/>
      <c r="J428" s="7"/>
      <c r="K428" s="6"/>
      <c r="L428" s="10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10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</row>
    <row r="429">
      <c r="A429" s="7"/>
      <c r="B429" s="7"/>
      <c r="C429" s="10"/>
      <c r="D429" s="7"/>
      <c r="E429" s="6"/>
      <c r="F429" s="10"/>
      <c r="G429" s="7"/>
      <c r="H429" s="6"/>
      <c r="I429" s="10"/>
      <c r="J429" s="7"/>
      <c r="K429" s="6"/>
      <c r="L429" s="10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10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</row>
    <row r="430">
      <c r="A430" s="7"/>
      <c r="B430" s="7"/>
      <c r="C430" s="10"/>
      <c r="D430" s="7"/>
      <c r="E430" s="6"/>
      <c r="F430" s="10"/>
      <c r="G430" s="7"/>
      <c r="H430" s="6"/>
      <c r="I430" s="10"/>
      <c r="J430" s="7"/>
      <c r="K430" s="6"/>
      <c r="L430" s="10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10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</row>
    <row r="431">
      <c r="A431" s="7"/>
      <c r="B431" s="7"/>
      <c r="C431" s="10"/>
      <c r="D431" s="7"/>
      <c r="E431" s="6"/>
      <c r="F431" s="10"/>
      <c r="G431" s="7"/>
      <c r="H431" s="6"/>
      <c r="I431" s="10"/>
      <c r="J431" s="7"/>
      <c r="K431" s="6"/>
      <c r="L431" s="10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10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</row>
    <row r="432">
      <c r="A432" s="7"/>
      <c r="B432" s="7"/>
      <c r="C432" s="10"/>
      <c r="D432" s="7"/>
      <c r="E432" s="6"/>
      <c r="F432" s="10"/>
      <c r="G432" s="7"/>
      <c r="H432" s="6"/>
      <c r="I432" s="10"/>
      <c r="J432" s="7"/>
      <c r="K432" s="6"/>
      <c r="L432" s="10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10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</row>
    <row r="433">
      <c r="A433" s="7"/>
      <c r="B433" s="7"/>
      <c r="C433" s="10"/>
      <c r="D433" s="7"/>
      <c r="E433" s="6"/>
      <c r="F433" s="10"/>
      <c r="G433" s="7"/>
      <c r="H433" s="6"/>
      <c r="I433" s="10"/>
      <c r="J433" s="7"/>
      <c r="K433" s="6"/>
      <c r="L433" s="10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10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</row>
    <row r="434">
      <c r="A434" s="7"/>
      <c r="B434" s="7"/>
      <c r="C434" s="10"/>
      <c r="D434" s="7"/>
      <c r="E434" s="6"/>
      <c r="F434" s="10"/>
      <c r="G434" s="7"/>
      <c r="H434" s="6"/>
      <c r="I434" s="10"/>
      <c r="J434" s="7"/>
      <c r="K434" s="6"/>
      <c r="L434" s="10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10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</row>
    <row r="435">
      <c r="A435" s="7"/>
      <c r="B435" s="7"/>
      <c r="C435" s="10"/>
      <c r="D435" s="7"/>
      <c r="E435" s="6"/>
      <c r="F435" s="10"/>
      <c r="G435" s="7"/>
      <c r="H435" s="6"/>
      <c r="I435" s="10"/>
      <c r="J435" s="7"/>
      <c r="K435" s="6"/>
      <c r="L435" s="10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10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</row>
    <row r="436">
      <c r="A436" s="7"/>
      <c r="B436" s="7"/>
      <c r="C436" s="10"/>
      <c r="D436" s="7"/>
      <c r="E436" s="6"/>
      <c r="F436" s="10"/>
      <c r="G436" s="7"/>
      <c r="H436" s="6"/>
      <c r="I436" s="10"/>
      <c r="J436" s="7"/>
      <c r="K436" s="6"/>
      <c r="L436" s="10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10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</row>
    <row r="437">
      <c r="A437" s="7"/>
      <c r="B437" s="7"/>
      <c r="C437" s="10"/>
      <c r="D437" s="7"/>
      <c r="E437" s="6"/>
      <c r="F437" s="10"/>
      <c r="G437" s="7"/>
      <c r="H437" s="6"/>
      <c r="I437" s="10"/>
      <c r="J437" s="7"/>
      <c r="K437" s="6"/>
      <c r="L437" s="10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10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</row>
    <row r="438">
      <c r="A438" s="7"/>
      <c r="B438" s="7"/>
      <c r="C438" s="10"/>
      <c r="D438" s="7"/>
      <c r="E438" s="6"/>
      <c r="F438" s="10"/>
      <c r="G438" s="7"/>
      <c r="H438" s="6"/>
      <c r="I438" s="10"/>
      <c r="J438" s="7"/>
      <c r="K438" s="6"/>
      <c r="L438" s="10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10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</row>
    <row r="439">
      <c r="A439" s="7"/>
      <c r="B439" s="7"/>
      <c r="C439" s="10"/>
      <c r="D439" s="7"/>
      <c r="E439" s="6"/>
      <c r="F439" s="10"/>
      <c r="G439" s="7"/>
      <c r="H439" s="6"/>
      <c r="I439" s="10"/>
      <c r="J439" s="7"/>
      <c r="K439" s="6"/>
      <c r="L439" s="10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10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</row>
    <row r="440">
      <c r="A440" s="7"/>
      <c r="B440" s="7"/>
      <c r="C440" s="10"/>
      <c r="D440" s="7"/>
      <c r="E440" s="6"/>
      <c r="F440" s="10"/>
      <c r="G440" s="7"/>
      <c r="H440" s="6"/>
      <c r="I440" s="10"/>
      <c r="J440" s="7"/>
      <c r="K440" s="6"/>
      <c r="L440" s="10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10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</row>
    <row r="441">
      <c r="A441" s="7"/>
      <c r="B441" s="7"/>
      <c r="C441" s="10"/>
      <c r="D441" s="7"/>
      <c r="E441" s="6"/>
      <c r="F441" s="10"/>
      <c r="G441" s="7"/>
      <c r="H441" s="6"/>
      <c r="I441" s="10"/>
      <c r="J441" s="7"/>
      <c r="K441" s="6"/>
      <c r="L441" s="10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10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</row>
    <row r="442">
      <c r="A442" s="7"/>
      <c r="B442" s="7"/>
      <c r="C442" s="10"/>
      <c r="D442" s="7"/>
      <c r="E442" s="6"/>
      <c r="F442" s="10"/>
      <c r="G442" s="7"/>
      <c r="H442" s="6"/>
      <c r="I442" s="10"/>
      <c r="J442" s="7"/>
      <c r="K442" s="6"/>
      <c r="L442" s="10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10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</row>
    <row r="443">
      <c r="A443" s="7"/>
      <c r="B443" s="7"/>
      <c r="C443" s="10"/>
      <c r="D443" s="7"/>
      <c r="E443" s="6"/>
      <c r="F443" s="10"/>
      <c r="G443" s="7"/>
      <c r="H443" s="6"/>
      <c r="I443" s="10"/>
      <c r="J443" s="7"/>
      <c r="K443" s="6"/>
      <c r="L443" s="10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10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</row>
    <row r="444">
      <c r="A444" s="7"/>
      <c r="B444" s="7"/>
      <c r="C444" s="10"/>
      <c r="D444" s="7"/>
      <c r="E444" s="6"/>
      <c r="F444" s="10"/>
      <c r="G444" s="7"/>
      <c r="H444" s="6"/>
      <c r="I444" s="10"/>
      <c r="J444" s="7"/>
      <c r="K444" s="6"/>
      <c r="L444" s="10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10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</row>
    <row r="445">
      <c r="A445" s="7"/>
      <c r="B445" s="7"/>
      <c r="C445" s="10"/>
      <c r="D445" s="7"/>
      <c r="E445" s="6"/>
      <c r="F445" s="10"/>
      <c r="G445" s="7"/>
      <c r="H445" s="6"/>
      <c r="I445" s="10"/>
      <c r="J445" s="7"/>
      <c r="K445" s="6"/>
      <c r="L445" s="10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10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</row>
    <row r="446">
      <c r="A446" s="7"/>
      <c r="B446" s="7"/>
      <c r="C446" s="10"/>
      <c r="D446" s="7"/>
      <c r="E446" s="6"/>
      <c r="F446" s="10"/>
      <c r="G446" s="7"/>
      <c r="H446" s="6"/>
      <c r="I446" s="10"/>
      <c r="J446" s="7"/>
      <c r="K446" s="6"/>
      <c r="L446" s="10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10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</row>
    <row r="447">
      <c r="A447" s="7"/>
      <c r="B447" s="7"/>
      <c r="C447" s="10"/>
      <c r="D447" s="7"/>
      <c r="E447" s="6"/>
      <c r="F447" s="10"/>
      <c r="G447" s="7"/>
      <c r="H447" s="6"/>
      <c r="I447" s="10"/>
      <c r="J447" s="7"/>
      <c r="K447" s="6"/>
      <c r="L447" s="10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10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</row>
    <row r="448">
      <c r="A448" s="7"/>
      <c r="B448" s="7"/>
      <c r="C448" s="10"/>
      <c r="D448" s="7"/>
      <c r="E448" s="6"/>
      <c r="F448" s="10"/>
      <c r="G448" s="7"/>
      <c r="H448" s="6"/>
      <c r="I448" s="10"/>
      <c r="J448" s="7"/>
      <c r="K448" s="6"/>
      <c r="L448" s="10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10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</row>
    <row r="449">
      <c r="A449" s="7"/>
      <c r="B449" s="7"/>
      <c r="C449" s="10"/>
      <c r="D449" s="7"/>
      <c r="E449" s="6"/>
      <c r="F449" s="10"/>
      <c r="G449" s="7"/>
      <c r="H449" s="6"/>
      <c r="I449" s="10"/>
      <c r="J449" s="7"/>
      <c r="K449" s="6"/>
      <c r="L449" s="10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10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</row>
    <row r="450">
      <c r="A450" s="7"/>
      <c r="B450" s="7"/>
      <c r="C450" s="10"/>
      <c r="D450" s="7"/>
      <c r="E450" s="6"/>
      <c r="F450" s="10"/>
      <c r="G450" s="7"/>
      <c r="H450" s="6"/>
      <c r="I450" s="10"/>
      <c r="J450" s="7"/>
      <c r="K450" s="6"/>
      <c r="L450" s="10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10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</row>
    <row r="451">
      <c r="A451" s="7"/>
      <c r="B451" s="7"/>
      <c r="C451" s="10"/>
      <c r="D451" s="7"/>
      <c r="E451" s="6"/>
      <c r="F451" s="10"/>
      <c r="G451" s="7"/>
      <c r="H451" s="6"/>
      <c r="I451" s="10"/>
      <c r="J451" s="7"/>
      <c r="K451" s="6"/>
      <c r="L451" s="10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10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</row>
    <row r="452">
      <c r="A452" s="7"/>
      <c r="B452" s="7"/>
      <c r="C452" s="10"/>
      <c r="D452" s="7"/>
      <c r="E452" s="6"/>
      <c r="F452" s="10"/>
      <c r="G452" s="7"/>
      <c r="H452" s="6"/>
      <c r="I452" s="10"/>
      <c r="J452" s="7"/>
      <c r="K452" s="6"/>
      <c r="L452" s="10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10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</row>
    <row r="453">
      <c r="A453" s="7"/>
      <c r="B453" s="7"/>
      <c r="C453" s="10"/>
      <c r="D453" s="7"/>
      <c r="E453" s="6"/>
      <c r="F453" s="10"/>
      <c r="G453" s="7"/>
      <c r="H453" s="6"/>
      <c r="I453" s="10"/>
      <c r="J453" s="7"/>
      <c r="K453" s="6"/>
      <c r="L453" s="10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10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</row>
    <row r="454">
      <c r="A454" s="7"/>
      <c r="B454" s="7"/>
      <c r="C454" s="10"/>
      <c r="D454" s="7"/>
      <c r="E454" s="6"/>
      <c r="F454" s="10"/>
      <c r="G454" s="7"/>
      <c r="H454" s="6"/>
      <c r="I454" s="10"/>
      <c r="J454" s="7"/>
      <c r="K454" s="6"/>
      <c r="L454" s="10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10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</row>
    <row r="455">
      <c r="A455" s="7"/>
      <c r="B455" s="7"/>
      <c r="C455" s="10"/>
      <c r="D455" s="7"/>
      <c r="E455" s="6"/>
      <c r="F455" s="10"/>
      <c r="G455" s="7"/>
      <c r="H455" s="6"/>
      <c r="I455" s="10"/>
      <c r="J455" s="7"/>
      <c r="K455" s="6"/>
      <c r="L455" s="10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10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</row>
    <row r="456">
      <c r="A456" s="7"/>
      <c r="B456" s="7"/>
      <c r="C456" s="10"/>
      <c r="D456" s="7"/>
      <c r="E456" s="6"/>
      <c r="F456" s="10"/>
      <c r="G456" s="7"/>
      <c r="H456" s="6"/>
      <c r="I456" s="10"/>
      <c r="J456" s="7"/>
      <c r="K456" s="6"/>
      <c r="L456" s="10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10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</row>
    <row r="457">
      <c r="A457" s="7"/>
      <c r="B457" s="7"/>
      <c r="C457" s="10"/>
      <c r="D457" s="7"/>
      <c r="E457" s="6"/>
      <c r="F457" s="10"/>
      <c r="G457" s="7"/>
      <c r="H457" s="6"/>
      <c r="I457" s="10"/>
      <c r="J457" s="7"/>
      <c r="K457" s="6"/>
      <c r="L457" s="10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10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</row>
    <row r="458">
      <c r="A458" s="7"/>
      <c r="B458" s="7"/>
      <c r="C458" s="10"/>
      <c r="D458" s="7"/>
      <c r="E458" s="6"/>
      <c r="F458" s="10"/>
      <c r="G458" s="7"/>
      <c r="H458" s="6"/>
      <c r="I458" s="10"/>
      <c r="J458" s="7"/>
      <c r="K458" s="6"/>
      <c r="L458" s="10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10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</row>
    <row r="459">
      <c r="A459" s="7"/>
      <c r="B459" s="7"/>
      <c r="C459" s="10"/>
      <c r="D459" s="7"/>
      <c r="E459" s="6"/>
      <c r="F459" s="10"/>
      <c r="G459" s="7"/>
      <c r="H459" s="6"/>
      <c r="I459" s="10"/>
      <c r="J459" s="7"/>
      <c r="K459" s="6"/>
      <c r="L459" s="10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10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</row>
    <row r="460">
      <c r="A460" s="7"/>
      <c r="B460" s="7"/>
      <c r="C460" s="10"/>
      <c r="D460" s="7"/>
      <c r="E460" s="6"/>
      <c r="F460" s="10"/>
      <c r="G460" s="7"/>
      <c r="H460" s="6"/>
      <c r="I460" s="10"/>
      <c r="J460" s="7"/>
      <c r="K460" s="6"/>
      <c r="L460" s="10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10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</row>
    <row r="461">
      <c r="A461" s="7"/>
      <c r="B461" s="7"/>
      <c r="C461" s="10"/>
      <c r="D461" s="7"/>
      <c r="E461" s="6"/>
      <c r="F461" s="10"/>
      <c r="G461" s="7"/>
      <c r="H461" s="6"/>
      <c r="I461" s="10"/>
      <c r="J461" s="7"/>
      <c r="K461" s="6"/>
      <c r="L461" s="10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10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</row>
    <row r="462">
      <c r="A462" s="7"/>
      <c r="B462" s="7"/>
      <c r="C462" s="10"/>
      <c r="D462" s="7"/>
      <c r="E462" s="6"/>
      <c r="F462" s="10"/>
      <c r="G462" s="7"/>
      <c r="H462" s="6"/>
      <c r="I462" s="10"/>
      <c r="J462" s="7"/>
      <c r="K462" s="6"/>
      <c r="L462" s="10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10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</row>
    <row r="463">
      <c r="A463" s="7"/>
      <c r="B463" s="7"/>
      <c r="C463" s="10"/>
      <c r="D463" s="7"/>
      <c r="E463" s="6"/>
      <c r="F463" s="10"/>
      <c r="G463" s="7"/>
      <c r="H463" s="6"/>
      <c r="I463" s="10"/>
      <c r="J463" s="7"/>
      <c r="K463" s="6"/>
      <c r="L463" s="10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10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</row>
    <row r="464">
      <c r="A464" s="7"/>
      <c r="B464" s="7"/>
      <c r="C464" s="10"/>
      <c r="D464" s="7"/>
      <c r="E464" s="6"/>
      <c r="F464" s="10"/>
      <c r="G464" s="7"/>
      <c r="H464" s="6"/>
      <c r="I464" s="10"/>
      <c r="J464" s="7"/>
      <c r="K464" s="6"/>
      <c r="L464" s="10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10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</row>
    <row r="465">
      <c r="A465" s="7"/>
      <c r="B465" s="7"/>
      <c r="C465" s="10"/>
      <c r="D465" s="7"/>
      <c r="E465" s="6"/>
      <c r="F465" s="10"/>
      <c r="G465" s="7"/>
      <c r="H465" s="6"/>
      <c r="I465" s="10"/>
      <c r="J465" s="7"/>
      <c r="K465" s="6"/>
      <c r="L465" s="10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10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</row>
    <row r="466">
      <c r="A466" s="7"/>
      <c r="B466" s="7"/>
      <c r="C466" s="10"/>
      <c r="D466" s="7"/>
      <c r="E466" s="6"/>
      <c r="F466" s="10"/>
      <c r="G466" s="7"/>
      <c r="H466" s="6"/>
      <c r="I466" s="10"/>
      <c r="J466" s="7"/>
      <c r="K466" s="6"/>
      <c r="L466" s="10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10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</row>
    <row r="467">
      <c r="A467" s="7"/>
      <c r="B467" s="7"/>
      <c r="C467" s="10"/>
      <c r="D467" s="7"/>
      <c r="E467" s="6"/>
      <c r="F467" s="10"/>
      <c r="G467" s="7"/>
      <c r="H467" s="6"/>
      <c r="I467" s="10"/>
      <c r="J467" s="7"/>
      <c r="K467" s="6"/>
      <c r="L467" s="10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10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</row>
    <row r="468">
      <c r="A468" s="7"/>
      <c r="B468" s="7"/>
      <c r="C468" s="10"/>
      <c r="D468" s="7"/>
      <c r="E468" s="6"/>
      <c r="F468" s="10"/>
      <c r="G468" s="7"/>
      <c r="H468" s="6"/>
      <c r="I468" s="10"/>
      <c r="J468" s="7"/>
      <c r="K468" s="6"/>
      <c r="L468" s="10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10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</row>
    <row r="469">
      <c r="A469" s="7"/>
      <c r="B469" s="7"/>
      <c r="C469" s="10"/>
      <c r="D469" s="7"/>
      <c r="E469" s="6"/>
      <c r="F469" s="10"/>
      <c r="G469" s="7"/>
      <c r="H469" s="6"/>
      <c r="I469" s="10"/>
      <c r="J469" s="7"/>
      <c r="K469" s="6"/>
      <c r="L469" s="10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10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</row>
    <row r="470">
      <c r="A470" s="7"/>
      <c r="B470" s="7"/>
      <c r="C470" s="10"/>
      <c r="D470" s="7"/>
      <c r="E470" s="6"/>
      <c r="F470" s="10"/>
      <c r="G470" s="7"/>
      <c r="H470" s="6"/>
      <c r="I470" s="10"/>
      <c r="J470" s="7"/>
      <c r="K470" s="6"/>
      <c r="L470" s="10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10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</row>
    <row r="471">
      <c r="A471" s="7"/>
      <c r="B471" s="7"/>
      <c r="C471" s="10"/>
      <c r="D471" s="7"/>
      <c r="E471" s="6"/>
      <c r="F471" s="10"/>
      <c r="G471" s="7"/>
      <c r="H471" s="6"/>
      <c r="I471" s="10"/>
      <c r="J471" s="7"/>
      <c r="K471" s="6"/>
      <c r="L471" s="10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10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</row>
    <row r="472">
      <c r="A472" s="7"/>
      <c r="B472" s="7"/>
      <c r="C472" s="10"/>
      <c r="D472" s="7"/>
      <c r="E472" s="6"/>
      <c r="F472" s="10"/>
      <c r="G472" s="7"/>
      <c r="H472" s="6"/>
      <c r="I472" s="10"/>
      <c r="J472" s="7"/>
      <c r="K472" s="6"/>
      <c r="L472" s="10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10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</row>
    <row r="473">
      <c r="A473" s="7"/>
      <c r="B473" s="7"/>
      <c r="C473" s="10"/>
      <c r="D473" s="7"/>
      <c r="E473" s="6"/>
      <c r="F473" s="10"/>
      <c r="G473" s="7"/>
      <c r="H473" s="6"/>
      <c r="I473" s="10"/>
      <c r="J473" s="7"/>
      <c r="K473" s="6"/>
      <c r="L473" s="10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10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</row>
    <row r="474">
      <c r="A474" s="7"/>
      <c r="B474" s="7"/>
      <c r="C474" s="10"/>
      <c r="D474" s="7"/>
      <c r="E474" s="6"/>
      <c r="F474" s="10"/>
      <c r="G474" s="7"/>
      <c r="H474" s="6"/>
      <c r="I474" s="10"/>
      <c r="J474" s="7"/>
      <c r="K474" s="6"/>
      <c r="L474" s="10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10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</row>
    <row r="475">
      <c r="A475" s="7"/>
      <c r="B475" s="7"/>
      <c r="C475" s="10"/>
      <c r="D475" s="7"/>
      <c r="E475" s="6"/>
      <c r="F475" s="10"/>
      <c r="G475" s="7"/>
      <c r="H475" s="6"/>
      <c r="I475" s="10"/>
      <c r="J475" s="7"/>
      <c r="K475" s="6"/>
      <c r="L475" s="10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10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</row>
    <row r="476">
      <c r="A476" s="7"/>
      <c r="B476" s="7"/>
      <c r="C476" s="10"/>
      <c r="D476" s="7"/>
      <c r="E476" s="6"/>
      <c r="F476" s="10"/>
      <c r="G476" s="7"/>
      <c r="H476" s="6"/>
      <c r="I476" s="10"/>
      <c r="J476" s="7"/>
      <c r="K476" s="6"/>
      <c r="L476" s="10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10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</row>
    <row r="477">
      <c r="A477" s="7"/>
      <c r="B477" s="7"/>
      <c r="C477" s="10"/>
      <c r="D477" s="7"/>
      <c r="E477" s="6"/>
      <c r="F477" s="10"/>
      <c r="G477" s="7"/>
      <c r="H477" s="6"/>
      <c r="I477" s="10"/>
      <c r="J477" s="7"/>
      <c r="K477" s="6"/>
      <c r="L477" s="10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10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</row>
    <row r="478">
      <c r="A478" s="7"/>
      <c r="B478" s="7"/>
      <c r="C478" s="10"/>
      <c r="D478" s="7"/>
      <c r="E478" s="6"/>
      <c r="F478" s="10"/>
      <c r="G478" s="7"/>
      <c r="H478" s="6"/>
      <c r="I478" s="10"/>
      <c r="J478" s="7"/>
      <c r="K478" s="6"/>
      <c r="L478" s="10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10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</row>
    <row r="479">
      <c r="A479" s="7"/>
      <c r="B479" s="7"/>
      <c r="C479" s="10"/>
      <c r="D479" s="7"/>
      <c r="E479" s="6"/>
      <c r="F479" s="10"/>
      <c r="G479" s="7"/>
      <c r="H479" s="6"/>
      <c r="I479" s="10"/>
      <c r="J479" s="7"/>
      <c r="K479" s="6"/>
      <c r="L479" s="10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10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</row>
    <row r="480">
      <c r="A480" s="7"/>
      <c r="B480" s="7"/>
      <c r="C480" s="10"/>
      <c r="D480" s="7"/>
      <c r="E480" s="6"/>
      <c r="F480" s="10"/>
      <c r="G480" s="7"/>
      <c r="H480" s="6"/>
      <c r="I480" s="10"/>
      <c r="J480" s="7"/>
      <c r="K480" s="6"/>
      <c r="L480" s="10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10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</row>
    <row r="481">
      <c r="A481" s="7"/>
      <c r="B481" s="7"/>
      <c r="C481" s="10"/>
      <c r="D481" s="7"/>
      <c r="E481" s="6"/>
      <c r="F481" s="10"/>
      <c r="G481" s="7"/>
      <c r="H481" s="6"/>
      <c r="I481" s="10"/>
      <c r="J481" s="7"/>
      <c r="K481" s="6"/>
      <c r="L481" s="10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10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</row>
    <row r="482">
      <c r="A482" s="7"/>
      <c r="B482" s="7"/>
      <c r="C482" s="10"/>
      <c r="D482" s="7"/>
      <c r="E482" s="6"/>
      <c r="F482" s="10"/>
      <c r="G482" s="7"/>
      <c r="H482" s="6"/>
      <c r="I482" s="10"/>
      <c r="J482" s="7"/>
      <c r="K482" s="6"/>
      <c r="L482" s="10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10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</row>
    <row r="483">
      <c r="A483" s="7"/>
      <c r="B483" s="7"/>
      <c r="C483" s="10"/>
      <c r="D483" s="7"/>
      <c r="E483" s="6"/>
      <c r="F483" s="10"/>
      <c r="G483" s="7"/>
      <c r="H483" s="6"/>
      <c r="I483" s="10"/>
      <c r="J483" s="7"/>
      <c r="K483" s="6"/>
      <c r="L483" s="10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10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</row>
    <row r="484">
      <c r="A484" s="7"/>
      <c r="B484" s="7"/>
      <c r="C484" s="10"/>
      <c r="D484" s="7"/>
      <c r="E484" s="6"/>
      <c r="F484" s="10"/>
      <c r="G484" s="7"/>
      <c r="H484" s="6"/>
      <c r="I484" s="10"/>
      <c r="J484" s="7"/>
      <c r="K484" s="6"/>
      <c r="L484" s="10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10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</row>
    <row r="485">
      <c r="A485" s="7"/>
      <c r="B485" s="7"/>
      <c r="C485" s="10"/>
      <c r="D485" s="7"/>
      <c r="E485" s="6"/>
      <c r="F485" s="10"/>
      <c r="G485" s="7"/>
      <c r="H485" s="6"/>
      <c r="I485" s="10"/>
      <c r="J485" s="7"/>
      <c r="K485" s="6"/>
      <c r="L485" s="10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10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</row>
    <row r="486">
      <c r="A486" s="7"/>
      <c r="B486" s="7"/>
      <c r="C486" s="10"/>
      <c r="D486" s="7"/>
      <c r="E486" s="6"/>
      <c r="F486" s="10"/>
      <c r="G486" s="7"/>
      <c r="H486" s="6"/>
      <c r="I486" s="10"/>
      <c r="J486" s="7"/>
      <c r="K486" s="6"/>
      <c r="L486" s="10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10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</row>
    <row r="487">
      <c r="A487" s="7"/>
      <c r="B487" s="7"/>
      <c r="C487" s="10"/>
      <c r="D487" s="7"/>
      <c r="E487" s="6"/>
      <c r="F487" s="10"/>
      <c r="G487" s="7"/>
      <c r="H487" s="6"/>
      <c r="I487" s="10"/>
      <c r="J487" s="7"/>
      <c r="K487" s="6"/>
      <c r="L487" s="10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10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</row>
    <row r="488">
      <c r="A488" s="7"/>
      <c r="B488" s="7"/>
      <c r="C488" s="10"/>
      <c r="D488" s="7"/>
      <c r="E488" s="6"/>
      <c r="F488" s="10"/>
      <c r="G488" s="7"/>
      <c r="H488" s="6"/>
      <c r="I488" s="10"/>
      <c r="J488" s="7"/>
      <c r="K488" s="6"/>
      <c r="L488" s="10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10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</row>
    <row r="489">
      <c r="A489" s="7"/>
      <c r="B489" s="7"/>
      <c r="C489" s="10"/>
      <c r="D489" s="7"/>
      <c r="E489" s="6"/>
      <c r="F489" s="10"/>
      <c r="G489" s="7"/>
      <c r="H489" s="6"/>
      <c r="I489" s="10"/>
      <c r="J489" s="7"/>
      <c r="K489" s="6"/>
      <c r="L489" s="10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10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</row>
    <row r="490">
      <c r="A490" s="7"/>
      <c r="B490" s="7"/>
      <c r="C490" s="10"/>
      <c r="D490" s="7"/>
      <c r="E490" s="6"/>
      <c r="F490" s="10"/>
      <c r="G490" s="7"/>
      <c r="H490" s="6"/>
      <c r="I490" s="10"/>
      <c r="J490" s="7"/>
      <c r="K490" s="6"/>
      <c r="L490" s="10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10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</row>
    <row r="491">
      <c r="A491" s="7"/>
      <c r="B491" s="7"/>
      <c r="C491" s="10"/>
      <c r="D491" s="7"/>
      <c r="E491" s="6"/>
      <c r="F491" s="10"/>
      <c r="G491" s="7"/>
      <c r="H491" s="6"/>
      <c r="I491" s="10"/>
      <c r="J491" s="7"/>
      <c r="K491" s="6"/>
      <c r="L491" s="10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10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</row>
    <row r="492">
      <c r="A492" s="7"/>
      <c r="B492" s="7"/>
      <c r="C492" s="10"/>
      <c r="D492" s="7"/>
      <c r="E492" s="6"/>
      <c r="F492" s="10"/>
      <c r="G492" s="7"/>
      <c r="H492" s="6"/>
      <c r="I492" s="10"/>
      <c r="J492" s="7"/>
      <c r="K492" s="6"/>
      <c r="L492" s="10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10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</row>
    <row r="493">
      <c r="A493" s="7"/>
      <c r="B493" s="7"/>
      <c r="C493" s="10"/>
      <c r="D493" s="7"/>
      <c r="E493" s="6"/>
      <c r="F493" s="10"/>
      <c r="G493" s="7"/>
      <c r="H493" s="6"/>
      <c r="I493" s="10"/>
      <c r="J493" s="7"/>
      <c r="K493" s="6"/>
      <c r="L493" s="10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10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</row>
    <row r="494">
      <c r="A494" s="7"/>
      <c r="B494" s="7"/>
      <c r="C494" s="10"/>
      <c r="D494" s="7"/>
      <c r="E494" s="6"/>
      <c r="F494" s="10"/>
      <c r="G494" s="7"/>
      <c r="H494" s="6"/>
      <c r="I494" s="10"/>
      <c r="J494" s="7"/>
      <c r="K494" s="6"/>
      <c r="L494" s="10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10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</row>
    <row r="495">
      <c r="A495" s="7"/>
      <c r="B495" s="7"/>
      <c r="C495" s="10"/>
      <c r="D495" s="7"/>
      <c r="E495" s="6"/>
      <c r="F495" s="10"/>
      <c r="G495" s="7"/>
      <c r="H495" s="6"/>
      <c r="I495" s="10"/>
      <c r="J495" s="7"/>
      <c r="K495" s="6"/>
      <c r="L495" s="10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10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</row>
    <row r="496">
      <c r="A496" s="7"/>
      <c r="B496" s="7"/>
      <c r="C496" s="10"/>
      <c r="D496" s="7"/>
      <c r="E496" s="6"/>
      <c r="F496" s="10"/>
      <c r="G496" s="7"/>
      <c r="H496" s="6"/>
      <c r="I496" s="10"/>
      <c r="J496" s="7"/>
      <c r="K496" s="6"/>
      <c r="L496" s="10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10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</row>
    <row r="497">
      <c r="A497" s="7"/>
      <c r="B497" s="7"/>
      <c r="C497" s="10"/>
      <c r="D497" s="7"/>
      <c r="E497" s="6"/>
      <c r="F497" s="10"/>
      <c r="G497" s="7"/>
      <c r="H497" s="6"/>
      <c r="I497" s="10"/>
      <c r="J497" s="7"/>
      <c r="K497" s="6"/>
      <c r="L497" s="10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10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</row>
    <row r="498">
      <c r="A498" s="7"/>
      <c r="B498" s="7"/>
      <c r="C498" s="10"/>
      <c r="D498" s="7"/>
      <c r="E498" s="6"/>
      <c r="F498" s="10"/>
      <c r="G498" s="7"/>
      <c r="H498" s="6"/>
      <c r="I498" s="10"/>
      <c r="J498" s="7"/>
      <c r="K498" s="6"/>
      <c r="L498" s="10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10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</row>
    <row r="499">
      <c r="A499" s="7"/>
      <c r="B499" s="7"/>
      <c r="C499" s="10"/>
      <c r="D499" s="7"/>
      <c r="E499" s="6"/>
      <c r="F499" s="10"/>
      <c r="G499" s="7"/>
      <c r="H499" s="6"/>
      <c r="I499" s="10"/>
      <c r="J499" s="7"/>
      <c r="K499" s="6"/>
      <c r="L499" s="10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10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</row>
    <row r="500">
      <c r="A500" s="7"/>
      <c r="B500" s="7"/>
      <c r="C500" s="10"/>
      <c r="D500" s="7"/>
      <c r="E500" s="6"/>
      <c r="F500" s="10"/>
      <c r="G500" s="7"/>
      <c r="H500" s="6"/>
      <c r="I500" s="10"/>
      <c r="J500" s="7"/>
      <c r="K500" s="6"/>
      <c r="L500" s="10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10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</row>
    <row r="501">
      <c r="A501" s="7"/>
      <c r="B501" s="7"/>
      <c r="C501" s="10"/>
      <c r="D501" s="7"/>
      <c r="E501" s="6"/>
      <c r="F501" s="10"/>
      <c r="G501" s="7"/>
      <c r="H501" s="6"/>
      <c r="I501" s="10"/>
      <c r="J501" s="7"/>
      <c r="K501" s="6"/>
      <c r="L501" s="10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10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</row>
    <row r="502">
      <c r="A502" s="7"/>
      <c r="B502" s="7"/>
      <c r="C502" s="10"/>
      <c r="D502" s="7"/>
      <c r="E502" s="6"/>
      <c r="F502" s="10"/>
      <c r="G502" s="7"/>
      <c r="H502" s="6"/>
      <c r="I502" s="10"/>
      <c r="J502" s="7"/>
      <c r="K502" s="6"/>
      <c r="L502" s="10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10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</row>
    <row r="503">
      <c r="A503" s="7"/>
      <c r="B503" s="7"/>
      <c r="C503" s="10"/>
      <c r="D503" s="7"/>
      <c r="E503" s="6"/>
      <c r="F503" s="10"/>
      <c r="G503" s="7"/>
      <c r="H503" s="6"/>
      <c r="I503" s="10"/>
      <c r="J503" s="7"/>
      <c r="K503" s="6"/>
      <c r="L503" s="10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10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</row>
    <row r="504">
      <c r="A504" s="7"/>
      <c r="B504" s="7"/>
      <c r="C504" s="10"/>
      <c r="D504" s="7"/>
      <c r="E504" s="6"/>
      <c r="F504" s="10"/>
      <c r="G504" s="7"/>
      <c r="H504" s="6"/>
      <c r="I504" s="10"/>
      <c r="J504" s="7"/>
      <c r="K504" s="6"/>
      <c r="L504" s="10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10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</row>
    <row r="505">
      <c r="A505" s="7"/>
      <c r="B505" s="7"/>
      <c r="C505" s="10"/>
      <c r="D505" s="7"/>
      <c r="E505" s="6"/>
      <c r="F505" s="10"/>
      <c r="G505" s="7"/>
      <c r="H505" s="6"/>
      <c r="I505" s="10"/>
      <c r="J505" s="7"/>
      <c r="K505" s="6"/>
      <c r="L505" s="10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10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</row>
    <row r="506">
      <c r="A506" s="7"/>
      <c r="B506" s="7"/>
      <c r="C506" s="10"/>
      <c r="D506" s="7"/>
      <c r="E506" s="6"/>
      <c r="F506" s="10"/>
      <c r="G506" s="7"/>
      <c r="H506" s="6"/>
      <c r="I506" s="10"/>
      <c r="J506" s="7"/>
      <c r="K506" s="6"/>
      <c r="L506" s="10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10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</row>
    <row r="507">
      <c r="A507" s="7"/>
      <c r="B507" s="7"/>
      <c r="C507" s="10"/>
      <c r="D507" s="7"/>
      <c r="E507" s="6"/>
      <c r="F507" s="10"/>
      <c r="G507" s="7"/>
      <c r="H507" s="6"/>
      <c r="I507" s="10"/>
      <c r="J507" s="7"/>
      <c r="K507" s="6"/>
      <c r="L507" s="10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10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</row>
    <row r="508">
      <c r="A508" s="7"/>
      <c r="B508" s="7"/>
      <c r="C508" s="10"/>
      <c r="D508" s="7"/>
      <c r="E508" s="6"/>
      <c r="F508" s="10"/>
      <c r="G508" s="7"/>
      <c r="H508" s="6"/>
      <c r="I508" s="10"/>
      <c r="J508" s="7"/>
      <c r="K508" s="6"/>
      <c r="L508" s="10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10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</row>
    <row r="509">
      <c r="A509" s="7"/>
      <c r="B509" s="7"/>
      <c r="C509" s="10"/>
      <c r="D509" s="7"/>
      <c r="E509" s="6"/>
      <c r="F509" s="10"/>
      <c r="G509" s="7"/>
      <c r="H509" s="6"/>
      <c r="I509" s="10"/>
      <c r="J509" s="7"/>
      <c r="K509" s="6"/>
      <c r="L509" s="10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10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</row>
    <row r="510">
      <c r="A510" s="7"/>
      <c r="B510" s="7"/>
      <c r="C510" s="10"/>
      <c r="D510" s="7"/>
      <c r="E510" s="6"/>
      <c r="F510" s="10"/>
      <c r="G510" s="7"/>
      <c r="H510" s="6"/>
      <c r="I510" s="10"/>
      <c r="J510" s="7"/>
      <c r="K510" s="6"/>
      <c r="L510" s="10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10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</row>
    <row r="511">
      <c r="A511" s="7"/>
      <c r="B511" s="7"/>
      <c r="C511" s="10"/>
      <c r="D511" s="7"/>
      <c r="E511" s="6"/>
      <c r="F511" s="10"/>
      <c r="G511" s="7"/>
      <c r="H511" s="6"/>
      <c r="I511" s="10"/>
      <c r="J511" s="7"/>
      <c r="K511" s="6"/>
      <c r="L511" s="10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10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</row>
    <row r="512">
      <c r="A512" s="7"/>
      <c r="B512" s="7"/>
      <c r="C512" s="10"/>
      <c r="D512" s="7"/>
      <c r="E512" s="6"/>
      <c r="F512" s="10"/>
      <c r="G512" s="7"/>
      <c r="H512" s="6"/>
      <c r="I512" s="10"/>
      <c r="J512" s="7"/>
      <c r="K512" s="6"/>
      <c r="L512" s="10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10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</row>
    <row r="513">
      <c r="A513" s="7"/>
      <c r="B513" s="7"/>
      <c r="C513" s="10"/>
      <c r="D513" s="7"/>
      <c r="E513" s="6"/>
      <c r="F513" s="10"/>
      <c r="G513" s="7"/>
      <c r="H513" s="6"/>
      <c r="I513" s="10"/>
      <c r="J513" s="7"/>
      <c r="K513" s="6"/>
      <c r="L513" s="10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10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</row>
    <row r="514">
      <c r="A514" s="7"/>
      <c r="B514" s="7"/>
      <c r="C514" s="10"/>
      <c r="D514" s="7"/>
      <c r="E514" s="6"/>
      <c r="F514" s="10"/>
      <c r="G514" s="7"/>
      <c r="H514" s="6"/>
      <c r="I514" s="10"/>
      <c r="J514" s="7"/>
      <c r="K514" s="6"/>
      <c r="L514" s="10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10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</row>
    <row r="515">
      <c r="A515" s="7"/>
      <c r="B515" s="7"/>
      <c r="C515" s="10"/>
      <c r="D515" s="7"/>
      <c r="E515" s="6"/>
      <c r="F515" s="10"/>
      <c r="G515" s="7"/>
      <c r="H515" s="6"/>
      <c r="I515" s="10"/>
      <c r="J515" s="7"/>
      <c r="K515" s="6"/>
      <c r="L515" s="10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10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</row>
    <row r="516">
      <c r="A516" s="7"/>
      <c r="B516" s="7"/>
      <c r="C516" s="10"/>
      <c r="D516" s="7"/>
      <c r="E516" s="6"/>
      <c r="F516" s="10"/>
      <c r="G516" s="7"/>
      <c r="H516" s="6"/>
      <c r="I516" s="10"/>
      <c r="J516" s="7"/>
      <c r="K516" s="6"/>
      <c r="L516" s="10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10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</row>
    <row r="517">
      <c r="A517" s="7"/>
      <c r="B517" s="7"/>
      <c r="C517" s="10"/>
      <c r="D517" s="7"/>
      <c r="E517" s="6"/>
      <c r="F517" s="10"/>
      <c r="G517" s="7"/>
      <c r="H517" s="6"/>
      <c r="I517" s="10"/>
      <c r="J517" s="7"/>
      <c r="K517" s="6"/>
      <c r="L517" s="10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10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</row>
    <row r="518">
      <c r="A518" s="7"/>
      <c r="B518" s="7"/>
      <c r="C518" s="10"/>
      <c r="D518" s="7"/>
      <c r="E518" s="6"/>
      <c r="F518" s="10"/>
      <c r="G518" s="7"/>
      <c r="H518" s="6"/>
      <c r="I518" s="10"/>
      <c r="J518" s="7"/>
      <c r="K518" s="6"/>
      <c r="L518" s="10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10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</row>
    <row r="519">
      <c r="A519" s="7"/>
      <c r="B519" s="7"/>
      <c r="C519" s="10"/>
      <c r="D519" s="7"/>
      <c r="E519" s="6"/>
      <c r="F519" s="10"/>
      <c r="G519" s="7"/>
      <c r="H519" s="6"/>
      <c r="I519" s="10"/>
      <c r="J519" s="7"/>
      <c r="K519" s="6"/>
      <c r="L519" s="10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10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</row>
    <row r="520">
      <c r="A520" s="7"/>
      <c r="B520" s="7"/>
      <c r="C520" s="10"/>
      <c r="D520" s="7"/>
      <c r="E520" s="6"/>
      <c r="F520" s="10"/>
      <c r="G520" s="7"/>
      <c r="H520" s="6"/>
      <c r="I520" s="10"/>
      <c r="J520" s="7"/>
      <c r="K520" s="6"/>
      <c r="L520" s="10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10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</row>
    <row r="521">
      <c r="A521" s="7"/>
      <c r="B521" s="7"/>
      <c r="C521" s="10"/>
      <c r="D521" s="7"/>
      <c r="E521" s="6"/>
      <c r="F521" s="10"/>
      <c r="G521" s="7"/>
      <c r="H521" s="6"/>
      <c r="I521" s="10"/>
      <c r="J521" s="7"/>
      <c r="K521" s="6"/>
      <c r="L521" s="10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10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</row>
    <row r="522">
      <c r="A522" s="7"/>
      <c r="B522" s="7"/>
      <c r="C522" s="10"/>
      <c r="D522" s="7"/>
      <c r="E522" s="6"/>
      <c r="F522" s="10"/>
      <c r="G522" s="7"/>
      <c r="H522" s="6"/>
      <c r="I522" s="10"/>
      <c r="J522" s="7"/>
      <c r="K522" s="6"/>
      <c r="L522" s="10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10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</row>
    <row r="523">
      <c r="A523" s="7"/>
      <c r="B523" s="7"/>
      <c r="C523" s="10"/>
      <c r="D523" s="7"/>
      <c r="E523" s="6"/>
      <c r="F523" s="10"/>
      <c r="G523" s="7"/>
      <c r="H523" s="6"/>
      <c r="I523" s="10"/>
      <c r="J523" s="7"/>
      <c r="K523" s="6"/>
      <c r="L523" s="10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10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</row>
    <row r="524">
      <c r="A524" s="7"/>
      <c r="B524" s="7"/>
      <c r="C524" s="10"/>
      <c r="D524" s="7"/>
      <c r="E524" s="6"/>
      <c r="F524" s="10"/>
      <c r="G524" s="7"/>
      <c r="H524" s="6"/>
      <c r="I524" s="10"/>
      <c r="J524" s="7"/>
      <c r="K524" s="6"/>
      <c r="L524" s="10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10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</row>
    <row r="525">
      <c r="A525" s="7"/>
      <c r="B525" s="7"/>
      <c r="C525" s="10"/>
      <c r="D525" s="7"/>
      <c r="E525" s="6"/>
      <c r="F525" s="10"/>
      <c r="G525" s="7"/>
      <c r="H525" s="6"/>
      <c r="I525" s="10"/>
      <c r="J525" s="7"/>
      <c r="K525" s="6"/>
      <c r="L525" s="10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10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</row>
    <row r="526">
      <c r="A526" s="7"/>
      <c r="B526" s="7"/>
      <c r="C526" s="10"/>
      <c r="D526" s="7"/>
      <c r="E526" s="6"/>
      <c r="F526" s="10"/>
      <c r="G526" s="7"/>
      <c r="H526" s="6"/>
      <c r="I526" s="10"/>
      <c r="J526" s="7"/>
      <c r="K526" s="6"/>
      <c r="L526" s="10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10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</row>
    <row r="527">
      <c r="A527" s="7"/>
      <c r="B527" s="7"/>
      <c r="C527" s="10"/>
      <c r="D527" s="7"/>
      <c r="E527" s="6"/>
      <c r="F527" s="10"/>
      <c r="G527" s="7"/>
      <c r="H527" s="6"/>
      <c r="I527" s="10"/>
      <c r="J527" s="7"/>
      <c r="K527" s="6"/>
      <c r="L527" s="10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10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</row>
    <row r="528">
      <c r="A528" s="7"/>
      <c r="B528" s="7"/>
      <c r="C528" s="10"/>
      <c r="D528" s="7"/>
      <c r="E528" s="6"/>
      <c r="F528" s="10"/>
      <c r="G528" s="7"/>
      <c r="H528" s="6"/>
      <c r="I528" s="10"/>
      <c r="J528" s="7"/>
      <c r="K528" s="6"/>
      <c r="L528" s="10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10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</row>
    <row r="529">
      <c r="A529" s="7"/>
      <c r="B529" s="7"/>
      <c r="C529" s="10"/>
      <c r="D529" s="7"/>
      <c r="E529" s="6"/>
      <c r="F529" s="10"/>
      <c r="G529" s="7"/>
      <c r="H529" s="6"/>
      <c r="I529" s="10"/>
      <c r="J529" s="7"/>
      <c r="K529" s="6"/>
      <c r="L529" s="10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10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</row>
    <row r="530">
      <c r="A530" s="7"/>
      <c r="B530" s="7"/>
      <c r="C530" s="10"/>
      <c r="D530" s="7"/>
      <c r="E530" s="6"/>
      <c r="F530" s="10"/>
      <c r="G530" s="7"/>
      <c r="H530" s="6"/>
      <c r="I530" s="10"/>
      <c r="J530" s="7"/>
      <c r="K530" s="6"/>
      <c r="L530" s="10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10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</row>
    <row r="531">
      <c r="A531" s="7"/>
      <c r="B531" s="7"/>
      <c r="C531" s="10"/>
      <c r="D531" s="7"/>
      <c r="E531" s="6"/>
      <c r="F531" s="10"/>
      <c r="G531" s="7"/>
      <c r="H531" s="6"/>
      <c r="I531" s="10"/>
      <c r="J531" s="7"/>
      <c r="K531" s="6"/>
      <c r="L531" s="10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10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</row>
    <row r="532">
      <c r="A532" s="7"/>
      <c r="B532" s="7"/>
      <c r="C532" s="10"/>
      <c r="D532" s="7"/>
      <c r="E532" s="6"/>
      <c r="F532" s="10"/>
      <c r="G532" s="7"/>
      <c r="H532" s="6"/>
      <c r="I532" s="10"/>
      <c r="J532" s="7"/>
      <c r="K532" s="6"/>
      <c r="L532" s="10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10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</row>
    <row r="533">
      <c r="A533" s="7"/>
      <c r="B533" s="7"/>
      <c r="C533" s="10"/>
      <c r="D533" s="7"/>
      <c r="E533" s="6"/>
      <c r="F533" s="10"/>
      <c r="G533" s="7"/>
      <c r="H533" s="6"/>
      <c r="I533" s="10"/>
      <c r="J533" s="7"/>
      <c r="K533" s="6"/>
      <c r="L533" s="10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10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</row>
    <row r="534">
      <c r="A534" s="7"/>
      <c r="B534" s="7"/>
      <c r="C534" s="10"/>
      <c r="D534" s="7"/>
      <c r="E534" s="6"/>
      <c r="F534" s="10"/>
      <c r="G534" s="7"/>
      <c r="H534" s="6"/>
      <c r="I534" s="10"/>
      <c r="J534" s="7"/>
      <c r="K534" s="6"/>
      <c r="L534" s="10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10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</row>
    <row r="535">
      <c r="A535" s="7"/>
      <c r="B535" s="7"/>
      <c r="C535" s="10"/>
      <c r="D535" s="7"/>
      <c r="E535" s="6"/>
      <c r="F535" s="10"/>
      <c r="G535" s="7"/>
      <c r="H535" s="6"/>
      <c r="I535" s="10"/>
      <c r="J535" s="7"/>
      <c r="K535" s="6"/>
      <c r="L535" s="10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10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</row>
    <row r="536">
      <c r="A536" s="7"/>
      <c r="B536" s="7"/>
      <c r="C536" s="10"/>
      <c r="D536" s="7"/>
      <c r="E536" s="6"/>
      <c r="F536" s="10"/>
      <c r="G536" s="7"/>
      <c r="H536" s="6"/>
      <c r="I536" s="10"/>
      <c r="J536" s="7"/>
      <c r="K536" s="6"/>
      <c r="L536" s="10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10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</row>
    <row r="537">
      <c r="A537" s="7"/>
      <c r="B537" s="7"/>
      <c r="C537" s="10"/>
      <c r="D537" s="7"/>
      <c r="E537" s="6"/>
      <c r="F537" s="10"/>
      <c r="G537" s="7"/>
      <c r="H537" s="6"/>
      <c r="I537" s="10"/>
      <c r="J537" s="7"/>
      <c r="K537" s="6"/>
      <c r="L537" s="10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10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</row>
    <row r="538">
      <c r="A538" s="7"/>
      <c r="B538" s="7"/>
      <c r="C538" s="10"/>
      <c r="D538" s="7"/>
      <c r="E538" s="6"/>
      <c r="F538" s="10"/>
      <c r="G538" s="7"/>
      <c r="H538" s="6"/>
      <c r="I538" s="10"/>
      <c r="J538" s="7"/>
      <c r="K538" s="6"/>
      <c r="L538" s="10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10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</row>
    <row r="539">
      <c r="A539" s="7"/>
      <c r="B539" s="7"/>
      <c r="C539" s="10"/>
      <c r="D539" s="7"/>
      <c r="E539" s="6"/>
      <c r="F539" s="10"/>
      <c r="G539" s="7"/>
      <c r="H539" s="6"/>
      <c r="I539" s="10"/>
      <c r="J539" s="7"/>
      <c r="K539" s="6"/>
      <c r="L539" s="10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10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</row>
    <row r="540">
      <c r="A540" s="7"/>
      <c r="B540" s="7"/>
      <c r="C540" s="10"/>
      <c r="D540" s="7"/>
      <c r="E540" s="6"/>
      <c r="F540" s="10"/>
      <c r="G540" s="7"/>
      <c r="H540" s="6"/>
      <c r="I540" s="10"/>
      <c r="J540" s="7"/>
      <c r="K540" s="6"/>
      <c r="L540" s="10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10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</row>
    <row r="541">
      <c r="A541" s="7"/>
      <c r="B541" s="7"/>
      <c r="C541" s="10"/>
      <c r="D541" s="7"/>
      <c r="E541" s="6"/>
      <c r="F541" s="10"/>
      <c r="G541" s="7"/>
      <c r="H541" s="6"/>
      <c r="I541" s="10"/>
      <c r="J541" s="7"/>
      <c r="K541" s="6"/>
      <c r="L541" s="10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10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</row>
    <row r="542">
      <c r="A542" s="7"/>
      <c r="B542" s="7"/>
      <c r="C542" s="10"/>
      <c r="D542" s="7"/>
      <c r="E542" s="6"/>
      <c r="F542" s="10"/>
      <c r="G542" s="7"/>
      <c r="H542" s="6"/>
      <c r="I542" s="10"/>
      <c r="J542" s="7"/>
      <c r="K542" s="6"/>
      <c r="L542" s="10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10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</row>
    <row r="543">
      <c r="A543" s="7"/>
      <c r="B543" s="7"/>
      <c r="C543" s="10"/>
      <c r="D543" s="7"/>
      <c r="E543" s="6"/>
      <c r="F543" s="10"/>
      <c r="G543" s="7"/>
      <c r="H543" s="6"/>
      <c r="I543" s="10"/>
      <c r="J543" s="7"/>
      <c r="K543" s="6"/>
      <c r="L543" s="10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10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</row>
    <row r="544">
      <c r="A544" s="7"/>
      <c r="B544" s="7"/>
      <c r="C544" s="10"/>
      <c r="D544" s="7"/>
      <c r="E544" s="6"/>
      <c r="F544" s="10"/>
      <c r="G544" s="7"/>
      <c r="H544" s="6"/>
      <c r="I544" s="10"/>
      <c r="J544" s="7"/>
      <c r="K544" s="6"/>
      <c r="L544" s="10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10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</row>
    <row r="545">
      <c r="A545" s="7"/>
      <c r="B545" s="7"/>
      <c r="C545" s="10"/>
      <c r="D545" s="7"/>
      <c r="E545" s="6"/>
      <c r="F545" s="10"/>
      <c r="G545" s="7"/>
      <c r="H545" s="6"/>
      <c r="I545" s="10"/>
      <c r="J545" s="7"/>
      <c r="K545" s="6"/>
      <c r="L545" s="10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10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</row>
    <row r="546">
      <c r="A546" s="7"/>
      <c r="B546" s="7"/>
      <c r="C546" s="10"/>
      <c r="D546" s="7"/>
      <c r="E546" s="6"/>
      <c r="F546" s="10"/>
      <c r="G546" s="7"/>
      <c r="H546" s="6"/>
      <c r="I546" s="10"/>
      <c r="J546" s="7"/>
      <c r="K546" s="6"/>
      <c r="L546" s="10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10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</row>
    <row r="547">
      <c r="A547" s="7"/>
      <c r="B547" s="7"/>
      <c r="C547" s="10"/>
      <c r="D547" s="7"/>
      <c r="E547" s="6"/>
      <c r="F547" s="10"/>
      <c r="G547" s="7"/>
      <c r="H547" s="6"/>
      <c r="I547" s="10"/>
      <c r="J547" s="7"/>
      <c r="K547" s="6"/>
      <c r="L547" s="10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10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</row>
    <row r="548">
      <c r="A548" s="7"/>
      <c r="B548" s="7"/>
      <c r="C548" s="10"/>
      <c r="D548" s="7"/>
      <c r="E548" s="6"/>
      <c r="F548" s="10"/>
      <c r="G548" s="7"/>
      <c r="H548" s="6"/>
      <c r="I548" s="10"/>
      <c r="J548" s="7"/>
      <c r="K548" s="6"/>
      <c r="L548" s="10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10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</row>
    <row r="549">
      <c r="A549" s="7"/>
      <c r="B549" s="7"/>
      <c r="C549" s="10"/>
      <c r="D549" s="7"/>
      <c r="E549" s="6"/>
      <c r="F549" s="10"/>
      <c r="G549" s="7"/>
      <c r="H549" s="6"/>
      <c r="I549" s="10"/>
      <c r="J549" s="7"/>
      <c r="K549" s="6"/>
      <c r="L549" s="10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10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</row>
    <row r="550">
      <c r="A550" s="7"/>
      <c r="B550" s="7"/>
      <c r="C550" s="10"/>
      <c r="D550" s="7"/>
      <c r="E550" s="6"/>
      <c r="F550" s="10"/>
      <c r="G550" s="7"/>
      <c r="H550" s="6"/>
      <c r="I550" s="10"/>
      <c r="J550" s="7"/>
      <c r="K550" s="6"/>
      <c r="L550" s="10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10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</row>
    <row r="551">
      <c r="A551" s="7"/>
      <c r="B551" s="7"/>
      <c r="C551" s="10"/>
      <c r="D551" s="7"/>
      <c r="E551" s="6"/>
      <c r="F551" s="10"/>
      <c r="G551" s="7"/>
      <c r="H551" s="6"/>
      <c r="I551" s="10"/>
      <c r="J551" s="7"/>
      <c r="K551" s="6"/>
      <c r="L551" s="10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10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</row>
    <row r="552">
      <c r="A552" s="7"/>
      <c r="B552" s="7"/>
      <c r="C552" s="10"/>
      <c r="D552" s="7"/>
      <c r="E552" s="6"/>
      <c r="F552" s="10"/>
      <c r="G552" s="7"/>
      <c r="H552" s="6"/>
      <c r="I552" s="10"/>
      <c r="J552" s="7"/>
      <c r="K552" s="6"/>
      <c r="L552" s="10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10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</row>
    <row r="553">
      <c r="A553" s="7"/>
      <c r="B553" s="7"/>
      <c r="C553" s="10"/>
      <c r="D553" s="7"/>
      <c r="E553" s="6"/>
      <c r="F553" s="10"/>
      <c r="G553" s="7"/>
      <c r="H553" s="6"/>
      <c r="I553" s="10"/>
      <c r="J553" s="7"/>
      <c r="K553" s="6"/>
      <c r="L553" s="10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10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</row>
    <row r="554">
      <c r="A554" s="7"/>
      <c r="B554" s="7"/>
      <c r="C554" s="10"/>
      <c r="D554" s="7"/>
      <c r="E554" s="6"/>
      <c r="F554" s="10"/>
      <c r="G554" s="7"/>
      <c r="H554" s="6"/>
      <c r="I554" s="10"/>
      <c r="J554" s="7"/>
      <c r="K554" s="6"/>
      <c r="L554" s="10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10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</row>
    <row r="555">
      <c r="A555" s="7"/>
      <c r="B555" s="7"/>
      <c r="C555" s="10"/>
      <c r="D555" s="7"/>
      <c r="E555" s="6"/>
      <c r="F555" s="10"/>
      <c r="G555" s="7"/>
      <c r="H555" s="6"/>
      <c r="I555" s="10"/>
      <c r="J555" s="7"/>
      <c r="K555" s="6"/>
      <c r="L555" s="10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10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</row>
    <row r="556">
      <c r="A556" s="7"/>
      <c r="B556" s="7"/>
      <c r="C556" s="10"/>
      <c r="D556" s="7"/>
      <c r="E556" s="6"/>
      <c r="F556" s="10"/>
      <c r="G556" s="7"/>
      <c r="H556" s="6"/>
      <c r="I556" s="10"/>
      <c r="J556" s="7"/>
      <c r="K556" s="6"/>
      <c r="L556" s="10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10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</row>
    <row r="557">
      <c r="A557" s="7"/>
      <c r="B557" s="7"/>
      <c r="C557" s="10"/>
      <c r="D557" s="7"/>
      <c r="E557" s="6"/>
      <c r="F557" s="10"/>
      <c r="G557" s="7"/>
      <c r="H557" s="6"/>
      <c r="I557" s="10"/>
      <c r="J557" s="7"/>
      <c r="K557" s="6"/>
      <c r="L557" s="10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10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</row>
    <row r="558">
      <c r="A558" s="7"/>
      <c r="B558" s="7"/>
      <c r="C558" s="10"/>
      <c r="D558" s="7"/>
      <c r="E558" s="6"/>
      <c r="F558" s="10"/>
      <c r="G558" s="7"/>
      <c r="H558" s="6"/>
      <c r="I558" s="10"/>
      <c r="J558" s="7"/>
      <c r="K558" s="6"/>
      <c r="L558" s="10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10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</row>
    <row r="559">
      <c r="A559" s="7"/>
      <c r="B559" s="7"/>
      <c r="C559" s="10"/>
      <c r="D559" s="7"/>
      <c r="E559" s="6"/>
      <c r="F559" s="10"/>
      <c r="G559" s="7"/>
      <c r="H559" s="6"/>
      <c r="I559" s="10"/>
      <c r="J559" s="7"/>
      <c r="K559" s="6"/>
      <c r="L559" s="10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10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</row>
    <row r="560">
      <c r="A560" s="7"/>
      <c r="B560" s="7"/>
      <c r="C560" s="10"/>
      <c r="D560" s="7"/>
      <c r="E560" s="6"/>
      <c r="F560" s="10"/>
      <c r="G560" s="7"/>
      <c r="H560" s="6"/>
      <c r="I560" s="10"/>
      <c r="J560" s="7"/>
      <c r="K560" s="6"/>
      <c r="L560" s="10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10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</row>
    <row r="561">
      <c r="A561" s="7"/>
      <c r="B561" s="7"/>
      <c r="C561" s="10"/>
      <c r="D561" s="7"/>
      <c r="E561" s="6"/>
      <c r="F561" s="10"/>
      <c r="G561" s="7"/>
      <c r="H561" s="6"/>
      <c r="I561" s="10"/>
      <c r="J561" s="7"/>
      <c r="K561" s="6"/>
      <c r="L561" s="10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10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</row>
    <row r="562">
      <c r="A562" s="7"/>
      <c r="B562" s="7"/>
      <c r="C562" s="10"/>
      <c r="D562" s="7"/>
      <c r="E562" s="6"/>
      <c r="F562" s="10"/>
      <c r="G562" s="7"/>
      <c r="H562" s="6"/>
      <c r="I562" s="10"/>
      <c r="J562" s="7"/>
      <c r="K562" s="6"/>
      <c r="L562" s="10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10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</row>
    <row r="563">
      <c r="A563" s="7"/>
      <c r="B563" s="7"/>
      <c r="C563" s="10"/>
      <c r="D563" s="7"/>
      <c r="E563" s="6"/>
      <c r="F563" s="10"/>
      <c r="G563" s="7"/>
      <c r="H563" s="6"/>
      <c r="I563" s="10"/>
      <c r="J563" s="7"/>
      <c r="K563" s="6"/>
      <c r="L563" s="10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10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</row>
    <row r="564">
      <c r="A564" s="7"/>
      <c r="B564" s="7"/>
      <c r="C564" s="10"/>
      <c r="D564" s="7"/>
      <c r="E564" s="6"/>
      <c r="F564" s="10"/>
      <c r="G564" s="7"/>
      <c r="H564" s="6"/>
      <c r="I564" s="10"/>
      <c r="J564" s="7"/>
      <c r="K564" s="6"/>
      <c r="L564" s="10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10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</row>
    <row r="565">
      <c r="A565" s="7"/>
      <c r="B565" s="7"/>
      <c r="C565" s="10"/>
      <c r="D565" s="7"/>
      <c r="E565" s="6"/>
      <c r="F565" s="10"/>
      <c r="G565" s="7"/>
      <c r="H565" s="6"/>
      <c r="I565" s="10"/>
      <c r="J565" s="7"/>
      <c r="K565" s="6"/>
      <c r="L565" s="10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10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</row>
    <row r="566">
      <c r="A566" s="7"/>
      <c r="B566" s="7"/>
      <c r="C566" s="10"/>
      <c r="D566" s="7"/>
      <c r="E566" s="6"/>
      <c r="F566" s="10"/>
      <c r="G566" s="7"/>
      <c r="H566" s="6"/>
      <c r="I566" s="10"/>
      <c r="J566" s="7"/>
      <c r="K566" s="6"/>
      <c r="L566" s="10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10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</row>
    <row r="567">
      <c r="A567" s="7"/>
      <c r="B567" s="7"/>
      <c r="C567" s="10"/>
      <c r="D567" s="7"/>
      <c r="E567" s="6"/>
      <c r="F567" s="10"/>
      <c r="G567" s="7"/>
      <c r="H567" s="6"/>
      <c r="I567" s="10"/>
      <c r="J567" s="7"/>
      <c r="K567" s="6"/>
      <c r="L567" s="10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10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</row>
    <row r="568">
      <c r="A568" s="7"/>
      <c r="B568" s="7"/>
      <c r="C568" s="10"/>
      <c r="D568" s="7"/>
      <c r="E568" s="6"/>
      <c r="F568" s="10"/>
      <c r="G568" s="7"/>
      <c r="H568" s="6"/>
      <c r="I568" s="10"/>
      <c r="J568" s="7"/>
      <c r="K568" s="6"/>
      <c r="L568" s="10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10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</row>
    <row r="569">
      <c r="A569" s="7"/>
      <c r="B569" s="7"/>
      <c r="C569" s="10"/>
      <c r="D569" s="7"/>
      <c r="E569" s="6"/>
      <c r="F569" s="10"/>
      <c r="G569" s="7"/>
      <c r="H569" s="6"/>
      <c r="I569" s="10"/>
      <c r="J569" s="7"/>
      <c r="K569" s="6"/>
      <c r="L569" s="10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10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</row>
    <row r="570">
      <c r="A570" s="7"/>
      <c r="B570" s="7"/>
      <c r="C570" s="10"/>
      <c r="D570" s="7"/>
      <c r="E570" s="6"/>
      <c r="F570" s="10"/>
      <c r="G570" s="7"/>
      <c r="H570" s="6"/>
      <c r="I570" s="10"/>
      <c r="J570" s="7"/>
      <c r="K570" s="6"/>
      <c r="L570" s="10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10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</row>
    <row r="571">
      <c r="A571" s="7"/>
      <c r="B571" s="7"/>
      <c r="C571" s="10"/>
      <c r="D571" s="7"/>
      <c r="E571" s="6"/>
      <c r="F571" s="10"/>
      <c r="G571" s="7"/>
      <c r="H571" s="6"/>
      <c r="I571" s="10"/>
      <c r="J571" s="7"/>
      <c r="K571" s="6"/>
      <c r="L571" s="10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10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</row>
    <row r="572">
      <c r="A572" s="7"/>
      <c r="B572" s="7"/>
      <c r="C572" s="10"/>
      <c r="D572" s="7"/>
      <c r="E572" s="6"/>
      <c r="F572" s="10"/>
      <c r="G572" s="7"/>
      <c r="H572" s="6"/>
      <c r="I572" s="10"/>
      <c r="J572" s="7"/>
      <c r="K572" s="6"/>
      <c r="L572" s="10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10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</row>
    <row r="573">
      <c r="A573" s="7"/>
      <c r="B573" s="7"/>
      <c r="C573" s="10"/>
      <c r="D573" s="7"/>
      <c r="E573" s="6"/>
      <c r="F573" s="10"/>
      <c r="G573" s="7"/>
      <c r="H573" s="6"/>
      <c r="I573" s="10"/>
      <c r="J573" s="7"/>
      <c r="K573" s="6"/>
      <c r="L573" s="10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10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</row>
    <row r="574">
      <c r="A574" s="7"/>
      <c r="B574" s="7"/>
      <c r="C574" s="10"/>
      <c r="D574" s="7"/>
      <c r="E574" s="6"/>
      <c r="F574" s="10"/>
      <c r="G574" s="7"/>
      <c r="H574" s="6"/>
      <c r="I574" s="10"/>
      <c r="J574" s="7"/>
      <c r="K574" s="6"/>
      <c r="L574" s="10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10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</row>
    <row r="575">
      <c r="A575" s="7"/>
      <c r="B575" s="7"/>
      <c r="C575" s="10"/>
      <c r="D575" s="7"/>
      <c r="E575" s="6"/>
      <c r="F575" s="10"/>
      <c r="G575" s="7"/>
      <c r="H575" s="6"/>
      <c r="I575" s="10"/>
      <c r="J575" s="7"/>
      <c r="K575" s="6"/>
      <c r="L575" s="10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10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</row>
    <row r="576">
      <c r="A576" s="7"/>
      <c r="B576" s="7"/>
      <c r="C576" s="10"/>
      <c r="D576" s="7"/>
      <c r="E576" s="6"/>
      <c r="F576" s="10"/>
      <c r="G576" s="7"/>
      <c r="H576" s="6"/>
      <c r="I576" s="10"/>
      <c r="J576" s="7"/>
      <c r="K576" s="6"/>
      <c r="L576" s="10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10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</row>
    <row r="577">
      <c r="A577" s="7"/>
      <c r="B577" s="7"/>
      <c r="C577" s="10"/>
      <c r="D577" s="7"/>
      <c r="E577" s="6"/>
      <c r="F577" s="10"/>
      <c r="G577" s="7"/>
      <c r="H577" s="6"/>
      <c r="I577" s="10"/>
      <c r="J577" s="7"/>
      <c r="K577" s="6"/>
      <c r="L577" s="10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10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</row>
    <row r="578">
      <c r="A578" s="7"/>
      <c r="B578" s="7"/>
      <c r="C578" s="10"/>
      <c r="D578" s="7"/>
      <c r="E578" s="6"/>
      <c r="F578" s="10"/>
      <c r="G578" s="7"/>
      <c r="H578" s="6"/>
      <c r="I578" s="10"/>
      <c r="J578" s="7"/>
      <c r="K578" s="6"/>
      <c r="L578" s="10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10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</row>
    <row r="579">
      <c r="A579" s="7"/>
      <c r="B579" s="7"/>
      <c r="C579" s="10"/>
      <c r="D579" s="7"/>
      <c r="E579" s="6"/>
      <c r="F579" s="10"/>
      <c r="G579" s="7"/>
      <c r="H579" s="6"/>
      <c r="I579" s="10"/>
      <c r="J579" s="7"/>
      <c r="K579" s="6"/>
      <c r="L579" s="10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10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</row>
    <row r="580">
      <c r="A580" s="7"/>
      <c r="B580" s="7"/>
      <c r="C580" s="10"/>
      <c r="D580" s="7"/>
      <c r="E580" s="6"/>
      <c r="F580" s="10"/>
      <c r="G580" s="7"/>
      <c r="H580" s="6"/>
      <c r="I580" s="10"/>
      <c r="J580" s="7"/>
      <c r="K580" s="6"/>
      <c r="L580" s="10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10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</row>
    <row r="581">
      <c r="A581" s="7"/>
      <c r="B581" s="7"/>
      <c r="C581" s="10"/>
      <c r="D581" s="7"/>
      <c r="E581" s="6"/>
      <c r="F581" s="10"/>
      <c r="G581" s="7"/>
      <c r="H581" s="6"/>
      <c r="I581" s="10"/>
      <c r="J581" s="7"/>
      <c r="K581" s="6"/>
      <c r="L581" s="10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10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</row>
    <row r="582">
      <c r="A582" s="7"/>
      <c r="B582" s="7"/>
      <c r="C582" s="10"/>
      <c r="D582" s="7"/>
      <c r="E582" s="6"/>
      <c r="F582" s="10"/>
      <c r="G582" s="7"/>
      <c r="H582" s="6"/>
      <c r="I582" s="10"/>
      <c r="J582" s="7"/>
      <c r="K582" s="6"/>
      <c r="L582" s="10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10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</row>
    <row r="583">
      <c r="A583" s="7"/>
      <c r="B583" s="7"/>
      <c r="C583" s="10"/>
      <c r="D583" s="7"/>
      <c r="E583" s="6"/>
      <c r="F583" s="10"/>
      <c r="G583" s="7"/>
      <c r="H583" s="6"/>
      <c r="I583" s="10"/>
      <c r="J583" s="7"/>
      <c r="K583" s="6"/>
      <c r="L583" s="10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10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</row>
    <row r="584">
      <c r="A584" s="7"/>
      <c r="B584" s="7"/>
      <c r="C584" s="10"/>
      <c r="D584" s="7"/>
      <c r="E584" s="6"/>
      <c r="F584" s="10"/>
      <c r="G584" s="7"/>
      <c r="H584" s="6"/>
      <c r="I584" s="10"/>
      <c r="J584" s="7"/>
      <c r="K584" s="6"/>
      <c r="L584" s="10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10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</row>
    <row r="585">
      <c r="A585" s="7"/>
      <c r="B585" s="7"/>
      <c r="C585" s="10"/>
      <c r="D585" s="7"/>
      <c r="E585" s="6"/>
      <c r="F585" s="10"/>
      <c r="G585" s="7"/>
      <c r="H585" s="6"/>
      <c r="I585" s="10"/>
      <c r="J585" s="7"/>
      <c r="K585" s="6"/>
      <c r="L585" s="10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10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</row>
    <row r="586">
      <c r="A586" s="7"/>
      <c r="B586" s="7"/>
      <c r="C586" s="10"/>
      <c r="D586" s="7"/>
      <c r="E586" s="6"/>
      <c r="F586" s="10"/>
      <c r="G586" s="7"/>
      <c r="H586" s="6"/>
      <c r="I586" s="10"/>
      <c r="J586" s="7"/>
      <c r="K586" s="6"/>
      <c r="L586" s="10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10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</row>
    <row r="587">
      <c r="A587" s="7"/>
      <c r="B587" s="7"/>
      <c r="C587" s="10"/>
      <c r="D587" s="7"/>
      <c r="E587" s="6"/>
      <c r="F587" s="10"/>
      <c r="G587" s="7"/>
      <c r="H587" s="6"/>
      <c r="I587" s="10"/>
      <c r="J587" s="7"/>
      <c r="K587" s="6"/>
      <c r="L587" s="10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10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</row>
    <row r="588">
      <c r="A588" s="7"/>
      <c r="B588" s="7"/>
      <c r="C588" s="10"/>
      <c r="D588" s="7"/>
      <c r="E588" s="6"/>
      <c r="F588" s="10"/>
      <c r="G588" s="7"/>
      <c r="H588" s="6"/>
      <c r="I588" s="10"/>
      <c r="J588" s="7"/>
      <c r="K588" s="6"/>
      <c r="L588" s="10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10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</row>
    <row r="589">
      <c r="A589" s="7"/>
      <c r="B589" s="7"/>
      <c r="C589" s="10"/>
      <c r="D589" s="7"/>
      <c r="E589" s="6"/>
      <c r="F589" s="10"/>
      <c r="G589" s="7"/>
      <c r="H589" s="6"/>
      <c r="I589" s="10"/>
      <c r="J589" s="7"/>
      <c r="K589" s="6"/>
      <c r="L589" s="10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10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</row>
    <row r="590">
      <c r="A590" s="7"/>
      <c r="B590" s="7"/>
      <c r="C590" s="10"/>
      <c r="D590" s="7"/>
      <c r="E590" s="6"/>
      <c r="F590" s="10"/>
      <c r="G590" s="7"/>
      <c r="H590" s="6"/>
      <c r="I590" s="10"/>
      <c r="J590" s="7"/>
      <c r="K590" s="6"/>
      <c r="L590" s="10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10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</row>
    <row r="591">
      <c r="A591" s="7"/>
      <c r="B591" s="7"/>
      <c r="C591" s="10"/>
      <c r="D591" s="7"/>
      <c r="E591" s="6"/>
      <c r="F591" s="10"/>
      <c r="G591" s="7"/>
      <c r="H591" s="6"/>
      <c r="I591" s="10"/>
      <c r="J591" s="7"/>
      <c r="K591" s="6"/>
      <c r="L591" s="10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10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</row>
    <row r="592">
      <c r="A592" s="7"/>
      <c r="B592" s="7"/>
      <c r="C592" s="10"/>
      <c r="D592" s="7"/>
      <c r="E592" s="6"/>
      <c r="F592" s="10"/>
      <c r="G592" s="7"/>
      <c r="H592" s="6"/>
      <c r="I592" s="10"/>
      <c r="J592" s="7"/>
      <c r="K592" s="6"/>
      <c r="L592" s="10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10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</row>
    <row r="593">
      <c r="A593" s="7"/>
      <c r="B593" s="7"/>
      <c r="C593" s="10"/>
      <c r="D593" s="7"/>
      <c r="E593" s="6"/>
      <c r="F593" s="10"/>
      <c r="G593" s="7"/>
      <c r="H593" s="6"/>
      <c r="I593" s="10"/>
      <c r="J593" s="7"/>
      <c r="K593" s="6"/>
      <c r="L593" s="10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10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</row>
    <row r="594">
      <c r="A594" s="7"/>
      <c r="B594" s="7"/>
      <c r="C594" s="10"/>
      <c r="D594" s="7"/>
      <c r="E594" s="6"/>
      <c r="F594" s="10"/>
      <c r="G594" s="7"/>
      <c r="H594" s="6"/>
      <c r="I594" s="10"/>
      <c r="J594" s="7"/>
      <c r="K594" s="6"/>
      <c r="L594" s="10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10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</row>
    <row r="595">
      <c r="A595" s="7"/>
      <c r="B595" s="7"/>
      <c r="C595" s="10"/>
      <c r="D595" s="7"/>
      <c r="E595" s="6"/>
      <c r="F595" s="10"/>
      <c r="G595" s="7"/>
      <c r="H595" s="6"/>
      <c r="I595" s="10"/>
      <c r="J595" s="7"/>
      <c r="K595" s="6"/>
      <c r="L595" s="10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10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</row>
    <row r="596">
      <c r="A596" s="7"/>
      <c r="B596" s="7"/>
      <c r="C596" s="10"/>
      <c r="D596" s="7"/>
      <c r="E596" s="6"/>
      <c r="F596" s="10"/>
      <c r="G596" s="7"/>
      <c r="H596" s="6"/>
      <c r="I596" s="10"/>
      <c r="J596" s="7"/>
      <c r="K596" s="6"/>
      <c r="L596" s="10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10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</row>
    <row r="597">
      <c r="A597" s="7"/>
      <c r="B597" s="7"/>
      <c r="C597" s="10"/>
      <c r="D597" s="7"/>
      <c r="E597" s="6"/>
      <c r="F597" s="10"/>
      <c r="G597" s="7"/>
      <c r="H597" s="6"/>
      <c r="I597" s="10"/>
      <c r="J597" s="7"/>
      <c r="K597" s="6"/>
      <c r="L597" s="10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10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</row>
    <row r="598">
      <c r="A598" s="7"/>
      <c r="B598" s="7"/>
      <c r="C598" s="10"/>
      <c r="D598" s="7"/>
      <c r="E598" s="6"/>
      <c r="F598" s="10"/>
      <c r="G598" s="7"/>
      <c r="H598" s="6"/>
      <c r="I598" s="10"/>
      <c r="J598" s="7"/>
      <c r="K598" s="6"/>
      <c r="L598" s="10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10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</row>
    <row r="599">
      <c r="A599" s="7"/>
      <c r="B599" s="7"/>
      <c r="C599" s="10"/>
      <c r="D599" s="7"/>
      <c r="E599" s="6"/>
      <c r="F599" s="10"/>
      <c r="G599" s="7"/>
      <c r="H599" s="6"/>
      <c r="I599" s="10"/>
      <c r="J599" s="7"/>
      <c r="K599" s="6"/>
      <c r="L599" s="10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10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</row>
    <row r="600">
      <c r="A600" s="7"/>
      <c r="B600" s="7"/>
      <c r="C600" s="10"/>
      <c r="D600" s="7"/>
      <c r="E600" s="6"/>
      <c r="F600" s="10"/>
      <c r="G600" s="7"/>
      <c r="H600" s="6"/>
      <c r="I600" s="10"/>
      <c r="J600" s="7"/>
      <c r="K600" s="6"/>
      <c r="L600" s="10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10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</row>
    <row r="601">
      <c r="A601" s="7"/>
      <c r="B601" s="7"/>
      <c r="C601" s="10"/>
      <c r="D601" s="7"/>
      <c r="E601" s="6"/>
      <c r="F601" s="10"/>
      <c r="G601" s="7"/>
      <c r="H601" s="6"/>
      <c r="I601" s="10"/>
      <c r="J601" s="7"/>
      <c r="K601" s="6"/>
      <c r="L601" s="10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10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</row>
    <row r="602">
      <c r="A602" s="7"/>
      <c r="B602" s="7"/>
      <c r="C602" s="10"/>
      <c r="D602" s="7"/>
      <c r="E602" s="6"/>
      <c r="F602" s="10"/>
      <c r="G602" s="7"/>
      <c r="H602" s="6"/>
      <c r="I602" s="10"/>
      <c r="J602" s="7"/>
      <c r="K602" s="6"/>
      <c r="L602" s="10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10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</row>
    <row r="603">
      <c r="A603" s="7"/>
      <c r="B603" s="7"/>
      <c r="C603" s="10"/>
      <c r="D603" s="7"/>
      <c r="E603" s="6"/>
      <c r="F603" s="10"/>
      <c r="G603" s="7"/>
      <c r="H603" s="6"/>
      <c r="I603" s="10"/>
      <c r="J603" s="7"/>
      <c r="K603" s="6"/>
      <c r="L603" s="10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10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</row>
    <row r="604">
      <c r="A604" s="7"/>
      <c r="B604" s="7"/>
      <c r="C604" s="10"/>
      <c r="D604" s="7"/>
      <c r="E604" s="6"/>
      <c r="F604" s="10"/>
      <c r="G604" s="7"/>
      <c r="H604" s="6"/>
      <c r="I604" s="10"/>
      <c r="J604" s="7"/>
      <c r="K604" s="6"/>
      <c r="L604" s="10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10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</row>
    <row r="605">
      <c r="A605" s="7"/>
      <c r="B605" s="7"/>
      <c r="C605" s="10"/>
      <c r="D605" s="7"/>
      <c r="E605" s="6"/>
      <c r="F605" s="10"/>
      <c r="G605" s="7"/>
      <c r="H605" s="6"/>
      <c r="I605" s="10"/>
      <c r="J605" s="7"/>
      <c r="K605" s="6"/>
      <c r="L605" s="10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10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</row>
    <row r="606">
      <c r="A606" s="7"/>
      <c r="B606" s="7"/>
      <c r="C606" s="10"/>
      <c r="D606" s="7"/>
      <c r="E606" s="6"/>
      <c r="F606" s="10"/>
      <c r="G606" s="7"/>
      <c r="H606" s="6"/>
      <c r="I606" s="10"/>
      <c r="J606" s="7"/>
      <c r="K606" s="6"/>
      <c r="L606" s="10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10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</row>
    <row r="607">
      <c r="A607" s="7"/>
      <c r="B607" s="7"/>
      <c r="C607" s="10"/>
      <c r="D607" s="7"/>
      <c r="E607" s="6"/>
      <c r="F607" s="10"/>
      <c r="G607" s="7"/>
      <c r="H607" s="6"/>
      <c r="I607" s="10"/>
      <c r="J607" s="7"/>
      <c r="K607" s="6"/>
      <c r="L607" s="10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10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</row>
    <row r="608">
      <c r="A608" s="7"/>
      <c r="B608" s="7"/>
      <c r="C608" s="10"/>
      <c r="D608" s="7"/>
      <c r="E608" s="6"/>
      <c r="F608" s="10"/>
      <c r="G608" s="7"/>
      <c r="H608" s="6"/>
      <c r="I608" s="10"/>
      <c r="J608" s="7"/>
      <c r="K608" s="6"/>
      <c r="L608" s="10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10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</row>
    <row r="609">
      <c r="A609" s="7"/>
      <c r="B609" s="7"/>
      <c r="C609" s="10"/>
      <c r="D609" s="7"/>
      <c r="E609" s="6"/>
      <c r="F609" s="10"/>
      <c r="G609" s="7"/>
      <c r="H609" s="6"/>
      <c r="I609" s="10"/>
      <c r="J609" s="7"/>
      <c r="K609" s="6"/>
      <c r="L609" s="10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10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</row>
    <row r="610">
      <c r="A610" s="7"/>
      <c r="B610" s="7"/>
      <c r="C610" s="10"/>
      <c r="D610" s="7"/>
      <c r="E610" s="6"/>
      <c r="F610" s="10"/>
      <c r="G610" s="7"/>
      <c r="H610" s="6"/>
      <c r="I610" s="10"/>
      <c r="J610" s="7"/>
      <c r="K610" s="6"/>
      <c r="L610" s="10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10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</row>
    <row r="611">
      <c r="A611" s="7"/>
      <c r="B611" s="7"/>
      <c r="C611" s="10"/>
      <c r="D611" s="7"/>
      <c r="E611" s="6"/>
      <c r="F611" s="10"/>
      <c r="G611" s="7"/>
      <c r="H611" s="6"/>
      <c r="I611" s="10"/>
      <c r="J611" s="7"/>
      <c r="K611" s="6"/>
      <c r="L611" s="10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10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</row>
    <row r="612">
      <c r="A612" s="7"/>
      <c r="B612" s="7"/>
      <c r="C612" s="10"/>
      <c r="D612" s="7"/>
      <c r="E612" s="6"/>
      <c r="F612" s="10"/>
      <c r="G612" s="7"/>
      <c r="H612" s="6"/>
      <c r="I612" s="10"/>
      <c r="J612" s="7"/>
      <c r="K612" s="6"/>
      <c r="L612" s="10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10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</row>
    <row r="613">
      <c r="A613" s="7"/>
      <c r="B613" s="7"/>
      <c r="C613" s="10"/>
      <c r="D613" s="7"/>
      <c r="E613" s="6"/>
      <c r="F613" s="10"/>
      <c r="G613" s="7"/>
      <c r="H613" s="6"/>
      <c r="I613" s="10"/>
      <c r="J613" s="7"/>
      <c r="K613" s="6"/>
      <c r="L613" s="10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10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</row>
    <row r="614">
      <c r="A614" s="7"/>
      <c r="B614" s="7"/>
      <c r="C614" s="10"/>
      <c r="D614" s="7"/>
      <c r="E614" s="6"/>
      <c r="F614" s="10"/>
      <c r="G614" s="7"/>
      <c r="H614" s="6"/>
      <c r="I614" s="10"/>
      <c r="J614" s="7"/>
      <c r="K614" s="6"/>
      <c r="L614" s="10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10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</row>
    <row r="615">
      <c r="A615" s="7"/>
      <c r="B615" s="7"/>
      <c r="C615" s="10"/>
      <c r="D615" s="7"/>
      <c r="E615" s="6"/>
      <c r="F615" s="10"/>
      <c r="G615" s="7"/>
      <c r="H615" s="6"/>
      <c r="I615" s="10"/>
      <c r="J615" s="7"/>
      <c r="K615" s="6"/>
      <c r="L615" s="10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10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</row>
    <row r="616">
      <c r="A616" s="7"/>
      <c r="B616" s="7"/>
      <c r="C616" s="10"/>
      <c r="D616" s="7"/>
      <c r="E616" s="6"/>
      <c r="F616" s="10"/>
      <c r="G616" s="7"/>
      <c r="H616" s="6"/>
      <c r="I616" s="10"/>
      <c r="J616" s="7"/>
      <c r="K616" s="6"/>
      <c r="L616" s="10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10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</row>
    <row r="617">
      <c r="A617" s="7"/>
      <c r="B617" s="7"/>
      <c r="C617" s="10"/>
      <c r="D617" s="7"/>
      <c r="E617" s="6"/>
      <c r="F617" s="10"/>
      <c r="G617" s="7"/>
      <c r="H617" s="6"/>
      <c r="I617" s="10"/>
      <c r="J617" s="7"/>
      <c r="K617" s="6"/>
      <c r="L617" s="10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10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</row>
    <row r="618">
      <c r="A618" s="7"/>
      <c r="B618" s="7"/>
      <c r="C618" s="10"/>
      <c r="D618" s="7"/>
      <c r="E618" s="6"/>
      <c r="F618" s="10"/>
      <c r="G618" s="7"/>
      <c r="H618" s="6"/>
      <c r="I618" s="10"/>
      <c r="J618" s="7"/>
      <c r="K618" s="6"/>
      <c r="L618" s="10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10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</row>
    <row r="619">
      <c r="A619" s="7"/>
      <c r="B619" s="7"/>
      <c r="C619" s="10"/>
      <c r="D619" s="7"/>
      <c r="E619" s="6"/>
      <c r="F619" s="10"/>
      <c r="G619" s="7"/>
      <c r="H619" s="6"/>
      <c r="I619" s="10"/>
      <c r="J619" s="7"/>
      <c r="K619" s="6"/>
      <c r="L619" s="10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10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</row>
    <row r="620">
      <c r="A620" s="7"/>
      <c r="B620" s="7"/>
      <c r="C620" s="10"/>
      <c r="D620" s="7"/>
      <c r="E620" s="6"/>
      <c r="F620" s="10"/>
      <c r="G620" s="7"/>
      <c r="H620" s="6"/>
      <c r="I620" s="10"/>
      <c r="J620" s="7"/>
      <c r="K620" s="6"/>
      <c r="L620" s="10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10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</row>
    <row r="621">
      <c r="A621" s="7"/>
      <c r="B621" s="7"/>
      <c r="C621" s="10"/>
      <c r="D621" s="7"/>
      <c r="E621" s="6"/>
      <c r="F621" s="10"/>
      <c r="G621" s="7"/>
      <c r="H621" s="6"/>
      <c r="I621" s="10"/>
      <c r="J621" s="7"/>
      <c r="K621" s="6"/>
      <c r="L621" s="10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10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</row>
    <row r="622">
      <c r="A622" s="7"/>
      <c r="B622" s="7"/>
      <c r="C622" s="10"/>
      <c r="D622" s="7"/>
      <c r="E622" s="6"/>
      <c r="F622" s="10"/>
      <c r="G622" s="7"/>
      <c r="H622" s="6"/>
      <c r="I622" s="10"/>
      <c r="J622" s="7"/>
      <c r="K622" s="6"/>
      <c r="L622" s="10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10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</row>
    <row r="623">
      <c r="A623" s="7"/>
      <c r="B623" s="7"/>
      <c r="C623" s="10"/>
      <c r="D623" s="7"/>
      <c r="E623" s="6"/>
      <c r="F623" s="10"/>
      <c r="G623" s="7"/>
      <c r="H623" s="6"/>
      <c r="I623" s="10"/>
      <c r="J623" s="7"/>
      <c r="K623" s="6"/>
      <c r="L623" s="10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10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</row>
    <row r="624">
      <c r="A624" s="7"/>
      <c r="B624" s="7"/>
      <c r="C624" s="10"/>
      <c r="D624" s="7"/>
      <c r="E624" s="6"/>
      <c r="F624" s="10"/>
      <c r="G624" s="7"/>
      <c r="H624" s="6"/>
      <c r="I624" s="10"/>
      <c r="J624" s="7"/>
      <c r="K624" s="6"/>
      <c r="L624" s="10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10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</row>
    <row r="625">
      <c r="A625" s="7"/>
      <c r="B625" s="7"/>
      <c r="C625" s="10"/>
      <c r="D625" s="7"/>
      <c r="E625" s="6"/>
      <c r="F625" s="10"/>
      <c r="G625" s="7"/>
      <c r="H625" s="6"/>
      <c r="I625" s="10"/>
      <c r="J625" s="7"/>
      <c r="K625" s="6"/>
      <c r="L625" s="10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10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</row>
    <row r="626">
      <c r="A626" s="7"/>
      <c r="B626" s="7"/>
      <c r="C626" s="10"/>
      <c r="D626" s="7"/>
      <c r="E626" s="6"/>
      <c r="F626" s="10"/>
      <c r="G626" s="7"/>
      <c r="H626" s="6"/>
      <c r="I626" s="10"/>
      <c r="J626" s="7"/>
      <c r="K626" s="6"/>
      <c r="L626" s="10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10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</row>
    <row r="627">
      <c r="A627" s="7"/>
      <c r="B627" s="7"/>
      <c r="C627" s="10"/>
      <c r="D627" s="7"/>
      <c r="E627" s="6"/>
      <c r="F627" s="10"/>
      <c r="G627" s="7"/>
      <c r="H627" s="6"/>
      <c r="I627" s="10"/>
      <c r="J627" s="7"/>
      <c r="K627" s="6"/>
      <c r="L627" s="10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10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</row>
    <row r="628">
      <c r="A628" s="7"/>
      <c r="B628" s="7"/>
      <c r="C628" s="10"/>
      <c r="D628" s="7"/>
      <c r="E628" s="6"/>
      <c r="F628" s="10"/>
      <c r="G628" s="7"/>
      <c r="H628" s="6"/>
      <c r="I628" s="10"/>
      <c r="J628" s="7"/>
      <c r="K628" s="6"/>
      <c r="L628" s="10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10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</row>
    <row r="629">
      <c r="A629" s="7"/>
      <c r="B629" s="7"/>
      <c r="C629" s="10"/>
      <c r="D629" s="7"/>
      <c r="E629" s="6"/>
      <c r="F629" s="10"/>
      <c r="G629" s="7"/>
      <c r="H629" s="6"/>
      <c r="I629" s="10"/>
      <c r="J629" s="7"/>
      <c r="K629" s="6"/>
      <c r="L629" s="10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10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</row>
    <row r="630">
      <c r="A630" s="7"/>
      <c r="B630" s="7"/>
      <c r="C630" s="10"/>
      <c r="D630" s="7"/>
      <c r="E630" s="6"/>
      <c r="F630" s="10"/>
      <c r="G630" s="7"/>
      <c r="H630" s="6"/>
      <c r="I630" s="10"/>
      <c r="J630" s="7"/>
      <c r="K630" s="6"/>
      <c r="L630" s="10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10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</row>
    <row r="631">
      <c r="A631" s="7"/>
      <c r="B631" s="7"/>
      <c r="C631" s="10"/>
      <c r="D631" s="7"/>
      <c r="E631" s="6"/>
      <c r="F631" s="10"/>
      <c r="G631" s="7"/>
      <c r="H631" s="6"/>
      <c r="I631" s="10"/>
      <c r="J631" s="7"/>
      <c r="K631" s="6"/>
      <c r="L631" s="10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10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</row>
    <row r="632">
      <c r="A632" s="7"/>
      <c r="B632" s="7"/>
      <c r="C632" s="10"/>
      <c r="D632" s="7"/>
      <c r="E632" s="6"/>
      <c r="F632" s="10"/>
      <c r="G632" s="7"/>
      <c r="H632" s="6"/>
      <c r="I632" s="10"/>
      <c r="J632" s="7"/>
      <c r="K632" s="6"/>
      <c r="L632" s="10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10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</row>
    <row r="633">
      <c r="A633" s="7"/>
      <c r="B633" s="7"/>
      <c r="C633" s="10"/>
      <c r="D633" s="7"/>
      <c r="E633" s="6"/>
      <c r="F633" s="10"/>
      <c r="G633" s="7"/>
      <c r="H633" s="6"/>
      <c r="I633" s="10"/>
      <c r="J633" s="7"/>
      <c r="K633" s="6"/>
      <c r="L633" s="10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10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</row>
    <row r="634">
      <c r="A634" s="7"/>
      <c r="B634" s="7"/>
      <c r="C634" s="10"/>
      <c r="D634" s="7"/>
      <c r="E634" s="6"/>
      <c r="F634" s="10"/>
      <c r="G634" s="7"/>
      <c r="H634" s="6"/>
      <c r="I634" s="10"/>
      <c r="J634" s="7"/>
      <c r="K634" s="6"/>
      <c r="L634" s="10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10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</row>
    <row r="635">
      <c r="A635" s="7"/>
      <c r="B635" s="7"/>
      <c r="C635" s="10"/>
      <c r="D635" s="7"/>
      <c r="E635" s="6"/>
      <c r="F635" s="10"/>
      <c r="G635" s="7"/>
      <c r="H635" s="6"/>
      <c r="I635" s="10"/>
      <c r="J635" s="7"/>
      <c r="K635" s="6"/>
      <c r="L635" s="10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10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</row>
    <row r="636">
      <c r="A636" s="7"/>
      <c r="B636" s="7"/>
      <c r="C636" s="10"/>
      <c r="D636" s="7"/>
      <c r="E636" s="6"/>
      <c r="F636" s="10"/>
      <c r="G636" s="7"/>
      <c r="H636" s="6"/>
      <c r="I636" s="10"/>
      <c r="J636" s="7"/>
      <c r="K636" s="6"/>
      <c r="L636" s="10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10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</row>
    <row r="637">
      <c r="A637" s="7"/>
      <c r="B637" s="7"/>
      <c r="C637" s="10"/>
      <c r="D637" s="7"/>
      <c r="E637" s="6"/>
      <c r="F637" s="10"/>
      <c r="G637" s="7"/>
      <c r="H637" s="6"/>
      <c r="I637" s="10"/>
      <c r="J637" s="7"/>
      <c r="K637" s="6"/>
      <c r="L637" s="10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10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</row>
    <row r="638">
      <c r="A638" s="7"/>
      <c r="B638" s="7"/>
      <c r="C638" s="10"/>
      <c r="D638" s="7"/>
      <c r="E638" s="6"/>
      <c r="F638" s="10"/>
      <c r="G638" s="7"/>
      <c r="H638" s="6"/>
      <c r="I638" s="10"/>
      <c r="J638" s="7"/>
      <c r="K638" s="6"/>
      <c r="L638" s="10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10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</row>
    <row r="639">
      <c r="A639" s="7"/>
      <c r="B639" s="7"/>
      <c r="C639" s="10"/>
      <c r="D639" s="7"/>
      <c r="E639" s="6"/>
      <c r="F639" s="10"/>
      <c r="G639" s="7"/>
      <c r="H639" s="6"/>
      <c r="I639" s="10"/>
      <c r="J639" s="7"/>
      <c r="K639" s="6"/>
      <c r="L639" s="10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10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</row>
    <row r="640">
      <c r="A640" s="7"/>
      <c r="B640" s="7"/>
      <c r="C640" s="10"/>
      <c r="D640" s="7"/>
      <c r="E640" s="6"/>
      <c r="F640" s="10"/>
      <c r="G640" s="7"/>
      <c r="H640" s="6"/>
      <c r="I640" s="10"/>
      <c r="J640" s="7"/>
      <c r="K640" s="6"/>
      <c r="L640" s="10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10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</row>
    <row r="641">
      <c r="A641" s="7"/>
      <c r="B641" s="7"/>
      <c r="C641" s="10"/>
      <c r="D641" s="7"/>
      <c r="E641" s="6"/>
      <c r="F641" s="10"/>
      <c r="G641" s="7"/>
      <c r="H641" s="6"/>
      <c r="I641" s="10"/>
      <c r="J641" s="7"/>
      <c r="K641" s="6"/>
      <c r="L641" s="10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10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</row>
    <row r="642">
      <c r="A642" s="7"/>
      <c r="B642" s="7"/>
      <c r="C642" s="10"/>
      <c r="D642" s="7"/>
      <c r="E642" s="6"/>
      <c r="F642" s="10"/>
      <c r="G642" s="7"/>
      <c r="H642" s="6"/>
      <c r="I642" s="10"/>
      <c r="J642" s="7"/>
      <c r="K642" s="6"/>
      <c r="L642" s="10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10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</row>
    <row r="643">
      <c r="A643" s="7"/>
      <c r="B643" s="7"/>
      <c r="C643" s="10"/>
      <c r="D643" s="7"/>
      <c r="E643" s="6"/>
      <c r="F643" s="10"/>
      <c r="G643" s="7"/>
      <c r="H643" s="6"/>
      <c r="I643" s="10"/>
      <c r="J643" s="7"/>
      <c r="K643" s="6"/>
      <c r="L643" s="10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10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</row>
    <row r="644">
      <c r="A644" s="7"/>
      <c r="B644" s="7"/>
      <c r="C644" s="10"/>
      <c r="D644" s="7"/>
      <c r="E644" s="6"/>
      <c r="F644" s="10"/>
      <c r="G644" s="7"/>
      <c r="H644" s="6"/>
      <c r="I644" s="10"/>
      <c r="J644" s="7"/>
      <c r="K644" s="6"/>
      <c r="L644" s="10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10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</row>
    <row r="645">
      <c r="A645" s="7"/>
      <c r="B645" s="7"/>
      <c r="C645" s="10"/>
      <c r="D645" s="7"/>
      <c r="E645" s="6"/>
      <c r="F645" s="10"/>
      <c r="G645" s="7"/>
      <c r="H645" s="6"/>
      <c r="I645" s="10"/>
      <c r="J645" s="7"/>
      <c r="K645" s="6"/>
      <c r="L645" s="10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10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</row>
    <row r="646">
      <c r="A646" s="7"/>
      <c r="B646" s="7"/>
      <c r="C646" s="10"/>
      <c r="D646" s="7"/>
      <c r="E646" s="6"/>
      <c r="F646" s="10"/>
      <c r="G646" s="7"/>
      <c r="H646" s="6"/>
      <c r="I646" s="10"/>
      <c r="J646" s="7"/>
      <c r="K646" s="6"/>
      <c r="L646" s="10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10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</row>
    <row r="647">
      <c r="A647" s="7"/>
      <c r="B647" s="7"/>
      <c r="C647" s="10"/>
      <c r="D647" s="7"/>
      <c r="E647" s="6"/>
      <c r="F647" s="10"/>
      <c r="G647" s="7"/>
      <c r="H647" s="6"/>
      <c r="I647" s="10"/>
      <c r="J647" s="7"/>
      <c r="K647" s="6"/>
      <c r="L647" s="10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10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</row>
    <row r="648">
      <c r="A648" s="7"/>
      <c r="B648" s="7"/>
      <c r="C648" s="10"/>
      <c r="D648" s="7"/>
      <c r="E648" s="6"/>
      <c r="F648" s="10"/>
      <c r="G648" s="7"/>
      <c r="H648" s="6"/>
      <c r="I648" s="10"/>
      <c r="J648" s="7"/>
      <c r="K648" s="6"/>
      <c r="L648" s="10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10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</row>
    <row r="649">
      <c r="A649" s="7"/>
      <c r="B649" s="7"/>
      <c r="C649" s="10"/>
      <c r="D649" s="7"/>
      <c r="E649" s="6"/>
      <c r="F649" s="10"/>
      <c r="G649" s="7"/>
      <c r="H649" s="6"/>
      <c r="I649" s="10"/>
      <c r="J649" s="7"/>
      <c r="K649" s="6"/>
      <c r="L649" s="10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10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</row>
    <row r="650">
      <c r="A650" s="7"/>
      <c r="B650" s="7"/>
      <c r="C650" s="10"/>
      <c r="D650" s="7"/>
      <c r="E650" s="6"/>
      <c r="F650" s="10"/>
      <c r="G650" s="7"/>
      <c r="H650" s="6"/>
      <c r="I650" s="10"/>
      <c r="J650" s="7"/>
      <c r="K650" s="6"/>
      <c r="L650" s="10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10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</row>
    <row r="651">
      <c r="A651" s="7"/>
      <c r="B651" s="7"/>
      <c r="C651" s="10"/>
      <c r="D651" s="7"/>
      <c r="E651" s="6"/>
      <c r="F651" s="10"/>
      <c r="G651" s="7"/>
      <c r="H651" s="6"/>
      <c r="I651" s="10"/>
      <c r="J651" s="7"/>
      <c r="K651" s="6"/>
      <c r="L651" s="10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10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</row>
    <row r="652">
      <c r="A652" s="7"/>
      <c r="B652" s="7"/>
      <c r="C652" s="10"/>
      <c r="D652" s="7"/>
      <c r="E652" s="6"/>
      <c r="F652" s="10"/>
      <c r="G652" s="7"/>
      <c r="H652" s="6"/>
      <c r="I652" s="10"/>
      <c r="J652" s="7"/>
      <c r="K652" s="6"/>
      <c r="L652" s="10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10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</row>
    <row r="653">
      <c r="A653" s="7"/>
      <c r="B653" s="7"/>
      <c r="C653" s="10"/>
      <c r="D653" s="7"/>
      <c r="E653" s="6"/>
      <c r="F653" s="10"/>
      <c r="G653" s="7"/>
      <c r="H653" s="6"/>
      <c r="I653" s="10"/>
      <c r="J653" s="7"/>
      <c r="K653" s="6"/>
      <c r="L653" s="10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10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</row>
    <row r="654">
      <c r="A654" s="7"/>
      <c r="B654" s="7"/>
      <c r="C654" s="10"/>
      <c r="D654" s="7"/>
      <c r="E654" s="6"/>
      <c r="F654" s="10"/>
      <c r="G654" s="7"/>
      <c r="H654" s="6"/>
      <c r="I654" s="10"/>
      <c r="J654" s="7"/>
      <c r="K654" s="6"/>
      <c r="L654" s="10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10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</row>
    <row r="655">
      <c r="A655" s="7"/>
      <c r="B655" s="7"/>
      <c r="C655" s="10"/>
      <c r="D655" s="7"/>
      <c r="E655" s="6"/>
      <c r="F655" s="10"/>
      <c r="G655" s="7"/>
      <c r="H655" s="6"/>
      <c r="I655" s="10"/>
      <c r="J655" s="7"/>
      <c r="K655" s="6"/>
      <c r="L655" s="10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10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</row>
    <row r="656">
      <c r="A656" s="7"/>
      <c r="B656" s="7"/>
      <c r="C656" s="10"/>
      <c r="D656" s="7"/>
      <c r="E656" s="6"/>
      <c r="F656" s="10"/>
      <c r="G656" s="7"/>
      <c r="H656" s="6"/>
      <c r="I656" s="10"/>
      <c r="J656" s="7"/>
      <c r="K656" s="6"/>
      <c r="L656" s="10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10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</row>
    <row r="657">
      <c r="A657" s="7"/>
      <c r="B657" s="7"/>
      <c r="C657" s="10"/>
      <c r="D657" s="7"/>
      <c r="E657" s="6"/>
      <c r="F657" s="10"/>
      <c r="G657" s="7"/>
      <c r="H657" s="6"/>
      <c r="I657" s="10"/>
      <c r="J657" s="7"/>
      <c r="K657" s="6"/>
      <c r="L657" s="10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10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</row>
    <row r="658">
      <c r="A658" s="7"/>
      <c r="B658" s="7"/>
      <c r="C658" s="10"/>
      <c r="D658" s="7"/>
      <c r="E658" s="6"/>
      <c r="F658" s="10"/>
      <c r="G658" s="7"/>
      <c r="H658" s="6"/>
      <c r="I658" s="10"/>
      <c r="J658" s="7"/>
      <c r="K658" s="6"/>
      <c r="L658" s="10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10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</row>
    <row r="659">
      <c r="A659" s="7"/>
      <c r="B659" s="7"/>
      <c r="C659" s="10"/>
      <c r="D659" s="7"/>
      <c r="E659" s="6"/>
      <c r="F659" s="10"/>
      <c r="G659" s="7"/>
      <c r="H659" s="6"/>
      <c r="I659" s="10"/>
      <c r="J659" s="7"/>
      <c r="K659" s="6"/>
      <c r="L659" s="10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10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</row>
    <row r="660">
      <c r="A660" s="7"/>
      <c r="B660" s="7"/>
      <c r="C660" s="10"/>
      <c r="D660" s="7"/>
      <c r="E660" s="6"/>
      <c r="F660" s="10"/>
      <c r="G660" s="7"/>
      <c r="H660" s="6"/>
      <c r="I660" s="10"/>
      <c r="J660" s="7"/>
      <c r="K660" s="6"/>
      <c r="L660" s="10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10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</row>
    <row r="661">
      <c r="A661" s="7"/>
      <c r="B661" s="7"/>
      <c r="C661" s="10"/>
      <c r="D661" s="7"/>
      <c r="E661" s="6"/>
      <c r="F661" s="10"/>
      <c r="G661" s="7"/>
      <c r="H661" s="6"/>
      <c r="I661" s="10"/>
      <c r="J661" s="7"/>
      <c r="K661" s="6"/>
      <c r="L661" s="10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10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</row>
    <row r="662">
      <c r="A662" s="7"/>
      <c r="B662" s="7"/>
      <c r="C662" s="10"/>
      <c r="D662" s="7"/>
      <c r="E662" s="6"/>
      <c r="F662" s="10"/>
      <c r="G662" s="7"/>
      <c r="H662" s="6"/>
      <c r="I662" s="10"/>
      <c r="J662" s="7"/>
      <c r="K662" s="6"/>
      <c r="L662" s="10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10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</row>
    <row r="663">
      <c r="A663" s="7"/>
      <c r="B663" s="7"/>
      <c r="C663" s="10"/>
      <c r="D663" s="7"/>
      <c r="E663" s="6"/>
      <c r="F663" s="10"/>
      <c r="G663" s="7"/>
      <c r="H663" s="6"/>
      <c r="I663" s="10"/>
      <c r="J663" s="7"/>
      <c r="K663" s="6"/>
      <c r="L663" s="10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10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</row>
    <row r="664">
      <c r="A664" s="7"/>
      <c r="B664" s="7"/>
      <c r="C664" s="10"/>
      <c r="D664" s="7"/>
      <c r="E664" s="6"/>
      <c r="F664" s="10"/>
      <c r="G664" s="7"/>
      <c r="H664" s="6"/>
      <c r="I664" s="10"/>
      <c r="J664" s="7"/>
      <c r="K664" s="6"/>
      <c r="L664" s="10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10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</row>
    <row r="665">
      <c r="A665" s="7"/>
      <c r="B665" s="7"/>
      <c r="C665" s="10"/>
      <c r="D665" s="7"/>
      <c r="E665" s="6"/>
      <c r="F665" s="10"/>
      <c r="G665" s="7"/>
      <c r="H665" s="6"/>
      <c r="I665" s="10"/>
      <c r="J665" s="7"/>
      <c r="K665" s="6"/>
      <c r="L665" s="10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10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</row>
    <row r="666">
      <c r="A666" s="7"/>
      <c r="B666" s="7"/>
      <c r="C666" s="10"/>
      <c r="D666" s="7"/>
      <c r="E666" s="6"/>
      <c r="F666" s="10"/>
      <c r="G666" s="7"/>
      <c r="H666" s="6"/>
      <c r="I666" s="10"/>
      <c r="J666" s="7"/>
      <c r="K666" s="6"/>
      <c r="L666" s="10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10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</row>
    <row r="667">
      <c r="A667" s="7"/>
      <c r="B667" s="7"/>
      <c r="C667" s="10"/>
      <c r="D667" s="7"/>
      <c r="E667" s="6"/>
      <c r="F667" s="10"/>
      <c r="G667" s="7"/>
      <c r="H667" s="6"/>
      <c r="I667" s="10"/>
      <c r="J667" s="7"/>
      <c r="K667" s="6"/>
      <c r="L667" s="10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10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</row>
    <row r="668">
      <c r="A668" s="7"/>
      <c r="B668" s="7"/>
      <c r="C668" s="10"/>
      <c r="D668" s="7"/>
      <c r="E668" s="6"/>
      <c r="F668" s="10"/>
      <c r="G668" s="7"/>
      <c r="H668" s="6"/>
      <c r="I668" s="10"/>
      <c r="J668" s="7"/>
      <c r="K668" s="6"/>
      <c r="L668" s="10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10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</row>
    <row r="669">
      <c r="A669" s="7"/>
      <c r="B669" s="7"/>
      <c r="C669" s="10"/>
      <c r="D669" s="7"/>
      <c r="E669" s="6"/>
      <c r="F669" s="10"/>
      <c r="G669" s="7"/>
      <c r="H669" s="6"/>
      <c r="I669" s="10"/>
      <c r="J669" s="7"/>
      <c r="K669" s="6"/>
      <c r="L669" s="10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10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</row>
    <row r="670">
      <c r="A670" s="7"/>
      <c r="B670" s="7"/>
      <c r="C670" s="10"/>
      <c r="D670" s="7"/>
      <c r="E670" s="6"/>
      <c r="F670" s="10"/>
      <c r="G670" s="7"/>
      <c r="H670" s="6"/>
      <c r="I670" s="10"/>
      <c r="J670" s="7"/>
      <c r="K670" s="6"/>
      <c r="L670" s="10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10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</row>
    <row r="671">
      <c r="A671" s="7"/>
      <c r="B671" s="7"/>
      <c r="C671" s="10"/>
      <c r="D671" s="7"/>
      <c r="E671" s="6"/>
      <c r="F671" s="10"/>
      <c r="G671" s="7"/>
      <c r="H671" s="6"/>
      <c r="I671" s="10"/>
      <c r="J671" s="7"/>
      <c r="K671" s="6"/>
      <c r="L671" s="10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10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</row>
    <row r="672">
      <c r="A672" s="7"/>
      <c r="B672" s="7"/>
      <c r="C672" s="10"/>
      <c r="D672" s="7"/>
      <c r="E672" s="6"/>
      <c r="F672" s="10"/>
      <c r="G672" s="7"/>
      <c r="H672" s="6"/>
      <c r="I672" s="10"/>
      <c r="J672" s="7"/>
      <c r="K672" s="6"/>
      <c r="L672" s="10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10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</row>
    <row r="673">
      <c r="A673" s="7"/>
      <c r="B673" s="7"/>
      <c r="C673" s="10"/>
      <c r="D673" s="7"/>
      <c r="E673" s="6"/>
      <c r="F673" s="10"/>
      <c r="G673" s="7"/>
      <c r="H673" s="6"/>
      <c r="I673" s="10"/>
      <c r="J673" s="7"/>
      <c r="K673" s="6"/>
      <c r="L673" s="10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10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</row>
    <row r="674">
      <c r="A674" s="7"/>
      <c r="B674" s="7"/>
      <c r="C674" s="10"/>
      <c r="D674" s="7"/>
      <c r="E674" s="6"/>
      <c r="F674" s="10"/>
      <c r="G674" s="7"/>
      <c r="H674" s="6"/>
      <c r="I674" s="10"/>
      <c r="J674" s="7"/>
      <c r="K674" s="6"/>
      <c r="L674" s="10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10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</row>
    <row r="675">
      <c r="A675" s="7"/>
      <c r="B675" s="7"/>
      <c r="C675" s="10"/>
      <c r="D675" s="7"/>
      <c r="E675" s="6"/>
      <c r="F675" s="10"/>
      <c r="G675" s="7"/>
      <c r="H675" s="6"/>
      <c r="I675" s="10"/>
      <c r="J675" s="7"/>
      <c r="K675" s="6"/>
      <c r="L675" s="10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10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</row>
    <row r="676">
      <c r="A676" s="7"/>
      <c r="B676" s="7"/>
      <c r="C676" s="10"/>
      <c r="D676" s="7"/>
      <c r="E676" s="6"/>
      <c r="F676" s="10"/>
      <c r="G676" s="7"/>
      <c r="H676" s="6"/>
      <c r="I676" s="10"/>
      <c r="J676" s="7"/>
      <c r="K676" s="6"/>
      <c r="L676" s="10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10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</row>
    <row r="677">
      <c r="A677" s="7"/>
      <c r="B677" s="7"/>
      <c r="C677" s="10"/>
      <c r="D677" s="7"/>
      <c r="E677" s="6"/>
      <c r="F677" s="10"/>
      <c r="G677" s="7"/>
      <c r="H677" s="6"/>
      <c r="I677" s="10"/>
      <c r="J677" s="7"/>
      <c r="K677" s="6"/>
      <c r="L677" s="10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10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</row>
    <row r="678">
      <c r="A678" s="7"/>
      <c r="B678" s="7"/>
      <c r="C678" s="10"/>
      <c r="D678" s="7"/>
      <c r="E678" s="6"/>
      <c r="F678" s="10"/>
      <c r="G678" s="7"/>
      <c r="H678" s="6"/>
      <c r="I678" s="10"/>
      <c r="J678" s="7"/>
      <c r="K678" s="6"/>
      <c r="L678" s="10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10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</row>
    <row r="679">
      <c r="A679" s="7"/>
      <c r="B679" s="7"/>
      <c r="C679" s="10"/>
      <c r="D679" s="7"/>
      <c r="E679" s="6"/>
      <c r="F679" s="10"/>
      <c r="G679" s="7"/>
      <c r="H679" s="6"/>
      <c r="I679" s="10"/>
      <c r="J679" s="7"/>
      <c r="K679" s="6"/>
      <c r="L679" s="10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10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</row>
    <row r="680">
      <c r="A680" s="7"/>
      <c r="B680" s="7"/>
      <c r="C680" s="10"/>
      <c r="D680" s="7"/>
      <c r="E680" s="6"/>
      <c r="F680" s="10"/>
      <c r="G680" s="7"/>
      <c r="H680" s="6"/>
      <c r="I680" s="10"/>
      <c r="J680" s="7"/>
      <c r="K680" s="6"/>
      <c r="L680" s="10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10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</row>
    <row r="681">
      <c r="A681" s="7"/>
      <c r="B681" s="7"/>
      <c r="C681" s="10"/>
      <c r="D681" s="7"/>
      <c r="E681" s="6"/>
      <c r="F681" s="10"/>
      <c r="G681" s="7"/>
      <c r="H681" s="6"/>
      <c r="I681" s="10"/>
      <c r="J681" s="7"/>
      <c r="K681" s="6"/>
      <c r="L681" s="10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10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</row>
    <row r="682">
      <c r="A682" s="7"/>
      <c r="B682" s="7"/>
      <c r="C682" s="10"/>
      <c r="D682" s="7"/>
      <c r="E682" s="6"/>
      <c r="F682" s="10"/>
      <c r="G682" s="7"/>
      <c r="H682" s="6"/>
      <c r="I682" s="10"/>
      <c r="J682" s="7"/>
      <c r="K682" s="6"/>
      <c r="L682" s="10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10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</row>
    <row r="683">
      <c r="A683" s="7"/>
      <c r="B683" s="7"/>
      <c r="C683" s="10"/>
      <c r="D683" s="7"/>
      <c r="E683" s="6"/>
      <c r="F683" s="10"/>
      <c r="G683" s="7"/>
      <c r="H683" s="6"/>
      <c r="I683" s="10"/>
      <c r="J683" s="7"/>
      <c r="K683" s="6"/>
      <c r="L683" s="10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10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</row>
    <row r="684">
      <c r="A684" s="7"/>
      <c r="B684" s="7"/>
      <c r="C684" s="10"/>
      <c r="D684" s="7"/>
      <c r="E684" s="6"/>
      <c r="F684" s="10"/>
      <c r="G684" s="7"/>
      <c r="H684" s="6"/>
      <c r="I684" s="10"/>
      <c r="J684" s="7"/>
      <c r="K684" s="6"/>
      <c r="L684" s="10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10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</row>
    <row r="685">
      <c r="A685" s="7"/>
      <c r="B685" s="7"/>
      <c r="C685" s="10"/>
      <c r="D685" s="7"/>
      <c r="E685" s="6"/>
      <c r="F685" s="10"/>
      <c r="G685" s="7"/>
      <c r="H685" s="6"/>
      <c r="I685" s="10"/>
      <c r="J685" s="7"/>
      <c r="K685" s="6"/>
      <c r="L685" s="10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10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</row>
    <row r="686">
      <c r="A686" s="7"/>
      <c r="B686" s="7"/>
      <c r="C686" s="10"/>
      <c r="D686" s="7"/>
      <c r="E686" s="6"/>
      <c r="F686" s="10"/>
      <c r="G686" s="7"/>
      <c r="H686" s="6"/>
      <c r="I686" s="10"/>
      <c r="J686" s="7"/>
      <c r="K686" s="6"/>
      <c r="L686" s="10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10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</row>
    <row r="687">
      <c r="A687" s="7"/>
      <c r="B687" s="7"/>
      <c r="C687" s="10"/>
      <c r="D687" s="7"/>
      <c r="E687" s="6"/>
      <c r="F687" s="10"/>
      <c r="G687" s="7"/>
      <c r="H687" s="6"/>
      <c r="I687" s="10"/>
      <c r="J687" s="7"/>
      <c r="K687" s="6"/>
      <c r="L687" s="10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10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</row>
    <row r="688">
      <c r="A688" s="7"/>
      <c r="B688" s="7"/>
      <c r="C688" s="10"/>
      <c r="D688" s="7"/>
      <c r="E688" s="6"/>
      <c r="F688" s="10"/>
      <c r="G688" s="7"/>
      <c r="H688" s="6"/>
      <c r="I688" s="10"/>
      <c r="J688" s="7"/>
      <c r="K688" s="6"/>
      <c r="L688" s="10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10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</row>
    <row r="689">
      <c r="A689" s="7"/>
      <c r="B689" s="7"/>
      <c r="C689" s="10"/>
      <c r="D689" s="7"/>
      <c r="E689" s="6"/>
      <c r="F689" s="10"/>
      <c r="G689" s="7"/>
      <c r="H689" s="6"/>
      <c r="I689" s="10"/>
      <c r="J689" s="7"/>
      <c r="K689" s="6"/>
      <c r="L689" s="10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10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</row>
    <row r="690">
      <c r="A690" s="7"/>
      <c r="B690" s="7"/>
      <c r="C690" s="10"/>
      <c r="D690" s="7"/>
      <c r="E690" s="6"/>
      <c r="F690" s="10"/>
      <c r="G690" s="7"/>
      <c r="H690" s="6"/>
      <c r="I690" s="10"/>
      <c r="J690" s="7"/>
      <c r="K690" s="6"/>
      <c r="L690" s="10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10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</row>
    <row r="691">
      <c r="A691" s="7"/>
      <c r="B691" s="7"/>
      <c r="C691" s="10"/>
      <c r="D691" s="7"/>
      <c r="E691" s="6"/>
      <c r="F691" s="10"/>
      <c r="G691" s="7"/>
      <c r="H691" s="6"/>
      <c r="I691" s="10"/>
      <c r="J691" s="7"/>
      <c r="K691" s="6"/>
      <c r="L691" s="10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10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</row>
    <row r="692">
      <c r="A692" s="7"/>
      <c r="B692" s="7"/>
      <c r="C692" s="10"/>
      <c r="D692" s="7"/>
      <c r="E692" s="6"/>
      <c r="F692" s="10"/>
      <c r="G692" s="7"/>
      <c r="H692" s="6"/>
      <c r="I692" s="10"/>
      <c r="J692" s="7"/>
      <c r="K692" s="6"/>
      <c r="L692" s="10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10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</row>
    <row r="693">
      <c r="A693" s="7"/>
      <c r="B693" s="7"/>
      <c r="C693" s="10"/>
      <c r="D693" s="7"/>
      <c r="E693" s="6"/>
      <c r="F693" s="10"/>
      <c r="G693" s="7"/>
      <c r="H693" s="6"/>
      <c r="I693" s="10"/>
      <c r="J693" s="7"/>
      <c r="K693" s="6"/>
      <c r="L693" s="10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10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</row>
    <row r="694">
      <c r="A694" s="7"/>
      <c r="B694" s="7"/>
      <c r="C694" s="10"/>
      <c r="D694" s="7"/>
      <c r="E694" s="6"/>
      <c r="F694" s="10"/>
      <c r="G694" s="7"/>
      <c r="H694" s="6"/>
      <c r="I694" s="10"/>
      <c r="J694" s="7"/>
      <c r="K694" s="6"/>
      <c r="L694" s="10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10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</row>
    <row r="695">
      <c r="A695" s="7"/>
      <c r="B695" s="7"/>
      <c r="C695" s="10"/>
      <c r="D695" s="7"/>
      <c r="E695" s="6"/>
      <c r="F695" s="10"/>
      <c r="G695" s="7"/>
      <c r="H695" s="6"/>
      <c r="I695" s="10"/>
      <c r="J695" s="7"/>
      <c r="K695" s="6"/>
      <c r="L695" s="10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10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</row>
    <row r="696">
      <c r="A696" s="7"/>
      <c r="B696" s="7"/>
      <c r="C696" s="10"/>
      <c r="D696" s="7"/>
      <c r="E696" s="6"/>
      <c r="F696" s="10"/>
      <c r="G696" s="7"/>
      <c r="H696" s="6"/>
      <c r="I696" s="10"/>
      <c r="J696" s="7"/>
      <c r="K696" s="6"/>
      <c r="L696" s="10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10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</row>
    <row r="697">
      <c r="A697" s="7"/>
      <c r="B697" s="7"/>
      <c r="C697" s="10"/>
      <c r="D697" s="7"/>
      <c r="E697" s="6"/>
      <c r="F697" s="10"/>
      <c r="G697" s="7"/>
      <c r="H697" s="6"/>
      <c r="I697" s="10"/>
      <c r="J697" s="7"/>
      <c r="K697" s="6"/>
      <c r="L697" s="10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10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</row>
    <row r="698">
      <c r="A698" s="7"/>
      <c r="B698" s="7"/>
      <c r="C698" s="10"/>
      <c r="D698" s="7"/>
      <c r="E698" s="6"/>
      <c r="F698" s="10"/>
      <c r="G698" s="7"/>
      <c r="H698" s="6"/>
      <c r="I698" s="10"/>
      <c r="J698" s="7"/>
      <c r="K698" s="6"/>
      <c r="L698" s="10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10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</row>
    <row r="699">
      <c r="A699" s="7"/>
      <c r="B699" s="7"/>
      <c r="C699" s="10"/>
      <c r="D699" s="7"/>
      <c r="E699" s="6"/>
      <c r="F699" s="10"/>
      <c r="G699" s="7"/>
      <c r="H699" s="6"/>
      <c r="I699" s="10"/>
      <c r="J699" s="7"/>
      <c r="K699" s="6"/>
      <c r="L699" s="10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10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</row>
    <row r="700">
      <c r="A700" s="7"/>
      <c r="B700" s="7"/>
      <c r="C700" s="10"/>
      <c r="D700" s="7"/>
      <c r="E700" s="6"/>
      <c r="F700" s="10"/>
      <c r="G700" s="7"/>
      <c r="H700" s="6"/>
      <c r="I700" s="10"/>
      <c r="J700" s="7"/>
      <c r="K700" s="6"/>
      <c r="L700" s="10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10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</row>
    <row r="701">
      <c r="A701" s="7"/>
      <c r="B701" s="7"/>
      <c r="C701" s="10"/>
      <c r="D701" s="7"/>
      <c r="E701" s="6"/>
      <c r="F701" s="10"/>
      <c r="G701" s="7"/>
      <c r="H701" s="6"/>
      <c r="I701" s="10"/>
      <c r="J701" s="7"/>
      <c r="K701" s="6"/>
      <c r="L701" s="10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10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</row>
    <row r="702">
      <c r="A702" s="7"/>
      <c r="B702" s="7"/>
      <c r="C702" s="10"/>
      <c r="D702" s="7"/>
      <c r="E702" s="6"/>
      <c r="F702" s="10"/>
      <c r="G702" s="7"/>
      <c r="H702" s="6"/>
      <c r="I702" s="10"/>
      <c r="J702" s="7"/>
      <c r="K702" s="6"/>
      <c r="L702" s="10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10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</row>
    <row r="703">
      <c r="A703" s="7"/>
      <c r="B703" s="7"/>
      <c r="C703" s="10"/>
      <c r="D703" s="7"/>
      <c r="E703" s="6"/>
      <c r="F703" s="10"/>
      <c r="G703" s="7"/>
      <c r="H703" s="6"/>
      <c r="I703" s="10"/>
      <c r="J703" s="7"/>
      <c r="K703" s="6"/>
      <c r="L703" s="10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10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</row>
    <row r="704">
      <c r="A704" s="7"/>
      <c r="B704" s="7"/>
      <c r="C704" s="10"/>
      <c r="D704" s="7"/>
      <c r="E704" s="6"/>
      <c r="F704" s="10"/>
      <c r="G704" s="7"/>
      <c r="H704" s="6"/>
      <c r="I704" s="10"/>
      <c r="J704" s="7"/>
      <c r="K704" s="6"/>
      <c r="L704" s="10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10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</row>
    <row r="705">
      <c r="A705" s="7"/>
      <c r="B705" s="7"/>
      <c r="C705" s="10"/>
      <c r="D705" s="7"/>
      <c r="E705" s="6"/>
      <c r="F705" s="10"/>
      <c r="G705" s="7"/>
      <c r="H705" s="6"/>
      <c r="I705" s="10"/>
      <c r="J705" s="7"/>
      <c r="K705" s="6"/>
      <c r="L705" s="10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10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</row>
    <row r="706">
      <c r="A706" s="7"/>
      <c r="B706" s="7"/>
      <c r="C706" s="10"/>
      <c r="D706" s="7"/>
      <c r="E706" s="6"/>
      <c r="F706" s="10"/>
      <c r="G706" s="7"/>
      <c r="H706" s="6"/>
      <c r="I706" s="10"/>
      <c r="J706" s="7"/>
      <c r="K706" s="6"/>
      <c r="L706" s="10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10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</row>
    <row r="707">
      <c r="A707" s="7"/>
      <c r="B707" s="7"/>
      <c r="C707" s="10"/>
      <c r="D707" s="7"/>
      <c r="E707" s="6"/>
      <c r="F707" s="10"/>
      <c r="G707" s="7"/>
      <c r="H707" s="6"/>
      <c r="I707" s="10"/>
      <c r="J707" s="7"/>
      <c r="K707" s="6"/>
      <c r="L707" s="10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10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</row>
    <row r="708">
      <c r="A708" s="7"/>
      <c r="B708" s="7"/>
      <c r="C708" s="10"/>
      <c r="D708" s="7"/>
      <c r="E708" s="6"/>
      <c r="F708" s="10"/>
      <c r="G708" s="7"/>
      <c r="H708" s="6"/>
      <c r="I708" s="10"/>
      <c r="J708" s="7"/>
      <c r="K708" s="6"/>
      <c r="L708" s="10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10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</row>
    <row r="709">
      <c r="A709" s="7"/>
      <c r="B709" s="7"/>
      <c r="C709" s="10"/>
      <c r="D709" s="7"/>
      <c r="E709" s="6"/>
      <c r="F709" s="10"/>
      <c r="G709" s="7"/>
      <c r="H709" s="6"/>
      <c r="I709" s="10"/>
      <c r="J709" s="7"/>
      <c r="K709" s="6"/>
      <c r="L709" s="10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10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</row>
    <row r="710">
      <c r="A710" s="7"/>
      <c r="B710" s="7"/>
      <c r="C710" s="10"/>
      <c r="D710" s="7"/>
      <c r="E710" s="6"/>
      <c r="F710" s="10"/>
      <c r="G710" s="7"/>
      <c r="H710" s="6"/>
      <c r="I710" s="10"/>
      <c r="J710" s="7"/>
      <c r="K710" s="6"/>
      <c r="L710" s="10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10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</row>
    <row r="711">
      <c r="A711" s="7"/>
      <c r="B711" s="7"/>
      <c r="C711" s="10"/>
      <c r="D711" s="7"/>
      <c r="E711" s="6"/>
      <c r="F711" s="10"/>
      <c r="G711" s="7"/>
      <c r="H711" s="6"/>
      <c r="I711" s="10"/>
      <c r="J711" s="7"/>
      <c r="K711" s="6"/>
      <c r="L711" s="10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10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</row>
    <row r="712">
      <c r="A712" s="7"/>
      <c r="B712" s="7"/>
      <c r="C712" s="10"/>
      <c r="D712" s="7"/>
      <c r="E712" s="6"/>
      <c r="F712" s="10"/>
      <c r="G712" s="7"/>
      <c r="H712" s="6"/>
      <c r="I712" s="10"/>
      <c r="J712" s="7"/>
      <c r="K712" s="6"/>
      <c r="L712" s="10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10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</row>
    <row r="713">
      <c r="A713" s="7"/>
      <c r="B713" s="7"/>
      <c r="C713" s="10"/>
      <c r="D713" s="7"/>
      <c r="E713" s="6"/>
      <c r="F713" s="10"/>
      <c r="G713" s="7"/>
      <c r="H713" s="6"/>
      <c r="I713" s="10"/>
      <c r="J713" s="7"/>
      <c r="K713" s="6"/>
      <c r="L713" s="10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10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</row>
    <row r="714">
      <c r="A714" s="7"/>
      <c r="B714" s="7"/>
      <c r="C714" s="10"/>
      <c r="D714" s="7"/>
      <c r="E714" s="6"/>
      <c r="F714" s="10"/>
      <c r="G714" s="7"/>
      <c r="H714" s="6"/>
      <c r="I714" s="10"/>
      <c r="J714" s="7"/>
      <c r="K714" s="6"/>
      <c r="L714" s="10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10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</row>
    <row r="715">
      <c r="A715" s="7"/>
      <c r="B715" s="7"/>
      <c r="C715" s="10"/>
      <c r="D715" s="7"/>
      <c r="E715" s="6"/>
      <c r="F715" s="10"/>
      <c r="G715" s="7"/>
      <c r="H715" s="6"/>
      <c r="I715" s="10"/>
      <c r="J715" s="7"/>
      <c r="K715" s="6"/>
      <c r="L715" s="10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10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</row>
    <row r="716">
      <c r="A716" s="7"/>
      <c r="B716" s="7"/>
      <c r="C716" s="10"/>
      <c r="D716" s="7"/>
      <c r="E716" s="6"/>
      <c r="F716" s="10"/>
      <c r="G716" s="7"/>
      <c r="H716" s="6"/>
      <c r="I716" s="10"/>
      <c r="J716" s="7"/>
      <c r="K716" s="6"/>
      <c r="L716" s="10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10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</row>
    <row r="717">
      <c r="A717" s="7"/>
      <c r="B717" s="7"/>
      <c r="C717" s="10"/>
      <c r="D717" s="7"/>
      <c r="E717" s="6"/>
      <c r="F717" s="10"/>
      <c r="G717" s="7"/>
      <c r="H717" s="6"/>
      <c r="I717" s="10"/>
      <c r="J717" s="7"/>
      <c r="K717" s="6"/>
      <c r="L717" s="10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10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</row>
    <row r="718">
      <c r="A718" s="7"/>
      <c r="B718" s="7"/>
      <c r="C718" s="10"/>
      <c r="D718" s="7"/>
      <c r="E718" s="6"/>
      <c r="F718" s="10"/>
      <c r="G718" s="7"/>
      <c r="H718" s="6"/>
      <c r="I718" s="10"/>
      <c r="J718" s="7"/>
      <c r="K718" s="6"/>
      <c r="L718" s="10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10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</row>
    <row r="719">
      <c r="A719" s="7"/>
      <c r="B719" s="7"/>
      <c r="C719" s="10"/>
      <c r="D719" s="7"/>
      <c r="E719" s="6"/>
      <c r="F719" s="10"/>
      <c r="G719" s="7"/>
      <c r="H719" s="6"/>
      <c r="I719" s="10"/>
      <c r="J719" s="7"/>
      <c r="K719" s="6"/>
      <c r="L719" s="10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10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</row>
    <row r="720">
      <c r="A720" s="7"/>
      <c r="B720" s="7"/>
      <c r="C720" s="10"/>
      <c r="D720" s="7"/>
      <c r="E720" s="6"/>
      <c r="F720" s="10"/>
      <c r="G720" s="7"/>
      <c r="H720" s="6"/>
      <c r="I720" s="10"/>
      <c r="J720" s="7"/>
      <c r="K720" s="6"/>
      <c r="L720" s="10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10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</row>
    <row r="721">
      <c r="A721" s="7"/>
      <c r="B721" s="7"/>
      <c r="C721" s="10"/>
      <c r="D721" s="7"/>
      <c r="E721" s="6"/>
      <c r="F721" s="10"/>
      <c r="G721" s="7"/>
      <c r="H721" s="6"/>
      <c r="I721" s="10"/>
      <c r="J721" s="7"/>
      <c r="K721" s="6"/>
      <c r="L721" s="10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10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</row>
    <row r="722">
      <c r="A722" s="7"/>
      <c r="B722" s="7"/>
      <c r="C722" s="10"/>
      <c r="D722" s="7"/>
      <c r="E722" s="6"/>
      <c r="F722" s="10"/>
      <c r="G722" s="7"/>
      <c r="H722" s="6"/>
      <c r="I722" s="10"/>
      <c r="J722" s="7"/>
      <c r="K722" s="6"/>
      <c r="L722" s="10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10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</row>
    <row r="723">
      <c r="A723" s="7"/>
      <c r="B723" s="7"/>
      <c r="C723" s="10"/>
      <c r="D723" s="7"/>
      <c r="E723" s="6"/>
      <c r="F723" s="10"/>
      <c r="G723" s="7"/>
      <c r="H723" s="6"/>
      <c r="I723" s="10"/>
      <c r="J723" s="7"/>
      <c r="K723" s="6"/>
      <c r="L723" s="10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10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</row>
    <row r="724">
      <c r="A724" s="7"/>
      <c r="B724" s="7"/>
      <c r="C724" s="10"/>
      <c r="D724" s="7"/>
      <c r="E724" s="6"/>
      <c r="F724" s="10"/>
      <c r="G724" s="7"/>
      <c r="H724" s="6"/>
      <c r="I724" s="10"/>
      <c r="J724" s="7"/>
      <c r="K724" s="6"/>
      <c r="L724" s="10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10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</row>
    <row r="725">
      <c r="A725" s="7"/>
      <c r="B725" s="7"/>
      <c r="C725" s="10"/>
      <c r="D725" s="7"/>
      <c r="E725" s="6"/>
      <c r="F725" s="10"/>
      <c r="G725" s="7"/>
      <c r="H725" s="6"/>
      <c r="I725" s="10"/>
      <c r="J725" s="7"/>
      <c r="K725" s="6"/>
      <c r="L725" s="10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10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</row>
    <row r="726">
      <c r="A726" s="7"/>
      <c r="B726" s="7"/>
      <c r="C726" s="10"/>
      <c r="D726" s="7"/>
      <c r="E726" s="6"/>
      <c r="F726" s="10"/>
      <c r="G726" s="7"/>
      <c r="H726" s="6"/>
      <c r="I726" s="10"/>
      <c r="J726" s="7"/>
      <c r="K726" s="6"/>
      <c r="L726" s="10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10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</row>
    <row r="727">
      <c r="A727" s="7"/>
      <c r="B727" s="7"/>
      <c r="C727" s="10"/>
      <c r="D727" s="7"/>
      <c r="E727" s="6"/>
      <c r="F727" s="10"/>
      <c r="G727" s="7"/>
      <c r="H727" s="6"/>
      <c r="I727" s="10"/>
      <c r="J727" s="7"/>
      <c r="K727" s="6"/>
      <c r="L727" s="10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10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</row>
    <row r="728">
      <c r="A728" s="7"/>
      <c r="B728" s="7"/>
      <c r="C728" s="10"/>
      <c r="D728" s="7"/>
      <c r="E728" s="6"/>
      <c r="F728" s="10"/>
      <c r="G728" s="7"/>
      <c r="H728" s="6"/>
      <c r="I728" s="10"/>
      <c r="J728" s="7"/>
      <c r="K728" s="6"/>
      <c r="L728" s="10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10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</row>
    <row r="729">
      <c r="A729" s="7"/>
      <c r="B729" s="7"/>
      <c r="C729" s="10"/>
      <c r="D729" s="7"/>
      <c r="E729" s="6"/>
      <c r="F729" s="10"/>
      <c r="G729" s="7"/>
      <c r="H729" s="6"/>
      <c r="I729" s="10"/>
      <c r="J729" s="7"/>
      <c r="K729" s="6"/>
      <c r="L729" s="10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10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</row>
    <row r="730">
      <c r="A730" s="7"/>
      <c r="B730" s="7"/>
      <c r="C730" s="10"/>
      <c r="D730" s="7"/>
      <c r="E730" s="6"/>
      <c r="F730" s="10"/>
      <c r="G730" s="7"/>
      <c r="H730" s="6"/>
      <c r="I730" s="10"/>
      <c r="J730" s="7"/>
      <c r="K730" s="6"/>
      <c r="L730" s="10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10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</row>
    <row r="731">
      <c r="A731" s="7"/>
      <c r="B731" s="7"/>
      <c r="C731" s="10"/>
      <c r="D731" s="7"/>
      <c r="E731" s="6"/>
      <c r="F731" s="10"/>
      <c r="G731" s="7"/>
      <c r="H731" s="6"/>
      <c r="I731" s="10"/>
      <c r="J731" s="7"/>
      <c r="K731" s="6"/>
      <c r="L731" s="10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10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</row>
    <row r="732">
      <c r="A732" s="7"/>
      <c r="B732" s="7"/>
      <c r="C732" s="10"/>
      <c r="D732" s="7"/>
      <c r="E732" s="6"/>
      <c r="F732" s="10"/>
      <c r="G732" s="7"/>
      <c r="H732" s="6"/>
      <c r="I732" s="10"/>
      <c r="J732" s="7"/>
      <c r="K732" s="6"/>
      <c r="L732" s="10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10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</row>
    <row r="733">
      <c r="A733" s="7"/>
      <c r="B733" s="7"/>
      <c r="C733" s="10"/>
      <c r="D733" s="7"/>
      <c r="E733" s="6"/>
      <c r="F733" s="10"/>
      <c r="G733" s="7"/>
      <c r="H733" s="6"/>
      <c r="I733" s="10"/>
      <c r="J733" s="7"/>
      <c r="K733" s="6"/>
      <c r="L733" s="10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10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</row>
    <row r="734">
      <c r="A734" s="7"/>
      <c r="B734" s="7"/>
      <c r="C734" s="10"/>
      <c r="D734" s="7"/>
      <c r="E734" s="6"/>
      <c r="F734" s="10"/>
      <c r="G734" s="7"/>
      <c r="H734" s="6"/>
      <c r="I734" s="10"/>
      <c r="J734" s="7"/>
      <c r="K734" s="6"/>
      <c r="L734" s="10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10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</row>
    <row r="735">
      <c r="A735" s="7"/>
      <c r="B735" s="7"/>
      <c r="C735" s="10"/>
      <c r="D735" s="7"/>
      <c r="E735" s="6"/>
      <c r="F735" s="10"/>
      <c r="G735" s="7"/>
      <c r="H735" s="6"/>
      <c r="I735" s="10"/>
      <c r="J735" s="7"/>
      <c r="K735" s="6"/>
      <c r="L735" s="10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10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</row>
    <row r="736">
      <c r="A736" s="7"/>
      <c r="B736" s="7"/>
      <c r="C736" s="10"/>
      <c r="D736" s="7"/>
      <c r="E736" s="6"/>
      <c r="F736" s="10"/>
      <c r="G736" s="7"/>
      <c r="H736" s="6"/>
      <c r="I736" s="10"/>
      <c r="J736" s="7"/>
      <c r="K736" s="6"/>
      <c r="L736" s="10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10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</row>
    <row r="737">
      <c r="A737" s="7"/>
      <c r="B737" s="7"/>
      <c r="C737" s="10"/>
      <c r="D737" s="7"/>
      <c r="E737" s="6"/>
      <c r="F737" s="10"/>
      <c r="G737" s="7"/>
      <c r="H737" s="6"/>
      <c r="I737" s="10"/>
      <c r="J737" s="7"/>
      <c r="K737" s="6"/>
      <c r="L737" s="10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10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</row>
    <row r="738">
      <c r="A738" s="7"/>
      <c r="B738" s="7"/>
      <c r="C738" s="10"/>
      <c r="D738" s="7"/>
      <c r="E738" s="6"/>
      <c r="F738" s="10"/>
      <c r="G738" s="7"/>
      <c r="H738" s="6"/>
      <c r="I738" s="10"/>
      <c r="J738" s="7"/>
      <c r="K738" s="6"/>
      <c r="L738" s="10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10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</row>
    <row r="739">
      <c r="A739" s="7"/>
      <c r="B739" s="7"/>
      <c r="C739" s="10"/>
      <c r="D739" s="7"/>
      <c r="E739" s="6"/>
      <c r="F739" s="10"/>
      <c r="G739" s="7"/>
      <c r="H739" s="6"/>
      <c r="I739" s="10"/>
      <c r="J739" s="7"/>
      <c r="K739" s="6"/>
      <c r="L739" s="10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10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</row>
    <row r="740">
      <c r="A740" s="7"/>
      <c r="B740" s="7"/>
      <c r="C740" s="10"/>
      <c r="D740" s="7"/>
      <c r="E740" s="6"/>
      <c r="F740" s="10"/>
      <c r="G740" s="7"/>
      <c r="H740" s="6"/>
      <c r="I740" s="10"/>
      <c r="J740" s="7"/>
      <c r="K740" s="6"/>
      <c r="L740" s="10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10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</row>
    <row r="741">
      <c r="A741" s="7"/>
      <c r="B741" s="7"/>
      <c r="C741" s="10"/>
      <c r="D741" s="7"/>
      <c r="E741" s="6"/>
      <c r="F741" s="10"/>
      <c r="G741" s="7"/>
      <c r="H741" s="6"/>
      <c r="I741" s="10"/>
      <c r="J741" s="7"/>
      <c r="K741" s="6"/>
      <c r="L741" s="10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10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</row>
    <row r="742">
      <c r="A742" s="7"/>
      <c r="B742" s="7"/>
      <c r="C742" s="10"/>
      <c r="D742" s="7"/>
      <c r="E742" s="6"/>
      <c r="F742" s="10"/>
      <c r="G742" s="7"/>
      <c r="H742" s="6"/>
      <c r="I742" s="10"/>
      <c r="J742" s="7"/>
      <c r="K742" s="6"/>
      <c r="L742" s="10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10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</row>
    <row r="743">
      <c r="A743" s="7"/>
      <c r="B743" s="7"/>
      <c r="C743" s="10"/>
      <c r="D743" s="7"/>
      <c r="E743" s="6"/>
      <c r="F743" s="10"/>
      <c r="G743" s="7"/>
      <c r="H743" s="6"/>
      <c r="I743" s="10"/>
      <c r="J743" s="7"/>
      <c r="K743" s="6"/>
      <c r="L743" s="10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10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</row>
    <row r="744">
      <c r="A744" s="7"/>
      <c r="B744" s="7"/>
      <c r="C744" s="10"/>
      <c r="D744" s="7"/>
      <c r="E744" s="6"/>
      <c r="F744" s="10"/>
      <c r="G744" s="7"/>
      <c r="H744" s="6"/>
      <c r="I744" s="10"/>
      <c r="J744" s="7"/>
      <c r="K744" s="6"/>
      <c r="L744" s="10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10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</row>
    <row r="745">
      <c r="A745" s="7"/>
      <c r="B745" s="7"/>
      <c r="C745" s="10"/>
      <c r="D745" s="7"/>
      <c r="E745" s="6"/>
      <c r="F745" s="10"/>
      <c r="G745" s="7"/>
      <c r="H745" s="6"/>
      <c r="I745" s="10"/>
      <c r="J745" s="7"/>
      <c r="K745" s="6"/>
      <c r="L745" s="10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10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</row>
    <row r="746">
      <c r="A746" s="7"/>
      <c r="B746" s="7"/>
      <c r="C746" s="10"/>
      <c r="D746" s="7"/>
      <c r="E746" s="6"/>
      <c r="F746" s="10"/>
      <c r="G746" s="7"/>
      <c r="H746" s="6"/>
      <c r="I746" s="10"/>
      <c r="J746" s="7"/>
      <c r="K746" s="6"/>
      <c r="L746" s="10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10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</row>
    <row r="747">
      <c r="A747" s="7"/>
      <c r="B747" s="7"/>
      <c r="C747" s="10"/>
      <c r="D747" s="7"/>
      <c r="E747" s="6"/>
      <c r="F747" s="10"/>
      <c r="G747" s="7"/>
      <c r="H747" s="6"/>
      <c r="I747" s="10"/>
      <c r="J747" s="7"/>
      <c r="K747" s="6"/>
      <c r="L747" s="10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10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</row>
    <row r="748">
      <c r="A748" s="7"/>
      <c r="B748" s="7"/>
      <c r="C748" s="10"/>
      <c r="D748" s="7"/>
      <c r="E748" s="6"/>
      <c r="F748" s="10"/>
      <c r="G748" s="7"/>
      <c r="H748" s="6"/>
      <c r="I748" s="10"/>
      <c r="J748" s="7"/>
      <c r="K748" s="6"/>
      <c r="L748" s="10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10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</row>
    <row r="749">
      <c r="A749" s="7"/>
      <c r="B749" s="7"/>
      <c r="C749" s="10"/>
      <c r="D749" s="7"/>
      <c r="E749" s="6"/>
      <c r="F749" s="10"/>
      <c r="G749" s="7"/>
      <c r="H749" s="6"/>
      <c r="I749" s="10"/>
      <c r="J749" s="7"/>
      <c r="K749" s="6"/>
      <c r="L749" s="10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10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</row>
    <row r="750">
      <c r="A750" s="7"/>
      <c r="B750" s="7"/>
      <c r="C750" s="10"/>
      <c r="D750" s="7"/>
      <c r="E750" s="6"/>
      <c r="F750" s="10"/>
      <c r="G750" s="7"/>
      <c r="H750" s="6"/>
      <c r="I750" s="10"/>
      <c r="J750" s="7"/>
      <c r="K750" s="6"/>
      <c r="L750" s="10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10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</row>
    <row r="751">
      <c r="A751" s="7"/>
      <c r="B751" s="7"/>
      <c r="C751" s="10"/>
      <c r="D751" s="7"/>
      <c r="E751" s="6"/>
      <c r="F751" s="10"/>
      <c r="G751" s="7"/>
      <c r="H751" s="6"/>
      <c r="I751" s="10"/>
      <c r="J751" s="7"/>
      <c r="K751" s="6"/>
      <c r="L751" s="10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10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</row>
    <row r="752">
      <c r="A752" s="7"/>
      <c r="B752" s="7"/>
      <c r="C752" s="10"/>
      <c r="D752" s="7"/>
      <c r="E752" s="6"/>
      <c r="F752" s="10"/>
      <c r="G752" s="7"/>
      <c r="H752" s="6"/>
      <c r="I752" s="10"/>
      <c r="J752" s="7"/>
      <c r="K752" s="6"/>
      <c r="L752" s="10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10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</row>
    <row r="753">
      <c r="A753" s="7"/>
      <c r="B753" s="7"/>
      <c r="C753" s="10"/>
      <c r="D753" s="7"/>
      <c r="E753" s="6"/>
      <c r="F753" s="10"/>
      <c r="G753" s="7"/>
      <c r="H753" s="6"/>
      <c r="I753" s="10"/>
      <c r="J753" s="7"/>
      <c r="K753" s="6"/>
      <c r="L753" s="10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10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</row>
    <row r="754">
      <c r="A754" s="7"/>
      <c r="B754" s="7"/>
      <c r="C754" s="10"/>
      <c r="D754" s="7"/>
      <c r="E754" s="6"/>
      <c r="F754" s="10"/>
      <c r="G754" s="7"/>
      <c r="H754" s="6"/>
      <c r="I754" s="10"/>
      <c r="J754" s="7"/>
      <c r="K754" s="6"/>
      <c r="L754" s="10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10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</row>
    <row r="755">
      <c r="A755" s="7"/>
      <c r="B755" s="7"/>
      <c r="C755" s="10"/>
      <c r="D755" s="7"/>
      <c r="E755" s="6"/>
      <c r="F755" s="10"/>
      <c r="G755" s="7"/>
      <c r="H755" s="6"/>
      <c r="I755" s="10"/>
      <c r="J755" s="7"/>
      <c r="K755" s="6"/>
      <c r="L755" s="10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10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</row>
    <row r="756">
      <c r="A756" s="7"/>
      <c r="B756" s="7"/>
      <c r="C756" s="10"/>
      <c r="D756" s="7"/>
      <c r="E756" s="6"/>
      <c r="F756" s="10"/>
      <c r="G756" s="7"/>
      <c r="H756" s="6"/>
      <c r="I756" s="10"/>
      <c r="J756" s="7"/>
      <c r="K756" s="6"/>
      <c r="L756" s="10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10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</row>
    <row r="757">
      <c r="A757" s="7"/>
      <c r="B757" s="7"/>
      <c r="C757" s="10"/>
      <c r="D757" s="7"/>
      <c r="E757" s="6"/>
      <c r="F757" s="10"/>
      <c r="G757" s="7"/>
      <c r="H757" s="6"/>
      <c r="I757" s="10"/>
      <c r="J757" s="7"/>
      <c r="K757" s="6"/>
      <c r="L757" s="10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10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</row>
    <row r="758">
      <c r="A758" s="7"/>
      <c r="B758" s="7"/>
      <c r="C758" s="10"/>
      <c r="D758" s="7"/>
      <c r="E758" s="6"/>
      <c r="F758" s="10"/>
      <c r="G758" s="7"/>
      <c r="H758" s="6"/>
      <c r="I758" s="10"/>
      <c r="J758" s="7"/>
      <c r="K758" s="6"/>
      <c r="L758" s="10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10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</row>
    <row r="759">
      <c r="A759" s="7"/>
      <c r="B759" s="7"/>
      <c r="C759" s="10"/>
      <c r="D759" s="7"/>
      <c r="E759" s="6"/>
      <c r="F759" s="10"/>
      <c r="G759" s="7"/>
      <c r="H759" s="6"/>
      <c r="I759" s="10"/>
      <c r="J759" s="7"/>
      <c r="K759" s="6"/>
      <c r="L759" s="10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10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</row>
    <row r="760">
      <c r="A760" s="7"/>
      <c r="B760" s="7"/>
      <c r="C760" s="10"/>
      <c r="D760" s="7"/>
      <c r="E760" s="6"/>
      <c r="F760" s="10"/>
      <c r="G760" s="7"/>
      <c r="H760" s="6"/>
      <c r="I760" s="10"/>
      <c r="J760" s="7"/>
      <c r="K760" s="6"/>
      <c r="L760" s="10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10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</row>
    <row r="761">
      <c r="A761" s="7"/>
      <c r="B761" s="7"/>
      <c r="C761" s="10"/>
      <c r="D761" s="7"/>
      <c r="E761" s="6"/>
      <c r="F761" s="10"/>
      <c r="G761" s="7"/>
      <c r="H761" s="6"/>
      <c r="I761" s="10"/>
      <c r="J761" s="7"/>
      <c r="K761" s="6"/>
      <c r="L761" s="10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10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</row>
    <row r="762">
      <c r="A762" s="7"/>
      <c r="B762" s="7"/>
      <c r="C762" s="10"/>
      <c r="D762" s="7"/>
      <c r="E762" s="6"/>
      <c r="F762" s="10"/>
      <c r="G762" s="7"/>
      <c r="H762" s="6"/>
      <c r="I762" s="10"/>
      <c r="J762" s="7"/>
      <c r="K762" s="6"/>
      <c r="L762" s="10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10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</row>
    <row r="763">
      <c r="A763" s="7"/>
      <c r="B763" s="7"/>
      <c r="C763" s="10"/>
      <c r="D763" s="7"/>
      <c r="E763" s="6"/>
      <c r="F763" s="10"/>
      <c r="G763" s="7"/>
      <c r="H763" s="6"/>
      <c r="I763" s="10"/>
      <c r="J763" s="7"/>
      <c r="K763" s="6"/>
      <c r="L763" s="10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10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</row>
    <row r="764">
      <c r="A764" s="7"/>
      <c r="B764" s="7"/>
      <c r="C764" s="10"/>
      <c r="D764" s="7"/>
      <c r="E764" s="6"/>
      <c r="F764" s="10"/>
      <c r="G764" s="7"/>
      <c r="H764" s="6"/>
      <c r="I764" s="10"/>
      <c r="J764" s="7"/>
      <c r="K764" s="6"/>
      <c r="L764" s="10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10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</row>
    <row r="765">
      <c r="A765" s="7"/>
      <c r="B765" s="7"/>
      <c r="C765" s="10"/>
      <c r="D765" s="7"/>
      <c r="E765" s="6"/>
      <c r="F765" s="10"/>
      <c r="G765" s="7"/>
      <c r="H765" s="6"/>
      <c r="I765" s="10"/>
      <c r="J765" s="7"/>
      <c r="K765" s="6"/>
      <c r="L765" s="10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10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</row>
    <row r="766">
      <c r="A766" s="7"/>
      <c r="B766" s="7"/>
      <c r="C766" s="10"/>
      <c r="D766" s="7"/>
      <c r="E766" s="6"/>
      <c r="F766" s="10"/>
      <c r="G766" s="7"/>
      <c r="H766" s="6"/>
      <c r="I766" s="10"/>
      <c r="J766" s="7"/>
      <c r="K766" s="6"/>
      <c r="L766" s="10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10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</row>
    <row r="767">
      <c r="A767" s="7"/>
      <c r="B767" s="7"/>
      <c r="C767" s="10"/>
      <c r="D767" s="7"/>
      <c r="E767" s="6"/>
      <c r="F767" s="10"/>
      <c r="G767" s="7"/>
      <c r="H767" s="6"/>
      <c r="I767" s="10"/>
      <c r="J767" s="7"/>
      <c r="K767" s="6"/>
      <c r="L767" s="10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10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</row>
    <row r="768">
      <c r="A768" s="7"/>
      <c r="B768" s="7"/>
      <c r="C768" s="10"/>
      <c r="D768" s="7"/>
      <c r="E768" s="6"/>
      <c r="F768" s="10"/>
      <c r="G768" s="7"/>
      <c r="H768" s="6"/>
      <c r="I768" s="10"/>
      <c r="J768" s="7"/>
      <c r="K768" s="6"/>
      <c r="L768" s="10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10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</row>
    <row r="769">
      <c r="A769" s="7"/>
      <c r="B769" s="7"/>
      <c r="C769" s="10"/>
      <c r="D769" s="7"/>
      <c r="E769" s="6"/>
      <c r="F769" s="10"/>
      <c r="G769" s="7"/>
      <c r="H769" s="6"/>
      <c r="I769" s="10"/>
      <c r="J769" s="7"/>
      <c r="K769" s="6"/>
      <c r="L769" s="10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10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</row>
    <row r="770">
      <c r="A770" s="7"/>
      <c r="B770" s="7"/>
      <c r="C770" s="10"/>
      <c r="D770" s="7"/>
      <c r="E770" s="6"/>
      <c r="F770" s="10"/>
      <c r="G770" s="7"/>
      <c r="H770" s="6"/>
      <c r="I770" s="10"/>
      <c r="J770" s="7"/>
      <c r="K770" s="6"/>
      <c r="L770" s="10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10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</row>
    <row r="771">
      <c r="A771" s="7"/>
      <c r="B771" s="7"/>
      <c r="C771" s="10"/>
      <c r="D771" s="7"/>
      <c r="E771" s="6"/>
      <c r="F771" s="10"/>
      <c r="G771" s="7"/>
      <c r="H771" s="6"/>
      <c r="I771" s="10"/>
      <c r="J771" s="7"/>
      <c r="K771" s="6"/>
      <c r="L771" s="10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10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</row>
    <row r="772">
      <c r="A772" s="7"/>
      <c r="B772" s="7"/>
      <c r="C772" s="10"/>
      <c r="D772" s="7"/>
      <c r="E772" s="6"/>
      <c r="F772" s="10"/>
      <c r="G772" s="7"/>
      <c r="H772" s="6"/>
      <c r="I772" s="10"/>
      <c r="J772" s="7"/>
      <c r="K772" s="6"/>
      <c r="L772" s="10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10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</row>
    <row r="773">
      <c r="A773" s="7"/>
      <c r="B773" s="7"/>
      <c r="C773" s="10"/>
      <c r="D773" s="7"/>
      <c r="E773" s="6"/>
      <c r="F773" s="10"/>
      <c r="G773" s="7"/>
      <c r="H773" s="6"/>
      <c r="I773" s="10"/>
      <c r="J773" s="7"/>
      <c r="K773" s="6"/>
      <c r="L773" s="10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10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</row>
    <row r="774">
      <c r="A774" s="7"/>
      <c r="B774" s="7"/>
      <c r="C774" s="10"/>
      <c r="D774" s="7"/>
      <c r="E774" s="6"/>
      <c r="F774" s="10"/>
      <c r="G774" s="7"/>
      <c r="H774" s="6"/>
      <c r="I774" s="10"/>
      <c r="J774" s="7"/>
      <c r="K774" s="6"/>
      <c r="L774" s="10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10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</row>
    <row r="775">
      <c r="A775" s="7"/>
      <c r="B775" s="7"/>
      <c r="C775" s="10"/>
      <c r="D775" s="7"/>
      <c r="E775" s="6"/>
      <c r="F775" s="10"/>
      <c r="G775" s="7"/>
      <c r="H775" s="6"/>
      <c r="I775" s="10"/>
      <c r="J775" s="7"/>
      <c r="K775" s="6"/>
      <c r="L775" s="10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10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</row>
    <row r="776">
      <c r="A776" s="7"/>
      <c r="B776" s="7"/>
      <c r="C776" s="10"/>
      <c r="D776" s="7"/>
      <c r="E776" s="6"/>
      <c r="F776" s="10"/>
      <c r="G776" s="7"/>
      <c r="H776" s="6"/>
      <c r="I776" s="10"/>
      <c r="J776" s="7"/>
      <c r="K776" s="6"/>
      <c r="L776" s="10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10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</row>
    <row r="777">
      <c r="A777" s="7"/>
      <c r="B777" s="7"/>
      <c r="C777" s="10"/>
      <c r="D777" s="7"/>
      <c r="E777" s="6"/>
      <c r="F777" s="10"/>
      <c r="G777" s="7"/>
      <c r="H777" s="6"/>
      <c r="I777" s="10"/>
      <c r="J777" s="7"/>
      <c r="K777" s="6"/>
      <c r="L777" s="10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10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</row>
    <row r="778">
      <c r="A778" s="7"/>
      <c r="B778" s="7"/>
      <c r="C778" s="10"/>
      <c r="D778" s="7"/>
      <c r="E778" s="6"/>
      <c r="F778" s="10"/>
      <c r="G778" s="7"/>
      <c r="H778" s="6"/>
      <c r="I778" s="10"/>
      <c r="J778" s="7"/>
      <c r="K778" s="6"/>
      <c r="L778" s="10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10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</row>
    <row r="779">
      <c r="A779" s="7"/>
      <c r="B779" s="7"/>
      <c r="C779" s="10"/>
      <c r="D779" s="7"/>
      <c r="E779" s="6"/>
      <c r="F779" s="10"/>
      <c r="G779" s="7"/>
      <c r="H779" s="6"/>
      <c r="I779" s="10"/>
      <c r="J779" s="7"/>
      <c r="K779" s="6"/>
      <c r="L779" s="10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10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</row>
    <row r="780">
      <c r="A780" s="7"/>
      <c r="B780" s="7"/>
      <c r="C780" s="10"/>
      <c r="D780" s="7"/>
      <c r="E780" s="6"/>
      <c r="F780" s="10"/>
      <c r="G780" s="7"/>
      <c r="H780" s="6"/>
      <c r="I780" s="10"/>
      <c r="J780" s="7"/>
      <c r="K780" s="6"/>
      <c r="L780" s="10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10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</row>
    <row r="781">
      <c r="A781" s="7"/>
      <c r="B781" s="7"/>
      <c r="C781" s="10"/>
      <c r="D781" s="7"/>
      <c r="E781" s="6"/>
      <c r="F781" s="10"/>
      <c r="G781" s="7"/>
      <c r="H781" s="6"/>
      <c r="I781" s="10"/>
      <c r="J781" s="7"/>
      <c r="K781" s="6"/>
      <c r="L781" s="10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10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</row>
    <row r="782">
      <c r="A782" s="7"/>
      <c r="B782" s="7"/>
      <c r="C782" s="10"/>
      <c r="D782" s="7"/>
      <c r="E782" s="6"/>
      <c r="F782" s="10"/>
      <c r="G782" s="7"/>
      <c r="H782" s="6"/>
      <c r="I782" s="10"/>
      <c r="J782" s="7"/>
      <c r="K782" s="6"/>
      <c r="L782" s="10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10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</row>
    <row r="783">
      <c r="A783" s="7"/>
      <c r="B783" s="7"/>
      <c r="C783" s="10"/>
      <c r="D783" s="7"/>
      <c r="E783" s="6"/>
      <c r="F783" s="10"/>
      <c r="G783" s="7"/>
      <c r="H783" s="6"/>
      <c r="I783" s="10"/>
      <c r="J783" s="7"/>
      <c r="K783" s="6"/>
      <c r="L783" s="10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10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</row>
    <row r="784">
      <c r="A784" s="7"/>
      <c r="B784" s="7"/>
      <c r="C784" s="10"/>
      <c r="D784" s="7"/>
      <c r="E784" s="6"/>
      <c r="F784" s="10"/>
      <c r="G784" s="7"/>
      <c r="H784" s="6"/>
      <c r="I784" s="10"/>
      <c r="J784" s="7"/>
      <c r="K784" s="6"/>
      <c r="L784" s="10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10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</row>
    <row r="785">
      <c r="A785" s="7"/>
      <c r="B785" s="7"/>
      <c r="C785" s="10"/>
      <c r="D785" s="7"/>
      <c r="E785" s="6"/>
      <c r="F785" s="10"/>
      <c r="G785" s="7"/>
      <c r="H785" s="6"/>
      <c r="I785" s="10"/>
      <c r="J785" s="7"/>
      <c r="K785" s="6"/>
      <c r="L785" s="10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10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</row>
    <row r="786">
      <c r="A786" s="7"/>
      <c r="B786" s="7"/>
      <c r="C786" s="10"/>
      <c r="D786" s="7"/>
      <c r="E786" s="6"/>
      <c r="F786" s="10"/>
      <c r="G786" s="7"/>
      <c r="H786" s="6"/>
      <c r="I786" s="10"/>
      <c r="J786" s="7"/>
      <c r="K786" s="6"/>
      <c r="L786" s="10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10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</row>
    <row r="787">
      <c r="A787" s="7"/>
      <c r="B787" s="7"/>
      <c r="C787" s="10"/>
      <c r="D787" s="7"/>
      <c r="E787" s="6"/>
      <c r="F787" s="10"/>
      <c r="G787" s="7"/>
      <c r="H787" s="6"/>
      <c r="I787" s="10"/>
      <c r="J787" s="7"/>
      <c r="K787" s="6"/>
      <c r="L787" s="10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10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</row>
    <row r="788">
      <c r="A788" s="7"/>
      <c r="B788" s="7"/>
      <c r="C788" s="10"/>
      <c r="D788" s="7"/>
      <c r="E788" s="6"/>
      <c r="F788" s="10"/>
      <c r="G788" s="7"/>
      <c r="H788" s="6"/>
      <c r="I788" s="10"/>
      <c r="J788" s="7"/>
      <c r="K788" s="6"/>
      <c r="L788" s="10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10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</row>
    <row r="789">
      <c r="A789" s="7"/>
      <c r="B789" s="7"/>
      <c r="C789" s="10"/>
      <c r="D789" s="7"/>
      <c r="E789" s="6"/>
      <c r="F789" s="10"/>
      <c r="G789" s="7"/>
      <c r="H789" s="6"/>
      <c r="I789" s="10"/>
      <c r="J789" s="7"/>
      <c r="K789" s="6"/>
      <c r="L789" s="10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10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</row>
    <row r="790">
      <c r="A790" s="7"/>
      <c r="B790" s="7"/>
      <c r="C790" s="10"/>
      <c r="D790" s="7"/>
      <c r="E790" s="6"/>
      <c r="F790" s="10"/>
      <c r="G790" s="7"/>
      <c r="H790" s="6"/>
      <c r="I790" s="10"/>
      <c r="J790" s="7"/>
      <c r="K790" s="6"/>
      <c r="L790" s="10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10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</row>
    <row r="791">
      <c r="A791" s="7"/>
      <c r="B791" s="7"/>
      <c r="C791" s="10"/>
      <c r="D791" s="7"/>
      <c r="E791" s="6"/>
      <c r="F791" s="10"/>
      <c r="G791" s="7"/>
      <c r="H791" s="6"/>
      <c r="I791" s="10"/>
      <c r="J791" s="7"/>
      <c r="K791" s="6"/>
      <c r="L791" s="10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10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</row>
    <row r="792">
      <c r="A792" s="7"/>
      <c r="B792" s="7"/>
      <c r="C792" s="10"/>
      <c r="D792" s="7"/>
      <c r="E792" s="6"/>
      <c r="F792" s="10"/>
      <c r="G792" s="7"/>
      <c r="H792" s="6"/>
      <c r="I792" s="10"/>
      <c r="J792" s="7"/>
      <c r="K792" s="6"/>
      <c r="L792" s="10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10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</row>
    <row r="793">
      <c r="A793" s="7"/>
      <c r="B793" s="7"/>
      <c r="C793" s="10"/>
      <c r="D793" s="7"/>
      <c r="E793" s="6"/>
      <c r="F793" s="10"/>
      <c r="G793" s="7"/>
      <c r="H793" s="6"/>
      <c r="I793" s="10"/>
      <c r="J793" s="7"/>
      <c r="K793" s="6"/>
      <c r="L793" s="10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10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</row>
    <row r="794">
      <c r="A794" s="7"/>
      <c r="B794" s="7"/>
      <c r="C794" s="10"/>
      <c r="D794" s="7"/>
      <c r="E794" s="6"/>
      <c r="F794" s="10"/>
      <c r="G794" s="7"/>
      <c r="H794" s="6"/>
      <c r="I794" s="10"/>
      <c r="J794" s="7"/>
      <c r="K794" s="6"/>
      <c r="L794" s="10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10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</row>
    <row r="795">
      <c r="A795" s="7"/>
      <c r="B795" s="7"/>
      <c r="C795" s="10"/>
      <c r="D795" s="7"/>
      <c r="E795" s="6"/>
      <c r="F795" s="10"/>
      <c r="G795" s="7"/>
      <c r="H795" s="6"/>
      <c r="I795" s="10"/>
      <c r="J795" s="7"/>
      <c r="K795" s="6"/>
      <c r="L795" s="10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10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</row>
    <row r="796">
      <c r="A796" s="7"/>
      <c r="B796" s="7"/>
      <c r="C796" s="10"/>
      <c r="D796" s="7"/>
      <c r="E796" s="6"/>
      <c r="F796" s="10"/>
      <c r="G796" s="7"/>
      <c r="H796" s="6"/>
      <c r="I796" s="10"/>
      <c r="J796" s="7"/>
      <c r="K796" s="6"/>
      <c r="L796" s="10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10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</row>
    <row r="797">
      <c r="A797" s="7"/>
      <c r="B797" s="7"/>
      <c r="C797" s="10"/>
      <c r="D797" s="7"/>
      <c r="E797" s="6"/>
      <c r="F797" s="10"/>
      <c r="G797" s="7"/>
      <c r="H797" s="6"/>
      <c r="I797" s="10"/>
      <c r="J797" s="7"/>
      <c r="K797" s="6"/>
      <c r="L797" s="10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10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</row>
    <row r="798">
      <c r="A798" s="7"/>
      <c r="B798" s="7"/>
      <c r="C798" s="10"/>
      <c r="D798" s="7"/>
      <c r="E798" s="6"/>
      <c r="F798" s="10"/>
      <c r="G798" s="7"/>
      <c r="H798" s="6"/>
      <c r="I798" s="10"/>
      <c r="J798" s="7"/>
      <c r="K798" s="6"/>
      <c r="L798" s="10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10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</row>
    <row r="799">
      <c r="A799" s="7"/>
      <c r="B799" s="7"/>
      <c r="C799" s="10"/>
      <c r="D799" s="7"/>
      <c r="E799" s="6"/>
      <c r="F799" s="10"/>
      <c r="G799" s="7"/>
      <c r="H799" s="6"/>
      <c r="I799" s="10"/>
      <c r="J799" s="7"/>
      <c r="K799" s="6"/>
      <c r="L799" s="10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10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</row>
    <row r="800">
      <c r="A800" s="7"/>
      <c r="B800" s="7"/>
      <c r="C800" s="10"/>
      <c r="D800" s="7"/>
      <c r="E800" s="6"/>
      <c r="F800" s="10"/>
      <c r="G800" s="7"/>
      <c r="H800" s="6"/>
      <c r="I800" s="10"/>
      <c r="J800" s="7"/>
      <c r="K800" s="6"/>
      <c r="L800" s="10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10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</row>
    <row r="801">
      <c r="A801" s="7"/>
      <c r="B801" s="7"/>
      <c r="C801" s="10"/>
      <c r="D801" s="7"/>
      <c r="E801" s="6"/>
      <c r="F801" s="10"/>
      <c r="G801" s="7"/>
      <c r="H801" s="6"/>
      <c r="I801" s="10"/>
      <c r="J801" s="7"/>
      <c r="K801" s="6"/>
      <c r="L801" s="10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10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</row>
    <row r="802">
      <c r="A802" s="7"/>
      <c r="B802" s="7"/>
      <c r="C802" s="10"/>
      <c r="D802" s="7"/>
      <c r="E802" s="6"/>
      <c r="F802" s="10"/>
      <c r="G802" s="7"/>
      <c r="H802" s="6"/>
      <c r="I802" s="10"/>
      <c r="J802" s="7"/>
      <c r="K802" s="6"/>
      <c r="L802" s="10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10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</row>
    <row r="803">
      <c r="A803" s="7"/>
      <c r="B803" s="7"/>
      <c r="C803" s="10"/>
      <c r="D803" s="7"/>
      <c r="E803" s="6"/>
      <c r="F803" s="10"/>
      <c r="G803" s="7"/>
      <c r="H803" s="6"/>
      <c r="I803" s="10"/>
      <c r="J803" s="7"/>
      <c r="K803" s="6"/>
      <c r="L803" s="10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10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</row>
    <row r="804">
      <c r="A804" s="7"/>
      <c r="B804" s="7"/>
      <c r="C804" s="10"/>
      <c r="D804" s="7"/>
      <c r="E804" s="6"/>
      <c r="F804" s="10"/>
      <c r="G804" s="7"/>
      <c r="H804" s="6"/>
      <c r="I804" s="10"/>
      <c r="J804" s="7"/>
      <c r="K804" s="6"/>
      <c r="L804" s="10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10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</row>
    <row r="805">
      <c r="A805" s="7"/>
      <c r="B805" s="7"/>
      <c r="C805" s="10"/>
      <c r="D805" s="7"/>
      <c r="E805" s="6"/>
      <c r="F805" s="10"/>
      <c r="G805" s="7"/>
      <c r="H805" s="6"/>
      <c r="I805" s="10"/>
      <c r="J805" s="7"/>
      <c r="K805" s="6"/>
      <c r="L805" s="10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10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</row>
    <row r="806">
      <c r="A806" s="7"/>
      <c r="B806" s="7"/>
      <c r="C806" s="10"/>
      <c r="D806" s="7"/>
      <c r="E806" s="6"/>
      <c r="F806" s="10"/>
      <c r="G806" s="7"/>
      <c r="H806" s="6"/>
      <c r="I806" s="10"/>
      <c r="J806" s="7"/>
      <c r="K806" s="6"/>
      <c r="L806" s="10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10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</row>
    <row r="807">
      <c r="A807" s="7"/>
      <c r="B807" s="7"/>
      <c r="C807" s="10"/>
      <c r="D807" s="7"/>
      <c r="E807" s="6"/>
      <c r="F807" s="10"/>
      <c r="G807" s="7"/>
      <c r="H807" s="6"/>
      <c r="I807" s="10"/>
      <c r="J807" s="7"/>
      <c r="K807" s="6"/>
      <c r="L807" s="10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10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</row>
    <row r="808">
      <c r="A808" s="7"/>
      <c r="B808" s="7"/>
      <c r="C808" s="10"/>
      <c r="D808" s="7"/>
      <c r="E808" s="6"/>
      <c r="F808" s="10"/>
      <c r="G808" s="7"/>
      <c r="H808" s="6"/>
      <c r="I808" s="10"/>
      <c r="J808" s="7"/>
      <c r="K808" s="6"/>
      <c r="L808" s="10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10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</row>
    <row r="809">
      <c r="A809" s="7"/>
      <c r="B809" s="7"/>
      <c r="C809" s="10"/>
      <c r="D809" s="7"/>
      <c r="E809" s="6"/>
      <c r="F809" s="10"/>
      <c r="G809" s="7"/>
      <c r="H809" s="6"/>
      <c r="I809" s="10"/>
      <c r="J809" s="7"/>
      <c r="K809" s="6"/>
      <c r="L809" s="10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10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</row>
    <row r="810">
      <c r="A810" s="7"/>
      <c r="B810" s="7"/>
      <c r="C810" s="10"/>
      <c r="D810" s="7"/>
      <c r="E810" s="6"/>
      <c r="F810" s="10"/>
      <c r="G810" s="7"/>
      <c r="H810" s="6"/>
      <c r="I810" s="10"/>
      <c r="J810" s="7"/>
      <c r="K810" s="6"/>
      <c r="L810" s="10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10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</row>
    <row r="811">
      <c r="A811" s="7"/>
      <c r="B811" s="7"/>
      <c r="C811" s="10"/>
      <c r="D811" s="7"/>
      <c r="E811" s="6"/>
      <c r="F811" s="10"/>
      <c r="G811" s="7"/>
      <c r="H811" s="6"/>
      <c r="I811" s="10"/>
      <c r="J811" s="7"/>
      <c r="K811" s="6"/>
      <c r="L811" s="10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10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</row>
    <row r="812">
      <c r="A812" s="7"/>
      <c r="B812" s="7"/>
      <c r="C812" s="10"/>
      <c r="D812" s="7"/>
      <c r="E812" s="6"/>
      <c r="F812" s="10"/>
      <c r="G812" s="7"/>
      <c r="H812" s="6"/>
      <c r="I812" s="10"/>
      <c r="J812" s="7"/>
      <c r="K812" s="6"/>
      <c r="L812" s="10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10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</row>
    <row r="813">
      <c r="A813" s="7"/>
      <c r="B813" s="7"/>
      <c r="C813" s="10"/>
      <c r="D813" s="7"/>
      <c r="E813" s="6"/>
      <c r="F813" s="10"/>
      <c r="G813" s="7"/>
      <c r="H813" s="6"/>
      <c r="I813" s="10"/>
      <c r="J813" s="7"/>
      <c r="K813" s="6"/>
      <c r="L813" s="10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10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</row>
    <row r="814">
      <c r="A814" s="7"/>
      <c r="B814" s="7"/>
      <c r="C814" s="10"/>
      <c r="D814" s="7"/>
      <c r="E814" s="6"/>
      <c r="F814" s="10"/>
      <c r="G814" s="7"/>
      <c r="H814" s="6"/>
      <c r="I814" s="10"/>
      <c r="J814" s="7"/>
      <c r="K814" s="6"/>
      <c r="L814" s="10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10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</row>
    <row r="815">
      <c r="A815" s="7"/>
      <c r="B815" s="7"/>
      <c r="C815" s="10"/>
      <c r="D815" s="7"/>
      <c r="E815" s="6"/>
      <c r="F815" s="10"/>
      <c r="G815" s="7"/>
      <c r="H815" s="6"/>
      <c r="I815" s="10"/>
      <c r="J815" s="7"/>
      <c r="K815" s="6"/>
      <c r="L815" s="10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10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</row>
    <row r="816">
      <c r="A816" s="7"/>
      <c r="B816" s="7"/>
      <c r="C816" s="10"/>
      <c r="D816" s="7"/>
      <c r="E816" s="6"/>
      <c r="F816" s="10"/>
      <c r="G816" s="7"/>
      <c r="H816" s="6"/>
      <c r="I816" s="10"/>
      <c r="J816" s="7"/>
      <c r="K816" s="6"/>
      <c r="L816" s="10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10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</row>
    <row r="817">
      <c r="A817" s="7"/>
      <c r="B817" s="7"/>
      <c r="C817" s="10"/>
      <c r="D817" s="7"/>
      <c r="E817" s="6"/>
      <c r="F817" s="10"/>
      <c r="G817" s="7"/>
      <c r="H817" s="6"/>
      <c r="I817" s="10"/>
      <c r="J817" s="7"/>
      <c r="K817" s="6"/>
      <c r="L817" s="10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10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</row>
    <row r="818">
      <c r="A818" s="7"/>
      <c r="B818" s="7"/>
      <c r="C818" s="10"/>
      <c r="D818" s="7"/>
      <c r="E818" s="6"/>
      <c r="F818" s="10"/>
      <c r="G818" s="7"/>
      <c r="H818" s="6"/>
      <c r="I818" s="10"/>
      <c r="J818" s="7"/>
      <c r="K818" s="6"/>
      <c r="L818" s="10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10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</row>
    <row r="819">
      <c r="A819" s="7"/>
      <c r="B819" s="7"/>
      <c r="C819" s="10"/>
      <c r="D819" s="7"/>
      <c r="E819" s="6"/>
      <c r="F819" s="10"/>
      <c r="G819" s="7"/>
      <c r="H819" s="6"/>
      <c r="I819" s="10"/>
      <c r="J819" s="7"/>
      <c r="K819" s="6"/>
      <c r="L819" s="10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10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</row>
    <row r="820">
      <c r="A820" s="7"/>
      <c r="B820" s="7"/>
      <c r="C820" s="10"/>
      <c r="D820" s="7"/>
      <c r="E820" s="6"/>
      <c r="F820" s="10"/>
      <c r="G820" s="7"/>
      <c r="H820" s="6"/>
      <c r="I820" s="10"/>
      <c r="J820" s="7"/>
      <c r="K820" s="6"/>
      <c r="L820" s="10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10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</row>
    <row r="821">
      <c r="A821" s="7"/>
      <c r="B821" s="7"/>
      <c r="C821" s="10"/>
      <c r="D821" s="7"/>
      <c r="E821" s="6"/>
      <c r="F821" s="10"/>
      <c r="G821" s="7"/>
      <c r="H821" s="6"/>
      <c r="I821" s="10"/>
      <c r="J821" s="7"/>
      <c r="K821" s="6"/>
      <c r="L821" s="10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10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</row>
    <row r="822">
      <c r="A822" s="7"/>
      <c r="B822" s="7"/>
      <c r="C822" s="10"/>
      <c r="D822" s="7"/>
      <c r="E822" s="6"/>
      <c r="F822" s="10"/>
      <c r="G822" s="7"/>
      <c r="H822" s="6"/>
      <c r="I822" s="10"/>
      <c r="J822" s="7"/>
      <c r="K822" s="6"/>
      <c r="L822" s="10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10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</row>
    <row r="823">
      <c r="A823" s="7"/>
      <c r="B823" s="7"/>
      <c r="C823" s="10"/>
      <c r="D823" s="7"/>
      <c r="E823" s="6"/>
      <c r="F823" s="10"/>
      <c r="G823" s="7"/>
      <c r="H823" s="6"/>
      <c r="I823" s="10"/>
      <c r="J823" s="7"/>
      <c r="K823" s="6"/>
      <c r="L823" s="10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10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</row>
    <row r="824">
      <c r="A824" s="7"/>
      <c r="B824" s="7"/>
      <c r="C824" s="10"/>
      <c r="D824" s="7"/>
      <c r="E824" s="6"/>
      <c r="F824" s="10"/>
      <c r="G824" s="7"/>
      <c r="H824" s="6"/>
      <c r="I824" s="10"/>
      <c r="J824" s="7"/>
      <c r="K824" s="6"/>
      <c r="L824" s="10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10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</row>
    <row r="825">
      <c r="A825" s="7"/>
      <c r="B825" s="7"/>
      <c r="C825" s="10"/>
      <c r="D825" s="7"/>
      <c r="E825" s="6"/>
      <c r="F825" s="10"/>
      <c r="G825" s="7"/>
      <c r="H825" s="6"/>
      <c r="I825" s="10"/>
      <c r="J825" s="7"/>
      <c r="K825" s="6"/>
      <c r="L825" s="10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10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</row>
    <row r="826">
      <c r="A826" s="7"/>
      <c r="B826" s="7"/>
      <c r="C826" s="10"/>
      <c r="D826" s="7"/>
      <c r="E826" s="6"/>
      <c r="F826" s="10"/>
      <c r="G826" s="7"/>
      <c r="H826" s="6"/>
      <c r="I826" s="10"/>
      <c r="J826" s="7"/>
      <c r="K826" s="6"/>
      <c r="L826" s="10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10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</row>
    <row r="827">
      <c r="A827" s="7"/>
      <c r="B827" s="7"/>
      <c r="C827" s="10"/>
      <c r="D827" s="7"/>
      <c r="E827" s="6"/>
      <c r="F827" s="10"/>
      <c r="G827" s="7"/>
      <c r="H827" s="6"/>
      <c r="I827" s="10"/>
      <c r="J827" s="7"/>
      <c r="K827" s="6"/>
      <c r="L827" s="10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10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</row>
    <row r="828">
      <c r="A828" s="7"/>
      <c r="B828" s="7"/>
      <c r="C828" s="10"/>
      <c r="D828" s="7"/>
      <c r="E828" s="6"/>
      <c r="F828" s="10"/>
      <c r="G828" s="7"/>
      <c r="H828" s="6"/>
      <c r="I828" s="10"/>
      <c r="J828" s="7"/>
      <c r="K828" s="6"/>
      <c r="L828" s="10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10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</row>
    <row r="829">
      <c r="A829" s="7"/>
      <c r="B829" s="7"/>
      <c r="C829" s="10"/>
      <c r="D829" s="7"/>
      <c r="E829" s="6"/>
      <c r="F829" s="10"/>
      <c r="G829" s="7"/>
      <c r="H829" s="6"/>
      <c r="I829" s="10"/>
      <c r="J829" s="7"/>
      <c r="K829" s="6"/>
      <c r="L829" s="10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10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</row>
    <row r="830">
      <c r="A830" s="7"/>
      <c r="B830" s="7"/>
      <c r="C830" s="10"/>
      <c r="D830" s="7"/>
      <c r="E830" s="6"/>
      <c r="F830" s="10"/>
      <c r="G830" s="7"/>
      <c r="H830" s="6"/>
      <c r="I830" s="10"/>
      <c r="J830" s="7"/>
      <c r="K830" s="6"/>
      <c r="L830" s="10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10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</row>
    <row r="831">
      <c r="A831" s="7"/>
      <c r="B831" s="7"/>
      <c r="C831" s="10"/>
      <c r="D831" s="7"/>
      <c r="E831" s="6"/>
      <c r="F831" s="10"/>
      <c r="G831" s="7"/>
      <c r="H831" s="6"/>
      <c r="I831" s="10"/>
      <c r="J831" s="7"/>
      <c r="K831" s="6"/>
      <c r="L831" s="10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10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</row>
    <row r="832">
      <c r="A832" s="7"/>
      <c r="B832" s="7"/>
      <c r="C832" s="10"/>
      <c r="D832" s="7"/>
      <c r="E832" s="6"/>
      <c r="F832" s="10"/>
      <c r="G832" s="7"/>
      <c r="H832" s="6"/>
      <c r="I832" s="10"/>
      <c r="J832" s="7"/>
      <c r="K832" s="6"/>
      <c r="L832" s="10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10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</row>
    <row r="833">
      <c r="A833" s="7"/>
      <c r="B833" s="7"/>
      <c r="C833" s="10"/>
      <c r="D833" s="7"/>
      <c r="E833" s="6"/>
      <c r="F833" s="10"/>
      <c r="G833" s="7"/>
      <c r="H833" s="6"/>
      <c r="I833" s="10"/>
      <c r="J833" s="7"/>
      <c r="K833" s="6"/>
      <c r="L833" s="10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10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</row>
    <row r="834">
      <c r="A834" s="7"/>
      <c r="B834" s="7"/>
      <c r="C834" s="10"/>
      <c r="D834" s="7"/>
      <c r="E834" s="6"/>
      <c r="F834" s="10"/>
      <c r="G834" s="7"/>
      <c r="H834" s="6"/>
      <c r="I834" s="10"/>
      <c r="J834" s="7"/>
      <c r="K834" s="6"/>
      <c r="L834" s="10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10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</row>
    <row r="835">
      <c r="A835" s="7"/>
      <c r="B835" s="7"/>
      <c r="C835" s="10"/>
      <c r="D835" s="7"/>
      <c r="E835" s="6"/>
      <c r="F835" s="10"/>
      <c r="G835" s="7"/>
      <c r="H835" s="6"/>
      <c r="I835" s="10"/>
      <c r="J835" s="7"/>
      <c r="K835" s="6"/>
      <c r="L835" s="10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10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</row>
    <row r="836">
      <c r="A836" s="7"/>
      <c r="B836" s="7"/>
      <c r="C836" s="10"/>
      <c r="D836" s="7"/>
      <c r="E836" s="6"/>
      <c r="F836" s="10"/>
      <c r="G836" s="7"/>
      <c r="H836" s="6"/>
      <c r="I836" s="10"/>
      <c r="J836" s="7"/>
      <c r="K836" s="6"/>
      <c r="L836" s="10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10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</row>
    <row r="837">
      <c r="A837" s="7"/>
      <c r="B837" s="7"/>
      <c r="C837" s="10"/>
      <c r="D837" s="7"/>
      <c r="E837" s="6"/>
      <c r="F837" s="10"/>
      <c r="G837" s="7"/>
      <c r="H837" s="6"/>
      <c r="I837" s="10"/>
      <c r="J837" s="7"/>
      <c r="K837" s="6"/>
      <c r="L837" s="10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10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</row>
    <row r="838">
      <c r="A838" s="7"/>
      <c r="B838" s="7"/>
      <c r="C838" s="10"/>
      <c r="D838" s="7"/>
      <c r="E838" s="6"/>
      <c r="F838" s="10"/>
      <c r="G838" s="7"/>
      <c r="H838" s="6"/>
      <c r="I838" s="10"/>
      <c r="J838" s="7"/>
      <c r="K838" s="6"/>
      <c r="L838" s="10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10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</row>
    <row r="839">
      <c r="A839" s="7"/>
      <c r="B839" s="7"/>
      <c r="C839" s="10"/>
      <c r="D839" s="7"/>
      <c r="E839" s="6"/>
      <c r="F839" s="10"/>
      <c r="G839" s="7"/>
      <c r="H839" s="6"/>
      <c r="I839" s="10"/>
      <c r="J839" s="7"/>
      <c r="K839" s="6"/>
      <c r="L839" s="10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10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</row>
    <row r="840">
      <c r="A840" s="7"/>
      <c r="B840" s="7"/>
      <c r="C840" s="10"/>
      <c r="D840" s="7"/>
      <c r="E840" s="6"/>
      <c r="F840" s="10"/>
      <c r="G840" s="7"/>
      <c r="H840" s="6"/>
      <c r="I840" s="10"/>
      <c r="J840" s="7"/>
      <c r="K840" s="6"/>
      <c r="L840" s="10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10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</row>
    <row r="841">
      <c r="A841" s="7"/>
      <c r="B841" s="7"/>
      <c r="C841" s="10"/>
      <c r="D841" s="7"/>
      <c r="E841" s="6"/>
      <c r="F841" s="10"/>
      <c r="G841" s="7"/>
      <c r="H841" s="6"/>
      <c r="I841" s="10"/>
      <c r="J841" s="7"/>
      <c r="K841" s="6"/>
      <c r="L841" s="10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10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</row>
    <row r="842">
      <c r="A842" s="7"/>
      <c r="B842" s="7"/>
      <c r="C842" s="10"/>
      <c r="D842" s="7"/>
      <c r="E842" s="6"/>
      <c r="F842" s="10"/>
      <c r="G842" s="7"/>
      <c r="H842" s="6"/>
      <c r="I842" s="10"/>
      <c r="J842" s="7"/>
      <c r="K842" s="6"/>
      <c r="L842" s="10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10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</row>
    <row r="843">
      <c r="A843" s="7"/>
      <c r="B843" s="7"/>
      <c r="C843" s="10"/>
      <c r="D843" s="7"/>
      <c r="E843" s="6"/>
      <c r="F843" s="10"/>
      <c r="G843" s="7"/>
      <c r="H843" s="6"/>
      <c r="I843" s="10"/>
      <c r="J843" s="7"/>
      <c r="K843" s="6"/>
      <c r="L843" s="10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10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</row>
    <row r="844">
      <c r="A844" s="7"/>
      <c r="B844" s="7"/>
      <c r="C844" s="10"/>
      <c r="D844" s="7"/>
      <c r="E844" s="6"/>
      <c r="F844" s="10"/>
      <c r="G844" s="7"/>
      <c r="H844" s="6"/>
      <c r="I844" s="10"/>
      <c r="J844" s="7"/>
      <c r="K844" s="6"/>
      <c r="L844" s="10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10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</row>
    <row r="845">
      <c r="A845" s="7"/>
      <c r="B845" s="7"/>
      <c r="C845" s="10"/>
      <c r="D845" s="7"/>
      <c r="E845" s="6"/>
      <c r="F845" s="10"/>
      <c r="G845" s="7"/>
      <c r="H845" s="6"/>
      <c r="I845" s="10"/>
      <c r="J845" s="7"/>
      <c r="K845" s="6"/>
      <c r="L845" s="10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10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</row>
    <row r="846">
      <c r="A846" s="7"/>
      <c r="B846" s="7"/>
      <c r="C846" s="10"/>
      <c r="D846" s="7"/>
      <c r="E846" s="6"/>
      <c r="F846" s="10"/>
      <c r="G846" s="7"/>
      <c r="H846" s="6"/>
      <c r="I846" s="10"/>
      <c r="J846" s="7"/>
      <c r="K846" s="6"/>
      <c r="L846" s="10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10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</row>
    <row r="847">
      <c r="A847" s="7"/>
      <c r="B847" s="7"/>
      <c r="C847" s="10"/>
      <c r="D847" s="7"/>
      <c r="E847" s="6"/>
      <c r="F847" s="10"/>
      <c r="G847" s="7"/>
      <c r="H847" s="6"/>
      <c r="I847" s="10"/>
      <c r="J847" s="7"/>
      <c r="K847" s="6"/>
      <c r="L847" s="10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10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</row>
    <row r="848">
      <c r="A848" s="7"/>
      <c r="B848" s="7"/>
      <c r="C848" s="10"/>
      <c r="D848" s="7"/>
      <c r="E848" s="6"/>
      <c r="F848" s="10"/>
      <c r="G848" s="7"/>
      <c r="H848" s="6"/>
      <c r="I848" s="10"/>
      <c r="J848" s="7"/>
      <c r="K848" s="6"/>
      <c r="L848" s="10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10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</row>
    <row r="849">
      <c r="A849" s="7"/>
      <c r="B849" s="7"/>
      <c r="C849" s="10"/>
      <c r="D849" s="7"/>
      <c r="E849" s="6"/>
      <c r="F849" s="10"/>
      <c r="G849" s="7"/>
      <c r="H849" s="6"/>
      <c r="I849" s="10"/>
      <c r="J849" s="7"/>
      <c r="K849" s="6"/>
      <c r="L849" s="10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10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</row>
    <row r="850">
      <c r="A850" s="7"/>
      <c r="B850" s="7"/>
      <c r="C850" s="10"/>
      <c r="D850" s="7"/>
      <c r="E850" s="6"/>
      <c r="F850" s="10"/>
      <c r="G850" s="7"/>
      <c r="H850" s="6"/>
      <c r="I850" s="10"/>
      <c r="J850" s="7"/>
      <c r="K850" s="6"/>
      <c r="L850" s="10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10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</row>
    <row r="851">
      <c r="A851" s="7"/>
      <c r="B851" s="7"/>
      <c r="C851" s="10"/>
      <c r="D851" s="7"/>
      <c r="E851" s="6"/>
      <c r="F851" s="10"/>
      <c r="G851" s="7"/>
      <c r="H851" s="6"/>
      <c r="I851" s="10"/>
      <c r="J851" s="7"/>
      <c r="K851" s="6"/>
      <c r="L851" s="10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10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</row>
    <row r="852">
      <c r="A852" s="7"/>
      <c r="B852" s="7"/>
      <c r="C852" s="10"/>
      <c r="D852" s="7"/>
      <c r="E852" s="6"/>
      <c r="F852" s="10"/>
      <c r="G852" s="7"/>
      <c r="H852" s="6"/>
      <c r="I852" s="10"/>
      <c r="J852" s="7"/>
      <c r="K852" s="6"/>
      <c r="L852" s="10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10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</row>
    <row r="853">
      <c r="A853" s="7"/>
      <c r="B853" s="7"/>
      <c r="C853" s="10"/>
      <c r="D853" s="7"/>
      <c r="E853" s="6"/>
      <c r="F853" s="10"/>
      <c r="G853" s="7"/>
      <c r="H853" s="6"/>
      <c r="I853" s="10"/>
      <c r="J853" s="7"/>
      <c r="K853" s="6"/>
      <c r="L853" s="10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10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</row>
    <row r="854">
      <c r="A854" s="7"/>
      <c r="B854" s="7"/>
      <c r="C854" s="10"/>
      <c r="D854" s="7"/>
      <c r="E854" s="6"/>
      <c r="F854" s="10"/>
      <c r="G854" s="7"/>
      <c r="H854" s="6"/>
      <c r="I854" s="10"/>
      <c r="J854" s="7"/>
      <c r="K854" s="6"/>
      <c r="L854" s="10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10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</row>
    <row r="855">
      <c r="A855" s="7"/>
      <c r="B855" s="7"/>
      <c r="C855" s="10"/>
      <c r="D855" s="7"/>
      <c r="E855" s="6"/>
      <c r="F855" s="10"/>
      <c r="G855" s="7"/>
      <c r="H855" s="6"/>
      <c r="I855" s="10"/>
      <c r="J855" s="7"/>
      <c r="K855" s="6"/>
      <c r="L855" s="10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10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</row>
    <row r="856">
      <c r="A856" s="7"/>
      <c r="B856" s="7"/>
      <c r="C856" s="10"/>
      <c r="D856" s="7"/>
      <c r="E856" s="6"/>
      <c r="F856" s="10"/>
      <c r="G856" s="7"/>
      <c r="H856" s="6"/>
      <c r="I856" s="10"/>
      <c r="J856" s="7"/>
      <c r="K856" s="6"/>
      <c r="L856" s="10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10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</row>
    <row r="857">
      <c r="A857" s="7"/>
      <c r="B857" s="7"/>
      <c r="C857" s="10"/>
      <c r="D857" s="7"/>
      <c r="E857" s="6"/>
      <c r="F857" s="10"/>
      <c r="G857" s="7"/>
      <c r="H857" s="6"/>
      <c r="I857" s="10"/>
      <c r="J857" s="7"/>
      <c r="K857" s="6"/>
      <c r="L857" s="10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10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</row>
    <row r="858">
      <c r="A858" s="7"/>
      <c r="B858" s="7"/>
      <c r="C858" s="10"/>
      <c r="D858" s="7"/>
      <c r="E858" s="6"/>
      <c r="F858" s="10"/>
      <c r="G858" s="7"/>
      <c r="H858" s="6"/>
      <c r="I858" s="10"/>
      <c r="J858" s="7"/>
      <c r="K858" s="6"/>
      <c r="L858" s="10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10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</row>
    <row r="859">
      <c r="A859" s="7"/>
      <c r="B859" s="7"/>
      <c r="C859" s="10"/>
      <c r="D859" s="7"/>
      <c r="E859" s="6"/>
      <c r="F859" s="10"/>
      <c r="G859" s="7"/>
      <c r="H859" s="6"/>
      <c r="I859" s="10"/>
      <c r="J859" s="7"/>
      <c r="K859" s="6"/>
      <c r="L859" s="10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10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</row>
    <row r="860">
      <c r="A860" s="7"/>
      <c r="B860" s="7"/>
      <c r="C860" s="10"/>
      <c r="D860" s="7"/>
      <c r="E860" s="6"/>
      <c r="F860" s="10"/>
      <c r="G860" s="7"/>
      <c r="H860" s="6"/>
      <c r="I860" s="10"/>
      <c r="J860" s="7"/>
      <c r="K860" s="6"/>
      <c r="L860" s="10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10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</row>
    <row r="861">
      <c r="A861" s="7"/>
      <c r="B861" s="7"/>
      <c r="C861" s="10"/>
      <c r="D861" s="7"/>
      <c r="E861" s="6"/>
      <c r="F861" s="10"/>
      <c r="G861" s="7"/>
      <c r="H861" s="6"/>
      <c r="I861" s="10"/>
      <c r="J861" s="7"/>
      <c r="K861" s="6"/>
      <c r="L861" s="10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10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</row>
    <row r="862">
      <c r="A862" s="7"/>
      <c r="B862" s="7"/>
      <c r="C862" s="10"/>
      <c r="D862" s="7"/>
      <c r="E862" s="6"/>
      <c r="F862" s="10"/>
      <c r="G862" s="7"/>
      <c r="H862" s="6"/>
      <c r="I862" s="10"/>
      <c r="J862" s="7"/>
      <c r="K862" s="6"/>
      <c r="L862" s="10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10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</row>
    <row r="863">
      <c r="A863" s="7"/>
      <c r="B863" s="7"/>
      <c r="C863" s="10"/>
      <c r="D863" s="7"/>
      <c r="E863" s="6"/>
      <c r="F863" s="10"/>
      <c r="G863" s="7"/>
      <c r="H863" s="6"/>
      <c r="I863" s="10"/>
      <c r="J863" s="7"/>
      <c r="K863" s="6"/>
      <c r="L863" s="10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10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</row>
    <row r="864">
      <c r="A864" s="7"/>
      <c r="B864" s="7"/>
      <c r="C864" s="10"/>
      <c r="D864" s="7"/>
      <c r="E864" s="6"/>
      <c r="F864" s="10"/>
      <c r="G864" s="7"/>
      <c r="H864" s="6"/>
      <c r="I864" s="10"/>
      <c r="J864" s="7"/>
      <c r="K864" s="6"/>
      <c r="L864" s="10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10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</row>
    <row r="865">
      <c r="A865" s="7"/>
      <c r="B865" s="7"/>
      <c r="C865" s="10"/>
      <c r="D865" s="7"/>
      <c r="E865" s="6"/>
      <c r="F865" s="10"/>
      <c r="G865" s="7"/>
      <c r="H865" s="6"/>
      <c r="I865" s="10"/>
      <c r="J865" s="7"/>
      <c r="K865" s="6"/>
      <c r="L865" s="10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10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</row>
    <row r="866">
      <c r="A866" s="7"/>
      <c r="B866" s="7"/>
      <c r="C866" s="10"/>
      <c r="D866" s="7"/>
      <c r="E866" s="6"/>
      <c r="F866" s="10"/>
      <c r="G866" s="7"/>
      <c r="H866" s="6"/>
      <c r="I866" s="10"/>
      <c r="J866" s="7"/>
      <c r="K866" s="6"/>
      <c r="L866" s="10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10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</row>
    <row r="867">
      <c r="A867" s="7"/>
      <c r="B867" s="7"/>
      <c r="C867" s="10"/>
      <c r="D867" s="7"/>
      <c r="E867" s="6"/>
      <c r="F867" s="10"/>
      <c r="G867" s="7"/>
      <c r="H867" s="6"/>
      <c r="I867" s="10"/>
      <c r="J867" s="7"/>
      <c r="K867" s="6"/>
      <c r="L867" s="10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10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</row>
    <row r="868">
      <c r="A868" s="7"/>
      <c r="B868" s="7"/>
      <c r="C868" s="10"/>
      <c r="D868" s="7"/>
      <c r="E868" s="6"/>
      <c r="F868" s="10"/>
      <c r="G868" s="7"/>
      <c r="H868" s="6"/>
      <c r="I868" s="10"/>
      <c r="J868" s="7"/>
      <c r="K868" s="6"/>
      <c r="L868" s="10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10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</row>
    <row r="869">
      <c r="A869" s="7"/>
      <c r="B869" s="7"/>
      <c r="C869" s="10"/>
      <c r="D869" s="7"/>
      <c r="E869" s="6"/>
      <c r="F869" s="10"/>
      <c r="G869" s="7"/>
      <c r="H869" s="6"/>
      <c r="I869" s="10"/>
      <c r="J869" s="7"/>
      <c r="K869" s="6"/>
      <c r="L869" s="10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10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</row>
    <row r="870">
      <c r="A870" s="7"/>
      <c r="B870" s="7"/>
      <c r="C870" s="10"/>
      <c r="D870" s="7"/>
      <c r="E870" s="6"/>
      <c r="F870" s="10"/>
      <c r="G870" s="7"/>
      <c r="H870" s="6"/>
      <c r="I870" s="10"/>
      <c r="J870" s="7"/>
      <c r="K870" s="6"/>
      <c r="L870" s="10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10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</row>
    <row r="871">
      <c r="A871" s="7"/>
      <c r="B871" s="7"/>
      <c r="C871" s="10"/>
      <c r="D871" s="7"/>
      <c r="E871" s="6"/>
      <c r="F871" s="10"/>
      <c r="G871" s="7"/>
      <c r="H871" s="6"/>
      <c r="I871" s="10"/>
      <c r="J871" s="7"/>
      <c r="K871" s="6"/>
      <c r="L871" s="10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10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</row>
    <row r="872">
      <c r="A872" s="7"/>
      <c r="B872" s="7"/>
      <c r="C872" s="10"/>
      <c r="D872" s="7"/>
      <c r="E872" s="6"/>
      <c r="F872" s="10"/>
      <c r="G872" s="7"/>
      <c r="H872" s="6"/>
      <c r="I872" s="10"/>
      <c r="J872" s="7"/>
      <c r="K872" s="6"/>
      <c r="L872" s="10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10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</row>
    <row r="873">
      <c r="A873" s="7"/>
      <c r="B873" s="7"/>
      <c r="C873" s="10"/>
      <c r="D873" s="7"/>
      <c r="E873" s="6"/>
      <c r="F873" s="10"/>
      <c r="G873" s="7"/>
      <c r="H873" s="6"/>
      <c r="I873" s="10"/>
      <c r="J873" s="7"/>
      <c r="K873" s="6"/>
      <c r="L873" s="10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10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</row>
    <row r="874">
      <c r="A874" s="7"/>
      <c r="B874" s="7"/>
      <c r="C874" s="10"/>
      <c r="D874" s="7"/>
      <c r="E874" s="6"/>
      <c r="F874" s="10"/>
      <c r="G874" s="7"/>
      <c r="H874" s="6"/>
      <c r="I874" s="10"/>
      <c r="J874" s="7"/>
      <c r="K874" s="6"/>
      <c r="L874" s="10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10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</row>
    <row r="875">
      <c r="A875" s="7"/>
      <c r="B875" s="7"/>
      <c r="C875" s="10"/>
      <c r="D875" s="7"/>
      <c r="E875" s="6"/>
      <c r="F875" s="10"/>
      <c r="G875" s="7"/>
      <c r="H875" s="6"/>
      <c r="I875" s="10"/>
      <c r="J875" s="7"/>
      <c r="K875" s="6"/>
      <c r="L875" s="10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10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</row>
    <row r="876">
      <c r="A876" s="7"/>
      <c r="B876" s="7"/>
      <c r="C876" s="10"/>
      <c r="D876" s="7"/>
      <c r="E876" s="6"/>
      <c r="F876" s="10"/>
      <c r="G876" s="7"/>
      <c r="H876" s="6"/>
      <c r="I876" s="10"/>
      <c r="J876" s="7"/>
      <c r="K876" s="6"/>
      <c r="L876" s="10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10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</row>
    <row r="877">
      <c r="A877" s="7"/>
      <c r="B877" s="7"/>
      <c r="C877" s="10"/>
      <c r="D877" s="7"/>
      <c r="E877" s="6"/>
      <c r="F877" s="10"/>
      <c r="G877" s="7"/>
      <c r="H877" s="6"/>
      <c r="I877" s="10"/>
      <c r="J877" s="7"/>
      <c r="K877" s="6"/>
      <c r="L877" s="10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10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</row>
    <row r="878">
      <c r="A878" s="7"/>
      <c r="B878" s="7"/>
      <c r="C878" s="10"/>
      <c r="D878" s="7"/>
      <c r="E878" s="6"/>
      <c r="F878" s="10"/>
      <c r="G878" s="7"/>
      <c r="H878" s="6"/>
      <c r="I878" s="10"/>
      <c r="J878" s="7"/>
      <c r="K878" s="6"/>
      <c r="L878" s="10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10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</row>
    <row r="879">
      <c r="A879" s="7"/>
      <c r="B879" s="7"/>
      <c r="C879" s="10"/>
      <c r="D879" s="7"/>
      <c r="E879" s="6"/>
      <c r="F879" s="10"/>
      <c r="G879" s="7"/>
      <c r="H879" s="6"/>
      <c r="I879" s="10"/>
      <c r="J879" s="7"/>
      <c r="K879" s="6"/>
      <c r="L879" s="10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10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</row>
    <row r="880">
      <c r="A880" s="7"/>
      <c r="B880" s="7"/>
      <c r="C880" s="10"/>
      <c r="D880" s="7"/>
      <c r="E880" s="6"/>
      <c r="F880" s="10"/>
      <c r="G880" s="7"/>
      <c r="H880" s="6"/>
      <c r="I880" s="10"/>
      <c r="J880" s="7"/>
      <c r="K880" s="6"/>
      <c r="L880" s="10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10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</row>
    <row r="881">
      <c r="A881" s="7"/>
      <c r="B881" s="7"/>
      <c r="C881" s="10"/>
      <c r="D881" s="7"/>
      <c r="E881" s="6"/>
      <c r="F881" s="10"/>
      <c r="G881" s="7"/>
      <c r="H881" s="6"/>
      <c r="I881" s="10"/>
      <c r="J881" s="7"/>
      <c r="K881" s="6"/>
      <c r="L881" s="10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10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</row>
    <row r="882">
      <c r="A882" s="7"/>
      <c r="B882" s="7"/>
      <c r="C882" s="10"/>
      <c r="D882" s="7"/>
      <c r="E882" s="6"/>
      <c r="F882" s="10"/>
      <c r="G882" s="7"/>
      <c r="H882" s="6"/>
      <c r="I882" s="10"/>
      <c r="J882" s="7"/>
      <c r="K882" s="6"/>
      <c r="L882" s="10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10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</row>
    <row r="883">
      <c r="A883" s="7"/>
      <c r="B883" s="7"/>
      <c r="C883" s="10"/>
      <c r="D883" s="7"/>
      <c r="E883" s="6"/>
      <c r="F883" s="10"/>
      <c r="G883" s="7"/>
      <c r="H883" s="6"/>
      <c r="I883" s="10"/>
      <c r="J883" s="7"/>
      <c r="K883" s="6"/>
      <c r="L883" s="10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10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</row>
    <row r="884">
      <c r="A884" s="7"/>
      <c r="B884" s="7"/>
      <c r="C884" s="10"/>
      <c r="D884" s="7"/>
      <c r="E884" s="6"/>
      <c r="F884" s="10"/>
      <c r="G884" s="7"/>
      <c r="H884" s="6"/>
      <c r="I884" s="10"/>
      <c r="J884" s="7"/>
      <c r="K884" s="6"/>
      <c r="L884" s="10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10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</row>
    <row r="885">
      <c r="A885" s="7"/>
      <c r="B885" s="7"/>
      <c r="C885" s="10"/>
      <c r="D885" s="7"/>
      <c r="E885" s="6"/>
      <c r="F885" s="10"/>
      <c r="G885" s="7"/>
      <c r="H885" s="6"/>
      <c r="I885" s="10"/>
      <c r="J885" s="7"/>
      <c r="K885" s="6"/>
      <c r="L885" s="10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10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</row>
    <row r="886">
      <c r="A886" s="7"/>
      <c r="B886" s="7"/>
      <c r="C886" s="10"/>
      <c r="D886" s="7"/>
      <c r="E886" s="6"/>
      <c r="F886" s="10"/>
      <c r="G886" s="7"/>
      <c r="H886" s="6"/>
      <c r="I886" s="10"/>
      <c r="J886" s="7"/>
      <c r="K886" s="6"/>
      <c r="L886" s="10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10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</row>
    <row r="887">
      <c r="A887" s="7"/>
      <c r="B887" s="7"/>
      <c r="C887" s="10"/>
      <c r="D887" s="7"/>
      <c r="E887" s="6"/>
      <c r="F887" s="10"/>
      <c r="G887" s="7"/>
      <c r="H887" s="6"/>
      <c r="I887" s="10"/>
      <c r="J887" s="7"/>
      <c r="K887" s="6"/>
      <c r="L887" s="10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10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</row>
    <row r="888">
      <c r="A888" s="7"/>
      <c r="B888" s="7"/>
      <c r="C888" s="10"/>
      <c r="D888" s="7"/>
      <c r="E888" s="6"/>
      <c r="F888" s="10"/>
      <c r="G888" s="7"/>
      <c r="H888" s="6"/>
      <c r="I888" s="10"/>
      <c r="J888" s="7"/>
      <c r="K888" s="6"/>
      <c r="L888" s="10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10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</row>
    <row r="889">
      <c r="A889" s="7"/>
      <c r="B889" s="7"/>
      <c r="C889" s="10"/>
      <c r="D889" s="7"/>
      <c r="E889" s="6"/>
      <c r="F889" s="10"/>
      <c r="G889" s="7"/>
      <c r="H889" s="6"/>
      <c r="I889" s="10"/>
      <c r="J889" s="7"/>
      <c r="K889" s="6"/>
      <c r="L889" s="10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10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</row>
    <row r="890">
      <c r="A890" s="7"/>
      <c r="B890" s="7"/>
      <c r="C890" s="10"/>
      <c r="D890" s="7"/>
      <c r="E890" s="6"/>
      <c r="F890" s="10"/>
      <c r="G890" s="7"/>
      <c r="H890" s="6"/>
      <c r="I890" s="10"/>
      <c r="J890" s="7"/>
      <c r="K890" s="6"/>
      <c r="L890" s="10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10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</row>
    <row r="891">
      <c r="A891" s="7"/>
      <c r="B891" s="7"/>
      <c r="C891" s="10"/>
      <c r="D891" s="7"/>
      <c r="E891" s="6"/>
      <c r="F891" s="10"/>
      <c r="G891" s="7"/>
      <c r="H891" s="6"/>
      <c r="I891" s="10"/>
      <c r="J891" s="7"/>
      <c r="K891" s="6"/>
      <c r="L891" s="10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10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</row>
    <row r="892">
      <c r="A892" s="7"/>
      <c r="B892" s="7"/>
      <c r="C892" s="10"/>
      <c r="D892" s="7"/>
      <c r="E892" s="6"/>
      <c r="F892" s="10"/>
      <c r="G892" s="7"/>
      <c r="H892" s="6"/>
      <c r="I892" s="10"/>
      <c r="J892" s="7"/>
      <c r="K892" s="6"/>
      <c r="L892" s="10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10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</row>
    <row r="893">
      <c r="A893" s="7"/>
      <c r="B893" s="7"/>
      <c r="C893" s="10"/>
      <c r="D893" s="7"/>
      <c r="E893" s="6"/>
      <c r="F893" s="10"/>
      <c r="G893" s="7"/>
      <c r="H893" s="6"/>
      <c r="I893" s="10"/>
      <c r="J893" s="7"/>
      <c r="K893" s="6"/>
      <c r="L893" s="10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10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</row>
    <row r="894">
      <c r="A894" s="7"/>
      <c r="B894" s="7"/>
      <c r="C894" s="10"/>
      <c r="D894" s="7"/>
      <c r="E894" s="6"/>
      <c r="F894" s="10"/>
      <c r="G894" s="7"/>
      <c r="H894" s="6"/>
      <c r="I894" s="10"/>
      <c r="J894" s="7"/>
      <c r="K894" s="6"/>
      <c r="L894" s="10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10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</row>
    <row r="895">
      <c r="A895" s="7"/>
      <c r="B895" s="7"/>
      <c r="C895" s="10"/>
      <c r="D895" s="7"/>
      <c r="E895" s="6"/>
      <c r="F895" s="10"/>
      <c r="G895" s="7"/>
      <c r="H895" s="6"/>
      <c r="I895" s="10"/>
      <c r="J895" s="7"/>
      <c r="K895" s="6"/>
      <c r="L895" s="10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10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</row>
    <row r="896">
      <c r="A896" s="7"/>
      <c r="B896" s="7"/>
      <c r="C896" s="10"/>
      <c r="D896" s="7"/>
      <c r="E896" s="6"/>
      <c r="F896" s="10"/>
      <c r="G896" s="7"/>
      <c r="H896" s="6"/>
      <c r="I896" s="10"/>
      <c r="J896" s="7"/>
      <c r="K896" s="6"/>
      <c r="L896" s="10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10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</row>
    <row r="897">
      <c r="A897" s="7"/>
      <c r="B897" s="7"/>
      <c r="C897" s="10"/>
      <c r="D897" s="7"/>
      <c r="E897" s="6"/>
      <c r="F897" s="10"/>
      <c r="G897" s="7"/>
      <c r="H897" s="6"/>
      <c r="I897" s="10"/>
      <c r="J897" s="7"/>
      <c r="K897" s="6"/>
      <c r="L897" s="10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10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</row>
    <row r="898">
      <c r="A898" s="7"/>
      <c r="B898" s="7"/>
      <c r="C898" s="10"/>
      <c r="D898" s="7"/>
      <c r="E898" s="6"/>
      <c r="F898" s="10"/>
      <c r="G898" s="7"/>
      <c r="H898" s="6"/>
      <c r="I898" s="10"/>
      <c r="J898" s="7"/>
      <c r="K898" s="6"/>
      <c r="L898" s="10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10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</row>
    <row r="899">
      <c r="A899" s="7"/>
      <c r="B899" s="7"/>
      <c r="C899" s="10"/>
      <c r="D899" s="7"/>
      <c r="E899" s="6"/>
      <c r="F899" s="10"/>
      <c r="G899" s="7"/>
      <c r="H899" s="6"/>
      <c r="I899" s="10"/>
      <c r="J899" s="7"/>
      <c r="K899" s="6"/>
      <c r="L899" s="10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10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</row>
    <row r="900">
      <c r="A900" s="7"/>
      <c r="B900" s="7"/>
      <c r="C900" s="10"/>
      <c r="D900" s="7"/>
      <c r="E900" s="6"/>
      <c r="F900" s="10"/>
      <c r="G900" s="7"/>
      <c r="H900" s="6"/>
      <c r="I900" s="10"/>
      <c r="J900" s="7"/>
      <c r="K900" s="6"/>
      <c r="L900" s="10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10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</row>
    <row r="901">
      <c r="A901" s="7"/>
      <c r="B901" s="7"/>
      <c r="C901" s="10"/>
      <c r="D901" s="7"/>
      <c r="E901" s="6"/>
      <c r="F901" s="10"/>
      <c r="G901" s="7"/>
      <c r="H901" s="6"/>
      <c r="I901" s="10"/>
      <c r="J901" s="7"/>
      <c r="K901" s="6"/>
      <c r="L901" s="10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10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</row>
    <row r="902">
      <c r="A902" s="7"/>
      <c r="B902" s="7"/>
      <c r="C902" s="10"/>
      <c r="D902" s="7"/>
      <c r="E902" s="6"/>
      <c r="F902" s="10"/>
      <c r="G902" s="7"/>
      <c r="H902" s="6"/>
      <c r="I902" s="10"/>
      <c r="J902" s="7"/>
      <c r="K902" s="6"/>
      <c r="L902" s="10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10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</row>
    <row r="903">
      <c r="A903" s="7"/>
      <c r="B903" s="7"/>
      <c r="C903" s="10"/>
      <c r="D903" s="7"/>
      <c r="E903" s="6"/>
      <c r="F903" s="10"/>
      <c r="G903" s="7"/>
      <c r="H903" s="6"/>
      <c r="I903" s="10"/>
      <c r="J903" s="7"/>
      <c r="K903" s="6"/>
      <c r="L903" s="10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10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</row>
    <row r="904">
      <c r="A904" s="7"/>
      <c r="B904" s="7"/>
      <c r="C904" s="10"/>
      <c r="D904" s="7"/>
      <c r="E904" s="6"/>
      <c r="F904" s="10"/>
      <c r="G904" s="7"/>
      <c r="H904" s="6"/>
      <c r="I904" s="10"/>
      <c r="J904" s="7"/>
      <c r="K904" s="6"/>
      <c r="L904" s="10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10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</row>
    <row r="905">
      <c r="A905" s="7"/>
      <c r="B905" s="7"/>
      <c r="C905" s="10"/>
      <c r="D905" s="7"/>
      <c r="E905" s="6"/>
      <c r="F905" s="10"/>
      <c r="G905" s="7"/>
      <c r="H905" s="6"/>
      <c r="I905" s="10"/>
      <c r="J905" s="7"/>
      <c r="K905" s="6"/>
      <c r="L905" s="10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10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</row>
    <row r="906">
      <c r="A906" s="7"/>
      <c r="B906" s="7"/>
      <c r="C906" s="10"/>
      <c r="D906" s="7"/>
      <c r="E906" s="6"/>
      <c r="F906" s="10"/>
      <c r="G906" s="7"/>
      <c r="H906" s="6"/>
      <c r="I906" s="10"/>
      <c r="J906" s="7"/>
      <c r="K906" s="6"/>
      <c r="L906" s="10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10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</row>
    <row r="907">
      <c r="A907" s="7"/>
      <c r="B907" s="7"/>
      <c r="C907" s="10"/>
      <c r="D907" s="7"/>
      <c r="E907" s="6"/>
      <c r="F907" s="10"/>
      <c r="G907" s="7"/>
      <c r="H907" s="6"/>
      <c r="I907" s="10"/>
      <c r="J907" s="7"/>
      <c r="K907" s="6"/>
      <c r="L907" s="10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10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</row>
    <row r="908">
      <c r="A908" s="7"/>
      <c r="B908" s="7"/>
      <c r="C908" s="10"/>
      <c r="D908" s="7"/>
      <c r="E908" s="6"/>
      <c r="F908" s="10"/>
      <c r="G908" s="7"/>
      <c r="H908" s="6"/>
      <c r="I908" s="10"/>
      <c r="J908" s="7"/>
      <c r="K908" s="6"/>
      <c r="L908" s="10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10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</row>
    <row r="909">
      <c r="A909" s="7"/>
      <c r="B909" s="7"/>
      <c r="C909" s="10"/>
      <c r="D909" s="7"/>
      <c r="E909" s="6"/>
      <c r="F909" s="10"/>
      <c r="G909" s="7"/>
      <c r="H909" s="6"/>
      <c r="I909" s="10"/>
      <c r="J909" s="7"/>
      <c r="K909" s="6"/>
      <c r="L909" s="10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10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</row>
    <row r="910">
      <c r="A910" s="7"/>
      <c r="B910" s="7"/>
      <c r="C910" s="10"/>
      <c r="D910" s="7"/>
      <c r="E910" s="6"/>
      <c r="F910" s="10"/>
      <c r="G910" s="7"/>
      <c r="H910" s="6"/>
      <c r="I910" s="10"/>
      <c r="J910" s="7"/>
      <c r="K910" s="6"/>
      <c r="L910" s="10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10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</row>
    <row r="911">
      <c r="A911" s="7"/>
      <c r="B911" s="7"/>
      <c r="C911" s="10"/>
      <c r="D911" s="7"/>
      <c r="E911" s="6"/>
      <c r="F911" s="10"/>
      <c r="G911" s="7"/>
      <c r="H911" s="6"/>
      <c r="I911" s="10"/>
      <c r="J911" s="7"/>
      <c r="K911" s="6"/>
      <c r="L911" s="10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10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</row>
    <row r="912">
      <c r="A912" s="7"/>
      <c r="B912" s="7"/>
      <c r="C912" s="10"/>
      <c r="D912" s="7"/>
      <c r="E912" s="6"/>
      <c r="F912" s="10"/>
      <c r="G912" s="7"/>
      <c r="H912" s="6"/>
      <c r="I912" s="10"/>
      <c r="J912" s="7"/>
      <c r="K912" s="6"/>
      <c r="L912" s="10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10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</row>
    <row r="913">
      <c r="A913" s="7"/>
      <c r="B913" s="7"/>
      <c r="C913" s="10"/>
      <c r="D913" s="7"/>
      <c r="E913" s="6"/>
      <c r="F913" s="10"/>
      <c r="G913" s="7"/>
      <c r="H913" s="6"/>
      <c r="I913" s="10"/>
      <c r="J913" s="7"/>
      <c r="K913" s="6"/>
      <c r="L913" s="10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10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</row>
    <row r="914">
      <c r="A914" s="7"/>
      <c r="B914" s="7"/>
      <c r="C914" s="10"/>
      <c r="D914" s="7"/>
      <c r="E914" s="6"/>
      <c r="F914" s="10"/>
      <c r="G914" s="7"/>
      <c r="H914" s="6"/>
      <c r="I914" s="10"/>
      <c r="J914" s="7"/>
      <c r="K914" s="6"/>
      <c r="L914" s="10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10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</row>
    <row r="915">
      <c r="A915" s="7"/>
      <c r="B915" s="7"/>
      <c r="C915" s="10"/>
      <c r="D915" s="7"/>
      <c r="E915" s="6"/>
      <c r="F915" s="10"/>
      <c r="G915" s="7"/>
      <c r="H915" s="6"/>
      <c r="I915" s="10"/>
      <c r="J915" s="7"/>
      <c r="K915" s="6"/>
      <c r="L915" s="10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10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</row>
    <row r="916">
      <c r="A916" s="7"/>
      <c r="B916" s="7"/>
      <c r="C916" s="10"/>
      <c r="D916" s="7"/>
      <c r="E916" s="6"/>
      <c r="F916" s="10"/>
      <c r="G916" s="7"/>
      <c r="H916" s="6"/>
      <c r="I916" s="10"/>
      <c r="J916" s="7"/>
      <c r="K916" s="6"/>
      <c r="L916" s="10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10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</row>
    <row r="917">
      <c r="A917" s="7"/>
      <c r="B917" s="7"/>
      <c r="C917" s="10"/>
      <c r="D917" s="7"/>
      <c r="E917" s="6"/>
      <c r="F917" s="10"/>
      <c r="G917" s="7"/>
      <c r="H917" s="6"/>
      <c r="I917" s="10"/>
      <c r="J917" s="7"/>
      <c r="K917" s="6"/>
      <c r="L917" s="10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10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</row>
    <row r="918">
      <c r="A918" s="7"/>
      <c r="B918" s="7"/>
      <c r="C918" s="10"/>
      <c r="D918" s="7"/>
      <c r="E918" s="6"/>
      <c r="F918" s="10"/>
      <c r="G918" s="7"/>
      <c r="H918" s="6"/>
      <c r="I918" s="10"/>
      <c r="J918" s="7"/>
      <c r="K918" s="6"/>
      <c r="L918" s="10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10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</row>
    <row r="919">
      <c r="A919" s="7"/>
      <c r="B919" s="7"/>
      <c r="C919" s="10"/>
      <c r="D919" s="7"/>
      <c r="E919" s="6"/>
      <c r="F919" s="10"/>
      <c r="G919" s="7"/>
      <c r="H919" s="6"/>
      <c r="I919" s="10"/>
      <c r="J919" s="7"/>
      <c r="K919" s="6"/>
      <c r="L919" s="10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10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</row>
    <row r="920">
      <c r="A920" s="7"/>
      <c r="B920" s="7"/>
      <c r="C920" s="10"/>
      <c r="D920" s="7"/>
      <c r="E920" s="6"/>
      <c r="F920" s="10"/>
      <c r="G920" s="7"/>
      <c r="H920" s="6"/>
      <c r="I920" s="10"/>
      <c r="J920" s="7"/>
      <c r="K920" s="6"/>
      <c r="L920" s="10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10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</row>
    <row r="921">
      <c r="A921" s="7"/>
      <c r="B921" s="7"/>
      <c r="C921" s="10"/>
      <c r="D921" s="7"/>
      <c r="E921" s="6"/>
      <c r="F921" s="10"/>
      <c r="G921" s="7"/>
      <c r="H921" s="6"/>
      <c r="I921" s="10"/>
      <c r="J921" s="7"/>
      <c r="K921" s="6"/>
      <c r="L921" s="10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10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</row>
    <row r="922">
      <c r="A922" s="7"/>
      <c r="B922" s="7"/>
      <c r="C922" s="10"/>
      <c r="D922" s="7"/>
      <c r="E922" s="6"/>
      <c r="F922" s="10"/>
      <c r="G922" s="7"/>
      <c r="H922" s="6"/>
      <c r="I922" s="10"/>
      <c r="J922" s="7"/>
      <c r="K922" s="6"/>
      <c r="L922" s="10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10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</row>
    <row r="923">
      <c r="A923" s="7"/>
      <c r="B923" s="7"/>
      <c r="C923" s="10"/>
      <c r="D923" s="7"/>
      <c r="E923" s="6"/>
      <c r="F923" s="10"/>
      <c r="G923" s="7"/>
      <c r="H923" s="6"/>
      <c r="I923" s="10"/>
      <c r="J923" s="7"/>
      <c r="K923" s="6"/>
      <c r="L923" s="10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10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</row>
    <row r="924">
      <c r="A924" s="7"/>
      <c r="B924" s="7"/>
      <c r="C924" s="10"/>
      <c r="D924" s="7"/>
      <c r="E924" s="6"/>
      <c r="F924" s="10"/>
      <c r="G924" s="7"/>
      <c r="H924" s="6"/>
      <c r="I924" s="10"/>
      <c r="J924" s="7"/>
      <c r="K924" s="6"/>
      <c r="L924" s="10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10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</row>
    <row r="925">
      <c r="A925" s="7"/>
      <c r="B925" s="7"/>
      <c r="C925" s="10"/>
      <c r="D925" s="7"/>
      <c r="E925" s="6"/>
      <c r="F925" s="10"/>
      <c r="G925" s="7"/>
      <c r="H925" s="6"/>
      <c r="I925" s="10"/>
      <c r="J925" s="7"/>
      <c r="K925" s="6"/>
      <c r="L925" s="10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10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</row>
    <row r="926">
      <c r="A926" s="7"/>
      <c r="B926" s="7"/>
      <c r="C926" s="10"/>
      <c r="D926" s="7"/>
      <c r="E926" s="6"/>
      <c r="F926" s="10"/>
      <c r="G926" s="7"/>
      <c r="H926" s="6"/>
      <c r="I926" s="10"/>
      <c r="J926" s="7"/>
      <c r="K926" s="6"/>
      <c r="L926" s="10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10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</row>
    <row r="927">
      <c r="A927" s="7"/>
      <c r="B927" s="7"/>
      <c r="C927" s="10"/>
      <c r="D927" s="7"/>
      <c r="E927" s="6"/>
      <c r="F927" s="10"/>
      <c r="G927" s="7"/>
      <c r="H927" s="6"/>
      <c r="I927" s="10"/>
      <c r="J927" s="7"/>
      <c r="K927" s="6"/>
      <c r="L927" s="10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10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</row>
    <row r="928">
      <c r="A928" s="7"/>
      <c r="B928" s="7"/>
      <c r="C928" s="10"/>
      <c r="D928" s="7"/>
      <c r="E928" s="6"/>
      <c r="F928" s="10"/>
      <c r="G928" s="7"/>
      <c r="H928" s="6"/>
      <c r="I928" s="10"/>
      <c r="J928" s="7"/>
      <c r="K928" s="6"/>
      <c r="L928" s="10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10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</row>
    <row r="929">
      <c r="A929" s="7"/>
      <c r="B929" s="7"/>
      <c r="C929" s="10"/>
      <c r="D929" s="7"/>
      <c r="E929" s="6"/>
      <c r="F929" s="10"/>
      <c r="G929" s="7"/>
      <c r="H929" s="6"/>
      <c r="I929" s="10"/>
      <c r="J929" s="7"/>
      <c r="K929" s="6"/>
      <c r="L929" s="10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10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</row>
    <row r="930">
      <c r="A930" s="7"/>
      <c r="B930" s="7"/>
      <c r="C930" s="10"/>
      <c r="D930" s="7"/>
      <c r="E930" s="6"/>
      <c r="F930" s="10"/>
      <c r="G930" s="7"/>
      <c r="H930" s="6"/>
      <c r="I930" s="10"/>
      <c r="J930" s="7"/>
      <c r="K930" s="6"/>
      <c r="L930" s="10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10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</row>
    <row r="931">
      <c r="A931" s="7"/>
      <c r="B931" s="7"/>
      <c r="C931" s="10"/>
      <c r="D931" s="7"/>
      <c r="E931" s="6"/>
      <c r="F931" s="10"/>
      <c r="G931" s="7"/>
      <c r="H931" s="6"/>
      <c r="I931" s="10"/>
      <c r="J931" s="7"/>
      <c r="K931" s="6"/>
      <c r="L931" s="10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10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</row>
    <row r="932">
      <c r="A932" s="7"/>
      <c r="B932" s="7"/>
      <c r="C932" s="10"/>
      <c r="D932" s="7"/>
      <c r="E932" s="6"/>
      <c r="F932" s="10"/>
      <c r="G932" s="7"/>
      <c r="H932" s="6"/>
      <c r="I932" s="10"/>
      <c r="J932" s="7"/>
      <c r="K932" s="6"/>
      <c r="L932" s="10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10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</row>
    <row r="933">
      <c r="A933" s="7"/>
      <c r="B933" s="7"/>
      <c r="C933" s="10"/>
      <c r="D933" s="7"/>
      <c r="E933" s="6"/>
      <c r="F933" s="10"/>
      <c r="G933" s="7"/>
      <c r="H933" s="6"/>
      <c r="I933" s="10"/>
      <c r="J933" s="7"/>
      <c r="K933" s="6"/>
      <c r="L933" s="10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10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</row>
    <row r="934">
      <c r="A934" s="7"/>
      <c r="B934" s="7"/>
      <c r="C934" s="10"/>
      <c r="D934" s="7"/>
      <c r="E934" s="6"/>
      <c r="F934" s="10"/>
      <c r="G934" s="7"/>
      <c r="H934" s="6"/>
      <c r="I934" s="10"/>
      <c r="J934" s="7"/>
      <c r="K934" s="6"/>
      <c r="L934" s="10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10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</row>
    <row r="935">
      <c r="A935" s="7"/>
      <c r="B935" s="7"/>
      <c r="C935" s="10"/>
      <c r="D935" s="7"/>
      <c r="E935" s="6"/>
      <c r="F935" s="10"/>
      <c r="G935" s="7"/>
      <c r="H935" s="6"/>
      <c r="I935" s="10"/>
      <c r="J935" s="7"/>
      <c r="K935" s="6"/>
      <c r="L935" s="10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10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</row>
    <row r="936">
      <c r="A936" s="7"/>
      <c r="B936" s="7"/>
      <c r="C936" s="10"/>
      <c r="D936" s="7"/>
      <c r="E936" s="6"/>
      <c r="F936" s="10"/>
      <c r="G936" s="7"/>
      <c r="H936" s="6"/>
      <c r="I936" s="10"/>
      <c r="J936" s="7"/>
      <c r="K936" s="6"/>
      <c r="L936" s="10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10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</row>
    <row r="937">
      <c r="A937" s="7"/>
      <c r="B937" s="7"/>
      <c r="C937" s="10"/>
      <c r="D937" s="7"/>
      <c r="E937" s="6"/>
      <c r="F937" s="10"/>
      <c r="G937" s="7"/>
      <c r="H937" s="6"/>
      <c r="I937" s="10"/>
      <c r="J937" s="7"/>
      <c r="K937" s="6"/>
      <c r="L937" s="10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10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</row>
    <row r="938">
      <c r="A938" s="7"/>
      <c r="B938" s="7"/>
      <c r="C938" s="10"/>
      <c r="D938" s="7"/>
      <c r="E938" s="6"/>
      <c r="F938" s="10"/>
      <c r="G938" s="7"/>
      <c r="H938" s="6"/>
      <c r="I938" s="10"/>
      <c r="J938" s="7"/>
      <c r="K938" s="6"/>
      <c r="L938" s="10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10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</row>
    <row r="939">
      <c r="A939" s="7"/>
      <c r="B939" s="7"/>
      <c r="C939" s="10"/>
      <c r="D939" s="7"/>
      <c r="E939" s="6"/>
      <c r="F939" s="10"/>
      <c r="G939" s="7"/>
      <c r="H939" s="6"/>
      <c r="I939" s="10"/>
      <c r="J939" s="7"/>
      <c r="K939" s="6"/>
      <c r="L939" s="10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10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</row>
    <row r="940">
      <c r="A940" s="7"/>
      <c r="B940" s="7"/>
      <c r="C940" s="10"/>
      <c r="D940" s="7"/>
      <c r="E940" s="6"/>
      <c r="F940" s="10"/>
      <c r="G940" s="7"/>
      <c r="H940" s="6"/>
      <c r="I940" s="10"/>
      <c r="J940" s="7"/>
      <c r="K940" s="6"/>
      <c r="L940" s="10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10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</row>
    <row r="941">
      <c r="A941" s="7"/>
      <c r="B941" s="7"/>
      <c r="C941" s="10"/>
      <c r="D941" s="7"/>
      <c r="E941" s="6"/>
      <c r="F941" s="10"/>
      <c r="G941" s="7"/>
      <c r="H941" s="6"/>
      <c r="I941" s="10"/>
      <c r="J941" s="7"/>
      <c r="K941" s="6"/>
      <c r="L941" s="10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10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</row>
    <row r="942">
      <c r="A942" s="7"/>
      <c r="B942" s="7"/>
      <c r="C942" s="10"/>
      <c r="D942" s="7"/>
      <c r="E942" s="6"/>
      <c r="F942" s="10"/>
      <c r="G942" s="7"/>
      <c r="H942" s="6"/>
      <c r="I942" s="10"/>
      <c r="J942" s="7"/>
      <c r="K942" s="6"/>
      <c r="L942" s="10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10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</row>
    <row r="943">
      <c r="A943" s="7"/>
      <c r="B943" s="7"/>
      <c r="C943" s="10"/>
      <c r="D943" s="7"/>
      <c r="E943" s="6"/>
      <c r="F943" s="10"/>
      <c r="G943" s="7"/>
      <c r="H943" s="6"/>
      <c r="I943" s="10"/>
      <c r="J943" s="7"/>
      <c r="K943" s="6"/>
      <c r="L943" s="10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10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</row>
    <row r="944">
      <c r="A944" s="7"/>
      <c r="B944" s="7"/>
      <c r="C944" s="10"/>
      <c r="D944" s="7"/>
      <c r="E944" s="6"/>
      <c r="F944" s="10"/>
      <c r="G944" s="7"/>
      <c r="H944" s="6"/>
      <c r="I944" s="10"/>
      <c r="J944" s="7"/>
      <c r="K944" s="6"/>
      <c r="L944" s="10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10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</row>
    <row r="945">
      <c r="A945" s="7"/>
      <c r="B945" s="7"/>
      <c r="C945" s="10"/>
      <c r="D945" s="7"/>
      <c r="E945" s="6"/>
      <c r="F945" s="10"/>
      <c r="G945" s="7"/>
      <c r="H945" s="6"/>
      <c r="I945" s="10"/>
      <c r="J945" s="7"/>
      <c r="K945" s="6"/>
      <c r="L945" s="10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10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</row>
    <row r="946">
      <c r="A946" s="7"/>
      <c r="B946" s="7"/>
      <c r="C946" s="10"/>
      <c r="D946" s="7"/>
      <c r="E946" s="6"/>
      <c r="F946" s="10"/>
      <c r="G946" s="7"/>
      <c r="H946" s="6"/>
      <c r="I946" s="10"/>
      <c r="J946" s="7"/>
      <c r="K946" s="6"/>
      <c r="L946" s="10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10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</row>
    <row r="947">
      <c r="A947" s="7"/>
      <c r="B947" s="7"/>
      <c r="C947" s="10"/>
      <c r="D947" s="7"/>
      <c r="E947" s="6"/>
      <c r="F947" s="10"/>
      <c r="G947" s="7"/>
      <c r="H947" s="6"/>
      <c r="I947" s="10"/>
      <c r="J947" s="7"/>
      <c r="K947" s="6"/>
      <c r="L947" s="10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10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</row>
    <row r="948">
      <c r="A948" s="7"/>
      <c r="B948" s="7"/>
      <c r="C948" s="10"/>
      <c r="D948" s="7"/>
      <c r="E948" s="6"/>
      <c r="F948" s="10"/>
      <c r="G948" s="7"/>
      <c r="H948" s="6"/>
      <c r="I948" s="10"/>
      <c r="J948" s="7"/>
      <c r="K948" s="6"/>
      <c r="L948" s="10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10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</row>
    <row r="949">
      <c r="A949" s="7"/>
      <c r="B949" s="7"/>
      <c r="C949" s="10"/>
      <c r="D949" s="7"/>
      <c r="E949" s="6"/>
      <c r="F949" s="10"/>
      <c r="G949" s="7"/>
      <c r="H949" s="6"/>
      <c r="I949" s="10"/>
      <c r="J949" s="7"/>
      <c r="K949" s="6"/>
      <c r="L949" s="10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10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</row>
    <row r="950">
      <c r="A950" s="7"/>
      <c r="B950" s="7"/>
      <c r="C950" s="10"/>
      <c r="D950" s="7"/>
      <c r="E950" s="6"/>
      <c r="F950" s="10"/>
      <c r="G950" s="7"/>
      <c r="H950" s="6"/>
      <c r="I950" s="10"/>
      <c r="J950" s="7"/>
      <c r="K950" s="6"/>
      <c r="L950" s="10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10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</row>
    <row r="951">
      <c r="A951" s="7"/>
      <c r="B951" s="7"/>
      <c r="C951" s="10"/>
      <c r="D951" s="7"/>
      <c r="E951" s="6"/>
      <c r="F951" s="10"/>
      <c r="G951" s="7"/>
      <c r="H951" s="6"/>
      <c r="I951" s="10"/>
      <c r="J951" s="7"/>
      <c r="K951" s="6"/>
      <c r="L951" s="10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10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</row>
    <row r="952">
      <c r="A952" s="7"/>
      <c r="B952" s="7"/>
      <c r="C952" s="10"/>
      <c r="D952" s="7"/>
      <c r="E952" s="6"/>
      <c r="F952" s="10"/>
      <c r="G952" s="7"/>
      <c r="H952" s="6"/>
      <c r="I952" s="10"/>
      <c r="J952" s="7"/>
      <c r="K952" s="6"/>
      <c r="L952" s="10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10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</row>
    <row r="953">
      <c r="A953" s="7"/>
      <c r="B953" s="7"/>
      <c r="C953" s="10"/>
      <c r="D953" s="7"/>
      <c r="E953" s="6"/>
      <c r="F953" s="10"/>
      <c r="G953" s="7"/>
      <c r="H953" s="6"/>
      <c r="I953" s="10"/>
      <c r="J953" s="7"/>
      <c r="K953" s="6"/>
      <c r="L953" s="10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10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</row>
    <row r="954">
      <c r="A954" s="7"/>
      <c r="B954" s="7"/>
      <c r="C954" s="10"/>
      <c r="D954" s="7"/>
      <c r="E954" s="6"/>
      <c r="F954" s="10"/>
      <c r="G954" s="7"/>
      <c r="H954" s="6"/>
      <c r="I954" s="10"/>
      <c r="J954" s="7"/>
      <c r="K954" s="6"/>
      <c r="L954" s="10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10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</row>
    <row r="955">
      <c r="A955" s="7"/>
      <c r="B955" s="7"/>
      <c r="C955" s="10"/>
      <c r="D955" s="7"/>
      <c r="E955" s="6"/>
      <c r="F955" s="10"/>
      <c r="G955" s="7"/>
      <c r="H955" s="6"/>
      <c r="I955" s="10"/>
      <c r="J955" s="7"/>
      <c r="K955" s="6"/>
      <c r="L955" s="10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10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</row>
    <row r="956">
      <c r="A956" s="7"/>
      <c r="B956" s="7"/>
      <c r="C956" s="10"/>
      <c r="D956" s="7"/>
      <c r="E956" s="6"/>
      <c r="F956" s="10"/>
      <c r="G956" s="7"/>
      <c r="H956" s="6"/>
      <c r="I956" s="10"/>
      <c r="J956" s="7"/>
      <c r="K956" s="6"/>
      <c r="L956" s="10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10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</row>
    <row r="957">
      <c r="A957" s="7"/>
      <c r="B957" s="7"/>
      <c r="C957" s="10"/>
      <c r="D957" s="7"/>
      <c r="E957" s="6"/>
      <c r="F957" s="10"/>
      <c r="G957" s="7"/>
      <c r="H957" s="6"/>
      <c r="I957" s="10"/>
      <c r="J957" s="7"/>
      <c r="K957" s="6"/>
      <c r="L957" s="10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10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</row>
    <row r="958">
      <c r="A958" s="7"/>
      <c r="B958" s="7"/>
      <c r="C958" s="10"/>
      <c r="D958" s="7"/>
      <c r="E958" s="6"/>
      <c r="F958" s="10"/>
      <c r="G958" s="7"/>
      <c r="H958" s="6"/>
      <c r="I958" s="10"/>
      <c r="J958" s="7"/>
      <c r="K958" s="6"/>
      <c r="L958" s="10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10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</row>
    <row r="959">
      <c r="A959" s="7"/>
      <c r="B959" s="7"/>
      <c r="C959" s="10"/>
      <c r="D959" s="7"/>
      <c r="E959" s="6"/>
      <c r="F959" s="10"/>
      <c r="G959" s="7"/>
      <c r="H959" s="6"/>
      <c r="I959" s="10"/>
      <c r="J959" s="7"/>
      <c r="K959" s="6"/>
      <c r="L959" s="10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10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</row>
    <row r="960">
      <c r="A960" s="7"/>
      <c r="B960" s="7"/>
      <c r="C960" s="10"/>
      <c r="D960" s="7"/>
      <c r="E960" s="6"/>
      <c r="F960" s="10"/>
      <c r="G960" s="7"/>
      <c r="H960" s="6"/>
      <c r="I960" s="10"/>
      <c r="J960" s="7"/>
      <c r="K960" s="6"/>
      <c r="L960" s="10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10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</row>
    <row r="961">
      <c r="A961" s="7"/>
      <c r="B961" s="7"/>
      <c r="C961" s="10"/>
      <c r="D961" s="7"/>
      <c r="E961" s="6"/>
      <c r="F961" s="10"/>
      <c r="G961" s="7"/>
      <c r="H961" s="6"/>
      <c r="I961" s="10"/>
      <c r="J961" s="7"/>
      <c r="K961" s="6"/>
      <c r="L961" s="10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10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</row>
    <row r="962">
      <c r="A962" s="7"/>
      <c r="B962" s="7"/>
      <c r="C962" s="10"/>
      <c r="D962" s="7"/>
      <c r="E962" s="6"/>
      <c r="F962" s="10"/>
      <c r="G962" s="7"/>
      <c r="H962" s="6"/>
      <c r="I962" s="10"/>
      <c r="J962" s="7"/>
      <c r="K962" s="6"/>
      <c r="L962" s="10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10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</row>
    <row r="963">
      <c r="A963" s="7"/>
      <c r="B963" s="7"/>
      <c r="C963" s="10"/>
      <c r="D963" s="7"/>
      <c r="E963" s="6"/>
      <c r="F963" s="10"/>
      <c r="G963" s="7"/>
      <c r="H963" s="6"/>
      <c r="I963" s="10"/>
      <c r="J963" s="7"/>
      <c r="K963" s="6"/>
      <c r="L963" s="10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10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</row>
    <row r="964">
      <c r="A964" s="7"/>
      <c r="B964" s="7"/>
      <c r="C964" s="10"/>
      <c r="D964" s="7"/>
      <c r="E964" s="6"/>
      <c r="F964" s="10"/>
      <c r="G964" s="7"/>
      <c r="H964" s="6"/>
      <c r="I964" s="10"/>
      <c r="J964" s="7"/>
      <c r="K964" s="6"/>
      <c r="L964" s="10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10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</row>
    <row r="965">
      <c r="A965" s="7"/>
      <c r="B965" s="7"/>
      <c r="C965" s="10"/>
      <c r="D965" s="7"/>
      <c r="E965" s="6"/>
      <c r="F965" s="10"/>
      <c r="G965" s="7"/>
      <c r="H965" s="6"/>
      <c r="I965" s="10"/>
      <c r="J965" s="7"/>
      <c r="K965" s="6"/>
      <c r="L965" s="10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10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</row>
    <row r="966">
      <c r="A966" s="7"/>
      <c r="B966" s="7"/>
      <c r="C966" s="10"/>
      <c r="D966" s="7"/>
      <c r="E966" s="6"/>
      <c r="F966" s="10"/>
      <c r="G966" s="7"/>
      <c r="H966" s="6"/>
      <c r="I966" s="10"/>
      <c r="J966" s="7"/>
      <c r="K966" s="6"/>
      <c r="L966" s="10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10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</row>
    <row r="967">
      <c r="A967" s="7"/>
      <c r="B967" s="7"/>
      <c r="C967" s="10"/>
      <c r="D967" s="7"/>
      <c r="E967" s="6"/>
      <c r="F967" s="10"/>
      <c r="G967" s="7"/>
      <c r="H967" s="6"/>
      <c r="I967" s="10"/>
      <c r="J967" s="7"/>
      <c r="K967" s="6"/>
      <c r="L967" s="10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10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</row>
    <row r="968">
      <c r="A968" s="7"/>
      <c r="B968" s="7"/>
      <c r="C968" s="10"/>
      <c r="D968" s="7"/>
      <c r="E968" s="6"/>
      <c r="F968" s="10"/>
      <c r="G968" s="7"/>
      <c r="H968" s="6"/>
      <c r="I968" s="10"/>
      <c r="J968" s="7"/>
      <c r="K968" s="6"/>
      <c r="L968" s="10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10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</row>
    <row r="969">
      <c r="A969" s="7"/>
      <c r="B969" s="7"/>
      <c r="C969" s="10"/>
      <c r="D969" s="7"/>
      <c r="E969" s="6"/>
      <c r="F969" s="10"/>
      <c r="G969" s="7"/>
      <c r="H969" s="6"/>
      <c r="I969" s="10"/>
      <c r="J969" s="7"/>
      <c r="K969" s="6"/>
      <c r="L969" s="10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10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</row>
    <row r="970">
      <c r="A970" s="7"/>
      <c r="B970" s="7"/>
      <c r="C970" s="10"/>
      <c r="D970" s="7"/>
      <c r="E970" s="6"/>
      <c r="F970" s="10"/>
      <c r="G970" s="7"/>
      <c r="H970" s="6"/>
      <c r="I970" s="10"/>
      <c r="J970" s="7"/>
      <c r="K970" s="6"/>
      <c r="L970" s="10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10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</row>
    <row r="971">
      <c r="A971" s="7"/>
      <c r="B971" s="7"/>
      <c r="C971" s="10"/>
      <c r="D971" s="7"/>
      <c r="E971" s="6"/>
      <c r="F971" s="10"/>
      <c r="G971" s="7"/>
      <c r="H971" s="6"/>
      <c r="I971" s="10"/>
      <c r="J971" s="7"/>
      <c r="K971" s="6"/>
      <c r="L971" s="10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10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</row>
    <row r="972">
      <c r="A972" s="7"/>
      <c r="B972" s="7"/>
      <c r="C972" s="10"/>
      <c r="D972" s="7"/>
      <c r="E972" s="6"/>
      <c r="F972" s="10"/>
      <c r="G972" s="7"/>
      <c r="H972" s="6"/>
      <c r="I972" s="10"/>
      <c r="J972" s="7"/>
      <c r="K972" s="6"/>
      <c r="L972" s="10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10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</row>
    <row r="973">
      <c r="A973" s="7"/>
      <c r="B973" s="7"/>
      <c r="C973" s="10"/>
      <c r="D973" s="7"/>
      <c r="E973" s="6"/>
      <c r="F973" s="10"/>
      <c r="G973" s="7"/>
      <c r="H973" s="6"/>
      <c r="I973" s="10"/>
      <c r="J973" s="7"/>
      <c r="K973" s="6"/>
      <c r="L973" s="10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10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</row>
    <row r="974">
      <c r="A974" s="7"/>
      <c r="B974" s="7"/>
      <c r="C974" s="10"/>
      <c r="D974" s="7"/>
      <c r="E974" s="6"/>
      <c r="F974" s="10"/>
      <c r="G974" s="7"/>
      <c r="H974" s="6"/>
      <c r="I974" s="10"/>
      <c r="J974" s="7"/>
      <c r="K974" s="6"/>
      <c r="L974" s="10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10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</row>
    <row r="975">
      <c r="A975" s="7"/>
      <c r="B975" s="7"/>
      <c r="C975" s="10"/>
      <c r="D975" s="7"/>
      <c r="E975" s="6"/>
      <c r="F975" s="10"/>
      <c r="G975" s="7"/>
      <c r="H975" s="6"/>
      <c r="I975" s="10"/>
      <c r="J975" s="7"/>
      <c r="K975" s="6"/>
      <c r="L975" s="10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10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</row>
    <row r="976">
      <c r="A976" s="7"/>
      <c r="B976" s="7"/>
      <c r="C976" s="10"/>
      <c r="D976" s="7"/>
      <c r="E976" s="6"/>
      <c r="F976" s="10"/>
      <c r="G976" s="7"/>
      <c r="H976" s="6"/>
      <c r="I976" s="10"/>
      <c r="J976" s="7"/>
      <c r="K976" s="6"/>
      <c r="L976" s="10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10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</row>
    <row r="977">
      <c r="A977" s="7"/>
      <c r="B977" s="7"/>
      <c r="C977" s="10"/>
      <c r="D977" s="7"/>
      <c r="E977" s="6"/>
      <c r="F977" s="10"/>
      <c r="G977" s="7"/>
      <c r="H977" s="6"/>
      <c r="I977" s="10"/>
      <c r="J977" s="7"/>
      <c r="K977" s="6"/>
      <c r="L977" s="10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10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</row>
    <row r="978">
      <c r="A978" s="7"/>
      <c r="B978" s="7"/>
      <c r="C978" s="10"/>
      <c r="D978" s="7"/>
      <c r="E978" s="6"/>
      <c r="F978" s="10"/>
      <c r="G978" s="7"/>
      <c r="H978" s="6"/>
      <c r="I978" s="10"/>
      <c r="J978" s="7"/>
      <c r="K978" s="6"/>
      <c r="L978" s="10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10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</row>
    <row r="979">
      <c r="A979" s="7"/>
      <c r="B979" s="7"/>
      <c r="C979" s="10"/>
      <c r="D979" s="7"/>
      <c r="E979" s="6"/>
      <c r="F979" s="10"/>
      <c r="G979" s="7"/>
      <c r="H979" s="6"/>
      <c r="I979" s="10"/>
      <c r="J979" s="7"/>
      <c r="K979" s="6"/>
      <c r="L979" s="10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10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</row>
    <row r="980">
      <c r="A980" s="7"/>
      <c r="B980" s="7"/>
      <c r="C980" s="10"/>
      <c r="D980" s="7"/>
      <c r="E980" s="6"/>
      <c r="F980" s="10"/>
      <c r="G980" s="7"/>
      <c r="H980" s="6"/>
      <c r="I980" s="10"/>
      <c r="J980" s="7"/>
      <c r="K980" s="6"/>
      <c r="L980" s="10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10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</row>
    <row r="981">
      <c r="A981" s="7"/>
      <c r="B981" s="7"/>
      <c r="C981" s="10"/>
      <c r="D981" s="7"/>
      <c r="E981" s="6"/>
      <c r="F981" s="10"/>
      <c r="G981" s="7"/>
      <c r="H981" s="6"/>
      <c r="I981" s="10"/>
      <c r="J981" s="7"/>
      <c r="K981" s="6"/>
      <c r="L981" s="10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10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</row>
    <row r="982">
      <c r="A982" s="7"/>
      <c r="B982" s="7"/>
      <c r="C982" s="10"/>
      <c r="D982" s="7"/>
      <c r="E982" s="6"/>
      <c r="F982" s="10"/>
      <c r="G982" s="7"/>
      <c r="H982" s="6"/>
      <c r="I982" s="10"/>
      <c r="J982" s="7"/>
      <c r="K982" s="6"/>
      <c r="L982" s="10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10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</row>
    <row r="983">
      <c r="A983" s="7"/>
      <c r="B983" s="7"/>
      <c r="C983" s="10"/>
      <c r="D983" s="7"/>
      <c r="E983" s="6"/>
      <c r="F983" s="10"/>
      <c r="G983" s="7"/>
      <c r="H983" s="6"/>
      <c r="I983" s="10"/>
      <c r="J983" s="7"/>
      <c r="K983" s="6"/>
      <c r="L983" s="10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10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</row>
    <row r="984">
      <c r="A984" s="7"/>
      <c r="B984" s="7"/>
      <c r="C984" s="10"/>
      <c r="D984" s="7"/>
      <c r="E984" s="6"/>
      <c r="F984" s="10"/>
      <c r="G984" s="7"/>
      <c r="H984" s="6"/>
      <c r="I984" s="10"/>
      <c r="J984" s="7"/>
      <c r="K984" s="6"/>
      <c r="L984" s="10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10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</row>
    <row r="985">
      <c r="A985" s="7"/>
      <c r="B985" s="7"/>
      <c r="C985" s="10"/>
      <c r="D985" s="7"/>
      <c r="E985" s="6"/>
      <c r="F985" s="10"/>
      <c r="G985" s="7"/>
      <c r="H985" s="6"/>
      <c r="I985" s="10"/>
      <c r="J985" s="7"/>
      <c r="K985" s="6"/>
      <c r="L985" s="10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10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</row>
    <row r="986">
      <c r="A986" s="7"/>
      <c r="B986" s="7"/>
      <c r="C986" s="10"/>
      <c r="D986" s="7"/>
      <c r="E986" s="6"/>
      <c r="F986" s="10"/>
      <c r="G986" s="7"/>
      <c r="H986" s="6"/>
      <c r="I986" s="10"/>
      <c r="J986" s="7"/>
      <c r="K986" s="6"/>
      <c r="L986" s="10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10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</row>
    <row r="987">
      <c r="A987" s="7"/>
      <c r="B987" s="7"/>
      <c r="C987" s="10"/>
      <c r="D987" s="7"/>
      <c r="E987" s="6"/>
      <c r="F987" s="10"/>
      <c r="G987" s="7"/>
      <c r="H987" s="6"/>
      <c r="I987" s="10"/>
      <c r="J987" s="7"/>
      <c r="K987" s="6"/>
      <c r="L987" s="10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10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</row>
    <row r="988">
      <c r="A988" s="7"/>
      <c r="B988" s="7"/>
      <c r="C988" s="10"/>
      <c r="D988" s="7"/>
      <c r="E988" s="6"/>
      <c r="F988" s="10"/>
      <c r="G988" s="7"/>
      <c r="H988" s="6"/>
      <c r="I988" s="10"/>
      <c r="J988" s="7"/>
      <c r="K988" s="6"/>
      <c r="L988" s="10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10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</row>
    <row r="989">
      <c r="A989" s="7"/>
      <c r="B989" s="7"/>
      <c r="C989" s="10"/>
      <c r="D989" s="7"/>
      <c r="E989" s="6"/>
      <c r="F989" s="10"/>
      <c r="G989" s="7"/>
      <c r="H989" s="6"/>
      <c r="I989" s="10"/>
      <c r="J989" s="7"/>
      <c r="K989" s="6"/>
      <c r="L989" s="10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10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</row>
    <row r="990">
      <c r="A990" s="7"/>
      <c r="B990" s="7"/>
      <c r="C990" s="10"/>
      <c r="D990" s="7"/>
      <c r="E990" s="6"/>
      <c r="F990" s="10"/>
      <c r="G990" s="7"/>
      <c r="H990" s="6"/>
      <c r="I990" s="10"/>
      <c r="J990" s="7"/>
      <c r="K990" s="6"/>
      <c r="L990" s="10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10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</row>
    <row r="991">
      <c r="A991" s="7"/>
      <c r="B991" s="7"/>
      <c r="C991" s="10"/>
      <c r="D991" s="7"/>
      <c r="E991" s="6"/>
      <c r="F991" s="10"/>
      <c r="G991" s="7"/>
      <c r="H991" s="6"/>
      <c r="I991" s="10"/>
      <c r="J991" s="7"/>
      <c r="K991" s="6"/>
      <c r="L991" s="10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10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</row>
    <row r="992">
      <c r="A992" s="7"/>
      <c r="B992" s="7"/>
      <c r="C992" s="10"/>
      <c r="D992" s="7"/>
      <c r="E992" s="6"/>
      <c r="F992" s="10"/>
      <c r="G992" s="7"/>
      <c r="H992" s="6"/>
      <c r="I992" s="10"/>
      <c r="J992" s="7"/>
      <c r="K992" s="6"/>
      <c r="L992" s="10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10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</row>
    <row r="993">
      <c r="A993" s="7"/>
      <c r="B993" s="7"/>
      <c r="C993" s="10"/>
      <c r="D993" s="7"/>
      <c r="E993" s="6"/>
      <c r="F993" s="10"/>
      <c r="G993" s="7"/>
      <c r="H993" s="6"/>
      <c r="I993" s="10"/>
      <c r="J993" s="7"/>
      <c r="K993" s="6"/>
      <c r="L993" s="10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10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</row>
    <row r="994">
      <c r="A994" s="7"/>
      <c r="B994" s="7"/>
      <c r="C994" s="10"/>
      <c r="D994" s="7"/>
      <c r="E994" s="6"/>
      <c r="F994" s="10"/>
      <c r="G994" s="7"/>
      <c r="H994" s="6"/>
      <c r="I994" s="10"/>
      <c r="J994" s="7"/>
      <c r="K994" s="6"/>
      <c r="L994" s="10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10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</row>
    <row r="995">
      <c r="A995" s="7"/>
      <c r="B995" s="7"/>
      <c r="C995" s="10"/>
      <c r="D995" s="7"/>
      <c r="E995" s="6"/>
      <c r="F995" s="10"/>
      <c r="G995" s="7"/>
      <c r="H995" s="6"/>
      <c r="I995" s="10"/>
      <c r="J995" s="7"/>
      <c r="K995" s="6"/>
      <c r="L995" s="10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10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</row>
    <row r="996">
      <c r="A996" s="7"/>
      <c r="B996" s="7"/>
      <c r="C996" s="10"/>
      <c r="D996" s="7"/>
      <c r="E996" s="6"/>
      <c r="F996" s="10"/>
      <c r="G996" s="7"/>
      <c r="H996" s="6"/>
      <c r="I996" s="10"/>
      <c r="J996" s="7"/>
      <c r="K996" s="6"/>
      <c r="L996" s="10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10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</row>
    <row r="997">
      <c r="A997" s="7"/>
      <c r="B997" s="7"/>
      <c r="C997" s="10"/>
      <c r="D997" s="7"/>
      <c r="E997" s="6"/>
      <c r="F997" s="10"/>
      <c r="G997" s="7"/>
      <c r="H997" s="6"/>
      <c r="I997" s="10"/>
      <c r="J997" s="7"/>
      <c r="K997" s="6"/>
      <c r="L997" s="10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10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</row>
    <row r="998">
      <c r="A998" s="7"/>
      <c r="B998" s="7"/>
      <c r="C998" s="10"/>
      <c r="D998" s="7"/>
      <c r="E998" s="6"/>
      <c r="F998" s="10"/>
      <c r="G998" s="7"/>
      <c r="H998" s="6"/>
      <c r="I998" s="10"/>
      <c r="J998" s="7"/>
      <c r="K998" s="6"/>
      <c r="L998" s="10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10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</row>
    <row r="999">
      <c r="A999" s="7"/>
      <c r="B999" s="7"/>
      <c r="C999" s="10"/>
      <c r="D999" s="7"/>
      <c r="E999" s="6"/>
      <c r="F999" s="10"/>
      <c r="G999" s="7"/>
      <c r="H999" s="6"/>
      <c r="I999" s="10"/>
      <c r="J999" s="7"/>
      <c r="K999" s="6"/>
      <c r="L999" s="10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10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</row>
    <row r="1000">
      <c r="A1000" s="7"/>
      <c r="B1000" s="7"/>
      <c r="C1000" s="10"/>
      <c r="D1000" s="7"/>
      <c r="E1000" s="6"/>
      <c r="F1000" s="10"/>
      <c r="G1000" s="7"/>
      <c r="H1000" s="6"/>
      <c r="I1000" s="10"/>
      <c r="J1000" s="7"/>
      <c r="K1000" s="6"/>
      <c r="L1000" s="10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10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5"/>
    <col customWidth="1" min="3" max="3" width="14.75"/>
    <col customWidth="1" min="10" max="10" width="14.25"/>
  </cols>
  <sheetData>
    <row r="1"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75"/>
    <col customWidth="1" min="2" max="3" width="10.75"/>
    <col customWidth="1" min="4" max="4" width="9.0"/>
  </cols>
  <sheetData>
    <row r="1"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</row>
    <row r="2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>
      <c r="E11" s="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>
      <c r="A12" s="7"/>
      <c r="B12" s="6"/>
      <c r="C12" s="7"/>
      <c r="D12" s="7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>
      <c r="A13" s="7"/>
      <c r="B13" s="6"/>
      <c r="C13" s="7"/>
      <c r="D13" s="7"/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>
      <c r="A14" s="7"/>
      <c r="B14" s="6"/>
      <c r="C14" s="7"/>
      <c r="D14" s="7"/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>
      <c r="A15" s="7"/>
      <c r="B15" s="6"/>
      <c r="C15" s="7"/>
      <c r="D15" s="7"/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>
      <c r="A16" s="7"/>
      <c r="B16" s="6"/>
      <c r="C16" s="7"/>
      <c r="D16" s="7"/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>
      <c r="A17" s="7"/>
      <c r="B17" s="6"/>
      <c r="C17" s="7"/>
      <c r="D17" s="7"/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>
      <c r="A18" s="7"/>
      <c r="B18" s="6"/>
      <c r="C18" s="7"/>
      <c r="D18" s="7"/>
      <c r="E18" s="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>
      <c r="A19" s="7"/>
      <c r="B19" s="6"/>
      <c r="C19" s="7"/>
      <c r="D19" s="7"/>
      <c r="E19" s="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>
      <c r="A20" s="7"/>
      <c r="B20" s="6"/>
      <c r="C20" s="7"/>
      <c r="D20" s="7"/>
      <c r="E20" s="6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>
      <c r="A21" s="7"/>
      <c r="B21" s="6"/>
      <c r="C21" s="7"/>
      <c r="D21" s="7"/>
      <c r="E21" s="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>
      <c r="A22" s="7"/>
      <c r="B22" s="6"/>
      <c r="C22" s="7"/>
      <c r="D22" s="7"/>
      <c r="E22" s="6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</row>
    <row r="23">
      <c r="A23" s="7"/>
      <c r="B23" s="6"/>
      <c r="C23" s="7"/>
      <c r="D23" s="7"/>
      <c r="E23" s="6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>
      <c r="A24" s="7"/>
      <c r="B24" s="6"/>
      <c r="C24" s="7"/>
      <c r="D24" s="7"/>
      <c r="E24" s="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>
      <c r="A25" s="7"/>
      <c r="B25" s="6"/>
      <c r="C25" s="7"/>
      <c r="D25" s="7"/>
      <c r="E25" s="6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  <row r="26">
      <c r="A26" s="7"/>
      <c r="B26" s="6"/>
      <c r="C26" s="7"/>
      <c r="D26" s="7"/>
      <c r="E26" s="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</row>
    <row r="27">
      <c r="A27" s="7"/>
      <c r="B27" s="6"/>
      <c r="C27" s="7"/>
      <c r="D27" s="7"/>
      <c r="E27" s="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</row>
    <row r="28">
      <c r="A28" s="7"/>
      <c r="B28" s="6"/>
      <c r="C28" s="7"/>
      <c r="D28" s="7"/>
      <c r="E28" s="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</row>
    <row r="29">
      <c r="A29" s="7"/>
      <c r="B29" s="6"/>
      <c r="C29" s="7"/>
      <c r="D29" s="7"/>
      <c r="E29" s="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</row>
    <row r="30">
      <c r="A30" s="7"/>
      <c r="B30" s="6"/>
      <c r="C30" s="7"/>
      <c r="D30" s="7"/>
      <c r="E30" s="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</row>
    <row r="31">
      <c r="A31" s="7"/>
      <c r="B31" s="6"/>
      <c r="C31" s="7"/>
      <c r="D31" s="7"/>
      <c r="E31" s="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</row>
    <row r="32">
      <c r="A32" s="7"/>
      <c r="B32" s="6"/>
      <c r="C32" s="7"/>
      <c r="D32" s="7"/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>
      <c r="A33" s="7"/>
      <c r="B33" s="6"/>
      <c r="C33" s="7"/>
      <c r="D33" s="7"/>
      <c r="E33" s="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</row>
    <row r="34">
      <c r="A34" s="7"/>
      <c r="B34" s="6"/>
      <c r="C34" s="7"/>
      <c r="D34" s="7"/>
      <c r="E34" s="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</row>
    <row r="35">
      <c r="A35" s="7"/>
      <c r="B35" s="6"/>
      <c r="C35" s="7"/>
      <c r="D35" s="7"/>
      <c r="E35" s="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</row>
    <row r="36">
      <c r="A36" s="7"/>
      <c r="B36" s="6"/>
      <c r="C36" s="7"/>
      <c r="D36" s="7"/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</row>
    <row r="37">
      <c r="A37" s="7"/>
      <c r="B37" s="6"/>
      <c r="C37" s="7"/>
      <c r="D37" s="7"/>
      <c r="E37" s="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</row>
    <row r="38">
      <c r="A38" s="7"/>
      <c r="B38" s="6"/>
      <c r="C38" s="7"/>
      <c r="D38" s="7"/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</row>
    <row r="39">
      <c r="A39" s="7"/>
      <c r="B39" s="6"/>
      <c r="C39" s="7"/>
      <c r="D39" s="7"/>
      <c r="E39" s="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>
      <c r="A40" s="7"/>
      <c r="B40" s="6"/>
      <c r="C40" s="7"/>
      <c r="D40" s="7"/>
      <c r="E40" s="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</row>
    <row r="41">
      <c r="A41" s="7"/>
      <c r="B41" s="6"/>
      <c r="C41" s="7"/>
      <c r="D41" s="7"/>
      <c r="E41" s="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</row>
    <row r="42">
      <c r="A42" s="7"/>
      <c r="B42" s="6"/>
      <c r="C42" s="7"/>
      <c r="D42" s="7"/>
      <c r="E42" s="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</row>
    <row r="43">
      <c r="A43" s="7"/>
      <c r="B43" s="6"/>
      <c r="C43" s="7"/>
      <c r="D43" s="7"/>
      <c r="E43" s="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>
      <c r="A44" s="7"/>
      <c r="B44" s="6"/>
      <c r="C44" s="7"/>
      <c r="D44" s="7"/>
      <c r="E44" s="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</row>
    <row r="45">
      <c r="A45" s="7"/>
      <c r="B45" s="6"/>
      <c r="C45" s="7"/>
      <c r="D45" s="7"/>
      <c r="E45" s="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</row>
    <row r="46">
      <c r="A46" s="7"/>
      <c r="B46" s="6"/>
      <c r="C46" s="7"/>
      <c r="D46" s="7"/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</row>
    <row r="47">
      <c r="A47" s="7"/>
      <c r="B47" s="6"/>
      <c r="C47" s="7"/>
      <c r="D47" s="7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</row>
    <row r="48">
      <c r="A48" s="7"/>
      <c r="B48" s="6"/>
      <c r="C48" s="7"/>
      <c r="D48" s="7"/>
      <c r="E48" s="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</row>
    <row r="49">
      <c r="A49" s="7"/>
      <c r="B49" s="6"/>
      <c r="C49" s="7"/>
      <c r="D49" s="7"/>
      <c r="E49" s="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</row>
    <row r="50">
      <c r="A50" s="7"/>
      <c r="B50" s="6"/>
      <c r="C50" s="7"/>
      <c r="D50" s="7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</row>
    <row r="51">
      <c r="A51" s="7"/>
      <c r="B51" s="6"/>
      <c r="C51" s="7"/>
      <c r="D51" s="7"/>
      <c r="E51" s="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</row>
    <row r="52">
      <c r="A52" s="7"/>
      <c r="B52" s="6"/>
      <c r="C52" s="7"/>
      <c r="D52" s="7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</row>
    <row r="53">
      <c r="A53" s="7"/>
      <c r="B53" s="6"/>
      <c r="C53" s="7"/>
      <c r="D53" s="7"/>
      <c r="E53" s="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</row>
    <row r="54">
      <c r="A54" s="7"/>
      <c r="B54" s="6"/>
      <c r="C54" s="7"/>
      <c r="D54" s="7"/>
      <c r="E54" s="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</row>
    <row r="55">
      <c r="A55" s="7"/>
      <c r="B55" s="6"/>
      <c r="C55" s="7"/>
      <c r="D55" s="7"/>
      <c r="E55" s="6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</row>
    <row r="56">
      <c r="A56" s="7"/>
      <c r="B56" s="6"/>
      <c r="C56" s="7"/>
      <c r="D56" s="7"/>
      <c r="E56" s="6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</row>
    <row r="57">
      <c r="A57" s="7"/>
      <c r="B57" s="6"/>
      <c r="C57" s="7"/>
      <c r="D57" s="7"/>
      <c r="E57" s="6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</row>
    <row r="58">
      <c r="A58" s="7"/>
      <c r="B58" s="6"/>
      <c r="C58" s="7"/>
      <c r="D58" s="7"/>
      <c r="E58" s="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</row>
    <row r="59">
      <c r="A59" s="7"/>
      <c r="B59" s="6"/>
      <c r="C59" s="7"/>
      <c r="D59" s="7"/>
      <c r="E59" s="6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</row>
    <row r="60">
      <c r="A60" s="7"/>
      <c r="B60" s="6"/>
      <c r="C60" s="7"/>
      <c r="D60" s="7"/>
      <c r="E60" s="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</row>
    <row r="61">
      <c r="A61" s="7"/>
      <c r="B61" s="6"/>
      <c r="C61" s="7"/>
      <c r="D61" s="7"/>
      <c r="E61" s="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</row>
    <row r="62">
      <c r="A62" s="7"/>
      <c r="B62" s="6"/>
      <c r="C62" s="7"/>
      <c r="D62" s="7"/>
      <c r="E62" s="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</row>
    <row r="63">
      <c r="A63" s="7"/>
      <c r="B63" s="6"/>
      <c r="C63" s="7"/>
      <c r="D63" s="7"/>
      <c r="E63" s="6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</row>
    <row r="64">
      <c r="A64" s="7"/>
      <c r="B64" s="6"/>
      <c r="C64" s="7"/>
      <c r="D64" s="7"/>
      <c r="E64" s="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</row>
    <row r="65">
      <c r="A65" s="7"/>
      <c r="B65" s="6"/>
      <c r="C65" s="7"/>
      <c r="D65" s="7"/>
      <c r="E65" s="6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</row>
    <row r="66">
      <c r="A66" s="7"/>
      <c r="B66" s="6"/>
      <c r="C66" s="7"/>
      <c r="D66" s="7"/>
      <c r="E66" s="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</row>
    <row r="67">
      <c r="A67" s="7"/>
      <c r="B67" s="6"/>
      <c r="C67" s="7"/>
      <c r="D67" s="7"/>
      <c r="E67" s="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</row>
    <row r="68">
      <c r="A68" s="7"/>
      <c r="B68" s="6"/>
      <c r="C68" s="7"/>
      <c r="D68" s="7"/>
      <c r="E68" s="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</row>
    <row r="69">
      <c r="A69" s="7"/>
      <c r="B69" s="6"/>
      <c r="C69" s="7"/>
      <c r="D69" s="7"/>
      <c r="E69" s="6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</row>
    <row r="70">
      <c r="A70" s="7"/>
      <c r="B70" s="6"/>
      <c r="C70" s="7"/>
      <c r="D70" s="7"/>
      <c r="E70" s="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</row>
    <row r="71">
      <c r="A71" s="7"/>
      <c r="B71" s="6"/>
      <c r="C71" s="7"/>
      <c r="D71" s="7"/>
      <c r="E71" s="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</row>
    <row r="72">
      <c r="A72" s="7"/>
      <c r="B72" s="6"/>
      <c r="C72" s="7"/>
      <c r="D72" s="7"/>
      <c r="E72" s="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</row>
    <row r="73">
      <c r="A73" s="7"/>
      <c r="B73" s="6"/>
      <c r="C73" s="7"/>
      <c r="D73" s="7"/>
      <c r="E73" s="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</row>
    <row r="74">
      <c r="A74" s="7"/>
      <c r="B74" s="6"/>
      <c r="C74" s="7"/>
      <c r="D74" s="7"/>
      <c r="E74" s="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</row>
    <row r="75">
      <c r="A75" s="7"/>
      <c r="B75" s="6"/>
      <c r="C75" s="7"/>
      <c r="D75" s="7"/>
      <c r="E75" s="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</row>
    <row r="76">
      <c r="A76" s="7"/>
      <c r="B76" s="6"/>
      <c r="C76" s="7"/>
      <c r="D76" s="7"/>
      <c r="E76" s="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</row>
    <row r="77">
      <c r="A77" s="7"/>
      <c r="B77" s="6"/>
      <c r="C77" s="7"/>
      <c r="D77" s="7"/>
      <c r="E77" s="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</row>
    <row r="78">
      <c r="A78" s="7"/>
      <c r="B78" s="6"/>
      <c r="C78" s="7"/>
      <c r="D78" s="7"/>
      <c r="E78" s="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</row>
    <row r="79">
      <c r="A79" s="7"/>
      <c r="B79" s="6"/>
      <c r="C79" s="7"/>
      <c r="D79" s="7"/>
      <c r="E79" s="6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</row>
    <row r="80">
      <c r="A80" s="7"/>
      <c r="B80" s="6"/>
      <c r="C80" s="7"/>
      <c r="D80" s="7"/>
      <c r="E80" s="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</row>
    <row r="81">
      <c r="A81" s="7"/>
      <c r="B81" s="6"/>
      <c r="C81" s="7"/>
      <c r="D81" s="7"/>
      <c r="E81" s="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</row>
    <row r="82">
      <c r="A82" s="7"/>
      <c r="B82" s="6"/>
      <c r="C82" s="7"/>
      <c r="D82" s="7"/>
      <c r="E82" s="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</row>
    <row r="83">
      <c r="A83" s="7"/>
      <c r="B83" s="6"/>
      <c r="C83" s="7"/>
      <c r="D83" s="7"/>
      <c r="E83" s="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</row>
    <row r="84">
      <c r="A84" s="7"/>
      <c r="B84" s="6"/>
      <c r="C84" s="7"/>
      <c r="D84" s="7"/>
      <c r="E84" s="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</row>
    <row r="85">
      <c r="A85" s="7"/>
      <c r="B85" s="6"/>
      <c r="C85" s="7"/>
      <c r="D85" s="7"/>
      <c r="E85" s="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</row>
    <row r="86">
      <c r="A86" s="7"/>
      <c r="B86" s="6"/>
      <c r="C86" s="7"/>
      <c r="D86" s="7"/>
      <c r="E86" s="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</row>
    <row r="87">
      <c r="A87" s="7"/>
      <c r="B87" s="6"/>
      <c r="C87" s="7"/>
      <c r="D87" s="7"/>
      <c r="E87" s="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</row>
    <row r="88">
      <c r="A88" s="7"/>
      <c r="B88" s="6"/>
      <c r="C88" s="7"/>
      <c r="D88" s="7"/>
      <c r="E88" s="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</row>
    <row r="89">
      <c r="A89" s="7"/>
      <c r="B89" s="6"/>
      <c r="C89" s="7"/>
      <c r="D89" s="7"/>
      <c r="E89" s="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</row>
    <row r="90">
      <c r="A90" s="7"/>
      <c r="B90" s="6"/>
      <c r="C90" s="7"/>
      <c r="D90" s="7"/>
      <c r="E90" s="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</row>
    <row r="91">
      <c r="A91" s="7"/>
      <c r="B91" s="6"/>
      <c r="C91" s="7"/>
      <c r="D91" s="7"/>
      <c r="E91" s="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</row>
    <row r="92">
      <c r="A92" s="7"/>
      <c r="B92" s="6"/>
      <c r="C92" s="7"/>
      <c r="D92" s="7"/>
      <c r="E92" s="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</row>
    <row r="93">
      <c r="A93" s="7"/>
      <c r="B93" s="6"/>
      <c r="C93" s="7"/>
      <c r="D93" s="7"/>
      <c r="E93" s="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</row>
    <row r="94">
      <c r="A94" s="7"/>
      <c r="B94" s="6"/>
      <c r="C94" s="7"/>
      <c r="D94" s="7"/>
      <c r="E94" s="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</row>
    <row r="95">
      <c r="A95" s="7"/>
      <c r="B95" s="6"/>
      <c r="C95" s="7"/>
      <c r="D95" s="7"/>
      <c r="E95" s="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</row>
    <row r="96">
      <c r="A96" s="7"/>
      <c r="B96" s="6"/>
      <c r="C96" s="7"/>
      <c r="D96" s="7"/>
      <c r="E96" s="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</row>
    <row r="97">
      <c r="A97" s="7"/>
      <c r="B97" s="6"/>
      <c r="C97" s="7"/>
      <c r="D97" s="7"/>
      <c r="E97" s="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</row>
    <row r="98">
      <c r="A98" s="7"/>
      <c r="B98" s="6"/>
      <c r="C98" s="7"/>
      <c r="D98" s="7"/>
      <c r="E98" s="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</row>
    <row r="99">
      <c r="A99" s="7"/>
      <c r="B99" s="6"/>
      <c r="C99" s="7"/>
      <c r="D99" s="7"/>
      <c r="E99" s="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</row>
    <row r="100">
      <c r="A100" s="7"/>
      <c r="B100" s="6"/>
      <c r="C100" s="7"/>
      <c r="D100" s="7"/>
      <c r="E100" s="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</row>
    <row r="101">
      <c r="A101" s="7"/>
      <c r="B101" s="6"/>
      <c r="C101" s="7"/>
      <c r="D101" s="7"/>
      <c r="E101" s="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</row>
    <row r="102">
      <c r="A102" s="7"/>
      <c r="B102" s="6"/>
      <c r="C102" s="7"/>
      <c r="D102" s="7"/>
      <c r="E102" s="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</row>
    <row r="103">
      <c r="A103" s="7"/>
      <c r="B103" s="6"/>
      <c r="C103" s="7"/>
      <c r="D103" s="7"/>
      <c r="E103" s="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</row>
    <row r="104">
      <c r="A104" s="7"/>
      <c r="B104" s="6"/>
      <c r="C104" s="7"/>
      <c r="D104" s="7"/>
      <c r="E104" s="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</row>
    <row r="105">
      <c r="A105" s="7"/>
      <c r="B105" s="6"/>
      <c r="C105" s="7"/>
      <c r="D105" s="7"/>
      <c r="E105" s="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</row>
    <row r="106">
      <c r="A106" s="7"/>
      <c r="B106" s="6"/>
      <c r="C106" s="7"/>
      <c r="D106" s="7"/>
      <c r="E106" s="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</row>
    <row r="107">
      <c r="A107" s="7"/>
      <c r="B107" s="6"/>
      <c r="C107" s="7"/>
      <c r="D107" s="7"/>
      <c r="E107" s="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</row>
    <row r="108">
      <c r="A108" s="7"/>
      <c r="B108" s="6"/>
      <c r="C108" s="7"/>
      <c r="D108" s="7"/>
      <c r="E108" s="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</row>
    <row r="109">
      <c r="A109" s="7"/>
      <c r="B109" s="6"/>
      <c r="C109" s="7"/>
      <c r="D109" s="7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</row>
    <row r="110">
      <c r="A110" s="7"/>
      <c r="B110" s="6"/>
      <c r="C110" s="7"/>
      <c r="D110" s="7"/>
      <c r="E110" s="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</row>
    <row r="111">
      <c r="A111" s="7"/>
      <c r="B111" s="6"/>
      <c r="C111" s="7"/>
      <c r="D111" s="7"/>
      <c r="E111" s="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</row>
    <row r="112">
      <c r="A112" s="7"/>
      <c r="B112" s="6"/>
      <c r="C112" s="7"/>
      <c r="D112" s="7"/>
      <c r="E112" s="6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</row>
    <row r="113">
      <c r="A113" s="7"/>
      <c r="B113" s="6"/>
      <c r="C113" s="7"/>
      <c r="D113" s="7"/>
      <c r="E113" s="6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</row>
    <row r="114">
      <c r="A114" s="7"/>
      <c r="B114" s="6"/>
      <c r="C114" s="7"/>
      <c r="D114" s="7"/>
      <c r="E114" s="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</row>
    <row r="115">
      <c r="A115" s="7"/>
      <c r="B115" s="6"/>
      <c r="C115" s="7"/>
      <c r="D115" s="7"/>
      <c r="E115" s="6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</row>
    <row r="116">
      <c r="A116" s="7"/>
      <c r="B116" s="6"/>
      <c r="C116" s="7"/>
      <c r="D116" s="7"/>
      <c r="E116" s="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</row>
    <row r="117">
      <c r="A117" s="7"/>
      <c r="B117" s="6"/>
      <c r="C117" s="7"/>
      <c r="D117" s="7"/>
      <c r="E117" s="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</row>
    <row r="118">
      <c r="A118" s="7"/>
      <c r="B118" s="6"/>
      <c r="C118" s="7"/>
      <c r="D118" s="7"/>
      <c r="E118" s="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</row>
    <row r="119">
      <c r="A119" s="7"/>
      <c r="B119" s="6"/>
      <c r="C119" s="7"/>
      <c r="D119" s="7"/>
      <c r="E119" s="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</row>
    <row r="120">
      <c r="A120" s="7"/>
      <c r="B120" s="6"/>
      <c r="C120" s="7"/>
      <c r="D120" s="7"/>
      <c r="E120" s="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</row>
    <row r="121">
      <c r="A121" s="7"/>
      <c r="B121" s="6"/>
      <c r="C121" s="7"/>
      <c r="D121" s="7"/>
      <c r="E121" s="6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</row>
    <row r="122">
      <c r="A122" s="7"/>
      <c r="B122" s="6"/>
      <c r="C122" s="7"/>
      <c r="D122" s="7"/>
      <c r="E122" s="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</row>
    <row r="123">
      <c r="A123" s="7"/>
      <c r="B123" s="6"/>
      <c r="C123" s="7"/>
      <c r="D123" s="7"/>
      <c r="E123" s="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</row>
    <row r="124">
      <c r="A124" s="7"/>
      <c r="B124" s="6"/>
      <c r="C124" s="7"/>
      <c r="D124" s="7"/>
      <c r="E124" s="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</row>
    <row r="125">
      <c r="A125" s="7"/>
      <c r="B125" s="6"/>
      <c r="C125" s="7"/>
      <c r="D125" s="7"/>
      <c r="E125" s="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</row>
    <row r="126">
      <c r="A126" s="7"/>
      <c r="B126" s="6"/>
      <c r="C126" s="7"/>
      <c r="D126" s="7"/>
      <c r="E126" s="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</row>
    <row r="127">
      <c r="A127" s="7"/>
      <c r="B127" s="6"/>
      <c r="C127" s="7"/>
      <c r="D127" s="7"/>
      <c r="E127" s="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</row>
    <row r="128">
      <c r="A128" s="7"/>
      <c r="B128" s="6"/>
      <c r="C128" s="7"/>
      <c r="D128" s="7"/>
      <c r="E128" s="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</row>
    <row r="129">
      <c r="A129" s="7"/>
      <c r="B129" s="6"/>
      <c r="C129" s="7"/>
      <c r="D129" s="7"/>
      <c r="E129" s="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</row>
    <row r="130">
      <c r="A130" s="7"/>
      <c r="B130" s="6"/>
      <c r="C130" s="7"/>
      <c r="D130" s="7"/>
      <c r="E130" s="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</row>
    <row r="131">
      <c r="A131" s="7"/>
      <c r="B131" s="6"/>
      <c r="C131" s="7"/>
      <c r="D131" s="7"/>
      <c r="E131" s="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</row>
    <row r="132">
      <c r="A132" s="7"/>
      <c r="B132" s="6"/>
      <c r="C132" s="7"/>
      <c r="D132" s="7"/>
      <c r="E132" s="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</row>
    <row r="133">
      <c r="A133" s="7"/>
      <c r="B133" s="6"/>
      <c r="C133" s="7"/>
      <c r="D133" s="7"/>
      <c r="E133" s="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</row>
    <row r="134">
      <c r="A134" s="7"/>
      <c r="B134" s="6"/>
      <c r="C134" s="7"/>
      <c r="D134" s="7"/>
      <c r="E134" s="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</row>
    <row r="135">
      <c r="A135" s="7"/>
      <c r="B135" s="6"/>
      <c r="C135" s="7"/>
      <c r="D135" s="7"/>
      <c r="E135" s="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</row>
    <row r="136">
      <c r="A136" s="7"/>
      <c r="B136" s="6"/>
      <c r="C136" s="7"/>
      <c r="D136" s="7"/>
      <c r="E136" s="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</row>
    <row r="137">
      <c r="A137" s="7"/>
      <c r="B137" s="6"/>
      <c r="C137" s="7"/>
      <c r="D137" s="7"/>
      <c r="E137" s="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</row>
    <row r="138">
      <c r="A138" s="7"/>
      <c r="B138" s="6"/>
      <c r="C138" s="7"/>
      <c r="D138" s="7"/>
      <c r="E138" s="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</row>
    <row r="139">
      <c r="A139" s="7"/>
      <c r="B139" s="6"/>
      <c r="C139" s="7"/>
      <c r="D139" s="7"/>
      <c r="E139" s="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</row>
    <row r="140">
      <c r="A140" s="7"/>
      <c r="B140" s="6"/>
      <c r="C140" s="7"/>
      <c r="D140" s="7"/>
      <c r="E140" s="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</row>
    <row r="141">
      <c r="A141" s="7"/>
      <c r="B141" s="6"/>
      <c r="C141" s="7"/>
      <c r="D141" s="7"/>
      <c r="E141" s="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</row>
    <row r="142">
      <c r="A142" s="7"/>
      <c r="B142" s="6"/>
      <c r="C142" s="7"/>
      <c r="D142" s="7"/>
      <c r="E142" s="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</row>
    <row r="143">
      <c r="A143" s="7"/>
      <c r="B143" s="6"/>
      <c r="C143" s="7"/>
      <c r="D143" s="7"/>
      <c r="E143" s="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</row>
    <row r="144">
      <c r="A144" s="7"/>
      <c r="B144" s="6"/>
      <c r="C144" s="7"/>
      <c r="D144" s="7"/>
      <c r="E144" s="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</row>
    <row r="145">
      <c r="A145" s="7"/>
      <c r="B145" s="6"/>
      <c r="C145" s="7"/>
      <c r="D145" s="7"/>
      <c r="E145" s="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</row>
    <row r="146">
      <c r="A146" s="7"/>
      <c r="B146" s="6"/>
      <c r="C146" s="7"/>
      <c r="D146" s="7"/>
      <c r="E146" s="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</row>
    <row r="147">
      <c r="A147" s="7"/>
      <c r="B147" s="6"/>
      <c r="C147" s="7"/>
      <c r="D147" s="7"/>
      <c r="E147" s="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</row>
    <row r="148">
      <c r="A148" s="7"/>
      <c r="B148" s="6"/>
      <c r="C148" s="7"/>
      <c r="D148" s="7"/>
      <c r="E148" s="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</row>
    <row r="149">
      <c r="A149" s="7"/>
      <c r="B149" s="6"/>
      <c r="C149" s="7"/>
      <c r="D149" s="7"/>
      <c r="E149" s="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</row>
    <row r="150">
      <c r="A150" s="7"/>
      <c r="B150" s="6"/>
      <c r="C150" s="7"/>
      <c r="D150" s="7"/>
      <c r="E150" s="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</row>
    <row r="151">
      <c r="A151" s="7"/>
      <c r="B151" s="6"/>
      <c r="C151" s="7"/>
      <c r="D151" s="7"/>
      <c r="E151" s="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</row>
    <row r="152">
      <c r="A152" s="7"/>
      <c r="B152" s="6"/>
      <c r="C152" s="7"/>
      <c r="D152" s="7"/>
      <c r="E152" s="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</row>
    <row r="153">
      <c r="A153" s="7"/>
      <c r="B153" s="6"/>
      <c r="C153" s="7"/>
      <c r="D153" s="7"/>
      <c r="E153" s="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</row>
    <row r="154">
      <c r="A154" s="7"/>
      <c r="B154" s="6"/>
      <c r="C154" s="7"/>
      <c r="D154" s="7"/>
      <c r="E154" s="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</row>
    <row r="155">
      <c r="A155" s="7"/>
      <c r="B155" s="6"/>
      <c r="C155" s="7"/>
      <c r="D155" s="7"/>
      <c r="E155" s="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</row>
    <row r="156">
      <c r="A156" s="7"/>
      <c r="B156" s="6"/>
      <c r="C156" s="7"/>
      <c r="D156" s="7"/>
      <c r="E156" s="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</row>
    <row r="157">
      <c r="A157" s="7"/>
      <c r="B157" s="6"/>
      <c r="C157" s="7"/>
      <c r="D157" s="7"/>
      <c r="E157" s="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</row>
    <row r="158">
      <c r="A158" s="7"/>
      <c r="B158" s="6"/>
      <c r="C158" s="7"/>
      <c r="D158" s="7"/>
      <c r="E158" s="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</row>
    <row r="159">
      <c r="A159" s="7"/>
      <c r="B159" s="6"/>
      <c r="C159" s="7"/>
      <c r="D159" s="7"/>
      <c r="E159" s="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</row>
    <row r="160">
      <c r="A160" s="7"/>
      <c r="B160" s="6"/>
      <c r="C160" s="7"/>
      <c r="D160" s="7"/>
      <c r="E160" s="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</row>
    <row r="161">
      <c r="A161" s="7"/>
      <c r="B161" s="6"/>
      <c r="C161" s="7"/>
      <c r="D161" s="7"/>
      <c r="E161" s="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</row>
    <row r="162">
      <c r="A162" s="7"/>
      <c r="B162" s="6"/>
      <c r="C162" s="7"/>
      <c r="D162" s="7"/>
      <c r="E162" s="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</row>
    <row r="163">
      <c r="A163" s="7"/>
      <c r="B163" s="6"/>
      <c r="C163" s="7"/>
      <c r="D163" s="7"/>
      <c r="E163" s="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</row>
    <row r="164">
      <c r="A164" s="7"/>
      <c r="B164" s="6"/>
      <c r="C164" s="7"/>
      <c r="D164" s="7"/>
      <c r="E164" s="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</row>
    <row r="165">
      <c r="A165" s="7"/>
      <c r="B165" s="6"/>
      <c r="C165" s="7"/>
      <c r="D165" s="7"/>
      <c r="E165" s="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</row>
    <row r="166">
      <c r="A166" s="7"/>
      <c r="B166" s="6"/>
      <c r="C166" s="7"/>
      <c r="D166" s="7"/>
      <c r="E166" s="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</row>
    <row r="167">
      <c r="A167" s="7"/>
      <c r="B167" s="6"/>
      <c r="C167" s="7"/>
      <c r="D167" s="7"/>
      <c r="E167" s="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</row>
    <row r="168">
      <c r="A168" s="7"/>
      <c r="B168" s="6"/>
      <c r="C168" s="7"/>
      <c r="D168" s="7"/>
      <c r="E168" s="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</row>
    <row r="169">
      <c r="A169" s="7"/>
      <c r="B169" s="6"/>
      <c r="C169" s="7"/>
      <c r="D169" s="7"/>
      <c r="E169" s="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</row>
    <row r="170">
      <c r="A170" s="7"/>
      <c r="B170" s="6"/>
      <c r="C170" s="7"/>
      <c r="D170" s="7"/>
      <c r="E170" s="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</row>
    <row r="171">
      <c r="A171" s="7"/>
      <c r="B171" s="6"/>
      <c r="C171" s="7"/>
      <c r="D171" s="7"/>
      <c r="E171" s="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</row>
    <row r="172">
      <c r="A172" s="7"/>
      <c r="B172" s="6"/>
      <c r="C172" s="7"/>
      <c r="D172" s="7"/>
      <c r="E172" s="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</row>
    <row r="173">
      <c r="A173" s="7"/>
      <c r="B173" s="6"/>
      <c r="C173" s="7"/>
      <c r="D173" s="7"/>
      <c r="E173" s="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</row>
    <row r="174">
      <c r="A174" s="7"/>
      <c r="B174" s="6"/>
      <c r="C174" s="7"/>
      <c r="D174" s="7"/>
      <c r="E174" s="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</row>
    <row r="175">
      <c r="A175" s="7"/>
      <c r="B175" s="6"/>
      <c r="C175" s="7"/>
      <c r="D175" s="7"/>
      <c r="E175" s="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</row>
    <row r="176">
      <c r="A176" s="7"/>
      <c r="B176" s="6"/>
      <c r="C176" s="7"/>
      <c r="D176" s="7"/>
      <c r="E176" s="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</row>
    <row r="177">
      <c r="A177" s="7"/>
      <c r="B177" s="6"/>
      <c r="C177" s="7"/>
      <c r="D177" s="7"/>
      <c r="E177" s="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</row>
    <row r="178">
      <c r="A178" s="7"/>
      <c r="B178" s="6"/>
      <c r="C178" s="7"/>
      <c r="D178" s="7"/>
      <c r="E178" s="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</row>
    <row r="179">
      <c r="A179" s="7"/>
      <c r="B179" s="6"/>
      <c r="C179" s="7"/>
      <c r="D179" s="7"/>
      <c r="E179" s="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</row>
    <row r="180">
      <c r="A180" s="7"/>
      <c r="B180" s="6"/>
      <c r="C180" s="7"/>
      <c r="D180" s="7"/>
      <c r="E180" s="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</row>
    <row r="181">
      <c r="A181" s="7"/>
      <c r="B181" s="6"/>
      <c r="C181" s="7"/>
      <c r="D181" s="7"/>
      <c r="E181" s="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</row>
    <row r="182">
      <c r="A182" s="7"/>
      <c r="B182" s="6"/>
      <c r="C182" s="7"/>
      <c r="D182" s="7"/>
      <c r="E182" s="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</row>
    <row r="183">
      <c r="A183" s="7"/>
      <c r="B183" s="6"/>
      <c r="C183" s="7"/>
      <c r="D183" s="7"/>
      <c r="E183" s="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</row>
    <row r="184">
      <c r="A184" s="7"/>
      <c r="B184" s="6"/>
      <c r="C184" s="7"/>
      <c r="D184" s="7"/>
      <c r="E184" s="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</row>
    <row r="185">
      <c r="A185" s="7"/>
      <c r="B185" s="6"/>
      <c r="C185" s="7"/>
      <c r="D185" s="7"/>
      <c r="E185" s="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</row>
    <row r="186">
      <c r="A186" s="7"/>
      <c r="B186" s="6"/>
      <c r="C186" s="7"/>
      <c r="D186" s="7"/>
      <c r="E186" s="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</row>
    <row r="187">
      <c r="A187" s="7"/>
      <c r="B187" s="6"/>
      <c r="C187" s="7"/>
      <c r="D187" s="7"/>
      <c r="E187" s="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</row>
    <row r="188">
      <c r="A188" s="7"/>
      <c r="B188" s="6"/>
      <c r="C188" s="7"/>
      <c r="D188" s="7"/>
      <c r="E188" s="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</row>
    <row r="189">
      <c r="A189" s="7"/>
      <c r="B189" s="6"/>
      <c r="C189" s="7"/>
      <c r="D189" s="7"/>
      <c r="E189" s="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</row>
    <row r="190">
      <c r="A190" s="7"/>
      <c r="B190" s="6"/>
      <c r="C190" s="7"/>
      <c r="D190" s="7"/>
      <c r="E190" s="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</row>
    <row r="191">
      <c r="A191" s="7"/>
      <c r="B191" s="6"/>
      <c r="C191" s="7"/>
      <c r="D191" s="7"/>
      <c r="E191" s="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</row>
    <row r="192">
      <c r="A192" s="7"/>
      <c r="B192" s="6"/>
      <c r="C192" s="7"/>
      <c r="D192" s="7"/>
      <c r="E192" s="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</row>
    <row r="193">
      <c r="A193" s="7"/>
      <c r="B193" s="6"/>
      <c r="C193" s="7"/>
      <c r="D193" s="7"/>
      <c r="E193" s="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</row>
    <row r="194">
      <c r="A194" s="7"/>
      <c r="B194" s="6"/>
      <c r="C194" s="7"/>
      <c r="D194" s="7"/>
      <c r="E194" s="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</row>
    <row r="195">
      <c r="A195" s="7"/>
      <c r="B195" s="6"/>
      <c r="C195" s="7"/>
      <c r="D195" s="7"/>
      <c r="E195" s="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</row>
    <row r="196">
      <c r="A196" s="7"/>
      <c r="B196" s="6"/>
      <c r="C196" s="7"/>
      <c r="D196" s="7"/>
      <c r="E196" s="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</row>
    <row r="197">
      <c r="A197" s="7"/>
      <c r="B197" s="6"/>
      <c r="C197" s="7"/>
      <c r="D197" s="7"/>
      <c r="E197" s="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</row>
    <row r="198">
      <c r="A198" s="7"/>
      <c r="B198" s="6"/>
      <c r="C198" s="7"/>
      <c r="D198" s="7"/>
      <c r="E198" s="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</row>
    <row r="199">
      <c r="A199" s="7"/>
      <c r="B199" s="6"/>
      <c r="C199" s="7"/>
      <c r="D199" s="7"/>
      <c r="E199" s="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</row>
    <row r="200">
      <c r="A200" s="7"/>
      <c r="B200" s="6"/>
      <c r="C200" s="7"/>
      <c r="D200" s="7"/>
      <c r="E200" s="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</row>
    <row r="201">
      <c r="A201" s="7"/>
      <c r="B201" s="6"/>
      <c r="C201" s="7"/>
      <c r="D201" s="7"/>
      <c r="E201" s="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</row>
    <row r="202">
      <c r="A202" s="7"/>
      <c r="B202" s="6"/>
      <c r="C202" s="7"/>
      <c r="D202" s="7"/>
      <c r="E202" s="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</row>
    <row r="203">
      <c r="A203" s="7"/>
      <c r="B203" s="6"/>
      <c r="C203" s="7"/>
      <c r="D203" s="7"/>
      <c r="E203" s="6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</row>
    <row r="204">
      <c r="A204" s="7"/>
      <c r="B204" s="6"/>
      <c r="C204" s="7"/>
      <c r="D204" s="7"/>
      <c r="E204" s="6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</row>
    <row r="205">
      <c r="A205" s="7"/>
      <c r="B205" s="6"/>
      <c r="C205" s="7"/>
      <c r="D205" s="7"/>
      <c r="E205" s="6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</row>
    <row r="206">
      <c r="A206" s="7"/>
      <c r="B206" s="6"/>
      <c r="C206" s="7"/>
      <c r="D206" s="7"/>
      <c r="E206" s="6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</row>
    <row r="207">
      <c r="A207" s="7"/>
      <c r="B207" s="6"/>
      <c r="C207" s="7"/>
      <c r="D207" s="7"/>
      <c r="E207" s="6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</row>
    <row r="208">
      <c r="A208" s="7"/>
      <c r="B208" s="6"/>
      <c r="C208" s="7"/>
      <c r="D208" s="7"/>
      <c r="E208" s="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</row>
    <row r="209">
      <c r="A209" s="7"/>
      <c r="B209" s="6"/>
      <c r="C209" s="7"/>
      <c r="D209" s="7"/>
      <c r="E209" s="6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</row>
    <row r="210">
      <c r="A210" s="7"/>
      <c r="B210" s="6"/>
      <c r="C210" s="7"/>
      <c r="D210" s="7"/>
      <c r="E210" s="6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</row>
    <row r="211">
      <c r="A211" s="7"/>
      <c r="B211" s="6"/>
      <c r="C211" s="7"/>
      <c r="D211" s="7"/>
      <c r="E211" s="6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</row>
    <row r="212">
      <c r="A212" s="7"/>
      <c r="B212" s="6"/>
      <c r="C212" s="7"/>
      <c r="D212" s="7"/>
      <c r="E212" s="6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</row>
    <row r="213">
      <c r="A213" s="7"/>
      <c r="B213" s="6"/>
      <c r="C213" s="7"/>
      <c r="D213" s="7"/>
      <c r="E213" s="6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</row>
    <row r="214">
      <c r="A214" s="7"/>
      <c r="B214" s="6"/>
      <c r="C214" s="7"/>
      <c r="D214" s="7"/>
      <c r="E214" s="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</row>
    <row r="215">
      <c r="A215" s="7"/>
      <c r="B215" s="6"/>
      <c r="C215" s="7"/>
      <c r="D215" s="7"/>
      <c r="E215" s="6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</row>
    <row r="216">
      <c r="A216" s="7"/>
      <c r="B216" s="6"/>
      <c r="C216" s="7"/>
      <c r="D216" s="7"/>
      <c r="E216" s="6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</row>
    <row r="217">
      <c r="A217" s="7"/>
      <c r="B217" s="6"/>
      <c r="C217" s="7"/>
      <c r="D217" s="7"/>
      <c r="E217" s="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</row>
    <row r="218">
      <c r="A218" s="7"/>
      <c r="B218" s="6"/>
      <c r="C218" s="7"/>
      <c r="D218" s="7"/>
      <c r="E218" s="6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</row>
    <row r="219">
      <c r="A219" s="7"/>
      <c r="B219" s="6"/>
      <c r="C219" s="7"/>
      <c r="D219" s="7"/>
      <c r="E219" s="6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</row>
    <row r="220">
      <c r="A220" s="7"/>
      <c r="B220" s="6"/>
      <c r="C220" s="7"/>
      <c r="D220" s="7"/>
      <c r="E220" s="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</row>
    <row r="221">
      <c r="A221" s="7"/>
      <c r="B221" s="6"/>
      <c r="C221" s="7"/>
      <c r="D221" s="7"/>
      <c r="E221" s="6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</row>
    <row r="222">
      <c r="A222" s="7"/>
      <c r="B222" s="6"/>
      <c r="C222" s="7"/>
      <c r="D222" s="7"/>
      <c r="E222" s="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</row>
    <row r="223">
      <c r="A223" s="7"/>
      <c r="B223" s="6"/>
      <c r="C223" s="7"/>
      <c r="D223" s="7"/>
      <c r="E223" s="6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</row>
    <row r="224">
      <c r="A224" s="7"/>
      <c r="B224" s="6"/>
      <c r="C224" s="7"/>
      <c r="D224" s="7"/>
      <c r="E224" s="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</row>
    <row r="225">
      <c r="A225" s="7"/>
      <c r="B225" s="6"/>
      <c r="C225" s="7"/>
      <c r="D225" s="7"/>
      <c r="E225" s="6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</row>
    <row r="226">
      <c r="A226" s="7"/>
      <c r="B226" s="6"/>
      <c r="C226" s="7"/>
      <c r="D226" s="7"/>
      <c r="E226" s="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</row>
    <row r="227">
      <c r="A227" s="7"/>
      <c r="B227" s="6"/>
      <c r="C227" s="7"/>
      <c r="D227" s="7"/>
      <c r="E227" s="6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</row>
    <row r="228">
      <c r="A228" s="7"/>
      <c r="B228" s="6"/>
      <c r="C228" s="7"/>
      <c r="D228" s="7"/>
      <c r="E228" s="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</row>
    <row r="229">
      <c r="A229" s="7"/>
      <c r="B229" s="6"/>
      <c r="C229" s="7"/>
      <c r="D229" s="7"/>
      <c r="E229" s="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</row>
    <row r="230">
      <c r="A230" s="7"/>
      <c r="B230" s="6"/>
      <c r="C230" s="7"/>
      <c r="D230" s="7"/>
      <c r="E230" s="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</row>
    <row r="231">
      <c r="A231" s="7"/>
      <c r="B231" s="6"/>
      <c r="C231" s="7"/>
      <c r="D231" s="7"/>
      <c r="E231" s="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</row>
    <row r="232">
      <c r="A232" s="7"/>
      <c r="B232" s="6"/>
      <c r="C232" s="7"/>
      <c r="D232" s="7"/>
      <c r="E232" s="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</row>
    <row r="233">
      <c r="A233" s="7"/>
      <c r="B233" s="6"/>
      <c r="C233" s="7"/>
      <c r="D233" s="7"/>
      <c r="E233" s="6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</row>
    <row r="234">
      <c r="A234" s="7"/>
      <c r="B234" s="6"/>
      <c r="C234" s="7"/>
      <c r="D234" s="7"/>
      <c r="E234" s="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</row>
    <row r="235">
      <c r="A235" s="7"/>
      <c r="B235" s="6"/>
      <c r="C235" s="7"/>
      <c r="D235" s="7"/>
      <c r="E235" s="6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</row>
    <row r="236">
      <c r="A236" s="7"/>
      <c r="B236" s="6"/>
      <c r="C236" s="7"/>
      <c r="D236" s="7"/>
      <c r="E236" s="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</row>
    <row r="237">
      <c r="A237" s="7"/>
      <c r="B237" s="6"/>
      <c r="C237" s="7"/>
      <c r="D237" s="7"/>
      <c r="E237" s="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</row>
    <row r="238">
      <c r="A238" s="7"/>
      <c r="B238" s="6"/>
      <c r="C238" s="7"/>
      <c r="D238" s="7"/>
      <c r="E238" s="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</row>
    <row r="239">
      <c r="A239" s="7"/>
      <c r="B239" s="6"/>
      <c r="C239" s="7"/>
      <c r="D239" s="7"/>
      <c r="E239" s="6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</row>
    <row r="240">
      <c r="A240" s="7"/>
      <c r="B240" s="6"/>
      <c r="C240" s="7"/>
      <c r="D240" s="7"/>
      <c r="E240" s="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</row>
    <row r="241">
      <c r="A241" s="7"/>
      <c r="B241" s="6"/>
      <c r="C241" s="7"/>
      <c r="D241" s="7"/>
      <c r="E241" s="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</row>
    <row r="242">
      <c r="A242" s="7"/>
      <c r="B242" s="6"/>
      <c r="C242" s="7"/>
      <c r="D242" s="7"/>
      <c r="E242" s="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</row>
    <row r="243">
      <c r="A243" s="7"/>
      <c r="B243" s="6"/>
      <c r="C243" s="7"/>
      <c r="D243" s="7"/>
      <c r="E243" s="6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</row>
    <row r="244">
      <c r="A244" s="7"/>
      <c r="B244" s="6"/>
      <c r="C244" s="7"/>
      <c r="D244" s="7"/>
      <c r="E244" s="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</row>
    <row r="245">
      <c r="A245" s="7"/>
      <c r="B245" s="6"/>
      <c r="C245" s="7"/>
      <c r="D245" s="7"/>
      <c r="E245" s="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</row>
    <row r="246">
      <c r="A246" s="7"/>
      <c r="B246" s="6"/>
      <c r="C246" s="7"/>
      <c r="D246" s="7"/>
      <c r="E246" s="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</row>
    <row r="247">
      <c r="A247" s="7"/>
      <c r="B247" s="6"/>
      <c r="C247" s="7"/>
      <c r="D247" s="7"/>
      <c r="E247" s="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</row>
    <row r="248">
      <c r="A248" s="7"/>
      <c r="B248" s="6"/>
      <c r="C248" s="7"/>
      <c r="D248" s="7"/>
      <c r="E248" s="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</row>
    <row r="249">
      <c r="A249" s="7"/>
      <c r="B249" s="6"/>
      <c r="C249" s="7"/>
      <c r="D249" s="7"/>
      <c r="E249" s="6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</row>
    <row r="250">
      <c r="A250" s="7"/>
      <c r="B250" s="6"/>
      <c r="C250" s="7"/>
      <c r="D250" s="7"/>
      <c r="E250" s="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</row>
    <row r="251">
      <c r="A251" s="7"/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</row>
    <row r="252">
      <c r="A252" s="7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</row>
    <row r="253">
      <c r="A253" s="7"/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</row>
    <row r="254">
      <c r="A254" s="7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</row>
    <row r="255">
      <c r="A255" s="7"/>
      <c r="B255" s="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</row>
    <row r="256">
      <c r="A256" s="7"/>
      <c r="B256" s="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</row>
    <row r="257">
      <c r="A257" s="7"/>
      <c r="B257" s="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</row>
    <row r="258">
      <c r="A258" s="7"/>
      <c r="B258" s="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</row>
    <row r="259">
      <c r="A259" s="7"/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</row>
    <row r="260">
      <c r="A260" s="7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</row>
    <row r="261">
      <c r="A261" s="7"/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</row>
    <row r="262">
      <c r="A262" s="7"/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</row>
    <row r="263">
      <c r="A263" s="7"/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</row>
    <row r="264">
      <c r="A264" s="7"/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</row>
    <row r="265">
      <c r="A265" s="7"/>
      <c r="B265" s="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</row>
    <row r="266">
      <c r="A266" s="7"/>
      <c r="B266" s="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</row>
    <row r="267">
      <c r="A267" s="7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</row>
    <row r="268">
      <c r="A268" s="7"/>
      <c r="B268" s="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</row>
    <row r="269">
      <c r="A269" s="7"/>
      <c r="B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</row>
    <row r="270">
      <c r="A270" s="7"/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</row>
    <row r="271">
      <c r="A271" s="7"/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</row>
    <row r="272">
      <c r="A272" s="7"/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</row>
    <row r="273">
      <c r="A273" s="7"/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</row>
    <row r="274">
      <c r="A274" s="7"/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</row>
    <row r="275">
      <c r="A275" s="7"/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</row>
    <row r="276">
      <c r="A276" s="7"/>
      <c r="B276" s="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</row>
    <row r="277">
      <c r="A277" s="7"/>
      <c r="B277" s="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</row>
    <row r="278">
      <c r="A278" s="7"/>
      <c r="B278" s="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</row>
    <row r="279">
      <c r="A279" s="7"/>
      <c r="B279" s="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</row>
    <row r="280">
      <c r="A280" s="7"/>
      <c r="B280" s="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</row>
    <row r="281">
      <c r="A281" s="7"/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</row>
    <row r="282">
      <c r="A282" s="7"/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</row>
    <row r="283">
      <c r="A283" s="7"/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</row>
    <row r="284">
      <c r="A284" s="7"/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</row>
    <row r="285">
      <c r="A285" s="7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</row>
    <row r="286">
      <c r="A286" s="7"/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</row>
    <row r="287">
      <c r="A287" s="7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</row>
    <row r="288">
      <c r="A288" s="7"/>
      <c r="B288" s="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</row>
    <row r="289">
      <c r="A289" s="7"/>
      <c r="B289" s="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</row>
    <row r="290">
      <c r="A290" s="7"/>
      <c r="B290" s="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</row>
    <row r="291">
      <c r="A291" s="7"/>
      <c r="B291" s="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</row>
    <row r="292">
      <c r="A292" s="7"/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</row>
    <row r="293">
      <c r="A293" s="7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</row>
    <row r="294">
      <c r="A294" s="7"/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</row>
    <row r="295">
      <c r="A295" s="7"/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</row>
    <row r="296">
      <c r="A296" s="7"/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</row>
    <row r="297">
      <c r="A297" s="7"/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</row>
    <row r="298">
      <c r="A298" s="7"/>
      <c r="B298" s="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</row>
    <row r="299">
      <c r="A299" s="7"/>
      <c r="B299" s="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</row>
    <row r="300">
      <c r="A300" s="7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</row>
    <row r="301">
      <c r="A301" s="7"/>
      <c r="B301" s="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</row>
    <row r="302">
      <c r="A302" s="7"/>
      <c r="B302" s="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</row>
    <row r="303">
      <c r="A303" s="7"/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</row>
    <row r="304">
      <c r="A304" s="7"/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</row>
    <row r="305">
      <c r="A305" s="7"/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</row>
    <row r="306">
      <c r="A306" s="7"/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</row>
    <row r="307">
      <c r="A307" s="7"/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</row>
    <row r="308">
      <c r="A308" s="7"/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</row>
    <row r="309">
      <c r="A309" s="7"/>
      <c r="B309" s="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</row>
    <row r="310">
      <c r="A310" s="7"/>
      <c r="B310" s="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</row>
    <row r="311">
      <c r="A311" s="7"/>
      <c r="B311" s="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</row>
    <row r="312">
      <c r="A312" s="7"/>
      <c r="B312" s="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</row>
    <row r="313">
      <c r="A313" s="7"/>
      <c r="B313" s="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</row>
    <row r="314">
      <c r="A314" s="7"/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</row>
    <row r="315">
      <c r="A315" s="7"/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</row>
    <row r="316">
      <c r="A316" s="7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</row>
    <row r="317">
      <c r="A317" s="7"/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</row>
    <row r="318">
      <c r="A318" s="7"/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</row>
    <row r="319">
      <c r="A319" s="7"/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</row>
    <row r="320">
      <c r="A320" s="7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</row>
    <row r="321">
      <c r="A321" s="7"/>
      <c r="B321" s="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</row>
    <row r="322">
      <c r="A322" s="7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</row>
    <row r="323">
      <c r="A323" s="7"/>
      <c r="B323" s="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</row>
    <row r="324">
      <c r="A324" s="7"/>
      <c r="B324" s="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</row>
    <row r="325">
      <c r="A325" s="7"/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</row>
    <row r="326">
      <c r="A326" s="7"/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</row>
    <row r="327">
      <c r="A327" s="7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</row>
    <row r="328">
      <c r="A328" s="7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</row>
    <row r="329">
      <c r="A329" s="7"/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</row>
    <row r="330">
      <c r="A330" s="7"/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</row>
    <row r="331">
      <c r="A331" s="7"/>
      <c r="B331" s="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</row>
    <row r="332">
      <c r="A332" s="7"/>
      <c r="B332" s="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</row>
    <row r="333">
      <c r="A333" s="7"/>
      <c r="B333" s="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</row>
    <row r="334">
      <c r="A334" s="7"/>
      <c r="B334" s="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</row>
    <row r="335">
      <c r="A335" s="7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</row>
    <row r="336">
      <c r="A336" s="7"/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</row>
    <row r="337">
      <c r="A337" s="7"/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</row>
    <row r="338">
      <c r="A338" s="7"/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</row>
    <row r="339">
      <c r="A339" s="7"/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</row>
    <row r="340">
      <c r="A340" s="7"/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</row>
    <row r="341">
      <c r="A341" s="7"/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</row>
    <row r="342">
      <c r="A342" s="7"/>
      <c r="B342" s="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</row>
    <row r="343">
      <c r="A343" s="7"/>
      <c r="B343" s="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</row>
    <row r="344">
      <c r="A344" s="7"/>
      <c r="B344" s="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</row>
    <row r="345">
      <c r="A345" s="7"/>
      <c r="B345" s="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</row>
    <row r="346">
      <c r="A346" s="7"/>
      <c r="B346" s="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</row>
    <row r="347">
      <c r="A347" s="7"/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</row>
    <row r="348">
      <c r="A348" s="7"/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</row>
    <row r="349">
      <c r="A349" s="7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</row>
    <row r="350">
      <c r="A350" s="7"/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</row>
    <row r="351">
      <c r="A351" s="7"/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</row>
    <row r="352">
      <c r="A352" s="7"/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</row>
    <row r="353">
      <c r="A353" s="7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</row>
    <row r="354">
      <c r="A354" s="7"/>
      <c r="B354" s="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</row>
    <row r="355">
      <c r="A355" s="7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</row>
    <row r="356">
      <c r="A356" s="7"/>
      <c r="B356" s="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</row>
    <row r="357">
      <c r="A357" s="7"/>
      <c r="B357" s="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</row>
    <row r="358">
      <c r="A358" s="7"/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</row>
    <row r="359">
      <c r="A359" s="7"/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</row>
    <row r="360">
      <c r="A360" s="7"/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</row>
    <row r="361">
      <c r="A361" s="7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</row>
    <row r="362">
      <c r="A362" s="7"/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</row>
    <row r="363">
      <c r="A363" s="7"/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</row>
    <row r="364">
      <c r="A364" s="7"/>
      <c r="B364" s="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</row>
    <row r="365">
      <c r="A365" s="7"/>
      <c r="B365" s="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</row>
    <row r="366">
      <c r="A366" s="7"/>
      <c r="B366" s="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</row>
    <row r="367">
      <c r="A367" s="7"/>
      <c r="B367" s="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</row>
    <row r="368">
      <c r="A368" s="7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</row>
    <row r="369">
      <c r="A369" s="7"/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</row>
    <row r="370">
      <c r="A370" s="7"/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</row>
    <row r="371">
      <c r="A371" s="7"/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</row>
    <row r="372">
      <c r="A372" s="7"/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</row>
    <row r="373">
      <c r="A373" s="7"/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</row>
    <row r="374">
      <c r="A374" s="7"/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</row>
    <row r="375">
      <c r="A375" s="7"/>
      <c r="B375" s="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</row>
    <row r="376">
      <c r="A376" s="7"/>
      <c r="B376" s="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</row>
    <row r="377">
      <c r="A377" s="7"/>
      <c r="B377" s="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</row>
    <row r="378">
      <c r="A378" s="7"/>
      <c r="B378" s="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</row>
    <row r="379">
      <c r="A379" s="7"/>
      <c r="B379" s="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</row>
    <row r="380">
      <c r="A380" s="7"/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</row>
    <row r="381">
      <c r="A381" s="7"/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</row>
    <row r="382">
      <c r="A382" s="7"/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</row>
    <row r="383">
      <c r="A383" s="7"/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</row>
    <row r="384">
      <c r="A384" s="7"/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</row>
    <row r="385">
      <c r="A385" s="7"/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</row>
    <row r="386">
      <c r="A386" s="7"/>
      <c r="B386" s="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</row>
    <row r="387">
      <c r="A387" s="7"/>
      <c r="B387" s="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</row>
    <row r="388">
      <c r="A388" s="7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</row>
    <row r="389">
      <c r="A389" s="7"/>
      <c r="B389" s="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</row>
    <row r="390">
      <c r="A390" s="7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</row>
    <row r="391">
      <c r="A391" s="7"/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</row>
    <row r="392">
      <c r="A392" s="7"/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</row>
    <row r="393">
      <c r="A393" s="7"/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</row>
    <row r="394">
      <c r="A394" s="7"/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</row>
    <row r="395">
      <c r="A395" s="7"/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</row>
    <row r="396">
      <c r="A396" s="7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</row>
    <row r="397">
      <c r="A397" s="7"/>
      <c r="B397" s="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</row>
    <row r="398">
      <c r="A398" s="7"/>
      <c r="B398" s="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</row>
    <row r="399">
      <c r="A399" s="7"/>
      <c r="B399" s="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</row>
    <row r="400">
      <c r="A400" s="7"/>
      <c r="B400" s="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</row>
    <row r="401">
      <c r="A401" s="7"/>
      <c r="B401" s="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</row>
    <row r="402">
      <c r="A402" s="7"/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</row>
    <row r="403">
      <c r="A403" s="7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</row>
    <row r="404">
      <c r="A404" s="7"/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</row>
    <row r="405">
      <c r="A405" s="7"/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</row>
    <row r="406">
      <c r="A406" s="7"/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</row>
    <row r="407">
      <c r="A407" s="7"/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</row>
    <row r="408">
      <c r="A408" s="7"/>
      <c r="B408" s="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</row>
    <row r="409">
      <c r="A409" s="7"/>
      <c r="B409" s="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</row>
    <row r="410">
      <c r="A410" s="7"/>
      <c r="B410" s="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</row>
    <row r="411">
      <c r="A411" s="7"/>
      <c r="B411" s="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</row>
    <row r="412">
      <c r="A412" s="7"/>
      <c r="B412" s="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</row>
    <row r="413">
      <c r="A413" s="7"/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</row>
    <row r="414">
      <c r="A414" s="7"/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</row>
    <row r="415">
      <c r="A415" s="7"/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</row>
    <row r="416">
      <c r="A416" s="7"/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</row>
    <row r="417">
      <c r="A417" s="7"/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</row>
    <row r="418">
      <c r="A418" s="7"/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</row>
    <row r="419">
      <c r="A419" s="7"/>
      <c r="B419" s="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</row>
    <row r="420">
      <c r="A420" s="7"/>
      <c r="B420" s="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</row>
    <row r="421">
      <c r="A421" s="7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</row>
    <row r="422">
      <c r="A422" s="7"/>
      <c r="B422" s="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</row>
    <row r="423">
      <c r="A423" s="7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</row>
    <row r="424">
      <c r="A424" s="7"/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</row>
    <row r="425">
      <c r="A425" s="7"/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</row>
    <row r="426">
      <c r="A426" s="7"/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</row>
    <row r="427">
      <c r="A427" s="7"/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</row>
    <row r="428">
      <c r="A428" s="7"/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</row>
    <row r="429">
      <c r="A429" s="7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</row>
    <row r="430">
      <c r="A430" s="7"/>
      <c r="B430" s="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</row>
    <row r="431">
      <c r="A431" s="7"/>
      <c r="B431" s="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</row>
    <row r="432">
      <c r="A432" s="7"/>
      <c r="B432" s="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</row>
    <row r="433">
      <c r="A433" s="7"/>
      <c r="B433" s="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</row>
    <row r="434">
      <c r="A434" s="7"/>
      <c r="B434" s="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</row>
    <row r="435">
      <c r="A435" s="7"/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</row>
    <row r="436">
      <c r="A436" s="7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</row>
    <row r="437">
      <c r="A437" s="7"/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</row>
    <row r="438">
      <c r="A438" s="7"/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</row>
    <row r="439">
      <c r="A439" s="7"/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</row>
    <row r="440">
      <c r="A440" s="7"/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</row>
    <row r="441">
      <c r="A441" s="7"/>
      <c r="B441" s="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</row>
    <row r="442">
      <c r="A442" s="7"/>
      <c r="B442" s="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</row>
    <row r="443">
      <c r="A443" s="7"/>
      <c r="B443" s="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</row>
    <row r="444">
      <c r="A444" s="7"/>
      <c r="B444" s="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</row>
    <row r="445">
      <c r="A445" s="7"/>
      <c r="B445" s="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</row>
    <row r="446">
      <c r="A446" s="7"/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</row>
    <row r="447">
      <c r="A447" s="7"/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</row>
    <row r="448">
      <c r="A448" s="7"/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</row>
    <row r="449">
      <c r="A449" s="7"/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</row>
    <row r="450">
      <c r="A450" s="7"/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</row>
    <row r="451">
      <c r="A451" s="7"/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</row>
    <row r="452">
      <c r="A452" s="7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</row>
    <row r="453">
      <c r="A453" s="7"/>
      <c r="B453" s="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</row>
    <row r="454">
      <c r="A454" s="7"/>
      <c r="B454" s="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</row>
    <row r="455">
      <c r="A455" s="7"/>
      <c r="B455" s="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</row>
    <row r="456">
      <c r="A456" s="7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</row>
    <row r="457">
      <c r="A457" s="7"/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</row>
    <row r="458">
      <c r="A458" s="7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</row>
    <row r="459">
      <c r="A459" s="7"/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</row>
    <row r="460">
      <c r="A460" s="7"/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</row>
    <row r="461">
      <c r="A461" s="7"/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</row>
    <row r="462">
      <c r="A462" s="7"/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</row>
    <row r="463">
      <c r="A463" s="7"/>
      <c r="B463" s="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</row>
    <row r="464">
      <c r="A464" s="7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</row>
    <row r="465">
      <c r="A465" s="7"/>
      <c r="B465" s="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</row>
    <row r="466">
      <c r="A466" s="7"/>
      <c r="B466" s="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</row>
    <row r="467">
      <c r="A467" s="7"/>
      <c r="B467" s="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</row>
    <row r="468">
      <c r="A468" s="7"/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</row>
    <row r="469">
      <c r="A469" s="7"/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</row>
    <row r="470">
      <c r="A470" s="7"/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</row>
    <row r="471">
      <c r="A471" s="7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</row>
    <row r="472">
      <c r="A472" s="7"/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</row>
    <row r="473">
      <c r="A473" s="7"/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</row>
    <row r="474">
      <c r="A474" s="7"/>
      <c r="B474" s="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</row>
    <row r="475">
      <c r="A475" s="7"/>
      <c r="B475" s="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</row>
    <row r="476">
      <c r="A476" s="7"/>
      <c r="B476" s="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</row>
    <row r="477">
      <c r="A477" s="7"/>
      <c r="B477" s="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</row>
    <row r="478">
      <c r="A478" s="7"/>
      <c r="B478" s="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</row>
    <row r="479">
      <c r="A479" s="7"/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</row>
    <row r="480">
      <c r="A480" s="7"/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</row>
    <row r="481">
      <c r="A481" s="7"/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</row>
    <row r="482">
      <c r="A482" s="7"/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</row>
    <row r="483">
      <c r="A483" s="7"/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</row>
    <row r="484">
      <c r="A484" s="7"/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</row>
    <row r="485">
      <c r="A485" s="7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</row>
    <row r="486">
      <c r="A486" s="7"/>
      <c r="B486" s="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</row>
    <row r="487">
      <c r="A487" s="7"/>
      <c r="B487" s="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</row>
    <row r="488">
      <c r="A488" s="7"/>
      <c r="B488" s="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</row>
    <row r="489">
      <c r="A489" s="7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</row>
    <row r="490">
      <c r="A490" s="7"/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</row>
    <row r="491">
      <c r="A491" s="7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</row>
    <row r="492">
      <c r="A492" s="7"/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</row>
    <row r="493">
      <c r="A493" s="7"/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</row>
    <row r="494">
      <c r="A494" s="7"/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</row>
    <row r="495">
      <c r="A495" s="7"/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</row>
    <row r="496">
      <c r="A496" s="7"/>
      <c r="B496" s="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</row>
    <row r="497">
      <c r="A497" s="7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</row>
    <row r="498">
      <c r="A498" s="7"/>
      <c r="B498" s="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</row>
    <row r="499">
      <c r="A499" s="7"/>
      <c r="B499" s="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</row>
    <row r="500">
      <c r="A500" s="7"/>
      <c r="B500" s="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</row>
    <row r="501">
      <c r="A501" s="7"/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</row>
    <row r="502">
      <c r="A502" s="7"/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</row>
    <row r="503">
      <c r="A503" s="7"/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</row>
    <row r="504">
      <c r="A504" s="7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</row>
    <row r="505">
      <c r="A505" s="7"/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</row>
    <row r="506">
      <c r="A506" s="7"/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</row>
    <row r="507">
      <c r="A507" s="7"/>
      <c r="B507" s="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</row>
    <row r="508">
      <c r="A508" s="7"/>
      <c r="B508" s="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</row>
    <row r="509">
      <c r="A509" s="7"/>
      <c r="B509" s="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</row>
    <row r="510">
      <c r="A510" s="7"/>
      <c r="B510" s="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</row>
    <row r="511">
      <c r="A511" s="7"/>
      <c r="B511" s="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</row>
    <row r="512">
      <c r="A512" s="7"/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</row>
    <row r="513">
      <c r="A513" s="7"/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</row>
    <row r="514">
      <c r="A514" s="7"/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</row>
    <row r="515">
      <c r="A515" s="7"/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</row>
    <row r="516">
      <c r="A516" s="7"/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</row>
    <row r="517">
      <c r="A517" s="7"/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</row>
    <row r="518">
      <c r="A518" s="7"/>
      <c r="B518" s="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</row>
    <row r="519">
      <c r="A519" s="7"/>
      <c r="B519" s="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</row>
    <row r="520">
      <c r="A520" s="7"/>
      <c r="B520" s="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</row>
    <row r="521">
      <c r="A521" s="7"/>
      <c r="B521" s="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</row>
    <row r="522">
      <c r="A522" s="7"/>
      <c r="B522" s="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</row>
    <row r="523">
      <c r="A523" s="7"/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</row>
    <row r="524">
      <c r="A524" s="7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</row>
    <row r="525">
      <c r="A525" s="7"/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</row>
    <row r="526">
      <c r="A526" s="7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</row>
    <row r="527">
      <c r="A527" s="7"/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</row>
    <row r="528">
      <c r="A528" s="7"/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</row>
    <row r="529">
      <c r="A529" s="7"/>
      <c r="B529" s="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</row>
    <row r="530">
      <c r="A530" s="7"/>
      <c r="B530" s="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</row>
    <row r="531">
      <c r="A531" s="7"/>
      <c r="B531" s="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</row>
    <row r="532">
      <c r="A532" s="7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</row>
    <row r="533">
      <c r="A533" s="7"/>
      <c r="B533" s="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</row>
    <row r="534">
      <c r="A534" s="7"/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</row>
    <row r="535">
      <c r="A535" s="7"/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</row>
    <row r="536">
      <c r="A536" s="7"/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</row>
    <row r="537">
      <c r="A537" s="7"/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</row>
    <row r="538">
      <c r="A538" s="7"/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</row>
    <row r="539">
      <c r="A539" s="7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</row>
    <row r="540">
      <c r="A540" s="7"/>
      <c r="B540" s="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</row>
    <row r="541">
      <c r="A541" s="7"/>
      <c r="B541" s="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</row>
    <row r="542">
      <c r="A542" s="7"/>
      <c r="B542" s="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</row>
    <row r="543">
      <c r="A543" s="7"/>
      <c r="B543" s="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</row>
    <row r="544">
      <c r="A544" s="7"/>
      <c r="B544" s="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</row>
    <row r="545">
      <c r="A545" s="7"/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</row>
    <row r="546">
      <c r="A546" s="7"/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</row>
    <row r="547">
      <c r="A547" s="7"/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</row>
    <row r="548">
      <c r="A548" s="7"/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</row>
    <row r="549">
      <c r="A549" s="7"/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</row>
    <row r="550">
      <c r="A550" s="7"/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</row>
    <row r="551">
      <c r="A551" s="7"/>
      <c r="B551" s="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</row>
    <row r="552">
      <c r="A552" s="7"/>
      <c r="B552" s="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</row>
    <row r="553">
      <c r="A553" s="7"/>
      <c r="B553" s="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</row>
    <row r="554">
      <c r="A554" s="7"/>
      <c r="B554" s="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</row>
    <row r="555">
      <c r="A555" s="7"/>
      <c r="B555" s="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</row>
    <row r="556">
      <c r="A556" s="7"/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</row>
    <row r="557">
      <c r="A557" s="7"/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</row>
    <row r="558">
      <c r="A558" s="7"/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</row>
    <row r="559">
      <c r="A559" s="7"/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</row>
    <row r="560">
      <c r="A560" s="7"/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</row>
    <row r="561">
      <c r="A561" s="7"/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</row>
    <row r="562">
      <c r="A562" s="7"/>
      <c r="B562" s="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</row>
    <row r="563">
      <c r="A563" s="7"/>
      <c r="B563" s="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</row>
    <row r="564">
      <c r="A564" s="7"/>
      <c r="B564" s="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</row>
    <row r="565">
      <c r="A565" s="7"/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</row>
    <row r="566">
      <c r="A566" s="7"/>
      <c r="B566" s="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</row>
    <row r="567">
      <c r="A567" s="7"/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</row>
    <row r="568">
      <c r="A568" s="7"/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</row>
    <row r="569">
      <c r="A569" s="7"/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</row>
    <row r="570">
      <c r="A570" s="7"/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</row>
    <row r="571">
      <c r="A571" s="7"/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</row>
    <row r="572">
      <c r="A572" s="7"/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</row>
    <row r="573">
      <c r="A573" s="7"/>
      <c r="B573" s="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</row>
    <row r="574">
      <c r="A574" s="7"/>
      <c r="B574" s="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</row>
    <row r="575">
      <c r="A575" s="7"/>
      <c r="B575" s="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</row>
    <row r="576">
      <c r="A576" s="7"/>
      <c r="B576" s="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</row>
    <row r="577">
      <c r="A577" s="7"/>
      <c r="B577" s="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</row>
    <row r="578">
      <c r="A578" s="7"/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</row>
    <row r="579">
      <c r="A579" s="7"/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</row>
    <row r="580">
      <c r="A580" s="7"/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</row>
    <row r="581">
      <c r="A581" s="7"/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</row>
    <row r="582">
      <c r="A582" s="7"/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</row>
    <row r="583">
      <c r="A583" s="7"/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</row>
    <row r="584">
      <c r="A584" s="7"/>
      <c r="B584" s="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</row>
    <row r="585">
      <c r="A585" s="7"/>
      <c r="B585" s="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</row>
    <row r="586">
      <c r="A586" s="7"/>
      <c r="B586" s="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</row>
    <row r="587">
      <c r="A587" s="7"/>
      <c r="B587" s="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</row>
    <row r="588">
      <c r="A588" s="7"/>
      <c r="B588" s="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</row>
    <row r="589">
      <c r="A589" s="7"/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</row>
    <row r="590">
      <c r="A590" s="7"/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</row>
    <row r="591">
      <c r="A591" s="7"/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</row>
    <row r="592">
      <c r="A592" s="7"/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</row>
    <row r="593">
      <c r="A593" s="7"/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</row>
    <row r="594">
      <c r="A594" s="7"/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</row>
    <row r="595">
      <c r="A595" s="7"/>
      <c r="B595" s="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</row>
    <row r="596">
      <c r="A596" s="7"/>
      <c r="B596" s="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</row>
    <row r="597">
      <c r="A597" s="7"/>
      <c r="B597" s="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</row>
    <row r="598">
      <c r="A598" s="7"/>
      <c r="B598" s="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</row>
    <row r="599">
      <c r="A599" s="7"/>
      <c r="B599" s="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</row>
    <row r="600">
      <c r="A600" s="7"/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</row>
    <row r="601">
      <c r="A601" s="7"/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</row>
    <row r="602">
      <c r="A602" s="7"/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</row>
    <row r="603">
      <c r="A603" s="7"/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</row>
    <row r="604">
      <c r="A604" s="7"/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</row>
    <row r="605">
      <c r="A605" s="7"/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</row>
    <row r="606">
      <c r="A606" s="7"/>
      <c r="B606" s="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</row>
    <row r="607">
      <c r="A607" s="7"/>
      <c r="B607" s="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</row>
    <row r="608">
      <c r="A608" s="7"/>
      <c r="B608" s="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</row>
    <row r="609">
      <c r="A609" s="7"/>
      <c r="B609" s="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</row>
    <row r="610">
      <c r="A610" s="7"/>
      <c r="B610" s="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</row>
    <row r="611">
      <c r="A611" s="7"/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</row>
    <row r="612">
      <c r="A612" s="7"/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</row>
    <row r="613">
      <c r="A613" s="7"/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</row>
    <row r="614">
      <c r="A614" s="7"/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</row>
    <row r="615">
      <c r="A615" s="7"/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</row>
    <row r="616">
      <c r="A616" s="7"/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</row>
    <row r="617">
      <c r="A617" s="7"/>
      <c r="B617" s="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</row>
    <row r="618">
      <c r="A618" s="7"/>
      <c r="B618" s="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</row>
    <row r="619">
      <c r="A619" s="7"/>
      <c r="B619" s="6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</row>
    <row r="620">
      <c r="A620" s="7"/>
      <c r="B620" s="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</row>
    <row r="621">
      <c r="A621" s="7"/>
      <c r="B621" s="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</row>
    <row r="622">
      <c r="A622" s="7"/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</row>
    <row r="623">
      <c r="A623" s="7"/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</row>
    <row r="624">
      <c r="A624" s="7"/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</row>
    <row r="625">
      <c r="A625" s="7"/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</row>
    <row r="626">
      <c r="A626" s="7"/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</row>
    <row r="627">
      <c r="A627" s="7"/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</row>
    <row r="628">
      <c r="A628" s="7"/>
      <c r="B628" s="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</row>
    <row r="629">
      <c r="A629" s="7"/>
      <c r="B629" s="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</row>
    <row r="630">
      <c r="A630" s="7"/>
      <c r="B630" s="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</row>
    <row r="631">
      <c r="A631" s="7"/>
      <c r="B631" s="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</row>
    <row r="632">
      <c r="A632" s="7"/>
      <c r="B632" s="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</row>
    <row r="633">
      <c r="A633" s="7"/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</row>
    <row r="634">
      <c r="A634" s="7"/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</row>
    <row r="635">
      <c r="A635" s="7"/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</row>
    <row r="636">
      <c r="A636" s="7"/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</row>
    <row r="637">
      <c r="A637" s="7"/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</row>
    <row r="638">
      <c r="A638" s="7"/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</row>
    <row r="639">
      <c r="A639" s="7"/>
      <c r="B639" s="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</row>
    <row r="640">
      <c r="A640" s="7"/>
      <c r="B640" s="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</row>
    <row r="641">
      <c r="A641" s="7"/>
      <c r="B641" s="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</row>
    <row r="642">
      <c r="A642" s="7"/>
      <c r="B642" s="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</row>
    <row r="643">
      <c r="A643" s="7"/>
      <c r="B643" s="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</row>
    <row r="644">
      <c r="A644" s="7"/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</row>
    <row r="645">
      <c r="A645" s="7"/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</row>
    <row r="646">
      <c r="A646" s="7"/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</row>
    <row r="647">
      <c r="A647" s="7"/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</row>
    <row r="648">
      <c r="A648" s="7"/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</row>
    <row r="649">
      <c r="A649" s="7"/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</row>
    <row r="650">
      <c r="A650" s="7"/>
      <c r="B650" s="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</row>
    <row r="651">
      <c r="A651" s="7"/>
      <c r="B651" s="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</row>
    <row r="652">
      <c r="A652" s="7"/>
      <c r="B652" s="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</row>
    <row r="653">
      <c r="A653" s="7"/>
      <c r="B653" s="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</row>
    <row r="654">
      <c r="A654" s="7"/>
      <c r="B654" s="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</row>
    <row r="655">
      <c r="A655" s="7"/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</row>
    <row r="656">
      <c r="A656" s="7"/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</row>
    <row r="657">
      <c r="A657" s="7"/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</row>
    <row r="658">
      <c r="A658" s="7"/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</row>
    <row r="659">
      <c r="A659" s="7"/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</row>
    <row r="660">
      <c r="A660" s="7"/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</row>
    <row r="661">
      <c r="A661" s="7"/>
      <c r="B661" s="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</row>
    <row r="662">
      <c r="A662" s="7"/>
      <c r="B662" s="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</row>
    <row r="663">
      <c r="A663" s="7"/>
      <c r="B663" s="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</row>
    <row r="664">
      <c r="A664" s="7"/>
      <c r="B664" s="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</row>
    <row r="665">
      <c r="A665" s="7"/>
      <c r="B665" s="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</row>
    <row r="666">
      <c r="A666" s="7"/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</row>
    <row r="667">
      <c r="A667" s="7"/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</row>
    <row r="668">
      <c r="A668" s="7"/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</row>
    <row r="669">
      <c r="A669" s="7"/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</row>
    <row r="670">
      <c r="A670" s="7"/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</row>
    <row r="671">
      <c r="A671" s="7"/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</row>
    <row r="672">
      <c r="A672" s="7"/>
      <c r="B672" s="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</row>
    <row r="673">
      <c r="A673" s="7"/>
      <c r="B673" s="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</row>
    <row r="674">
      <c r="A674" s="7"/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</row>
    <row r="675">
      <c r="A675" s="7"/>
      <c r="B675" s="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</row>
    <row r="676">
      <c r="A676" s="7"/>
      <c r="B676" s="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</row>
    <row r="677">
      <c r="A677" s="7"/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</row>
    <row r="678">
      <c r="A678" s="7"/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</row>
    <row r="679">
      <c r="A679" s="7"/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</row>
    <row r="680">
      <c r="A680" s="7"/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</row>
    <row r="681">
      <c r="A681" s="7"/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</row>
    <row r="682">
      <c r="A682" s="7"/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</row>
    <row r="683">
      <c r="A683" s="7"/>
      <c r="B683" s="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</row>
    <row r="684">
      <c r="A684" s="7"/>
      <c r="B684" s="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</row>
    <row r="685">
      <c r="A685" s="7"/>
      <c r="B685" s="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</row>
    <row r="686">
      <c r="A686" s="7"/>
      <c r="B686" s="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</row>
    <row r="687">
      <c r="A687" s="7"/>
      <c r="B687" s="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</row>
    <row r="688">
      <c r="A688" s="7"/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</row>
    <row r="689">
      <c r="A689" s="7"/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</row>
    <row r="690">
      <c r="A690" s="7"/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</row>
    <row r="691">
      <c r="A691" s="7"/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</row>
    <row r="692">
      <c r="A692" s="7"/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</row>
    <row r="693">
      <c r="A693" s="7"/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</row>
    <row r="694">
      <c r="A694" s="7"/>
      <c r="B694" s="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</row>
    <row r="695">
      <c r="A695" s="7"/>
      <c r="B695" s="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</row>
    <row r="696">
      <c r="A696" s="7"/>
      <c r="B696" s="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</row>
    <row r="697">
      <c r="A697" s="7"/>
      <c r="B697" s="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</row>
    <row r="698">
      <c r="A698" s="7"/>
      <c r="B698" s="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</row>
    <row r="699">
      <c r="A699" s="7"/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</row>
    <row r="700">
      <c r="A700" s="7"/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</row>
    <row r="701">
      <c r="A701" s="7"/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</row>
    <row r="702">
      <c r="A702" s="7"/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</row>
    <row r="703">
      <c r="A703" s="7"/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</row>
    <row r="704">
      <c r="A704" s="7"/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</row>
    <row r="705">
      <c r="A705" s="7"/>
      <c r="B705" s="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</row>
    <row r="706">
      <c r="A706" s="7"/>
      <c r="B706" s="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</row>
    <row r="707">
      <c r="A707" s="7"/>
      <c r="B707" s="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</row>
    <row r="708">
      <c r="A708" s="7"/>
      <c r="B708" s="6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</row>
    <row r="709">
      <c r="A709" s="7"/>
      <c r="B709" s="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</row>
    <row r="710">
      <c r="A710" s="7"/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</row>
    <row r="711">
      <c r="A711" s="7"/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</row>
    <row r="712">
      <c r="A712" s="7"/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</row>
    <row r="713">
      <c r="A713" s="7"/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</row>
    <row r="714">
      <c r="A714" s="7"/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</row>
    <row r="715">
      <c r="A715" s="7"/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</row>
    <row r="716">
      <c r="A716" s="7"/>
      <c r="B716" s="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</row>
    <row r="717">
      <c r="A717" s="7"/>
      <c r="B717" s="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</row>
    <row r="718">
      <c r="A718" s="7"/>
      <c r="B718" s="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</row>
    <row r="719">
      <c r="A719" s="7"/>
      <c r="B719" s="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</row>
    <row r="720">
      <c r="A720" s="7"/>
      <c r="B720" s="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</row>
    <row r="721">
      <c r="A721" s="7"/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</row>
    <row r="722">
      <c r="A722" s="7"/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</row>
    <row r="723">
      <c r="A723" s="7"/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</row>
    <row r="724">
      <c r="A724" s="7"/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</row>
    <row r="725">
      <c r="A725" s="7"/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</row>
    <row r="726">
      <c r="A726" s="7"/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</row>
    <row r="727">
      <c r="A727" s="7"/>
      <c r="B727" s="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</row>
    <row r="728">
      <c r="A728" s="7"/>
      <c r="B728" s="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</row>
    <row r="729">
      <c r="A729" s="7"/>
      <c r="B729" s="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</row>
    <row r="730">
      <c r="A730" s="7"/>
      <c r="B730" s="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</row>
    <row r="731">
      <c r="A731" s="7"/>
      <c r="B731" s="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</row>
    <row r="732">
      <c r="A732" s="7"/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</row>
    <row r="733">
      <c r="A733" s="7"/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</row>
    <row r="734">
      <c r="A734" s="7"/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</row>
    <row r="735">
      <c r="A735" s="7"/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</row>
    <row r="736">
      <c r="A736" s="7"/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</row>
    <row r="737">
      <c r="A737" s="7"/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</row>
    <row r="738">
      <c r="A738" s="7"/>
      <c r="B738" s="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</row>
    <row r="739">
      <c r="A739" s="7"/>
      <c r="B739" s="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</row>
    <row r="740">
      <c r="A740" s="7"/>
      <c r="B740" s="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</row>
    <row r="741">
      <c r="A741" s="7"/>
      <c r="B741" s="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</row>
    <row r="742">
      <c r="A742" s="7"/>
      <c r="B742" s="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</row>
    <row r="743">
      <c r="A743" s="7"/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</row>
    <row r="744">
      <c r="A744" s="7"/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</row>
    <row r="745">
      <c r="A745" s="7"/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</row>
    <row r="746">
      <c r="A746" s="7"/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</row>
    <row r="747">
      <c r="A747" s="7"/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</row>
    <row r="748">
      <c r="A748" s="7"/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</row>
    <row r="749">
      <c r="A749" s="7"/>
      <c r="B749" s="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</row>
    <row r="750">
      <c r="A750" s="7"/>
      <c r="B750" s="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</row>
    <row r="751">
      <c r="A751" s="7"/>
      <c r="B751" s="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</row>
    <row r="752">
      <c r="A752" s="7"/>
      <c r="B752" s="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</row>
    <row r="753">
      <c r="A753" s="7"/>
      <c r="B753" s="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</row>
    <row r="754">
      <c r="A754" s="7"/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</row>
    <row r="755">
      <c r="A755" s="7"/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</row>
    <row r="756">
      <c r="A756" s="7"/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</row>
    <row r="757">
      <c r="A757" s="7"/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</row>
    <row r="758">
      <c r="A758" s="7"/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</row>
    <row r="759">
      <c r="A759" s="7"/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</row>
    <row r="760">
      <c r="A760" s="7"/>
      <c r="B760" s="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</row>
    <row r="761">
      <c r="A761" s="7"/>
      <c r="B761" s="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</row>
    <row r="762">
      <c r="A762" s="7"/>
      <c r="B762" s="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</row>
    <row r="763">
      <c r="A763" s="7"/>
      <c r="B763" s="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</row>
    <row r="764">
      <c r="A764" s="7"/>
      <c r="B764" s="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</row>
    <row r="765">
      <c r="A765" s="7"/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</row>
    <row r="766">
      <c r="A766" s="7"/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</row>
    <row r="767">
      <c r="A767" s="7"/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</row>
    <row r="768">
      <c r="A768" s="7"/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</row>
    <row r="769">
      <c r="A769" s="7"/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</row>
    <row r="770">
      <c r="A770" s="7"/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</row>
    <row r="771">
      <c r="A771" s="7"/>
      <c r="B771" s="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</row>
    <row r="772">
      <c r="A772" s="7"/>
      <c r="B772" s="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</row>
    <row r="773">
      <c r="A773" s="7"/>
      <c r="B773" s="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</row>
    <row r="774">
      <c r="A774" s="7"/>
      <c r="B774" s="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</row>
    <row r="775">
      <c r="A775" s="7"/>
      <c r="B775" s="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</row>
    <row r="776">
      <c r="A776" s="7"/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</row>
    <row r="777">
      <c r="A777" s="7"/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</row>
    <row r="778">
      <c r="A778" s="7"/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</row>
    <row r="779">
      <c r="A779" s="7"/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</row>
    <row r="780">
      <c r="A780" s="7"/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</row>
    <row r="781">
      <c r="A781" s="7"/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</row>
    <row r="782">
      <c r="A782" s="7"/>
      <c r="B782" s="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</row>
    <row r="783">
      <c r="A783" s="7"/>
      <c r="B783" s="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</row>
    <row r="784">
      <c r="A784" s="7"/>
      <c r="B784" s="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</row>
    <row r="785">
      <c r="A785" s="7"/>
      <c r="B785" s="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</row>
    <row r="786">
      <c r="A786" s="7"/>
      <c r="B786" s="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</row>
    <row r="787">
      <c r="A787" s="7"/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</row>
    <row r="788">
      <c r="A788" s="7"/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</row>
    <row r="789">
      <c r="A789" s="7"/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</row>
    <row r="790">
      <c r="A790" s="7"/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</row>
    <row r="791">
      <c r="A791" s="7"/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</row>
    <row r="792">
      <c r="A792" s="7"/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</row>
    <row r="793">
      <c r="A793" s="7"/>
      <c r="B793" s="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</row>
    <row r="794">
      <c r="A794" s="7"/>
      <c r="B794" s="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</row>
    <row r="795">
      <c r="A795" s="7"/>
      <c r="B795" s="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</row>
    <row r="796">
      <c r="A796" s="7"/>
      <c r="B796" s="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</row>
    <row r="797">
      <c r="A797" s="7"/>
      <c r="B797" s="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</row>
    <row r="798">
      <c r="A798" s="7"/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</row>
    <row r="799">
      <c r="A799" s="7"/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</row>
    <row r="800">
      <c r="A800" s="7"/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</row>
    <row r="801">
      <c r="A801" s="7"/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</row>
    <row r="802">
      <c r="A802" s="7"/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</row>
    <row r="803">
      <c r="A803" s="7"/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</row>
    <row r="804">
      <c r="A804" s="7"/>
      <c r="B804" s="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</row>
    <row r="805">
      <c r="A805" s="7"/>
      <c r="B805" s="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</row>
    <row r="806">
      <c r="A806" s="7"/>
      <c r="B806" s="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</row>
    <row r="807">
      <c r="A807" s="7"/>
      <c r="B807" s="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</row>
    <row r="808">
      <c r="A808" s="7"/>
      <c r="B808" s="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</row>
    <row r="809">
      <c r="A809" s="7"/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</row>
    <row r="810">
      <c r="A810" s="7"/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</row>
    <row r="811">
      <c r="A811" s="7"/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</row>
    <row r="812">
      <c r="A812" s="7"/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</row>
    <row r="813">
      <c r="A813" s="7"/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</row>
    <row r="814">
      <c r="A814" s="7"/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</row>
    <row r="815">
      <c r="A815" s="7"/>
      <c r="B815" s="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</row>
    <row r="816">
      <c r="A816" s="7"/>
      <c r="B816" s="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</row>
    <row r="817">
      <c r="A817" s="7"/>
      <c r="B817" s="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</row>
    <row r="818">
      <c r="A818" s="7"/>
      <c r="B818" s="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</row>
    <row r="819">
      <c r="A819" s="7"/>
      <c r="B819" s="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</row>
    <row r="820">
      <c r="A820" s="7"/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</row>
    <row r="821">
      <c r="A821" s="7"/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</row>
    <row r="822">
      <c r="A822" s="7"/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</row>
    <row r="823">
      <c r="A823" s="7"/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</row>
    <row r="824">
      <c r="A824" s="7"/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</row>
    <row r="825">
      <c r="A825" s="7"/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</row>
    <row r="826">
      <c r="A826" s="7"/>
      <c r="B826" s="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</row>
    <row r="827">
      <c r="A827" s="7"/>
      <c r="B827" s="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</row>
    <row r="828">
      <c r="A828" s="7"/>
      <c r="B828" s="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</row>
    <row r="829">
      <c r="A829" s="7"/>
      <c r="B829" s="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</row>
    <row r="830">
      <c r="A830" s="7"/>
      <c r="B830" s="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</row>
    <row r="831">
      <c r="A831" s="7"/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</row>
    <row r="832">
      <c r="A832" s="7"/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</row>
    <row r="833">
      <c r="A833" s="7"/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</row>
    <row r="834">
      <c r="A834" s="7"/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</row>
    <row r="835">
      <c r="A835" s="7"/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</row>
    <row r="836">
      <c r="A836" s="7"/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</row>
    <row r="837">
      <c r="A837" s="7"/>
      <c r="B837" s="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</row>
    <row r="838">
      <c r="A838" s="7"/>
      <c r="B838" s="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</row>
    <row r="839">
      <c r="A839" s="7"/>
      <c r="B839" s="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</row>
    <row r="840">
      <c r="A840" s="7"/>
      <c r="B840" s="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</row>
    <row r="841">
      <c r="A841" s="7"/>
      <c r="B841" s="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</row>
    <row r="842">
      <c r="A842" s="7"/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</row>
    <row r="843">
      <c r="A843" s="7"/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</row>
    <row r="844">
      <c r="A844" s="7"/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</row>
    <row r="845">
      <c r="A845" s="7"/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</row>
    <row r="846">
      <c r="A846" s="7"/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</row>
    <row r="847">
      <c r="A847" s="7"/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</row>
    <row r="848">
      <c r="A848" s="7"/>
      <c r="B848" s="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</row>
    <row r="849">
      <c r="A849" s="7"/>
      <c r="B849" s="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</row>
    <row r="850">
      <c r="A850" s="7"/>
      <c r="B850" s="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</row>
    <row r="851">
      <c r="A851" s="7"/>
      <c r="B851" s="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</row>
    <row r="852">
      <c r="A852" s="7"/>
      <c r="B852" s="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</row>
    <row r="853">
      <c r="A853" s="7"/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</row>
    <row r="854">
      <c r="A854" s="7"/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</row>
    <row r="855">
      <c r="A855" s="7"/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</row>
    <row r="856">
      <c r="A856" s="7"/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</row>
    <row r="857">
      <c r="A857" s="7"/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</row>
    <row r="858">
      <c r="A858" s="7"/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</row>
    <row r="859">
      <c r="A859" s="7"/>
      <c r="B859" s="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</row>
    <row r="860">
      <c r="A860" s="7"/>
      <c r="B860" s="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</row>
    <row r="861">
      <c r="A861" s="7"/>
      <c r="B861" s="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</row>
    <row r="862">
      <c r="A862" s="7"/>
      <c r="B862" s="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</row>
    <row r="863">
      <c r="A863" s="7"/>
      <c r="B863" s="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</row>
    <row r="864">
      <c r="A864" s="7"/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</row>
    <row r="865">
      <c r="A865" s="7"/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</row>
    <row r="866">
      <c r="A866" s="7"/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</row>
    <row r="867">
      <c r="A867" s="7"/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</row>
    <row r="868">
      <c r="A868" s="7"/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</row>
    <row r="869">
      <c r="A869" s="7"/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</row>
    <row r="870">
      <c r="A870" s="7"/>
      <c r="B870" s="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</row>
    <row r="871">
      <c r="A871" s="7"/>
      <c r="B871" s="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</row>
    <row r="872">
      <c r="A872" s="7"/>
      <c r="B872" s="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</row>
    <row r="873">
      <c r="A873" s="7"/>
      <c r="B873" s="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</row>
    <row r="874">
      <c r="A874" s="7"/>
      <c r="B874" s="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</row>
    <row r="875">
      <c r="A875" s="7"/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</row>
    <row r="876">
      <c r="A876" s="7"/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</row>
    <row r="877">
      <c r="A877" s="7"/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</row>
    <row r="878">
      <c r="A878" s="7"/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</row>
    <row r="879">
      <c r="A879" s="7"/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</row>
    <row r="880">
      <c r="A880" s="7"/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</row>
    <row r="881">
      <c r="A881" s="7"/>
      <c r="B881" s="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</row>
    <row r="882">
      <c r="A882" s="7"/>
      <c r="B882" s="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</row>
    <row r="883">
      <c r="A883" s="7"/>
      <c r="B883" s="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</row>
    <row r="884">
      <c r="A884" s="7"/>
      <c r="B884" s="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</row>
    <row r="885">
      <c r="A885" s="7"/>
      <c r="B885" s="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</row>
    <row r="886">
      <c r="A886" s="7"/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</row>
    <row r="887">
      <c r="A887" s="7"/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</row>
    <row r="888">
      <c r="A888" s="7"/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</row>
    <row r="889">
      <c r="A889" s="7"/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</row>
    <row r="890">
      <c r="A890" s="7"/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</row>
    <row r="891">
      <c r="A891" s="7"/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</row>
    <row r="892">
      <c r="A892" s="7"/>
      <c r="B892" s="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</row>
    <row r="893">
      <c r="A893" s="7"/>
      <c r="B893" s="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</row>
    <row r="894">
      <c r="A894" s="7"/>
      <c r="B894" s="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</row>
    <row r="895">
      <c r="A895" s="7"/>
      <c r="B895" s="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</row>
    <row r="896">
      <c r="A896" s="7"/>
      <c r="B896" s="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</row>
    <row r="897">
      <c r="A897" s="7"/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</row>
    <row r="898">
      <c r="A898" s="7"/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</row>
    <row r="899">
      <c r="A899" s="7"/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</row>
    <row r="900">
      <c r="A900" s="7"/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</row>
    <row r="901">
      <c r="A901" s="7"/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</row>
    <row r="902">
      <c r="A902" s="7"/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</row>
    <row r="903">
      <c r="A903" s="7"/>
      <c r="B903" s="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</row>
    <row r="904">
      <c r="A904" s="7"/>
      <c r="B904" s="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</row>
    <row r="905">
      <c r="A905" s="7"/>
      <c r="B905" s="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</row>
    <row r="906">
      <c r="A906" s="7"/>
      <c r="B906" s="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</row>
    <row r="907">
      <c r="A907" s="7"/>
      <c r="B907" s="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</row>
    <row r="908">
      <c r="A908" s="7"/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</row>
    <row r="909">
      <c r="A909" s="7"/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</row>
    <row r="910">
      <c r="A910" s="7"/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</row>
    <row r="911">
      <c r="A911" s="7"/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</row>
    <row r="912">
      <c r="A912" s="7"/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</row>
    <row r="913">
      <c r="A913" s="7"/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</row>
    <row r="914">
      <c r="A914" s="7"/>
      <c r="B914" s="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</row>
    <row r="915">
      <c r="A915" s="7"/>
      <c r="B915" s="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</row>
    <row r="916">
      <c r="A916" s="7"/>
      <c r="B916" s="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</row>
    <row r="917">
      <c r="A917" s="7"/>
      <c r="B917" s="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</row>
    <row r="918">
      <c r="A918" s="7"/>
      <c r="B918" s="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</row>
    <row r="919">
      <c r="A919" s="7"/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</row>
    <row r="920">
      <c r="A920" s="7"/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</row>
    <row r="921">
      <c r="A921" s="7"/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</row>
    <row r="922">
      <c r="A922" s="7"/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</row>
    <row r="923">
      <c r="A923" s="7"/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</row>
    <row r="924">
      <c r="A924" s="7"/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</row>
    <row r="925">
      <c r="A925" s="7"/>
      <c r="B925" s="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</row>
    <row r="926">
      <c r="A926" s="7"/>
      <c r="B926" s="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</row>
    <row r="927">
      <c r="A927" s="7"/>
      <c r="B927" s="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</row>
    <row r="928">
      <c r="A928" s="7"/>
      <c r="B928" s="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</row>
    <row r="929">
      <c r="A929" s="7"/>
      <c r="B929" s="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</row>
    <row r="930">
      <c r="A930" s="7"/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</row>
    <row r="931">
      <c r="A931" s="7"/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</row>
    <row r="932">
      <c r="A932" s="7"/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</row>
    <row r="933">
      <c r="A933" s="7"/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</row>
    <row r="934">
      <c r="A934" s="7"/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</row>
    <row r="935">
      <c r="A935" s="7"/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</row>
    <row r="936">
      <c r="A936" s="7"/>
      <c r="B936" s="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</row>
    <row r="937">
      <c r="A937" s="7"/>
      <c r="B937" s="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</row>
    <row r="938">
      <c r="A938" s="7"/>
      <c r="B938" s="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</row>
    <row r="939">
      <c r="A939" s="7"/>
      <c r="B939" s="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</row>
    <row r="940">
      <c r="A940" s="7"/>
      <c r="B940" s="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</row>
    <row r="941">
      <c r="A941" s="7"/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</row>
    <row r="942">
      <c r="A942" s="7"/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</row>
    <row r="943">
      <c r="A943" s="7"/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</row>
    <row r="944">
      <c r="A944" s="7"/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</row>
    <row r="945">
      <c r="A945" s="7"/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</row>
    <row r="946">
      <c r="A946" s="7"/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</row>
    <row r="947">
      <c r="A947" s="7"/>
      <c r="B947" s="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</row>
    <row r="948">
      <c r="A948" s="7"/>
      <c r="B948" s="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</row>
    <row r="949">
      <c r="A949" s="7"/>
      <c r="B949" s="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</row>
    <row r="950">
      <c r="A950" s="7"/>
      <c r="B950" s="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</row>
    <row r="951">
      <c r="A951" s="7"/>
      <c r="B951" s="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</row>
    <row r="952">
      <c r="A952" s="7"/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</row>
    <row r="953">
      <c r="A953" s="7"/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</row>
    <row r="954">
      <c r="A954" s="7"/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</row>
    <row r="955">
      <c r="A955" s="7"/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</row>
    <row r="956">
      <c r="A956" s="7"/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</row>
    <row r="957">
      <c r="A957" s="7"/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</row>
    <row r="958">
      <c r="A958" s="7"/>
      <c r="B958" s="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</row>
    <row r="959">
      <c r="A959" s="7"/>
      <c r="B959" s="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</row>
    <row r="960">
      <c r="A960" s="7"/>
      <c r="B960" s="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</row>
    <row r="961">
      <c r="A961" s="7"/>
      <c r="B961" s="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</row>
    <row r="962">
      <c r="A962" s="7"/>
      <c r="B962" s="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</row>
    <row r="963">
      <c r="A963" s="7"/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</row>
    <row r="964">
      <c r="A964" s="7"/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</row>
    <row r="965">
      <c r="A965" s="7"/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</row>
    <row r="966">
      <c r="A966" s="7"/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</row>
    <row r="967">
      <c r="A967" s="7"/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</row>
    <row r="968">
      <c r="A968" s="7"/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</row>
    <row r="969">
      <c r="A969" s="7"/>
      <c r="B969" s="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</row>
    <row r="970">
      <c r="A970" s="7"/>
      <c r="B970" s="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</row>
    <row r="971">
      <c r="A971" s="7"/>
      <c r="B971" s="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</row>
    <row r="972">
      <c r="A972" s="7"/>
      <c r="B972" s="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</row>
    <row r="973">
      <c r="A973" s="7"/>
      <c r="B973" s="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</row>
    <row r="974">
      <c r="A974" s="7"/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</row>
    <row r="975">
      <c r="A975" s="7"/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</row>
    <row r="976">
      <c r="A976" s="7"/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</row>
    <row r="977">
      <c r="A977" s="7"/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</row>
    <row r="978">
      <c r="A978" s="7"/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</row>
    <row r="979">
      <c r="A979" s="7"/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</row>
    <row r="980">
      <c r="A980" s="7"/>
      <c r="B980" s="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</row>
    <row r="981">
      <c r="A981" s="7"/>
      <c r="B981" s="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</row>
    <row r="982">
      <c r="A982" s="7"/>
      <c r="B982" s="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</row>
    <row r="983">
      <c r="A983" s="7"/>
      <c r="B983" s="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</row>
    <row r="984">
      <c r="A984" s="7"/>
      <c r="B984" s="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</row>
    <row r="985">
      <c r="A985" s="7"/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</row>
    <row r="986">
      <c r="A986" s="7"/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</row>
    <row r="987">
      <c r="A987" s="7"/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</row>
    <row r="988">
      <c r="A988" s="7"/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</row>
    <row r="989">
      <c r="A989" s="7"/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</row>
    <row r="990">
      <c r="A990" s="7"/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</row>
    <row r="991">
      <c r="A991" s="7"/>
      <c r="B991" s="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</row>
    <row r="992">
      <c r="A992" s="7"/>
      <c r="B992" s="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</row>
    <row r="993">
      <c r="A993" s="7"/>
      <c r="B993" s="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</row>
    <row r="994">
      <c r="A994" s="7"/>
      <c r="B994" s="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</row>
    <row r="995">
      <c r="A995" s="7"/>
      <c r="B995" s="6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</row>
    <row r="996">
      <c r="A996" s="7"/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</row>
    <row r="997">
      <c r="A997" s="7"/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</row>
    <row r="998">
      <c r="A998" s="7"/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</row>
    <row r="999">
      <c r="A999" s="7"/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</row>
    <row r="1000">
      <c r="A1000" s="7"/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</row>
    <row r="1001">
      <c r="A1001" s="7"/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</row>
    <row r="1002">
      <c r="A1002" s="7"/>
      <c r="B1002" s="6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</row>
    <row r="1003">
      <c r="A1003" s="7"/>
      <c r="B1003" s="6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</row>
    <row r="1004">
      <c r="A1004" s="7"/>
      <c r="B1004" s="6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</row>
    <row r="1005">
      <c r="A1005" s="7"/>
      <c r="B1005" s="6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</row>
    <row r="1006">
      <c r="A1006" s="7"/>
      <c r="B1006" s="6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</row>
    <row r="1007">
      <c r="A1007" s="7"/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</row>
    <row r="1008">
      <c r="A1008" s="7"/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</row>
    <row r="1009">
      <c r="A1009" s="7"/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</row>
    <row r="1010">
      <c r="A1010" s="7"/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</row>
    <row r="1011">
      <c r="A1011" s="7"/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</row>
    <row r="1012">
      <c r="A1012" s="7"/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</row>
    <row r="1013">
      <c r="A1013" s="7"/>
      <c r="B1013" s="6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</row>
    <row r="1014">
      <c r="A1014" s="7"/>
      <c r="B1014" s="6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</row>
    <row r="1015">
      <c r="A1015" s="7"/>
      <c r="B1015" s="6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</row>
    <row r="1016">
      <c r="A1016" s="7"/>
      <c r="B1016" s="6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</row>
    <row r="1017">
      <c r="A1017" s="7"/>
      <c r="B1017" s="6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</row>
    <row r="1018">
      <c r="A1018" s="7"/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</row>
    <row r="1019">
      <c r="A1019" s="7"/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</row>
    <row r="1020">
      <c r="A1020" s="7"/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</row>
    <row r="1021">
      <c r="A1021" s="7"/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</row>
    <row r="1022">
      <c r="A1022" s="7"/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</row>
    <row r="1023">
      <c r="A1023" s="7"/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</row>
    <row r="1024">
      <c r="A1024" s="7"/>
      <c r="B1024" s="6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</row>
    <row r="1025">
      <c r="A1025" s="7"/>
      <c r="B1025" s="6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</row>
    <row r="1026">
      <c r="A1026" s="7"/>
      <c r="B1026" s="6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</row>
    <row r="1027">
      <c r="A1027" s="7"/>
      <c r="B1027" s="6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</row>
    <row r="1028">
      <c r="A1028" s="7"/>
      <c r="B1028" s="6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</row>
    <row r="1029">
      <c r="A1029" s="7"/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</row>
    <row r="1030">
      <c r="A1030" s="7"/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</row>
    <row r="1031">
      <c r="A1031" s="7"/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</row>
    <row r="1032">
      <c r="A1032" s="7"/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</row>
    <row r="1033">
      <c r="A1033" s="7"/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</row>
    <row r="1034">
      <c r="A1034" s="7"/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</row>
    <row r="1035">
      <c r="A1035" s="7"/>
      <c r="B1035" s="6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</row>
    <row r="1036">
      <c r="A1036" s="7"/>
      <c r="B1036" s="6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</row>
    <row r="1037">
      <c r="A1037" s="7"/>
      <c r="B1037" s="6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</row>
    <row r="1038">
      <c r="A1038" s="7"/>
      <c r="B1038" s="6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</row>
    <row r="1039">
      <c r="A1039" s="7"/>
      <c r="B1039" s="6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</row>
    <row r="1040">
      <c r="A1040" s="7"/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</row>
    <row r="1041">
      <c r="A1041" s="7"/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</row>
    <row r="1042">
      <c r="A1042" s="7"/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</row>
    <row r="1043">
      <c r="A1043" s="7"/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</row>
    <row r="1044">
      <c r="A1044" s="7"/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</row>
    <row r="1045">
      <c r="A1045" s="7"/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</row>
    <row r="1046">
      <c r="A1046" s="7"/>
      <c r="B1046" s="6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</row>
    <row r="1047">
      <c r="A1047" s="7"/>
      <c r="B1047" s="6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</row>
    <row r="1048">
      <c r="A1048" s="7"/>
      <c r="B1048" s="6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</row>
    <row r="1049">
      <c r="A1049" s="7"/>
      <c r="B1049" s="6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</row>
    <row r="1050">
      <c r="A1050" s="7"/>
      <c r="B1050" s="6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</row>
    <row r="1051">
      <c r="A1051" s="7"/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</row>
    <row r="1052">
      <c r="A1052" s="7"/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</row>
    <row r="1053">
      <c r="A1053" s="7"/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</row>
    <row r="1054">
      <c r="A1054" s="7"/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</row>
    <row r="1055">
      <c r="A1055" s="7"/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</row>
    <row r="1056">
      <c r="A1056" s="7"/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</row>
    <row r="1057">
      <c r="A1057" s="7"/>
      <c r="B1057" s="6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</row>
    <row r="1058">
      <c r="A1058" s="7"/>
      <c r="B1058" s="6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</row>
    <row r="1059">
      <c r="A1059" s="7"/>
      <c r="B1059" s="6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</row>
    <row r="1060">
      <c r="A1060" s="7"/>
      <c r="B1060" s="6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</row>
    <row r="1061">
      <c r="A1061" s="7"/>
      <c r="B1061" s="6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</row>
    <row r="1062">
      <c r="A1062" s="7"/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</row>
    <row r="1063">
      <c r="A1063" s="7"/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</row>
    <row r="1064">
      <c r="A1064" s="7"/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</row>
    <row r="1065">
      <c r="A1065" s="7"/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</row>
    <row r="1066">
      <c r="A1066" s="7"/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</row>
    <row r="1067">
      <c r="A1067" s="7"/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</row>
    <row r="1068">
      <c r="A1068" s="7"/>
      <c r="B1068" s="6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</row>
    <row r="1069">
      <c r="A1069" s="7"/>
      <c r="B1069" s="6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</row>
    <row r="1070">
      <c r="A1070" s="7"/>
      <c r="B1070" s="6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</row>
    <row r="1071">
      <c r="A1071" s="7"/>
      <c r="B1071" s="6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</row>
    <row r="1072">
      <c r="A1072" s="7"/>
      <c r="B1072" s="6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</row>
    <row r="1073">
      <c r="A1073" s="7"/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</row>
    <row r="1074">
      <c r="A1074" s="7"/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</row>
    <row r="1075">
      <c r="A1075" s="7"/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</row>
    <row r="1076">
      <c r="A1076" s="7"/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</row>
    <row r="1077">
      <c r="A1077" s="7"/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</row>
    <row r="1078">
      <c r="A1078" s="7"/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</row>
    <row r="1079">
      <c r="A1079" s="7"/>
      <c r="B1079" s="6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</row>
    <row r="1080">
      <c r="A1080" s="7"/>
      <c r="B1080" s="6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</row>
    <row r="1081">
      <c r="A1081" s="7"/>
      <c r="B1081" s="6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</row>
    <row r="1082">
      <c r="A1082" s="7"/>
      <c r="B1082" s="6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</row>
    <row r="1083">
      <c r="A1083" s="7"/>
      <c r="B1083" s="6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</row>
    <row r="1084">
      <c r="A1084" s="7"/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</row>
    <row r="1085">
      <c r="A1085" s="7"/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</row>
    <row r="1086">
      <c r="A1086" s="7"/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</row>
    <row r="1087">
      <c r="A1087" s="7"/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</row>
    <row r="1088">
      <c r="A1088" s="7"/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</row>
    <row r="1089">
      <c r="A1089" s="7"/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</row>
    <row r="1090">
      <c r="A1090" s="7"/>
      <c r="B1090" s="6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</row>
    <row r="1091">
      <c r="A1091" s="7"/>
      <c r="B1091" s="6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</row>
    <row r="1092">
      <c r="A1092" s="7"/>
      <c r="B1092" s="6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</row>
    <row r="1093">
      <c r="A1093" s="7"/>
      <c r="B1093" s="6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</row>
    <row r="1094">
      <c r="A1094" s="7"/>
      <c r="B1094" s="6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</row>
    <row r="1095">
      <c r="A1095" s="7"/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</row>
    <row r="1096">
      <c r="A1096" s="7"/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</row>
    <row r="1097">
      <c r="A1097" s="7"/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</row>
    <row r="1098">
      <c r="A1098" s="7"/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</row>
    <row r="1099">
      <c r="A1099" s="7"/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</row>
    <row r="1100">
      <c r="A1100" s="7"/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</row>
    <row r="1101">
      <c r="A1101" s="7"/>
      <c r="B1101" s="6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</row>
    <row r="1102">
      <c r="A1102" s="7"/>
      <c r="B1102" s="6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</row>
    <row r="1103">
      <c r="A1103" s="7"/>
      <c r="B1103" s="6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</row>
    <row r="1104">
      <c r="A1104" s="7"/>
      <c r="B1104" s="6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</row>
    <row r="1105">
      <c r="A1105" s="7"/>
      <c r="B1105" s="6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</row>
    <row r="1106">
      <c r="A1106" s="7"/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</row>
    <row r="1107">
      <c r="A1107" s="7"/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</row>
    <row r="1108">
      <c r="A1108" s="7"/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</row>
    <row r="1109">
      <c r="A1109" s="7"/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</row>
    <row r="1110">
      <c r="A1110" s="7"/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</row>
    <row r="1111">
      <c r="A1111" s="7"/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</row>
    <row r="1112">
      <c r="A1112" s="7"/>
      <c r="B1112" s="6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</row>
    <row r="1113">
      <c r="A1113" s="7"/>
      <c r="B1113" s="6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</row>
    <row r="1114">
      <c r="A1114" s="7"/>
      <c r="B1114" s="6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</row>
    <row r="1115">
      <c r="A1115" s="7"/>
      <c r="B1115" s="6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</row>
    <row r="1116">
      <c r="A1116" s="7"/>
      <c r="B1116" s="6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</row>
    <row r="1117">
      <c r="A1117" s="7"/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</row>
    <row r="1118">
      <c r="A1118" s="7"/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</row>
    <row r="1119">
      <c r="A1119" s="7"/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</row>
    <row r="1120">
      <c r="A1120" s="7"/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</row>
    <row r="1121">
      <c r="A1121" s="7"/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</row>
    <row r="1122">
      <c r="A1122" s="7"/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</row>
    <row r="1123">
      <c r="A1123" s="7"/>
      <c r="B1123" s="6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</row>
    <row r="1124">
      <c r="A1124" s="7"/>
      <c r="B1124" s="6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</row>
    <row r="1125">
      <c r="A1125" s="7"/>
      <c r="B1125" s="6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</row>
    <row r="1126">
      <c r="A1126" s="7"/>
      <c r="B1126" s="6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</row>
    <row r="1127">
      <c r="A1127" s="7"/>
      <c r="B1127" s="6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</row>
    <row r="1128">
      <c r="A1128" s="7"/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</row>
    <row r="1129">
      <c r="A1129" s="7"/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</row>
    <row r="1130">
      <c r="A1130" s="7"/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</row>
    <row r="1131">
      <c r="A1131" s="7"/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</row>
    <row r="1132">
      <c r="A1132" s="7"/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</row>
    <row r="1133">
      <c r="A1133" s="7"/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</row>
    <row r="1134">
      <c r="A1134" s="7"/>
      <c r="B1134" s="6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</row>
    <row r="1135">
      <c r="A1135" s="7"/>
      <c r="B1135" s="6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</row>
    <row r="1136">
      <c r="A1136" s="7"/>
      <c r="B1136" s="6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</row>
    <row r="1137">
      <c r="A1137" s="7"/>
      <c r="B1137" s="6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</row>
    <row r="1138">
      <c r="A1138" s="7"/>
      <c r="B1138" s="6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</row>
    <row r="1139">
      <c r="A1139" s="7"/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</row>
    <row r="1140">
      <c r="A1140" s="7"/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</row>
    <row r="1141">
      <c r="A1141" s="7"/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</row>
    <row r="1142">
      <c r="A1142" s="7"/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</row>
    <row r="1143">
      <c r="A1143" s="7"/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</row>
    <row r="1144">
      <c r="A1144" s="7"/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</row>
    <row r="1145">
      <c r="A1145" s="7"/>
      <c r="B1145" s="6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</row>
    <row r="1146">
      <c r="A1146" s="7"/>
      <c r="B1146" s="6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</row>
    <row r="1147">
      <c r="A1147" s="7"/>
      <c r="B1147" s="6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</row>
    <row r="1148">
      <c r="A1148" s="7"/>
      <c r="B1148" s="6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</row>
    <row r="1149">
      <c r="A1149" s="7"/>
      <c r="B1149" s="6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</row>
    <row r="1150">
      <c r="A1150" s="7"/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</row>
    <row r="1151">
      <c r="A1151" s="7"/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</row>
    <row r="1152">
      <c r="A1152" s="7"/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</row>
    <row r="1153">
      <c r="A1153" s="7"/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</row>
    <row r="1154">
      <c r="A1154" s="7"/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</row>
    <row r="1155">
      <c r="A1155" s="7"/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</row>
    <row r="1156">
      <c r="A1156" s="7"/>
      <c r="B1156" s="6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</row>
    <row r="1157">
      <c r="A1157" s="7"/>
      <c r="B1157" s="6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</row>
    <row r="1158">
      <c r="A1158" s="7"/>
      <c r="B1158" s="6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</row>
    <row r="1159">
      <c r="A1159" s="7"/>
      <c r="B1159" s="6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</row>
    <row r="1160">
      <c r="A1160" s="7"/>
      <c r="B1160" s="6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</row>
    <row r="1161">
      <c r="A1161" s="7"/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</row>
    <row r="1162">
      <c r="A1162" s="7"/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</row>
    <row r="1163">
      <c r="A1163" s="7"/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</row>
    <row r="1164">
      <c r="A1164" s="7"/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</row>
    <row r="1165">
      <c r="A1165" s="7"/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</row>
    <row r="1166">
      <c r="A1166" s="7"/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</row>
    <row r="1167">
      <c r="A1167" s="7"/>
      <c r="B1167" s="6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</row>
    <row r="1168">
      <c r="A1168" s="7"/>
      <c r="B1168" s="6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</row>
    <row r="1169">
      <c r="A1169" s="7"/>
      <c r="B1169" s="6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</row>
    <row r="1170">
      <c r="A1170" s="7"/>
      <c r="B1170" s="6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</row>
    <row r="1171">
      <c r="A1171" s="7"/>
      <c r="B1171" s="6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</row>
    <row r="1172">
      <c r="A1172" s="7"/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</row>
    <row r="1173">
      <c r="A1173" s="7"/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</row>
    <row r="1174">
      <c r="A1174" s="7"/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</row>
    <row r="1175">
      <c r="A1175" s="7"/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</row>
    <row r="1176">
      <c r="A1176" s="7"/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</row>
    <row r="1177">
      <c r="A1177" s="7"/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</row>
    <row r="1178">
      <c r="A1178" s="7"/>
      <c r="B1178" s="6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</row>
    <row r="1179">
      <c r="A1179" s="7"/>
      <c r="B1179" s="6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</row>
    <row r="1180">
      <c r="A1180" s="7"/>
      <c r="B1180" s="6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</row>
    <row r="1181">
      <c r="A1181" s="7"/>
      <c r="B1181" s="6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</row>
    <row r="1182">
      <c r="A1182" s="7"/>
      <c r="B1182" s="6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</row>
    <row r="1183">
      <c r="A1183" s="7"/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</row>
    <row r="1184">
      <c r="A1184" s="7"/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</row>
    <row r="1185">
      <c r="A1185" s="7"/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</row>
    <row r="1186">
      <c r="A1186" s="7"/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</row>
    <row r="1187">
      <c r="A1187" s="7"/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</row>
    <row r="1188">
      <c r="A1188" s="7"/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</row>
    <row r="1189">
      <c r="A1189" s="7"/>
      <c r="B1189" s="6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</row>
    <row r="1190">
      <c r="A1190" s="7"/>
      <c r="B1190" s="6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</row>
    <row r="1191">
      <c r="A1191" s="7"/>
      <c r="B1191" s="6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</row>
    <row r="1192">
      <c r="A1192" s="7"/>
      <c r="B1192" s="6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</row>
    <row r="1193">
      <c r="A1193" s="7"/>
      <c r="B1193" s="6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</row>
    <row r="1194">
      <c r="A1194" s="7"/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</row>
    <row r="1195">
      <c r="A1195" s="7"/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</row>
    <row r="1196">
      <c r="A1196" s="7"/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</row>
    <row r="1197">
      <c r="A1197" s="7"/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</row>
    <row r="1198">
      <c r="A1198" s="7"/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</row>
    <row r="1199">
      <c r="A1199" s="7"/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</row>
    <row r="1200">
      <c r="A1200" s="7"/>
      <c r="B1200" s="6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</row>
    <row r="1201">
      <c r="A1201" s="7"/>
      <c r="B1201" s="6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</row>
    <row r="1202">
      <c r="A1202" s="7"/>
      <c r="B1202" s="6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</row>
    <row r="1203">
      <c r="A1203" s="7"/>
      <c r="B1203" s="6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</row>
    <row r="1204">
      <c r="A1204" s="7"/>
      <c r="B1204" s="6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</row>
    <row r="1205">
      <c r="A1205" s="7"/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</row>
    <row r="1206">
      <c r="A1206" s="7"/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</row>
    <row r="1207">
      <c r="A1207" s="7"/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</row>
    <row r="1208">
      <c r="A1208" s="7"/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</row>
    <row r="1209">
      <c r="A1209" s="7"/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</row>
    <row r="1210">
      <c r="A1210" s="7"/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</row>
    <row r="1211">
      <c r="A1211" s="7"/>
      <c r="B1211" s="6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</row>
    <row r="1212">
      <c r="A1212" s="7"/>
      <c r="B1212" s="6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</row>
    <row r="1213">
      <c r="A1213" s="7"/>
      <c r="B1213" s="6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</row>
    <row r="1214">
      <c r="A1214" s="7"/>
      <c r="B1214" s="6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</row>
    <row r="1215">
      <c r="A1215" s="7"/>
      <c r="B1215" s="6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</row>
    <row r="1216">
      <c r="A1216" s="7"/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</row>
    <row r="1217">
      <c r="A1217" s="7"/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</row>
    <row r="1218">
      <c r="A1218" s="7"/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</row>
    <row r="1219">
      <c r="A1219" s="7"/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</row>
    <row r="1220">
      <c r="A1220" s="7"/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</row>
    <row r="1221">
      <c r="A1221" s="7"/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</row>
    <row r="1222">
      <c r="A1222" s="7"/>
      <c r="B1222" s="6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</row>
    <row r="1223">
      <c r="A1223" s="7"/>
      <c r="B1223" s="6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</row>
    <row r="1224">
      <c r="A1224" s="7"/>
      <c r="B1224" s="6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</row>
    <row r="1225">
      <c r="A1225" s="7"/>
      <c r="B1225" s="6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</row>
    <row r="1226">
      <c r="A1226" s="7"/>
      <c r="B1226" s="6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</row>
    <row r="1227">
      <c r="A1227" s="7"/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</row>
    <row r="1228">
      <c r="A1228" s="7"/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</row>
    <row r="1229">
      <c r="A1229" s="7"/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</row>
    <row r="1230">
      <c r="A1230" s="7"/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</row>
    <row r="1231">
      <c r="A1231" s="7"/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</row>
    <row r="1232">
      <c r="A1232" s="7"/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</row>
    <row r="1233">
      <c r="A1233" s="7"/>
      <c r="B1233" s="6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</row>
    <row r="1234">
      <c r="A1234" s="7"/>
      <c r="B1234" s="6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</row>
    <row r="1235">
      <c r="A1235" s="7"/>
      <c r="B1235" s="6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</row>
    <row r="1236">
      <c r="A1236" s="7"/>
      <c r="B1236" s="6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</row>
    <row r="1237">
      <c r="A1237" s="7"/>
      <c r="B1237" s="6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</row>
    <row r="1238">
      <c r="A1238" s="7"/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</row>
    <row r="1239">
      <c r="A1239" s="7"/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</row>
    <row r="1240">
      <c r="A1240" s="7"/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</row>
    <row r="1241">
      <c r="A1241" s="7"/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</row>
    <row r="1242">
      <c r="A1242" s="7"/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</row>
    <row r="1243">
      <c r="A1243" s="7"/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</row>
    <row r="1244">
      <c r="A1244" s="7"/>
      <c r="B1244" s="6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</row>
    <row r="1245">
      <c r="A1245" s="7"/>
      <c r="B1245" s="6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</row>
    <row r="1246">
      <c r="A1246" s="7"/>
      <c r="B1246" s="6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</row>
    <row r="1247">
      <c r="A1247" s="7"/>
      <c r="B1247" s="6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</row>
    <row r="1248">
      <c r="A1248" s="7"/>
      <c r="B1248" s="6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</row>
    <row r="1249">
      <c r="A1249" s="7"/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</row>
    <row r="1250">
      <c r="A1250" s="7"/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</row>
    <row r="1251">
      <c r="A1251" s="7"/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</row>
    <row r="1252">
      <c r="A1252" s="7"/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</row>
    <row r="1253">
      <c r="A1253" s="7"/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</row>
    <row r="1254">
      <c r="A1254" s="7"/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</row>
    <row r="1255">
      <c r="A1255" s="7"/>
      <c r="B1255" s="6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</row>
    <row r="1256">
      <c r="A1256" s="7"/>
      <c r="B1256" s="6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</row>
    <row r="1257">
      <c r="A1257" s="7"/>
      <c r="B1257" s="6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</row>
    <row r="1258">
      <c r="A1258" s="7"/>
      <c r="B1258" s="6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</row>
    <row r="1259">
      <c r="A1259" s="7"/>
      <c r="B1259" s="6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</row>
    <row r="1260">
      <c r="A1260" s="7"/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</row>
    <row r="1261">
      <c r="A1261" s="7"/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</row>
    <row r="1262">
      <c r="A1262" s="7"/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</row>
    <row r="1263">
      <c r="A1263" s="7"/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</row>
    <row r="1264">
      <c r="A1264" s="7"/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</row>
    <row r="1265">
      <c r="A1265" s="7"/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</row>
    <row r="1266">
      <c r="A1266" s="7"/>
      <c r="B1266" s="6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</row>
    <row r="1267">
      <c r="A1267" s="7"/>
      <c r="B1267" s="6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</row>
    <row r="1268">
      <c r="A1268" s="7"/>
      <c r="B1268" s="6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</row>
    <row r="1269">
      <c r="A1269" s="7"/>
      <c r="B1269" s="6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</row>
    <row r="1270">
      <c r="A1270" s="7"/>
      <c r="B1270" s="6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</row>
    <row r="1271">
      <c r="A1271" s="7"/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</row>
    <row r="1272">
      <c r="A1272" s="7"/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</row>
    <row r="1273">
      <c r="A1273" s="7"/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</row>
    <row r="1274">
      <c r="A1274" s="7"/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</row>
    <row r="1275">
      <c r="A1275" s="7"/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</row>
    <row r="1276">
      <c r="A1276" s="7"/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</row>
    <row r="1277">
      <c r="A1277" s="7"/>
      <c r="B1277" s="6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</row>
    <row r="1278">
      <c r="A1278" s="7"/>
      <c r="B1278" s="6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</row>
    <row r="1279">
      <c r="A1279" s="7"/>
      <c r="B1279" s="6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</row>
    <row r="1280">
      <c r="A1280" s="7"/>
      <c r="B1280" s="6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</row>
    <row r="1281">
      <c r="A1281" s="7"/>
      <c r="B1281" s="6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</row>
    <row r="1282">
      <c r="A1282" s="7"/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</row>
    <row r="1283">
      <c r="A1283" s="7"/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</row>
    <row r="1284">
      <c r="A1284" s="7"/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</row>
    <row r="1285">
      <c r="A1285" s="7"/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</row>
    <row r="1286">
      <c r="A1286" s="7"/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</row>
    <row r="1287">
      <c r="A1287" s="7"/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</row>
    <row r="1288">
      <c r="A1288" s="7"/>
      <c r="B1288" s="6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</row>
    <row r="1289">
      <c r="A1289" s="7"/>
      <c r="B1289" s="6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</row>
    <row r="1290">
      <c r="A1290" s="7"/>
      <c r="B1290" s="6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</row>
    <row r="1291">
      <c r="A1291" s="7"/>
      <c r="B1291" s="6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</row>
    <row r="1292">
      <c r="A1292" s="7"/>
      <c r="B1292" s="6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</row>
    <row r="1293">
      <c r="A1293" s="7"/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</row>
    <row r="1294">
      <c r="A1294" s="7"/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</row>
    <row r="1295">
      <c r="A1295" s="7"/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</row>
    <row r="1296">
      <c r="A1296" s="7"/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</row>
    <row r="1297">
      <c r="A1297" s="7"/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</row>
    <row r="1298">
      <c r="A1298" s="7"/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</row>
    <row r="1299">
      <c r="A1299" s="7"/>
      <c r="B1299" s="6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</row>
    <row r="1300">
      <c r="A1300" s="7"/>
      <c r="B1300" s="6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</row>
    <row r="1301">
      <c r="A1301" s="7"/>
      <c r="B1301" s="6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</row>
    <row r="1302">
      <c r="A1302" s="7"/>
      <c r="B1302" s="6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</row>
    <row r="1303">
      <c r="A1303" s="7"/>
      <c r="B1303" s="6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</row>
    <row r="1304">
      <c r="A1304" s="7"/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</row>
    <row r="1305">
      <c r="A1305" s="7"/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</row>
    <row r="1306">
      <c r="A1306" s="7"/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</row>
    <row r="1307">
      <c r="A1307" s="7"/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</row>
    <row r="1308">
      <c r="A1308" s="7"/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</row>
    <row r="1309">
      <c r="A1309" s="7"/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</row>
    <row r="1310">
      <c r="A1310" s="7"/>
      <c r="B1310" s="6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</row>
    <row r="1311">
      <c r="A1311" s="7"/>
      <c r="B1311" s="6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</row>
    <row r="1312">
      <c r="A1312" s="7"/>
      <c r="B1312" s="6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</row>
    <row r="1313">
      <c r="A1313" s="7"/>
      <c r="B1313" s="6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</row>
    <row r="1314">
      <c r="A1314" s="7"/>
      <c r="B1314" s="6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</row>
    <row r="1315">
      <c r="A1315" s="7"/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</row>
    <row r="1316">
      <c r="A1316" s="7"/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</row>
    <row r="1317">
      <c r="A1317" s="7"/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</row>
    <row r="1318">
      <c r="A1318" s="7"/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</row>
    <row r="1319">
      <c r="A1319" s="7"/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</row>
    <row r="1320">
      <c r="A1320" s="7"/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</row>
    <row r="1321">
      <c r="A1321" s="7"/>
      <c r="B1321" s="6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</row>
    <row r="1322">
      <c r="A1322" s="7"/>
      <c r="B1322" s="6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</row>
    <row r="1323">
      <c r="A1323" s="7"/>
      <c r="B1323" s="6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</row>
    <row r="1324">
      <c r="A1324" s="7"/>
      <c r="B1324" s="6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</row>
    <row r="1325">
      <c r="A1325" s="7"/>
      <c r="B1325" s="6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</row>
    <row r="1326">
      <c r="A1326" s="7"/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</row>
    <row r="1327">
      <c r="A1327" s="7"/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</row>
    <row r="1328">
      <c r="A1328" s="7"/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</row>
    <row r="1329">
      <c r="A1329" s="7"/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</row>
    <row r="1330">
      <c r="A1330" s="7"/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</row>
    <row r="1331">
      <c r="A1331" s="7"/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</row>
    <row r="1332">
      <c r="A1332" s="7"/>
      <c r="B1332" s="6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</row>
    <row r="1333">
      <c r="A1333" s="7"/>
      <c r="B1333" s="6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</row>
    <row r="1334">
      <c r="A1334" s="7"/>
      <c r="B1334" s="6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</row>
    <row r="1335">
      <c r="A1335" s="7"/>
      <c r="B1335" s="6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</row>
    <row r="1336">
      <c r="A1336" s="7"/>
      <c r="B1336" s="6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</row>
    <row r="1337">
      <c r="A1337" s="7"/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</row>
    <row r="1338">
      <c r="A1338" s="7"/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</row>
    <row r="1339">
      <c r="A1339" s="7"/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</row>
    <row r="1340">
      <c r="A1340" s="7"/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</row>
    <row r="1341">
      <c r="A1341" s="7"/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</row>
    <row r="1342">
      <c r="A1342" s="7"/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</row>
    <row r="1343">
      <c r="A1343" s="7"/>
      <c r="B1343" s="6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</row>
    <row r="1344">
      <c r="A1344" s="7"/>
      <c r="B1344" s="6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</row>
    <row r="1345">
      <c r="A1345" s="7"/>
      <c r="B1345" s="6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</row>
    <row r="1346">
      <c r="A1346" s="7"/>
      <c r="B1346" s="6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</row>
    <row r="1347">
      <c r="A1347" s="7"/>
      <c r="B1347" s="6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</row>
    <row r="1348">
      <c r="A1348" s="7"/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</row>
    <row r="1349">
      <c r="A1349" s="7"/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</row>
    <row r="1350">
      <c r="A1350" s="7"/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</row>
    <row r="1351">
      <c r="A1351" s="7"/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</row>
    <row r="1352">
      <c r="A1352" s="7"/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</row>
    <row r="1353">
      <c r="A1353" s="7"/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</row>
    <row r="1354">
      <c r="A1354" s="7"/>
      <c r="B1354" s="6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</row>
    <row r="1355">
      <c r="A1355" s="7"/>
      <c r="B1355" s="6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</row>
    <row r="1356">
      <c r="A1356" s="7"/>
      <c r="B1356" s="6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</row>
    <row r="1357">
      <c r="A1357" s="7"/>
      <c r="B1357" s="6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</row>
    <row r="1358">
      <c r="A1358" s="7"/>
      <c r="B1358" s="6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</row>
    <row r="1359">
      <c r="A1359" s="7"/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</row>
    <row r="1360">
      <c r="A1360" s="7"/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</row>
    <row r="1361">
      <c r="A1361" s="7"/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</row>
    <row r="1362">
      <c r="A1362" s="7"/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</row>
    <row r="1363">
      <c r="A1363" s="7"/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</row>
    <row r="1364">
      <c r="A1364" s="7"/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</row>
    <row r="1365">
      <c r="A1365" s="7"/>
      <c r="B1365" s="6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</row>
    <row r="1366">
      <c r="A1366" s="7"/>
      <c r="B1366" s="6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</row>
    <row r="1367">
      <c r="A1367" s="7"/>
      <c r="B1367" s="6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</row>
    <row r="1368">
      <c r="A1368" s="7"/>
      <c r="B1368" s="6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</row>
    <row r="1369">
      <c r="A1369" s="7"/>
      <c r="B1369" s="6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</row>
    <row r="1370">
      <c r="A1370" s="7"/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</row>
    <row r="1371">
      <c r="A1371" s="7"/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</row>
    <row r="1372">
      <c r="A1372" s="7"/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</row>
    <row r="1373">
      <c r="A1373" s="7"/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</row>
    <row r="1374">
      <c r="A1374" s="7"/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</row>
    <row r="1375">
      <c r="A1375" s="7"/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</row>
    <row r="1376">
      <c r="A1376" s="7"/>
      <c r="B1376" s="6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</row>
    <row r="1377">
      <c r="A1377" s="7"/>
      <c r="B1377" s="6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</row>
    <row r="1378">
      <c r="A1378" s="7"/>
      <c r="B1378" s="6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</row>
    <row r="1379">
      <c r="A1379" s="7"/>
      <c r="B1379" s="6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</row>
    <row r="1380">
      <c r="A1380" s="7"/>
      <c r="B1380" s="6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</row>
    <row r="1381">
      <c r="A1381" s="7"/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</row>
    <row r="1382">
      <c r="A1382" s="7"/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</row>
    <row r="1383">
      <c r="A1383" s="7"/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</row>
    <row r="1384">
      <c r="A1384" s="7"/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</row>
    <row r="1385">
      <c r="A1385" s="7"/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</row>
    <row r="1386">
      <c r="A1386" s="7"/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</row>
    <row r="1387">
      <c r="A1387" s="7"/>
      <c r="B1387" s="6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</row>
    <row r="1388">
      <c r="A1388" s="7"/>
      <c r="B1388" s="6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</row>
    <row r="1389">
      <c r="A1389" s="7"/>
      <c r="B1389" s="6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</row>
    <row r="1390">
      <c r="A1390" s="7"/>
      <c r="B1390" s="6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</row>
    <row r="1391">
      <c r="A1391" s="7"/>
      <c r="B1391" s="6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</row>
    <row r="1392">
      <c r="A1392" s="7"/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</row>
    <row r="1393">
      <c r="A1393" s="7"/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</row>
    <row r="1394">
      <c r="A1394" s="7"/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</row>
    <row r="1395">
      <c r="A1395" s="7"/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</row>
    <row r="1396">
      <c r="A1396" s="7"/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</row>
    <row r="1397">
      <c r="A1397" s="7"/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</row>
    <row r="1398">
      <c r="A1398" s="7"/>
      <c r="B1398" s="6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</row>
    <row r="1399">
      <c r="A1399" s="7"/>
      <c r="B1399" s="6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</row>
    <row r="1400">
      <c r="A1400" s="7"/>
      <c r="B1400" s="6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</row>
    <row r="1401">
      <c r="A1401" s="7"/>
      <c r="B1401" s="6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</row>
    <row r="1402">
      <c r="A1402" s="7"/>
      <c r="B1402" s="6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</row>
    <row r="1403">
      <c r="A1403" s="7"/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</row>
    <row r="1404">
      <c r="A1404" s="7"/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</row>
    <row r="1405">
      <c r="A1405" s="7"/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</row>
    <row r="1406">
      <c r="A1406" s="7"/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</row>
    <row r="1407">
      <c r="A1407" s="7"/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</row>
    <row r="1408">
      <c r="A1408" s="7"/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</row>
    <row r="1409">
      <c r="A1409" s="7"/>
      <c r="B1409" s="6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</row>
    <row r="1410">
      <c r="A1410" s="7"/>
      <c r="B1410" s="6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</row>
    <row r="1411">
      <c r="A1411" s="7"/>
      <c r="B1411" s="6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</row>
    <row r="1412">
      <c r="A1412" s="7"/>
      <c r="B1412" s="6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</row>
    <row r="1413">
      <c r="A1413" s="7"/>
      <c r="B1413" s="6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</row>
    <row r="1414">
      <c r="A1414" s="7"/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</row>
    <row r="1415">
      <c r="A1415" s="7"/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</row>
    <row r="1416">
      <c r="A1416" s="7"/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</row>
    <row r="1417">
      <c r="A1417" s="7"/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</row>
    <row r="1418">
      <c r="A1418" s="7"/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</row>
    <row r="1419">
      <c r="A1419" s="7"/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</row>
    <row r="1420">
      <c r="A1420" s="7"/>
      <c r="B1420" s="6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</row>
    <row r="1421">
      <c r="A1421" s="7"/>
      <c r="B1421" s="6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</row>
    <row r="1422">
      <c r="A1422" s="7"/>
      <c r="B1422" s="6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</row>
    <row r="1423">
      <c r="A1423" s="7"/>
      <c r="B1423" s="6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</row>
    <row r="1424">
      <c r="A1424" s="7"/>
      <c r="B1424" s="6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</row>
    <row r="1425">
      <c r="A1425" s="7"/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</row>
    <row r="1426">
      <c r="A1426" s="7"/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</row>
    <row r="1427">
      <c r="A1427" s="7"/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</row>
    <row r="1428">
      <c r="A1428" s="7"/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</row>
    <row r="1429">
      <c r="A1429" s="7"/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</row>
    <row r="1430">
      <c r="A1430" s="7"/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</row>
    <row r="1431">
      <c r="A1431" s="7"/>
      <c r="B1431" s="6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</row>
    <row r="1432">
      <c r="A1432" s="7"/>
      <c r="B1432" s="6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</row>
    <row r="1433">
      <c r="A1433" s="7"/>
      <c r="B1433" s="6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</row>
    <row r="1434">
      <c r="A1434" s="7"/>
      <c r="B1434" s="6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</row>
    <row r="1435">
      <c r="A1435" s="7"/>
      <c r="B1435" s="6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</row>
    <row r="1436">
      <c r="A1436" s="7"/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</row>
    <row r="1437">
      <c r="A1437" s="7"/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</row>
    <row r="1438">
      <c r="A1438" s="7"/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</row>
    <row r="1439">
      <c r="A1439" s="7"/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</row>
    <row r="1440">
      <c r="A1440" s="7"/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</row>
    <row r="1441">
      <c r="A1441" s="7"/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</row>
    <row r="1442">
      <c r="A1442" s="7"/>
      <c r="B1442" s="6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</row>
    <row r="1443">
      <c r="A1443" s="7"/>
      <c r="B1443" s="6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</row>
    <row r="1444">
      <c r="A1444" s="7"/>
      <c r="B1444" s="6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</row>
    <row r="1445">
      <c r="A1445" s="7"/>
      <c r="B1445" s="6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</row>
    <row r="1446">
      <c r="A1446" s="7"/>
      <c r="B1446" s="6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</row>
    <row r="1447">
      <c r="A1447" s="7"/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</row>
    <row r="1448">
      <c r="A1448" s="7"/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</row>
    <row r="1449">
      <c r="A1449" s="7"/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</row>
    <row r="1450">
      <c r="A1450" s="7"/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</row>
    <row r="1451">
      <c r="A1451" s="7"/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</row>
    <row r="1452">
      <c r="A1452" s="7"/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</row>
    <row r="1453">
      <c r="A1453" s="7"/>
      <c r="B1453" s="6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</row>
    <row r="1454">
      <c r="A1454" s="7"/>
      <c r="B1454" s="6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</row>
    <row r="1455">
      <c r="A1455" s="7"/>
      <c r="B1455" s="6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</row>
    <row r="1456">
      <c r="A1456" s="7"/>
      <c r="B1456" s="6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</row>
    <row r="1457">
      <c r="A1457" s="7"/>
      <c r="B1457" s="6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</row>
    <row r="1458">
      <c r="A1458" s="7"/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</row>
    <row r="1459">
      <c r="A1459" s="7"/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</row>
    <row r="1460">
      <c r="A1460" s="7"/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</row>
    <row r="1461">
      <c r="A1461" s="7"/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</row>
    <row r="1462">
      <c r="A1462" s="7"/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</row>
    <row r="1463">
      <c r="A1463" s="7"/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</row>
    <row r="1464">
      <c r="A1464" s="7"/>
      <c r="B1464" s="6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</row>
    <row r="1465">
      <c r="A1465" s="7"/>
      <c r="B1465" s="6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</row>
    <row r="1466">
      <c r="A1466" s="7"/>
      <c r="B1466" s="6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</row>
    <row r="1467">
      <c r="A1467" s="7"/>
      <c r="B1467" s="6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</row>
    <row r="1468">
      <c r="A1468" s="7"/>
      <c r="B1468" s="6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</row>
    <row r="1469">
      <c r="A1469" s="7"/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</row>
    <row r="1470">
      <c r="A1470" s="7"/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</row>
    <row r="1471">
      <c r="A1471" s="7"/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</row>
    <row r="1472">
      <c r="A1472" s="7"/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</row>
    <row r="1473">
      <c r="A1473" s="7"/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</row>
    <row r="1474">
      <c r="A1474" s="7"/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</row>
    <row r="1475">
      <c r="A1475" s="7"/>
      <c r="B1475" s="6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</row>
    <row r="1476">
      <c r="A1476" s="7"/>
      <c r="B1476" s="6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</row>
    <row r="1477">
      <c r="A1477" s="7"/>
      <c r="B1477" s="6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</row>
    <row r="1478">
      <c r="A1478" s="7"/>
      <c r="B1478" s="6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</row>
    <row r="1479">
      <c r="A1479" s="7"/>
      <c r="B1479" s="6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</row>
    <row r="1480">
      <c r="A1480" s="7"/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</row>
    <row r="1481">
      <c r="A1481" s="7"/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</row>
    <row r="1482">
      <c r="A1482" s="7"/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</row>
    <row r="1483">
      <c r="A1483" s="7"/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</row>
    <row r="1484">
      <c r="A1484" s="7"/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</row>
    <row r="1485">
      <c r="A1485" s="7"/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</row>
    <row r="1486">
      <c r="A1486" s="7"/>
      <c r="B1486" s="6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</row>
    <row r="1487">
      <c r="A1487" s="7"/>
      <c r="B1487" s="6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</row>
    <row r="1488">
      <c r="A1488" s="7"/>
      <c r="B1488" s="6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</row>
    <row r="1489">
      <c r="A1489" s="7"/>
      <c r="B1489" s="6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</row>
    <row r="1490">
      <c r="A1490" s="7"/>
      <c r="B1490" s="6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</row>
    <row r="1491">
      <c r="A1491" s="7"/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</row>
    <row r="1492">
      <c r="A1492" s="7"/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</row>
    <row r="1493">
      <c r="A1493" s="7"/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</row>
    <row r="1494">
      <c r="A1494" s="7"/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</row>
    <row r="1495">
      <c r="A1495" s="7"/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</row>
    <row r="1496">
      <c r="A1496" s="7"/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</row>
    <row r="1497">
      <c r="A1497" s="7"/>
      <c r="B1497" s="6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</row>
    <row r="1498">
      <c r="A1498" s="7"/>
      <c r="B1498" s="6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</row>
    <row r="1499">
      <c r="A1499" s="7"/>
      <c r="B1499" s="6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</row>
    <row r="1500">
      <c r="A1500" s="7"/>
      <c r="B1500" s="6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</row>
    <row r="1501">
      <c r="A1501" s="7"/>
      <c r="B1501" s="6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</row>
    <row r="1502">
      <c r="A1502" s="7"/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</row>
    <row r="1503">
      <c r="A1503" s="7"/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</row>
    <row r="1504">
      <c r="A1504" s="7"/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</row>
    <row r="1505">
      <c r="A1505" s="7"/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</row>
    <row r="1506">
      <c r="A1506" s="7"/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</row>
    <row r="1507">
      <c r="A1507" s="7"/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</row>
    <row r="1508">
      <c r="A1508" s="7"/>
      <c r="B1508" s="6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</row>
    <row r="1509">
      <c r="A1509" s="7"/>
      <c r="B1509" s="6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</row>
    <row r="1510">
      <c r="A1510" s="7"/>
      <c r="B1510" s="6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</row>
    <row r="1511">
      <c r="A1511" s="7"/>
      <c r="B1511" s="6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</row>
    <row r="1512">
      <c r="A1512" s="7"/>
      <c r="B1512" s="6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</row>
    <row r="1513">
      <c r="A1513" s="7"/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</row>
    <row r="1514">
      <c r="A1514" s="7"/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</row>
    <row r="1515">
      <c r="A1515" s="7"/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</row>
    <row r="1516">
      <c r="A1516" s="7"/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</row>
    <row r="1517">
      <c r="A1517" s="7"/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</row>
    <row r="1518">
      <c r="A1518" s="7"/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</row>
    <row r="1519">
      <c r="A1519" s="7"/>
      <c r="B1519" s="6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</row>
    <row r="1520">
      <c r="A1520" s="7"/>
      <c r="B1520" s="6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</row>
    <row r="1521">
      <c r="A1521" s="7"/>
      <c r="B1521" s="6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</row>
    <row r="1522">
      <c r="A1522" s="7"/>
      <c r="B1522" s="6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</row>
    <row r="1523">
      <c r="A1523" s="7"/>
      <c r="B1523" s="6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</row>
    <row r="1524">
      <c r="A1524" s="7"/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</row>
    <row r="1525">
      <c r="A1525" s="7"/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</row>
    <row r="1526">
      <c r="A1526" s="7"/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</row>
    <row r="1527">
      <c r="A1527" s="7"/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</row>
    <row r="1528">
      <c r="A1528" s="7"/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</row>
    <row r="1529">
      <c r="A1529" s="7"/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</row>
    <row r="1530">
      <c r="A1530" s="7"/>
      <c r="B1530" s="6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</row>
    <row r="1531">
      <c r="A1531" s="7"/>
      <c r="B1531" s="6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</row>
    <row r="1532">
      <c r="A1532" s="7"/>
      <c r="B1532" s="6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</row>
    <row r="1533">
      <c r="A1533" s="7"/>
      <c r="B1533" s="6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</row>
    <row r="1534">
      <c r="A1534" s="7"/>
      <c r="B1534" s="6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</row>
    <row r="1535">
      <c r="A1535" s="7"/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</row>
    <row r="1536">
      <c r="A1536" s="7"/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</row>
    <row r="1537">
      <c r="A1537" s="7"/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</row>
    <row r="1538">
      <c r="A1538" s="7"/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</row>
    <row r="1539">
      <c r="A1539" s="7"/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</row>
    <row r="1540">
      <c r="A1540" s="7"/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</row>
    <row r="1541">
      <c r="A1541" s="7"/>
      <c r="B1541" s="6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</row>
    <row r="1542">
      <c r="A1542" s="7"/>
      <c r="B1542" s="6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</row>
    <row r="1543">
      <c r="A1543" s="7"/>
      <c r="B1543" s="6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</row>
    <row r="1544">
      <c r="A1544" s="7"/>
      <c r="B1544" s="6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</row>
    <row r="1545">
      <c r="A1545" s="7"/>
      <c r="B1545" s="6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</row>
    <row r="1546">
      <c r="A1546" s="7"/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</row>
    <row r="1547">
      <c r="A1547" s="7"/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</row>
    <row r="1548">
      <c r="A1548" s="7"/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</row>
    <row r="1549">
      <c r="A1549" s="7"/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</row>
    <row r="1550">
      <c r="A1550" s="7"/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</row>
    <row r="1551">
      <c r="A1551" s="7"/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</row>
    <row r="1552">
      <c r="A1552" s="7"/>
      <c r="B1552" s="6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</row>
    <row r="1553">
      <c r="A1553" s="7"/>
      <c r="B1553" s="6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</row>
    <row r="1554">
      <c r="A1554" s="7"/>
      <c r="B1554" s="6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</row>
    <row r="1555">
      <c r="A1555" s="7"/>
      <c r="B1555" s="6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</row>
    <row r="1556">
      <c r="A1556" s="7"/>
      <c r="B1556" s="6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</row>
    <row r="1557">
      <c r="A1557" s="7"/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</row>
    <row r="1558">
      <c r="A1558" s="7"/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</row>
    <row r="1559">
      <c r="A1559" s="7"/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</row>
    <row r="1560">
      <c r="A1560" s="7"/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</row>
    <row r="1561">
      <c r="A1561" s="7"/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</row>
    <row r="1562">
      <c r="A1562" s="7"/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</row>
    <row r="1563">
      <c r="A1563" s="7"/>
      <c r="B1563" s="6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</row>
    <row r="1564">
      <c r="A1564" s="7"/>
      <c r="B1564" s="6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</row>
    <row r="1565">
      <c r="A1565" s="7"/>
      <c r="B1565" s="6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</row>
    <row r="1566">
      <c r="A1566" s="7"/>
      <c r="B1566" s="6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</row>
    <row r="1567">
      <c r="A1567" s="7"/>
      <c r="B1567" s="6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</row>
    <row r="1568">
      <c r="A1568" s="7"/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</row>
    <row r="1569">
      <c r="A1569" s="7"/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</row>
    <row r="1570">
      <c r="A1570" s="7"/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</row>
    <row r="1571">
      <c r="A1571" s="7"/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</row>
    <row r="1572">
      <c r="A1572" s="7"/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</row>
    <row r="1573">
      <c r="A1573" s="7"/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</row>
    <row r="1574">
      <c r="A1574" s="7"/>
      <c r="B1574" s="6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</row>
    <row r="1575">
      <c r="A1575" s="7"/>
      <c r="B1575" s="6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</row>
    <row r="1576">
      <c r="A1576" s="7"/>
      <c r="B1576" s="6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</row>
    <row r="1577">
      <c r="A1577" s="7"/>
      <c r="B1577" s="6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</row>
    <row r="1578">
      <c r="A1578" s="7"/>
      <c r="B1578" s="6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</row>
    <row r="1579">
      <c r="A1579" s="7"/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</row>
    <row r="1580">
      <c r="A1580" s="7"/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</row>
    <row r="1581">
      <c r="A1581" s="7"/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</row>
    <row r="1582">
      <c r="A1582" s="7"/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</row>
    <row r="1583">
      <c r="A1583" s="7"/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</row>
    <row r="1584">
      <c r="A1584" s="7"/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</row>
    <row r="1585">
      <c r="A1585" s="7"/>
      <c r="B1585" s="6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</row>
    <row r="1586">
      <c r="A1586" s="7"/>
      <c r="B1586" s="6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</row>
    <row r="1587">
      <c r="A1587" s="7"/>
      <c r="B1587" s="6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</row>
    <row r="1588">
      <c r="A1588" s="7"/>
      <c r="B1588" s="6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</row>
    <row r="1589">
      <c r="A1589" s="7"/>
      <c r="B1589" s="6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</row>
    <row r="1590">
      <c r="A1590" s="7"/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</row>
    <row r="1591">
      <c r="A1591" s="7"/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</row>
    <row r="1592">
      <c r="A1592" s="7"/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</row>
    <row r="1593">
      <c r="A1593" s="7"/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</row>
    <row r="1594">
      <c r="A1594" s="7"/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</row>
    <row r="1595">
      <c r="A1595" s="7"/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</row>
    <row r="1596">
      <c r="A1596" s="7"/>
      <c r="B1596" s="6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</row>
    <row r="1597">
      <c r="A1597" s="7"/>
      <c r="B1597" s="6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</row>
    <row r="1598">
      <c r="A1598" s="7"/>
      <c r="B1598" s="6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</row>
    <row r="1599">
      <c r="A1599" s="7"/>
      <c r="B1599" s="6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</row>
    <row r="1600">
      <c r="A1600" s="7"/>
      <c r="B1600" s="6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</row>
    <row r="1601">
      <c r="A1601" s="7"/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</row>
    <row r="1602">
      <c r="A1602" s="7"/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</row>
    <row r="1603">
      <c r="A1603" s="7"/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</row>
    <row r="1604">
      <c r="A1604" s="7"/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</row>
    <row r="1605">
      <c r="A1605" s="7"/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</row>
    <row r="1606">
      <c r="A1606" s="7"/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</row>
    <row r="1607">
      <c r="A1607" s="7"/>
      <c r="B1607" s="6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</row>
    <row r="1608">
      <c r="A1608" s="7"/>
      <c r="B1608" s="6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</row>
    <row r="1609">
      <c r="A1609" s="7"/>
      <c r="B1609" s="6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</row>
    <row r="1610">
      <c r="A1610" s="7"/>
      <c r="B1610" s="6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</row>
    <row r="1611">
      <c r="A1611" s="7"/>
      <c r="B1611" s="6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</row>
    <row r="1612">
      <c r="A1612" s="7"/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</row>
    <row r="1613">
      <c r="A1613" s="7"/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</row>
    <row r="1614">
      <c r="A1614" s="7"/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</row>
    <row r="1615">
      <c r="A1615" s="7"/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</row>
    <row r="1616">
      <c r="A1616" s="7"/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</row>
    <row r="1617">
      <c r="A1617" s="7"/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</row>
    <row r="1618">
      <c r="A1618" s="7"/>
      <c r="B1618" s="6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</row>
    <row r="1619">
      <c r="A1619" s="7"/>
      <c r="B1619" s="6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</row>
    <row r="1620">
      <c r="A1620" s="7"/>
      <c r="B1620" s="6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</row>
    <row r="1621">
      <c r="A1621" s="7"/>
      <c r="B1621" s="6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</row>
    <row r="1622">
      <c r="A1622" s="7"/>
      <c r="B1622" s="6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</row>
    <row r="1623">
      <c r="A1623" s="7"/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</row>
    <row r="1624">
      <c r="A1624" s="7"/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</row>
    <row r="1625">
      <c r="A1625" s="7"/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</row>
    <row r="1626">
      <c r="A1626" s="7"/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</row>
    <row r="1627">
      <c r="A1627" s="7"/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</row>
    <row r="1628">
      <c r="A1628" s="7"/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</row>
    <row r="1629">
      <c r="A1629" s="7"/>
      <c r="B1629" s="6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</row>
    <row r="1630">
      <c r="A1630" s="7"/>
      <c r="B1630" s="6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</row>
    <row r="1631">
      <c r="A1631" s="7"/>
      <c r="B1631" s="6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</row>
    <row r="1632">
      <c r="A1632" s="7"/>
      <c r="B1632" s="6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</row>
    <row r="1633">
      <c r="A1633" s="7"/>
      <c r="B1633" s="6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</row>
    <row r="1634">
      <c r="A1634" s="7"/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</row>
    <row r="1635">
      <c r="A1635" s="7"/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</row>
    <row r="1636">
      <c r="A1636" s="7"/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</row>
    <row r="1637">
      <c r="A1637" s="7"/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</row>
    <row r="1638">
      <c r="A1638" s="7"/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</row>
    <row r="1639">
      <c r="A1639" s="7"/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</row>
    <row r="1640">
      <c r="A1640" s="7"/>
      <c r="B1640" s="6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</row>
    <row r="1641">
      <c r="A1641" s="7"/>
      <c r="B1641" s="6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</row>
    <row r="1642">
      <c r="A1642" s="7"/>
      <c r="B1642" s="6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</row>
    <row r="1643">
      <c r="A1643" s="7"/>
      <c r="B1643" s="6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</row>
    <row r="1644">
      <c r="A1644" s="7"/>
      <c r="B1644" s="6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</row>
    <row r="1645">
      <c r="A1645" s="7"/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</row>
    <row r="1646">
      <c r="A1646" s="7"/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</row>
    <row r="1647">
      <c r="A1647" s="7"/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</row>
    <row r="1648">
      <c r="A1648" s="7"/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</row>
    <row r="1649">
      <c r="A1649" s="7"/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</row>
    <row r="1650">
      <c r="A1650" s="7"/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</row>
    <row r="1651">
      <c r="A1651" s="7"/>
      <c r="B1651" s="6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</row>
    <row r="1652">
      <c r="A1652" s="7"/>
      <c r="B1652" s="6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</row>
    <row r="1653">
      <c r="A1653" s="7"/>
      <c r="B1653" s="6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</row>
    <row r="1654">
      <c r="A1654" s="7"/>
      <c r="B1654" s="6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</row>
    <row r="1655">
      <c r="A1655" s="7"/>
      <c r="B1655" s="6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</row>
    <row r="1656">
      <c r="A1656" s="7"/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</row>
    <row r="1657">
      <c r="A1657" s="7"/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</row>
    <row r="1658">
      <c r="A1658" s="7"/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</row>
    <row r="1659">
      <c r="A1659" s="7"/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</row>
    <row r="1660">
      <c r="A1660" s="7"/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</row>
    <row r="1661">
      <c r="A1661" s="7"/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</row>
    <row r="1662">
      <c r="A1662" s="7"/>
      <c r="B1662" s="6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</row>
    <row r="1663">
      <c r="A1663" s="7"/>
      <c r="B1663" s="6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</row>
    <row r="1664">
      <c r="A1664" s="7"/>
      <c r="B1664" s="6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</row>
    <row r="1665">
      <c r="A1665" s="7"/>
      <c r="B1665" s="6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</row>
    <row r="1666">
      <c r="A1666" s="7"/>
      <c r="B1666" s="6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</row>
    <row r="1667">
      <c r="A1667" s="7"/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</row>
    <row r="1668">
      <c r="A1668" s="7"/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</row>
    <row r="1669">
      <c r="A1669" s="7"/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</row>
    <row r="1670">
      <c r="A1670" s="7"/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</row>
    <row r="1671">
      <c r="A1671" s="7"/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</row>
    <row r="1672">
      <c r="A1672" s="7"/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</row>
    <row r="1673">
      <c r="A1673" s="7"/>
      <c r="B1673" s="6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</row>
    <row r="1674">
      <c r="A1674" s="7"/>
      <c r="B1674" s="6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</row>
    <row r="1675">
      <c r="A1675" s="7"/>
      <c r="B1675" s="6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</row>
    <row r="1676">
      <c r="A1676" s="7"/>
      <c r="B1676" s="6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</row>
    <row r="1677">
      <c r="A1677" s="7"/>
      <c r="B1677" s="6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</row>
    <row r="1678">
      <c r="A1678" s="7"/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</row>
    <row r="1679">
      <c r="A1679" s="7"/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</row>
    <row r="1680">
      <c r="A1680" s="7"/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</row>
    <row r="1681">
      <c r="A1681" s="7"/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</row>
    <row r="1682">
      <c r="A1682" s="7"/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</row>
    <row r="1683">
      <c r="A1683" s="7"/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</row>
    <row r="1684">
      <c r="A1684" s="7"/>
      <c r="B1684" s="6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</row>
    <row r="1685">
      <c r="A1685" s="7"/>
      <c r="B1685" s="6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</row>
    <row r="1686">
      <c r="A1686" s="7"/>
      <c r="B1686" s="6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</row>
    <row r="1687">
      <c r="A1687" s="7"/>
      <c r="B1687" s="6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</row>
    <row r="1688">
      <c r="A1688" s="7"/>
      <c r="B1688" s="6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</row>
    <row r="1689">
      <c r="A1689" s="7"/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</row>
    <row r="1690">
      <c r="A1690" s="7"/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</row>
    <row r="1691">
      <c r="A1691" s="7"/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</row>
    <row r="1692">
      <c r="A1692" s="7"/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</row>
    <row r="1693">
      <c r="A1693" s="7"/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</row>
    <row r="1694">
      <c r="A1694" s="7"/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</row>
    <row r="1695">
      <c r="A1695" s="7"/>
      <c r="B1695" s="6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</row>
    <row r="1696">
      <c r="A1696" s="7"/>
      <c r="B1696" s="6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</row>
    <row r="1697">
      <c r="A1697" s="7"/>
      <c r="B1697" s="6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</row>
    <row r="1698">
      <c r="A1698" s="7"/>
      <c r="B1698" s="6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</row>
    <row r="1699">
      <c r="A1699" s="7"/>
      <c r="B1699" s="6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</row>
    <row r="1700">
      <c r="A1700" s="7"/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</row>
    <row r="1701">
      <c r="A1701" s="7"/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</row>
    <row r="1702">
      <c r="A1702" s="7"/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</row>
    <row r="1703">
      <c r="A1703" s="7"/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</row>
    <row r="1704">
      <c r="A1704" s="7"/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</row>
    <row r="1705">
      <c r="A1705" s="7"/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</row>
    <row r="1706">
      <c r="A1706" s="7"/>
      <c r="B1706" s="6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</row>
    <row r="1707">
      <c r="A1707" s="7"/>
      <c r="B1707" s="6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</row>
    <row r="1708">
      <c r="A1708" s="7"/>
      <c r="B1708" s="6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</row>
    <row r="1709">
      <c r="A1709" s="7"/>
      <c r="B1709" s="6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</row>
    <row r="1710">
      <c r="A1710" s="7"/>
      <c r="B1710" s="6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</row>
    <row r="1711">
      <c r="A1711" s="7"/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</row>
    <row r="1712">
      <c r="A1712" s="7"/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</row>
    <row r="1713">
      <c r="A1713" s="7"/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</row>
    <row r="1714">
      <c r="A1714" s="7"/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</row>
    <row r="1715">
      <c r="A1715" s="7"/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</row>
    <row r="1716">
      <c r="A1716" s="7"/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</row>
    <row r="1717">
      <c r="A1717" s="7"/>
      <c r="B1717" s="6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</row>
    <row r="1718">
      <c r="A1718" s="7"/>
      <c r="B1718" s="6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</row>
    <row r="1719">
      <c r="A1719" s="7"/>
      <c r="B1719" s="6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</row>
    <row r="1720">
      <c r="A1720" s="7"/>
      <c r="B1720" s="6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</row>
    <row r="1721">
      <c r="A1721" s="7"/>
      <c r="B1721" s="6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</row>
    <row r="1722">
      <c r="A1722" s="7"/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</row>
    <row r="1723">
      <c r="A1723" s="7"/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</row>
    <row r="1724">
      <c r="A1724" s="7"/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</row>
    <row r="1725">
      <c r="A1725" s="7"/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</row>
    <row r="1726">
      <c r="A1726" s="7"/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</row>
    <row r="1727">
      <c r="A1727" s="7"/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</row>
    <row r="1728">
      <c r="A1728" s="7"/>
      <c r="B1728" s="6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</row>
    <row r="1729">
      <c r="A1729" s="7"/>
      <c r="B1729" s="6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</row>
    <row r="1730">
      <c r="A1730" s="7"/>
      <c r="B1730" s="6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</row>
    <row r="1731">
      <c r="A1731" s="7"/>
      <c r="B1731" s="6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</row>
    <row r="1732">
      <c r="A1732" s="7"/>
      <c r="B1732" s="6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</row>
    <row r="1733">
      <c r="A1733" s="7"/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</row>
    <row r="1734">
      <c r="A1734" s="7"/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</row>
    <row r="1735">
      <c r="A1735" s="7"/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</row>
    <row r="1736">
      <c r="A1736" s="7"/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</row>
    <row r="1737">
      <c r="A1737" s="7"/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</row>
    <row r="1738">
      <c r="A1738" s="7"/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</row>
    <row r="1739">
      <c r="A1739" s="7"/>
      <c r="B1739" s="6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</row>
    <row r="1740">
      <c r="A1740" s="7"/>
      <c r="B1740" s="6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</row>
    <row r="1741">
      <c r="A1741" s="7"/>
      <c r="B1741" s="6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</row>
    <row r="1742">
      <c r="A1742" s="7"/>
      <c r="B1742" s="6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</row>
    <row r="1743">
      <c r="A1743" s="7"/>
      <c r="B1743" s="6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</row>
    <row r="1744">
      <c r="A1744" s="7"/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</row>
    <row r="1745">
      <c r="A1745" s="7"/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</row>
    <row r="1746">
      <c r="A1746" s="7"/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</row>
    <row r="1747">
      <c r="A1747" s="7"/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</row>
    <row r="1748">
      <c r="A1748" s="7"/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</row>
    <row r="1749">
      <c r="A1749" s="7"/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</row>
    <row r="1750">
      <c r="A1750" s="7"/>
      <c r="B1750" s="6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</row>
    <row r="1751">
      <c r="A1751" s="7"/>
      <c r="B1751" s="6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</row>
    <row r="1752">
      <c r="A1752" s="7"/>
      <c r="B1752" s="6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</row>
    <row r="1753">
      <c r="A1753" s="7"/>
      <c r="B1753" s="6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</row>
    <row r="1754">
      <c r="A1754" s="7"/>
      <c r="B1754" s="6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</row>
    <row r="1755">
      <c r="A1755" s="7"/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</row>
    <row r="1756">
      <c r="A1756" s="7"/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</row>
    <row r="1757">
      <c r="A1757" s="7"/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</row>
    <row r="1758">
      <c r="A1758" s="7"/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</row>
    <row r="1759">
      <c r="A1759" s="7"/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</row>
    <row r="1760">
      <c r="A1760" s="7"/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</row>
    <row r="1761">
      <c r="A1761" s="7"/>
      <c r="B1761" s="6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</row>
    <row r="1762">
      <c r="A1762" s="7"/>
      <c r="B1762" s="6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</row>
    <row r="1763">
      <c r="A1763" s="7"/>
      <c r="B1763" s="6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</row>
    <row r="1764">
      <c r="A1764" s="7"/>
      <c r="B1764" s="6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</row>
    <row r="1765">
      <c r="A1765" s="7"/>
      <c r="B1765" s="6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</row>
    <row r="1766">
      <c r="A1766" s="7"/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</row>
    <row r="1767">
      <c r="A1767" s="7"/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</row>
    <row r="1768">
      <c r="A1768" s="7"/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</row>
    <row r="1769">
      <c r="A1769" s="7"/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</row>
    <row r="1770">
      <c r="A1770" s="7"/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</row>
    <row r="1771">
      <c r="A1771" s="7"/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</row>
    <row r="1772">
      <c r="A1772" s="7"/>
      <c r="B1772" s="6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</row>
    <row r="1773">
      <c r="A1773" s="7"/>
      <c r="B1773" s="6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</row>
    <row r="1774">
      <c r="A1774" s="7"/>
      <c r="B1774" s="6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</row>
    <row r="1775">
      <c r="A1775" s="7"/>
      <c r="B1775" s="6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</row>
    <row r="1776">
      <c r="A1776" s="7"/>
      <c r="B1776" s="6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</row>
    <row r="1777">
      <c r="A1777" s="7"/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</row>
    <row r="1778">
      <c r="A1778" s="7"/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</row>
    <row r="1779">
      <c r="A1779" s="7"/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</row>
    <row r="1780">
      <c r="A1780" s="7"/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</row>
    <row r="1781">
      <c r="A1781" s="7"/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</row>
    <row r="1782">
      <c r="A1782" s="7"/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</row>
    <row r="1783">
      <c r="A1783" s="7"/>
      <c r="B1783" s="6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</row>
    <row r="1784">
      <c r="A1784" s="7"/>
      <c r="B1784" s="6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</row>
    <row r="1785">
      <c r="A1785" s="7"/>
      <c r="B1785" s="6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</row>
    <row r="1786">
      <c r="A1786" s="7"/>
      <c r="B1786" s="6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</row>
    <row r="1787">
      <c r="A1787" s="7"/>
      <c r="B1787" s="6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</row>
    <row r="1788">
      <c r="A1788" s="7"/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</row>
    <row r="1789">
      <c r="A1789" s="7"/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</row>
    <row r="1790">
      <c r="A1790" s="7"/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</row>
    <row r="1791">
      <c r="A1791" s="7"/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</row>
    <row r="1792">
      <c r="A1792" s="7"/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</row>
    <row r="1793">
      <c r="A1793" s="7"/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</row>
    <row r="1794">
      <c r="A1794" s="7"/>
      <c r="B1794" s="6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</row>
    <row r="1795">
      <c r="A1795" s="7"/>
      <c r="B1795" s="6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</row>
    <row r="1796">
      <c r="A1796" s="7"/>
      <c r="B1796" s="6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</row>
    <row r="1797">
      <c r="A1797" s="7"/>
      <c r="B1797" s="6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</row>
    <row r="1798">
      <c r="A1798" s="7"/>
      <c r="B1798" s="6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</row>
    <row r="1799">
      <c r="A1799" s="7"/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</row>
    <row r="1800">
      <c r="A1800" s="7"/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</row>
    <row r="1801">
      <c r="A1801" s="7"/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</row>
    <row r="1802">
      <c r="A1802" s="7"/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</row>
    <row r="1803">
      <c r="A1803" s="7"/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</row>
    <row r="1804">
      <c r="A1804" s="7"/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</row>
    <row r="1805">
      <c r="A1805" s="7"/>
      <c r="B1805" s="6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</row>
    <row r="1806">
      <c r="A1806" s="7"/>
      <c r="B1806" s="6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</row>
    <row r="1807">
      <c r="A1807" s="7"/>
      <c r="B1807" s="6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</row>
    <row r="1808">
      <c r="A1808" s="7"/>
      <c r="B1808" s="6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</row>
    <row r="1809">
      <c r="A1809" s="7"/>
      <c r="B1809" s="6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</row>
    <row r="1810">
      <c r="A1810" s="7"/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</row>
    <row r="1811">
      <c r="A1811" s="7"/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</row>
    <row r="1812">
      <c r="A1812" s="7"/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</row>
    <row r="1813">
      <c r="A1813" s="7"/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</row>
    <row r="1814">
      <c r="A1814" s="7"/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</row>
    <row r="1815">
      <c r="A1815" s="7"/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</row>
    <row r="1816">
      <c r="A1816" s="7"/>
      <c r="B1816" s="6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</row>
    <row r="1817">
      <c r="A1817" s="7"/>
      <c r="B1817" s="6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</row>
    <row r="1818">
      <c r="A1818" s="7"/>
      <c r="B1818" s="6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</row>
    <row r="1819">
      <c r="A1819" s="7"/>
      <c r="B1819" s="6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</row>
    <row r="1820">
      <c r="A1820" s="7"/>
      <c r="B1820" s="6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</row>
    <row r="1821">
      <c r="A1821" s="7"/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</row>
    <row r="1822">
      <c r="A1822" s="7"/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</row>
    <row r="1823">
      <c r="A1823" s="7"/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</row>
    <row r="1824">
      <c r="A1824" s="7"/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</row>
    <row r="1825">
      <c r="A1825" s="7"/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</row>
    <row r="1826">
      <c r="A1826" s="7"/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</row>
    <row r="1827">
      <c r="A1827" s="7"/>
      <c r="B1827" s="6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</row>
    <row r="1828">
      <c r="A1828" s="7"/>
      <c r="B1828" s="6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</row>
    <row r="1829">
      <c r="A1829" s="7"/>
      <c r="B1829" s="6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</row>
    <row r="1830">
      <c r="A1830" s="7"/>
      <c r="B1830" s="6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</row>
    <row r="1831">
      <c r="A1831" s="7"/>
      <c r="B1831" s="6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</row>
    <row r="1832">
      <c r="A1832" s="7"/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</row>
    <row r="1833">
      <c r="A1833" s="7"/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</row>
    <row r="1834">
      <c r="A1834" s="7"/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</row>
    <row r="1835">
      <c r="A1835" s="7"/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</row>
    <row r="1836">
      <c r="A1836" s="7"/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</row>
    <row r="1837">
      <c r="A1837" s="7"/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</row>
    <row r="1838">
      <c r="A1838" s="7"/>
      <c r="B1838" s="6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</row>
    <row r="1839">
      <c r="A1839" s="7"/>
      <c r="B1839" s="6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</row>
    <row r="1840">
      <c r="A1840" s="7"/>
      <c r="B1840" s="6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</row>
    <row r="1841">
      <c r="A1841" s="7"/>
      <c r="B1841" s="6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</row>
    <row r="1842">
      <c r="A1842" s="7"/>
      <c r="B1842" s="6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</row>
    <row r="1843">
      <c r="A1843" s="7"/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</row>
    <row r="1844">
      <c r="A1844" s="7"/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</row>
    <row r="1845">
      <c r="A1845" s="7"/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</row>
    <row r="1846">
      <c r="A1846" s="7"/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</row>
    <row r="1847">
      <c r="A1847" s="7"/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</row>
    <row r="1848">
      <c r="A1848" s="7"/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</row>
    <row r="1849">
      <c r="A1849" s="7"/>
      <c r="B1849" s="6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</row>
    <row r="1850">
      <c r="A1850" s="7"/>
      <c r="B1850" s="6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</row>
    <row r="1851">
      <c r="A1851" s="7"/>
      <c r="B1851" s="6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</row>
    <row r="1852">
      <c r="A1852" s="7"/>
      <c r="B1852" s="6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</row>
    <row r="1853">
      <c r="A1853" s="7"/>
      <c r="B1853" s="6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</row>
    <row r="1854">
      <c r="A1854" s="7"/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</row>
    <row r="1855">
      <c r="A1855" s="7"/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</row>
    <row r="1856">
      <c r="A1856" s="7"/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</row>
    <row r="1857">
      <c r="A1857" s="7"/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</row>
    <row r="1858">
      <c r="A1858" s="7"/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</row>
    <row r="1859">
      <c r="A1859" s="7"/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</row>
    <row r="1860">
      <c r="A1860" s="7"/>
      <c r="B1860" s="6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</row>
    <row r="1861">
      <c r="A1861" s="7"/>
      <c r="B1861" s="6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</row>
    <row r="1862">
      <c r="A1862" s="7"/>
      <c r="B1862" s="6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</row>
    <row r="1863">
      <c r="A1863" s="7"/>
      <c r="B1863" s="6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</row>
    <row r="1864">
      <c r="A1864" s="7"/>
      <c r="B1864" s="6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</row>
    <row r="1865">
      <c r="A1865" s="7"/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</row>
    <row r="1866">
      <c r="A1866" s="7"/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</row>
    <row r="1867">
      <c r="A1867" s="7"/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</row>
    <row r="1868">
      <c r="A1868" s="7"/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</row>
    <row r="1869">
      <c r="A1869" s="7"/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</row>
    <row r="1870">
      <c r="A1870" s="7"/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</row>
    <row r="1871">
      <c r="A1871" s="7"/>
      <c r="B1871" s="6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</row>
    <row r="1872">
      <c r="A1872" s="7"/>
      <c r="B1872" s="6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</row>
    <row r="1873">
      <c r="A1873" s="7"/>
      <c r="B1873" s="6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</row>
    <row r="1874">
      <c r="A1874" s="7"/>
      <c r="B1874" s="6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</row>
    <row r="1875">
      <c r="A1875" s="7"/>
      <c r="B1875" s="6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</row>
    <row r="1876">
      <c r="A1876" s="7"/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</row>
    <row r="1877">
      <c r="A1877" s="7"/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</row>
    <row r="1878">
      <c r="A1878" s="7"/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</row>
    <row r="1879">
      <c r="A1879" s="7"/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</row>
    <row r="1880">
      <c r="A1880" s="7"/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</row>
    <row r="1881">
      <c r="A1881" s="7"/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</row>
    <row r="1882">
      <c r="A1882" s="7"/>
      <c r="B1882" s="6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</row>
    <row r="1883">
      <c r="A1883" s="7"/>
      <c r="B1883" s="6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</row>
    <row r="1884">
      <c r="A1884" s="7"/>
      <c r="B1884" s="6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</row>
    <row r="1885">
      <c r="A1885" s="7"/>
      <c r="B1885" s="6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</row>
    <row r="1886">
      <c r="A1886" s="7"/>
      <c r="B1886" s="6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</row>
    <row r="1887">
      <c r="A1887" s="7"/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</row>
    <row r="1888">
      <c r="A1888" s="7"/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</row>
    <row r="1889">
      <c r="A1889" s="7"/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</row>
    <row r="1890">
      <c r="A1890" s="7"/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</row>
    <row r="1891">
      <c r="A1891" s="7"/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</row>
    <row r="1892">
      <c r="A1892" s="7"/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</row>
    <row r="1893">
      <c r="A1893" s="7"/>
      <c r="B1893" s="6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</row>
    <row r="1894">
      <c r="A1894" s="7"/>
      <c r="B1894" s="6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</row>
    <row r="1895">
      <c r="A1895" s="7"/>
      <c r="B1895" s="6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</row>
    <row r="1896">
      <c r="A1896" s="7"/>
      <c r="B1896" s="6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</row>
    <row r="1897">
      <c r="A1897" s="7"/>
      <c r="B1897" s="6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</row>
    <row r="1898">
      <c r="A1898" s="7"/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</row>
    <row r="1899">
      <c r="A1899" s="7"/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</row>
    <row r="1900">
      <c r="A1900" s="7"/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</row>
    <row r="1901">
      <c r="A1901" s="7"/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</row>
    <row r="1902">
      <c r="A1902" s="7"/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</row>
    <row r="1903">
      <c r="A1903" s="7"/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</row>
    <row r="1904">
      <c r="A1904" s="7"/>
      <c r="B1904" s="6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</row>
    <row r="1905">
      <c r="A1905" s="7"/>
      <c r="B1905" s="6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</row>
    <row r="1906">
      <c r="A1906" s="7"/>
      <c r="B1906" s="6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</row>
    <row r="1907">
      <c r="A1907" s="7"/>
      <c r="B1907" s="6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</row>
    <row r="1908">
      <c r="A1908" s="7"/>
      <c r="B1908" s="6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</row>
    <row r="1909">
      <c r="A1909" s="7"/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</row>
    <row r="1910">
      <c r="A1910" s="7"/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</row>
    <row r="1911">
      <c r="A1911" s="7"/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</row>
    <row r="1912">
      <c r="A1912" s="7"/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</row>
    <row r="1913">
      <c r="A1913" s="7"/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</row>
    <row r="1914">
      <c r="A1914" s="7"/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</row>
    <row r="1915">
      <c r="A1915" s="7"/>
      <c r="B1915" s="6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</row>
    <row r="1916">
      <c r="A1916" s="7"/>
      <c r="B1916" s="6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</row>
    <row r="1917">
      <c r="A1917" s="7"/>
      <c r="B1917" s="6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</row>
    <row r="1918">
      <c r="A1918" s="7"/>
      <c r="B1918" s="6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</row>
    <row r="1919">
      <c r="A1919" s="7"/>
      <c r="B1919" s="6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</row>
    <row r="1920">
      <c r="A1920" s="7"/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</row>
    <row r="1921">
      <c r="A1921" s="7"/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</row>
    <row r="1922">
      <c r="A1922" s="7"/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</row>
    <row r="1923">
      <c r="A1923" s="7"/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</row>
    <row r="1924">
      <c r="A1924" s="7"/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</row>
    <row r="1925">
      <c r="A1925" s="7"/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</row>
    <row r="1926">
      <c r="A1926" s="7"/>
      <c r="B1926" s="6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</row>
    <row r="1927">
      <c r="A1927" s="7"/>
      <c r="B1927" s="6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</row>
    <row r="1928">
      <c r="A1928" s="7"/>
      <c r="B1928" s="6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</row>
    <row r="1929">
      <c r="A1929" s="7"/>
      <c r="B1929" s="6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</row>
    <row r="1930">
      <c r="A1930" s="7"/>
      <c r="B1930" s="6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</row>
    <row r="1931">
      <c r="A1931" s="7"/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</row>
    <row r="1932">
      <c r="A1932" s="7"/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</row>
    <row r="1933">
      <c r="A1933" s="7"/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</row>
    <row r="1934">
      <c r="A1934" s="7"/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</row>
    <row r="1935">
      <c r="A1935" s="7"/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</row>
    <row r="1936">
      <c r="A1936" s="7"/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</row>
    <row r="1937">
      <c r="A1937" s="7"/>
      <c r="B1937" s="6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</row>
    <row r="1938">
      <c r="A1938" s="7"/>
      <c r="B1938" s="6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</row>
    <row r="1939">
      <c r="A1939" s="7"/>
      <c r="B1939" s="6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</row>
    <row r="1940">
      <c r="A1940" s="7"/>
      <c r="B1940" s="6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</row>
    <row r="1941">
      <c r="A1941" s="7"/>
      <c r="B1941" s="6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</row>
    <row r="1942">
      <c r="A1942" s="7"/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</row>
    <row r="1943">
      <c r="A1943" s="7"/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</row>
    <row r="1944">
      <c r="A1944" s="7"/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</row>
    <row r="1945">
      <c r="A1945" s="7"/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</row>
    <row r="1946">
      <c r="A1946" s="7"/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</row>
    <row r="1947">
      <c r="A1947" s="7"/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</row>
    <row r="1948">
      <c r="A1948" s="7"/>
      <c r="B1948" s="6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</row>
    <row r="1949">
      <c r="A1949" s="7"/>
      <c r="B1949" s="6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</row>
    <row r="1950">
      <c r="A1950" s="7"/>
      <c r="B1950" s="6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</row>
    <row r="1951">
      <c r="A1951" s="7"/>
      <c r="B1951" s="6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</row>
    <row r="1952">
      <c r="A1952" s="7"/>
      <c r="B1952" s="6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</row>
    <row r="1953">
      <c r="A1953" s="7"/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</row>
    <row r="1954">
      <c r="A1954" s="7"/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</row>
    <row r="1955">
      <c r="A1955" s="7"/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</row>
    <row r="1956">
      <c r="A1956" s="7"/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</row>
    <row r="1957">
      <c r="A1957" s="7"/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</row>
    <row r="1958">
      <c r="A1958" s="7"/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</row>
    <row r="1959">
      <c r="A1959" s="7"/>
      <c r="B1959" s="6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</row>
    <row r="1960">
      <c r="A1960" s="7"/>
      <c r="B1960" s="6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</row>
    <row r="1961">
      <c r="A1961" s="7"/>
      <c r="B1961" s="6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</row>
    <row r="1962">
      <c r="A1962" s="7"/>
      <c r="B1962" s="6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</row>
    <row r="1963">
      <c r="A1963" s="7"/>
      <c r="B1963" s="6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</row>
    <row r="1964">
      <c r="A1964" s="7"/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</row>
    <row r="1965">
      <c r="A1965" s="7"/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</row>
    <row r="1966">
      <c r="A1966" s="7"/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</row>
    <row r="1967">
      <c r="A1967" s="7"/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</row>
    <row r="1968">
      <c r="A1968" s="7"/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</row>
    <row r="1969">
      <c r="A1969" s="7"/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</row>
    <row r="1970">
      <c r="A1970" s="7"/>
      <c r="B1970" s="6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</row>
    <row r="1971">
      <c r="A1971" s="7"/>
      <c r="B1971" s="6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</row>
    <row r="1972">
      <c r="A1972" s="7"/>
      <c r="B1972" s="6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</row>
    <row r="1973">
      <c r="A1973" s="7"/>
      <c r="B1973" s="6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</row>
    <row r="1974">
      <c r="A1974" s="7"/>
      <c r="B1974" s="6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</row>
    <row r="1975">
      <c r="A1975" s="7"/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</row>
    <row r="1976">
      <c r="A1976" s="7"/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</row>
    <row r="1977">
      <c r="A1977" s="7"/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</row>
    <row r="1978">
      <c r="A1978" s="7"/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</row>
    <row r="1979">
      <c r="A1979" s="7"/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</row>
    <row r="1980">
      <c r="A1980" s="7"/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</row>
    <row r="1981">
      <c r="A1981" s="7"/>
      <c r="B1981" s="6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</row>
    <row r="1982">
      <c r="A1982" s="7"/>
      <c r="B1982" s="6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</row>
    <row r="1983">
      <c r="A1983" s="7"/>
      <c r="B1983" s="6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</row>
    <row r="1984">
      <c r="A1984" s="7"/>
      <c r="B1984" s="6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</row>
    <row r="1985">
      <c r="A1985" s="7"/>
      <c r="B1985" s="6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</row>
    <row r="1986">
      <c r="A1986" s="7"/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</row>
    <row r="1987">
      <c r="A1987" s="7"/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</row>
    <row r="1988">
      <c r="A1988" s="7"/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</row>
    <row r="1989">
      <c r="A1989" s="7"/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</row>
    <row r="1990">
      <c r="A1990" s="7"/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</row>
    <row r="1991">
      <c r="A1991" s="7"/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</row>
    <row r="1992">
      <c r="A1992" s="7"/>
      <c r="B1992" s="6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</row>
    <row r="1993">
      <c r="A1993" s="7"/>
      <c r="B1993" s="6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</row>
    <row r="1994">
      <c r="A1994" s="7"/>
      <c r="B1994" s="6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</row>
    <row r="1995">
      <c r="A1995" s="7"/>
      <c r="B1995" s="6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</row>
    <row r="1996">
      <c r="A1996" s="7"/>
      <c r="B1996" s="6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</row>
    <row r="1997">
      <c r="A1997" s="7"/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</row>
    <row r="1998">
      <c r="A1998" s="7"/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</row>
    <row r="1999">
      <c r="A1999" s="7"/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</row>
    <row r="2000">
      <c r="A2000" s="7"/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</row>
    <row r="2001">
      <c r="A2001" s="7"/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</row>
    <row r="2002">
      <c r="A2002" s="7"/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</row>
    <row r="2003">
      <c r="A2003" s="7"/>
      <c r="B2003" s="6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</row>
    <row r="2004">
      <c r="A2004" s="7"/>
      <c r="B2004" s="6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</row>
    <row r="2005">
      <c r="A2005" s="7"/>
      <c r="B2005" s="6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</row>
    <row r="2006">
      <c r="A2006" s="7"/>
      <c r="B2006" s="6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</row>
    <row r="2007">
      <c r="A2007" s="7"/>
      <c r="B2007" s="6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</row>
    <row r="2008">
      <c r="A2008" s="7"/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</row>
    <row r="2009">
      <c r="A2009" s="7"/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</row>
    <row r="2010">
      <c r="A2010" s="7"/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</row>
    <row r="2011">
      <c r="A2011" s="7"/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</row>
    <row r="2012">
      <c r="A2012" s="7"/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</row>
    <row r="2013">
      <c r="A2013" s="7"/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</row>
    <row r="2014">
      <c r="A2014" s="7"/>
      <c r="B2014" s="6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</row>
    <row r="2015">
      <c r="A2015" s="7"/>
      <c r="B2015" s="6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</row>
    <row r="2016">
      <c r="A2016" s="7"/>
      <c r="B2016" s="6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</row>
    <row r="2017">
      <c r="A2017" s="7"/>
      <c r="B2017" s="6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</row>
    <row r="2018">
      <c r="A2018" s="7"/>
      <c r="B2018" s="6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</row>
    <row r="2019">
      <c r="A2019" s="7"/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</row>
    <row r="2020">
      <c r="A2020" s="7"/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</row>
    <row r="2021">
      <c r="A2021" s="7"/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</row>
    <row r="2022">
      <c r="A2022" s="7"/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</row>
    <row r="2023">
      <c r="A2023" s="7"/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</row>
    <row r="2024">
      <c r="A2024" s="7"/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</row>
    <row r="2025">
      <c r="A2025" s="7"/>
      <c r="B2025" s="6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</row>
    <row r="2026">
      <c r="A2026" s="7"/>
      <c r="B2026" s="6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</row>
    <row r="2027">
      <c r="A2027" s="7"/>
      <c r="B2027" s="6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</row>
    <row r="2028">
      <c r="A2028" s="7"/>
      <c r="B2028" s="6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</row>
    <row r="2029">
      <c r="A2029" s="7"/>
      <c r="B2029" s="6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</row>
    <row r="2030">
      <c r="A2030" s="7"/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</row>
    <row r="2031">
      <c r="A2031" s="7"/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</row>
    <row r="2032">
      <c r="A2032" s="7"/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</row>
    <row r="2033">
      <c r="A2033" s="7"/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</row>
    <row r="2034">
      <c r="A2034" s="7"/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</row>
    <row r="2035">
      <c r="A2035" s="7"/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</row>
    <row r="2036">
      <c r="A2036" s="7"/>
      <c r="B2036" s="6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</row>
    <row r="2037">
      <c r="A2037" s="7"/>
      <c r="B2037" s="6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</row>
    <row r="2038">
      <c r="A2038" s="7"/>
      <c r="B2038" s="6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</row>
    <row r="2039">
      <c r="A2039" s="7"/>
      <c r="B2039" s="6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</row>
    <row r="2040">
      <c r="A2040" s="7"/>
      <c r="B2040" s="6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</row>
    <row r="2041">
      <c r="A2041" s="7"/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</row>
    <row r="2042">
      <c r="A2042" s="7"/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</row>
    <row r="2043">
      <c r="A2043" s="7"/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</row>
    <row r="2044">
      <c r="A2044" s="7"/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</row>
    <row r="2045">
      <c r="A2045" s="7"/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</row>
    <row r="2046">
      <c r="A2046" s="7"/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</row>
    <row r="2047">
      <c r="A2047" s="7"/>
      <c r="B2047" s="6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</row>
    <row r="2048">
      <c r="A2048" s="7"/>
      <c r="B2048" s="6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</row>
    <row r="2049">
      <c r="A2049" s="7"/>
      <c r="B2049" s="6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</row>
    <row r="2050">
      <c r="A2050" s="7"/>
      <c r="B2050" s="6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</row>
    <row r="2051">
      <c r="A2051" s="7"/>
      <c r="B2051" s="6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</row>
    <row r="2052">
      <c r="A2052" s="7"/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</row>
    <row r="2053">
      <c r="A2053" s="7"/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</row>
    <row r="2054">
      <c r="A2054" s="7"/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</row>
    <row r="2055">
      <c r="A2055" s="7"/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</row>
    <row r="2056">
      <c r="A2056" s="7"/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</row>
    <row r="2057">
      <c r="A2057" s="7"/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</row>
    <row r="2058">
      <c r="A2058" s="7"/>
      <c r="B2058" s="6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</row>
    <row r="2059">
      <c r="A2059" s="7"/>
      <c r="B2059" s="6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</row>
    <row r="2060">
      <c r="A2060" s="7"/>
      <c r="B2060" s="6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</row>
    <row r="2061">
      <c r="A2061" s="7"/>
      <c r="B2061" s="6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</row>
    <row r="2062">
      <c r="A2062" s="7"/>
      <c r="B2062" s="6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</row>
    <row r="2063">
      <c r="A2063" s="7"/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</row>
    <row r="2064">
      <c r="A2064" s="7"/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</row>
    <row r="2065">
      <c r="A2065" s="7"/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</row>
    <row r="2066">
      <c r="A2066" s="7"/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</row>
    <row r="2067">
      <c r="A2067" s="7"/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</row>
    <row r="2068">
      <c r="A2068" s="7"/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</row>
    <row r="2069">
      <c r="A2069" s="7"/>
      <c r="B2069" s="6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</row>
    <row r="2070">
      <c r="A2070" s="7"/>
      <c r="B2070" s="6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</row>
    <row r="2071">
      <c r="A2071" s="7"/>
      <c r="B2071" s="6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</row>
    <row r="2072">
      <c r="A2072" s="7"/>
      <c r="B2072" s="6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</row>
    <row r="2073">
      <c r="A2073" s="7"/>
      <c r="B2073" s="6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</row>
    <row r="2074">
      <c r="A2074" s="7"/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</row>
    <row r="2075">
      <c r="A2075" s="7"/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</row>
    <row r="2076">
      <c r="A2076" s="7"/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</row>
    <row r="2077">
      <c r="A2077" s="7"/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</row>
    <row r="2078">
      <c r="A2078" s="7"/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</row>
    <row r="2079">
      <c r="A2079" s="7"/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</row>
    <row r="2080">
      <c r="A2080" s="7"/>
      <c r="B2080" s="6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</row>
    <row r="2081">
      <c r="A2081" s="7"/>
      <c r="B2081" s="6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</row>
    <row r="2082">
      <c r="A2082" s="7"/>
      <c r="B2082" s="6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</row>
    <row r="2083">
      <c r="A2083" s="7"/>
      <c r="B2083" s="6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</row>
    <row r="2084">
      <c r="A2084" s="7"/>
      <c r="B2084" s="6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</row>
    <row r="2085">
      <c r="A2085" s="7"/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</row>
    <row r="2086">
      <c r="A2086" s="7"/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</row>
    <row r="2087">
      <c r="A2087" s="7"/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</row>
    <row r="2088">
      <c r="A2088" s="7"/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</row>
    <row r="2089">
      <c r="A2089" s="7"/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</row>
    <row r="2090">
      <c r="A2090" s="7"/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</row>
    <row r="2091">
      <c r="A2091" s="7"/>
      <c r="B2091" s="6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</row>
    <row r="2092">
      <c r="A2092" s="7"/>
      <c r="B2092" s="6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</row>
    <row r="2093">
      <c r="A2093" s="7"/>
      <c r="B2093" s="6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</row>
    <row r="2094">
      <c r="A2094" s="7"/>
      <c r="B2094" s="6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</row>
    <row r="2095">
      <c r="A2095" s="7"/>
      <c r="B2095" s="6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</row>
    <row r="2096">
      <c r="A2096" s="7"/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</row>
    <row r="2097">
      <c r="A2097" s="7"/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</row>
    <row r="2098">
      <c r="A2098" s="7"/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</row>
    <row r="2099">
      <c r="A2099" s="7"/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</row>
    <row r="2100">
      <c r="A2100" s="7"/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</row>
    <row r="2101">
      <c r="A2101" s="7"/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</row>
    <row r="2102">
      <c r="A2102" s="7"/>
      <c r="B2102" s="6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</row>
    <row r="2103">
      <c r="A2103" s="7"/>
      <c r="B2103" s="6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</row>
    <row r="2104">
      <c r="A2104" s="7"/>
      <c r="B2104" s="6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</row>
    <row r="2105">
      <c r="A2105" s="7"/>
      <c r="B2105" s="6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</row>
    <row r="2106">
      <c r="A2106" s="7"/>
      <c r="B2106" s="6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</row>
    <row r="2107">
      <c r="A2107" s="7"/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</row>
    <row r="2108">
      <c r="A2108" s="7"/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</row>
    <row r="2109">
      <c r="A2109" s="7"/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</row>
    <row r="2110">
      <c r="A2110" s="7"/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</row>
    <row r="2111">
      <c r="A2111" s="7"/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</row>
    <row r="2112">
      <c r="A2112" s="7"/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</row>
    <row r="2113">
      <c r="A2113" s="7"/>
      <c r="B2113" s="6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</row>
    <row r="2114">
      <c r="A2114" s="7"/>
      <c r="B2114" s="6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</row>
    <row r="2115">
      <c r="A2115" s="7"/>
      <c r="B2115" s="6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</row>
    <row r="2116">
      <c r="A2116" s="7"/>
      <c r="B2116" s="6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</row>
    <row r="2117">
      <c r="A2117" s="7"/>
      <c r="B2117" s="6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</row>
    <row r="2118">
      <c r="A2118" s="7"/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</row>
    <row r="2119">
      <c r="A2119" s="7"/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</row>
    <row r="2120">
      <c r="A2120" s="7"/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</row>
    <row r="2121">
      <c r="A2121" s="7"/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</row>
    <row r="2122">
      <c r="A2122" s="7"/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</row>
    <row r="2123">
      <c r="A2123" s="7"/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</row>
    <row r="2124">
      <c r="A2124" s="7"/>
      <c r="B2124" s="6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</row>
    <row r="2125">
      <c r="A2125" s="7"/>
      <c r="B2125" s="6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</row>
    <row r="2126">
      <c r="A2126" s="7"/>
      <c r="B2126" s="6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</row>
    <row r="2127">
      <c r="A2127" s="7"/>
      <c r="B2127" s="6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</row>
    <row r="2128">
      <c r="A2128" s="7"/>
      <c r="B2128" s="6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</row>
    <row r="2129">
      <c r="A2129" s="7"/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</row>
    <row r="2130">
      <c r="A2130" s="7"/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</row>
    <row r="2131">
      <c r="A2131" s="7"/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</row>
    <row r="2132">
      <c r="A2132" s="7"/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</row>
    <row r="2133">
      <c r="A2133" s="7"/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</row>
    <row r="2134">
      <c r="A2134" s="7"/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</row>
    <row r="2135">
      <c r="A2135" s="7"/>
      <c r="B2135" s="6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</row>
    <row r="2136">
      <c r="A2136" s="7"/>
      <c r="B2136" s="6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</row>
    <row r="2137">
      <c r="A2137" s="7"/>
      <c r="B2137" s="6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</row>
    <row r="2138">
      <c r="A2138" s="7"/>
      <c r="B2138" s="6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</row>
    <row r="2139">
      <c r="A2139" s="7"/>
      <c r="B2139" s="6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</row>
    <row r="2140">
      <c r="A2140" s="7"/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</row>
    <row r="2141">
      <c r="A2141" s="7"/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</row>
    <row r="2142">
      <c r="A2142" s="7"/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</row>
    <row r="2143">
      <c r="A2143" s="7"/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</row>
    <row r="2144">
      <c r="A2144" s="7"/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</row>
    <row r="2145">
      <c r="A2145" s="7"/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</row>
    <row r="2146">
      <c r="A2146" s="7"/>
      <c r="B2146" s="6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</row>
    <row r="2147">
      <c r="A2147" s="7"/>
      <c r="B2147" s="6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</row>
    <row r="2148">
      <c r="A2148" s="7"/>
      <c r="B2148" s="6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</row>
    <row r="2149">
      <c r="A2149" s="7"/>
      <c r="B2149" s="6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</row>
    <row r="2150">
      <c r="A2150" s="7"/>
      <c r="B2150" s="6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</row>
    <row r="2151">
      <c r="A2151" s="7"/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</row>
    <row r="2152">
      <c r="A2152" s="7"/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</row>
    <row r="2153">
      <c r="A2153" s="7"/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</row>
    <row r="2154">
      <c r="A2154" s="7"/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</row>
    <row r="2155">
      <c r="A2155" s="7"/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</row>
    <row r="2156">
      <c r="A2156" s="7"/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</row>
    <row r="2157">
      <c r="A2157" s="7"/>
      <c r="B2157" s="6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</row>
    <row r="2158">
      <c r="A2158" s="7"/>
      <c r="B2158" s="6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</row>
    <row r="2159">
      <c r="A2159" s="7"/>
      <c r="B2159" s="6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</row>
    <row r="2160">
      <c r="A2160" s="7"/>
      <c r="B2160" s="6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</row>
    <row r="2161">
      <c r="A2161" s="7"/>
      <c r="B2161" s="6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</row>
    <row r="2162">
      <c r="A2162" s="7"/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</row>
    <row r="2163">
      <c r="A2163" s="7"/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</row>
    <row r="2164">
      <c r="A2164" s="7"/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</row>
    <row r="2165">
      <c r="A2165" s="7"/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</row>
    <row r="2166">
      <c r="A2166" s="7"/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</row>
    <row r="2167">
      <c r="A2167" s="7"/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</row>
    <row r="2168">
      <c r="A2168" s="7"/>
      <c r="B2168" s="6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</row>
    <row r="2169">
      <c r="A2169" s="7"/>
      <c r="B2169" s="6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</row>
    <row r="2170">
      <c r="A2170" s="7"/>
      <c r="B2170" s="6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</row>
    <row r="2171">
      <c r="A2171" s="7"/>
      <c r="B2171" s="6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</row>
    <row r="2172">
      <c r="A2172" s="7"/>
      <c r="B2172" s="6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</row>
    <row r="2173">
      <c r="A2173" s="7"/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</row>
    <row r="2174">
      <c r="A2174" s="7"/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</row>
    <row r="2175">
      <c r="A2175" s="7"/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</row>
    <row r="2176">
      <c r="A2176" s="7"/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</row>
    <row r="2177">
      <c r="A2177" s="7"/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</row>
    <row r="2178">
      <c r="A2178" s="7"/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</row>
    <row r="2179">
      <c r="A2179" s="7"/>
      <c r="B2179" s="6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</row>
    <row r="2180">
      <c r="A2180" s="7"/>
      <c r="B2180" s="6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</row>
    <row r="2181">
      <c r="A2181" s="7"/>
      <c r="B2181" s="6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</row>
    <row r="2182">
      <c r="A2182" s="7"/>
      <c r="B2182" s="6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</row>
    <row r="2183">
      <c r="A2183" s="7"/>
      <c r="B2183" s="6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</row>
    <row r="2184">
      <c r="A2184" s="7"/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</row>
    <row r="2185">
      <c r="A2185" s="7"/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</row>
    <row r="2186">
      <c r="A2186" s="7"/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</row>
    <row r="2187">
      <c r="A2187" s="7"/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</row>
    <row r="2188">
      <c r="A2188" s="7"/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</row>
    <row r="2189">
      <c r="A2189" s="7"/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</row>
    <row r="2190">
      <c r="A2190" s="7"/>
      <c r="B2190" s="6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</row>
    <row r="2191">
      <c r="A2191" s="7"/>
      <c r="B2191" s="6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</row>
    <row r="2192">
      <c r="A2192" s="7"/>
      <c r="B2192" s="6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</row>
    <row r="2193">
      <c r="A2193" s="7"/>
      <c r="B2193" s="6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  <c r="AZ2193" s="7"/>
      <c r="BA2193" s="7"/>
    </row>
    <row r="2194">
      <c r="A2194" s="7"/>
      <c r="B2194" s="6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</row>
    <row r="2195">
      <c r="A2195" s="7"/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</row>
    <row r="2196">
      <c r="A2196" s="7"/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</row>
    <row r="2197">
      <c r="A2197" s="7"/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</row>
    <row r="2198">
      <c r="A2198" s="7"/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</row>
    <row r="2199">
      <c r="A2199" s="7"/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  <c r="AZ2199" s="7"/>
      <c r="BA2199" s="7"/>
    </row>
    <row r="2200">
      <c r="A2200" s="7"/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</row>
    <row r="2201">
      <c r="A2201" s="7"/>
      <c r="B2201" s="6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</row>
    <row r="2202">
      <c r="A2202" s="7"/>
      <c r="B2202" s="6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</row>
    <row r="2203">
      <c r="A2203" s="7"/>
      <c r="B2203" s="6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</row>
    <row r="2204">
      <c r="A2204" s="7"/>
      <c r="B2204" s="6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</row>
    <row r="2205">
      <c r="A2205" s="7"/>
      <c r="B2205" s="6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</row>
    <row r="2206">
      <c r="A2206" s="7"/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</row>
    <row r="2207">
      <c r="A2207" s="7"/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</row>
    <row r="2208">
      <c r="A2208" s="7"/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</row>
    <row r="2209">
      <c r="A2209" s="7"/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</row>
    <row r="2210">
      <c r="A2210" s="7"/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7"/>
      <c r="BA2210" s="7"/>
    </row>
    <row r="2211">
      <c r="A2211" s="7"/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</row>
    <row r="2212">
      <c r="A2212" s="7"/>
      <c r="B2212" s="6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</row>
    <row r="2213">
      <c r="A2213" s="7"/>
      <c r="B2213" s="6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7"/>
      <c r="BA2213" s="7"/>
    </row>
    <row r="2214">
      <c r="A2214" s="7"/>
      <c r="B2214" s="6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  <c r="AZ2214" s="7"/>
      <c r="BA2214" s="7"/>
    </row>
    <row r="2215">
      <c r="A2215" s="7"/>
      <c r="B2215" s="6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</row>
    <row r="2216">
      <c r="A2216" s="7"/>
      <c r="B2216" s="6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</row>
    <row r="2217">
      <c r="A2217" s="7"/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  <c r="AZ2217" s="7"/>
      <c r="BA2217" s="7"/>
    </row>
    <row r="2218">
      <c r="A2218" s="7"/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</row>
    <row r="2219">
      <c r="A2219" s="7"/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7"/>
    </row>
    <row r="2220">
      <c r="A2220" s="7"/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</row>
    <row r="2221">
      <c r="A2221" s="7"/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</row>
    <row r="2222">
      <c r="A2222" s="7"/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7"/>
      <c r="BA2222" s="7"/>
    </row>
    <row r="2223">
      <c r="A2223" s="7"/>
      <c r="B2223" s="6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  <c r="AZ2223" s="7"/>
      <c r="BA2223" s="7"/>
    </row>
    <row r="2224">
      <c r="A2224" s="7"/>
      <c r="B2224" s="6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  <c r="AZ2224" s="7"/>
      <c r="BA2224" s="7"/>
    </row>
    <row r="2225">
      <c r="A2225" s="7"/>
      <c r="B2225" s="6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</row>
    <row r="2226">
      <c r="A2226" s="7"/>
      <c r="B2226" s="6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7"/>
    </row>
    <row r="2227">
      <c r="A2227" s="7"/>
      <c r="B2227" s="6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  <c r="AZ2227" s="7"/>
      <c r="BA2227" s="7"/>
    </row>
    <row r="2228">
      <c r="A2228" s="7"/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</row>
    <row r="2229">
      <c r="A2229" s="7"/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</row>
    <row r="2230">
      <c r="A2230" s="7"/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</row>
    <row r="2231">
      <c r="A2231" s="7"/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</row>
    <row r="2232">
      <c r="A2232" s="7"/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</row>
    <row r="2233">
      <c r="A2233" s="7"/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</row>
    <row r="2234">
      <c r="A2234" s="7"/>
      <c r="B2234" s="6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</row>
    <row r="2235">
      <c r="A2235" s="7"/>
      <c r="B2235" s="6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</row>
    <row r="2236">
      <c r="A2236" s="7"/>
      <c r="B2236" s="6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</row>
    <row r="2237">
      <c r="A2237" s="7"/>
      <c r="B2237" s="6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  <c r="AZ2237" s="7"/>
      <c r="BA2237" s="7"/>
    </row>
    <row r="2238">
      <c r="A2238" s="7"/>
      <c r="B2238" s="6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</row>
    <row r="2239">
      <c r="A2239" s="7"/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</row>
    <row r="2240">
      <c r="A2240" s="7"/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7"/>
      <c r="BA2240" s="7"/>
    </row>
    <row r="2241">
      <c r="A2241" s="7"/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</row>
    <row r="2242">
      <c r="A2242" s="7"/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7"/>
      <c r="BA2242" s="7"/>
    </row>
    <row r="2243">
      <c r="A2243" s="7"/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</row>
    <row r="2244">
      <c r="A2244" s="7"/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  <c r="AZ2244" s="7"/>
      <c r="BA2244" s="7"/>
    </row>
    <row r="2245">
      <c r="A2245" s="7"/>
      <c r="B2245" s="6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</row>
    <row r="2246">
      <c r="A2246" s="7"/>
      <c r="B2246" s="6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</row>
    <row r="2247">
      <c r="A2247" s="7"/>
      <c r="B2247" s="6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</row>
    <row r="2248">
      <c r="A2248" s="7"/>
      <c r="B2248" s="6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</row>
    <row r="2249">
      <c r="A2249" s="7"/>
      <c r="B2249" s="6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</row>
    <row r="2250">
      <c r="A2250" s="7"/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</row>
    <row r="2251">
      <c r="A2251" s="7"/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</row>
    <row r="2252">
      <c r="A2252" s="7"/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  <c r="AZ2252" s="7"/>
      <c r="BA2252" s="7"/>
    </row>
    <row r="2253">
      <c r="A2253" s="7"/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  <c r="AZ2253" s="7"/>
      <c r="BA2253" s="7"/>
    </row>
    <row r="2254">
      <c r="A2254" s="7"/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</row>
    <row r="2255">
      <c r="A2255" s="7"/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  <c r="AZ2255" s="7"/>
      <c r="BA2255" s="7"/>
    </row>
    <row r="2256">
      <c r="A2256" s="7"/>
      <c r="B2256" s="6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</row>
    <row r="2257">
      <c r="A2257" s="7"/>
      <c r="B2257" s="6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7"/>
    </row>
    <row r="2258">
      <c r="A2258" s="7"/>
      <c r="B2258" s="6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</row>
    <row r="2259">
      <c r="A2259" s="7"/>
      <c r="B2259" s="6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</row>
    <row r="2260">
      <c r="A2260" s="7"/>
      <c r="B2260" s="6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</row>
    <row r="2261">
      <c r="A2261" s="7"/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  <c r="AZ2261" s="7"/>
      <c r="BA2261" s="7"/>
    </row>
    <row r="2262">
      <c r="A2262" s="7"/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</row>
    <row r="2263">
      <c r="A2263" s="7"/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  <c r="AZ2263" s="7"/>
      <c r="BA2263" s="7"/>
    </row>
    <row r="2264">
      <c r="A2264" s="7"/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</row>
    <row r="2265">
      <c r="A2265" s="7"/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</row>
    <row r="2266">
      <c r="A2266" s="7"/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</row>
    <row r="2267">
      <c r="A2267" s="7"/>
      <c r="B2267" s="6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  <c r="AZ2267" s="7"/>
      <c r="BA2267" s="7"/>
    </row>
    <row r="2268">
      <c r="A2268" s="7"/>
      <c r="B2268" s="6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</row>
    <row r="2269">
      <c r="A2269" s="7"/>
      <c r="B2269" s="6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  <c r="AZ2269" s="7"/>
      <c r="BA2269" s="7"/>
    </row>
    <row r="2270">
      <c r="A2270" s="7"/>
      <c r="B2270" s="6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</row>
    <row r="2271">
      <c r="A2271" s="7"/>
      <c r="B2271" s="6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</row>
    <row r="2272">
      <c r="A2272" s="7"/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</row>
    <row r="2273">
      <c r="A2273" s="7"/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</row>
    <row r="2274">
      <c r="A2274" s="7"/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  <c r="AZ2274" s="7"/>
      <c r="BA2274" s="7"/>
    </row>
    <row r="2275">
      <c r="A2275" s="7"/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</row>
    <row r="2276">
      <c r="A2276" s="7"/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</row>
    <row r="2277">
      <c r="A2277" s="7"/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  <c r="AZ2277" s="7"/>
      <c r="BA2277" s="7"/>
    </row>
    <row r="2278">
      <c r="A2278" s="7"/>
      <c r="B2278" s="6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</row>
    <row r="2279">
      <c r="A2279" s="7"/>
      <c r="B2279" s="6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</row>
    <row r="2280">
      <c r="A2280" s="7"/>
      <c r="B2280" s="6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  <c r="AZ2280" s="7"/>
      <c r="BA2280" s="7"/>
    </row>
    <row r="2281">
      <c r="A2281" s="7"/>
      <c r="B2281" s="6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  <c r="AZ2281" s="7"/>
      <c r="BA2281" s="7"/>
    </row>
    <row r="2282">
      <c r="A2282" s="7"/>
      <c r="B2282" s="6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7"/>
      <c r="BA2282" s="7"/>
    </row>
    <row r="2283">
      <c r="A2283" s="7"/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</row>
    <row r="2284">
      <c r="A2284" s="7"/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</row>
    <row r="2285">
      <c r="A2285" s="7"/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</row>
    <row r="2286">
      <c r="A2286" s="7"/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</row>
    <row r="2287">
      <c r="A2287" s="7"/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</row>
    <row r="2288">
      <c r="A2288" s="7"/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</row>
    <row r="2289">
      <c r="A2289" s="7"/>
      <c r="B2289" s="6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</row>
    <row r="2290">
      <c r="A2290" s="7"/>
      <c r="B2290" s="6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</row>
    <row r="2291">
      <c r="A2291" s="7"/>
      <c r="B2291" s="6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</row>
    <row r="2292">
      <c r="A2292" s="7"/>
      <c r="B2292" s="6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</row>
    <row r="2293">
      <c r="A2293" s="7"/>
      <c r="B2293" s="6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</row>
    <row r="2294">
      <c r="A2294" s="7"/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</row>
    <row r="2295">
      <c r="A2295" s="7"/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</row>
    <row r="2296">
      <c r="A2296" s="7"/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</row>
    <row r="2297">
      <c r="A2297" s="7"/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</row>
    <row r="2298">
      <c r="A2298" s="7"/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</row>
    <row r="2299">
      <c r="A2299" s="7"/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</row>
    <row r="2300">
      <c r="A2300" s="7"/>
      <c r="B2300" s="6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</row>
    <row r="2301">
      <c r="A2301" s="7"/>
      <c r="B2301" s="6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</row>
    <row r="2302">
      <c r="A2302" s="7"/>
      <c r="B2302" s="6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</row>
    <row r="2303">
      <c r="A2303" s="7"/>
      <c r="B2303" s="6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</row>
    <row r="2304">
      <c r="A2304" s="7"/>
      <c r="B2304" s="6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</row>
    <row r="2305">
      <c r="A2305" s="7"/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</row>
    <row r="2306">
      <c r="A2306" s="7"/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</row>
    <row r="2307">
      <c r="A2307" s="7"/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</row>
    <row r="2308">
      <c r="A2308" s="7"/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</row>
    <row r="2309">
      <c r="A2309" s="7"/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</row>
    <row r="2310">
      <c r="A2310" s="7"/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</row>
    <row r="2311">
      <c r="A2311" s="7"/>
      <c r="B2311" s="6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</row>
    <row r="2312">
      <c r="A2312" s="7"/>
      <c r="B2312" s="6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</row>
    <row r="2313">
      <c r="A2313" s="7"/>
      <c r="B2313" s="6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7"/>
    </row>
    <row r="2314">
      <c r="A2314" s="7"/>
      <c r="B2314" s="6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</row>
    <row r="2315">
      <c r="A2315" s="7"/>
      <c r="B2315" s="6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</row>
    <row r="2316">
      <c r="A2316" s="7"/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</row>
    <row r="2317">
      <c r="A2317" s="7"/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</row>
    <row r="2318">
      <c r="A2318" s="7"/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</row>
    <row r="2319">
      <c r="A2319" s="7"/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</row>
    <row r="2320">
      <c r="A2320" s="7"/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</row>
    <row r="2321">
      <c r="A2321" s="7"/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</row>
    <row r="2322">
      <c r="A2322" s="7"/>
      <c r="B2322" s="6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</row>
    <row r="2323">
      <c r="A2323" s="7"/>
      <c r="B2323" s="6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</row>
    <row r="2324">
      <c r="A2324" s="7"/>
      <c r="B2324" s="6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</row>
    <row r="2325">
      <c r="A2325" s="7"/>
      <c r="B2325" s="6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</row>
    <row r="2326">
      <c r="A2326" s="7"/>
      <c r="B2326" s="6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</row>
    <row r="2327">
      <c r="A2327" s="7"/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</row>
    <row r="2328">
      <c r="A2328" s="7"/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</row>
    <row r="2329">
      <c r="A2329" s="7"/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</row>
    <row r="2330">
      <c r="A2330" s="7"/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</row>
    <row r="2331">
      <c r="A2331" s="7"/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</row>
    <row r="2332">
      <c r="A2332" s="7"/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</row>
    <row r="2333">
      <c r="A2333" s="7"/>
      <c r="B2333" s="6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</row>
    <row r="2334">
      <c r="A2334" s="7"/>
      <c r="B2334" s="6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</row>
    <row r="2335">
      <c r="A2335" s="7"/>
      <c r="B2335" s="6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</row>
    <row r="2336">
      <c r="A2336" s="7"/>
      <c r="B2336" s="6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</row>
    <row r="2337">
      <c r="A2337" s="7"/>
      <c r="B2337" s="6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</row>
    <row r="2338">
      <c r="A2338" s="7"/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</row>
    <row r="2339">
      <c r="A2339" s="7"/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</row>
    <row r="2340">
      <c r="A2340" s="7"/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</row>
    <row r="2341">
      <c r="A2341" s="7"/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</row>
    <row r="2342">
      <c r="A2342" s="7"/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</row>
    <row r="2343">
      <c r="A2343" s="7"/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</row>
    <row r="2344">
      <c r="A2344" s="7"/>
      <c r="B2344" s="6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</row>
    <row r="2345">
      <c r="A2345" s="7"/>
      <c r="B2345" s="6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</row>
    <row r="2346">
      <c r="A2346" s="7"/>
      <c r="B2346" s="6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</row>
    <row r="2347">
      <c r="A2347" s="7"/>
      <c r="B2347" s="6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</row>
    <row r="2348">
      <c r="A2348" s="7"/>
      <c r="B2348" s="6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</row>
    <row r="2349">
      <c r="A2349" s="7"/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</row>
    <row r="2350">
      <c r="A2350" s="7"/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</row>
    <row r="2351">
      <c r="A2351" s="7"/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</row>
    <row r="2352">
      <c r="A2352" s="7"/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</row>
    <row r="2353">
      <c r="A2353" s="7"/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</row>
    <row r="2354">
      <c r="A2354" s="7"/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</row>
    <row r="2355">
      <c r="A2355" s="7"/>
      <c r="B2355" s="6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</row>
    <row r="2356">
      <c r="A2356" s="7"/>
      <c r="B2356" s="6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</row>
    <row r="2357">
      <c r="A2357" s="7"/>
      <c r="B2357" s="6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</row>
    <row r="2358">
      <c r="A2358" s="7"/>
      <c r="B2358" s="6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</row>
    <row r="2359">
      <c r="A2359" s="7"/>
      <c r="B2359" s="6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</row>
    <row r="2360">
      <c r="A2360" s="7"/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</row>
    <row r="2361">
      <c r="A2361" s="7"/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</row>
    <row r="2362">
      <c r="A2362" s="7"/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</row>
    <row r="2363">
      <c r="A2363" s="7"/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</row>
    <row r="2364">
      <c r="A2364" s="7"/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</row>
    <row r="2365">
      <c r="A2365" s="7"/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</row>
    <row r="2366">
      <c r="A2366" s="7"/>
      <c r="B2366" s="6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</row>
    <row r="2367">
      <c r="A2367" s="7"/>
      <c r="B2367" s="6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</row>
    <row r="2368">
      <c r="A2368" s="7"/>
      <c r="B2368" s="6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</row>
    <row r="2369">
      <c r="A2369" s="7"/>
      <c r="B2369" s="6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</row>
    <row r="2370">
      <c r="A2370" s="7"/>
      <c r="B2370" s="6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</row>
    <row r="2371">
      <c r="A2371" s="7"/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</row>
    <row r="2372">
      <c r="A2372" s="7"/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</row>
    <row r="2373">
      <c r="A2373" s="7"/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</row>
    <row r="2374">
      <c r="A2374" s="7"/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</row>
    <row r="2375">
      <c r="A2375" s="7"/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</row>
    <row r="2376">
      <c r="A2376" s="7"/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</row>
    <row r="2377">
      <c r="A2377" s="7"/>
      <c r="B2377" s="6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</row>
    <row r="2378">
      <c r="A2378" s="7"/>
      <c r="B2378" s="6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</row>
    <row r="2379">
      <c r="A2379" s="7"/>
      <c r="B2379" s="6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</row>
    <row r="2380">
      <c r="A2380" s="7"/>
      <c r="B2380" s="6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</row>
    <row r="2381">
      <c r="A2381" s="7"/>
      <c r="B2381" s="6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</row>
    <row r="2382">
      <c r="A2382" s="7"/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</row>
    <row r="2383">
      <c r="A2383" s="7"/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</row>
    <row r="2384">
      <c r="A2384" s="7"/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</row>
    <row r="2385">
      <c r="A2385" s="7"/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</row>
    <row r="2386">
      <c r="A2386" s="7"/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</row>
    <row r="2387">
      <c r="A2387" s="7"/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</row>
    <row r="2388">
      <c r="A2388" s="7"/>
      <c r="B2388" s="6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</row>
    <row r="2389">
      <c r="A2389" s="7"/>
      <c r="B2389" s="6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</row>
    <row r="2390">
      <c r="A2390" s="7"/>
      <c r="B2390" s="6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</row>
    <row r="2391">
      <c r="A2391" s="7"/>
      <c r="B2391" s="6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</row>
    <row r="2392">
      <c r="A2392" s="7"/>
      <c r="B2392" s="6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</row>
    <row r="2393">
      <c r="A2393" s="7"/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</row>
    <row r="2394">
      <c r="A2394" s="7"/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</row>
    <row r="2395">
      <c r="A2395" s="7"/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</row>
    <row r="2396">
      <c r="A2396" s="7"/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</row>
    <row r="2397">
      <c r="A2397" s="7"/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</row>
    <row r="2398">
      <c r="A2398" s="7"/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  <c r="AZ2398" s="7"/>
      <c r="BA2398" s="7"/>
    </row>
    <row r="2399">
      <c r="A2399" s="7"/>
      <c r="B2399" s="6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</row>
    <row r="2400">
      <c r="A2400" s="7"/>
      <c r="B2400" s="6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7"/>
    </row>
    <row r="2401">
      <c r="A2401" s="7"/>
      <c r="B2401" s="6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  <c r="AZ2401" s="7"/>
      <c r="BA2401" s="7"/>
    </row>
    <row r="2402">
      <c r="A2402" s="7"/>
      <c r="B2402" s="6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  <c r="AZ2402" s="7"/>
      <c r="BA2402" s="7"/>
    </row>
    <row r="2403">
      <c r="A2403" s="7"/>
      <c r="B2403" s="6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  <c r="AZ2403" s="7"/>
      <c r="BA2403" s="7"/>
    </row>
    <row r="2404">
      <c r="A2404" s="7"/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  <c r="AZ2404" s="7"/>
      <c r="BA2404" s="7"/>
    </row>
    <row r="2405">
      <c r="A2405" s="7"/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</row>
    <row r="2406">
      <c r="A2406" s="7"/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7"/>
      <c r="BA2406" s="7"/>
    </row>
    <row r="2407">
      <c r="A2407" s="7"/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  <c r="AZ2407" s="7"/>
      <c r="BA2407" s="7"/>
    </row>
    <row r="2408">
      <c r="A2408" s="7"/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</row>
    <row r="2409">
      <c r="A2409" s="7"/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  <c r="AZ2409" s="7"/>
      <c r="BA2409" s="7"/>
    </row>
    <row r="2410">
      <c r="A2410" s="7"/>
      <c r="B2410" s="6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7"/>
      <c r="BA2410" s="7"/>
    </row>
    <row r="2411">
      <c r="A2411" s="7"/>
      <c r="B2411" s="6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</row>
    <row r="2412">
      <c r="A2412" s="7"/>
      <c r="B2412" s="6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</row>
    <row r="2413">
      <c r="A2413" s="7"/>
      <c r="B2413" s="6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</row>
    <row r="2414">
      <c r="A2414" s="7"/>
      <c r="B2414" s="6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7"/>
      <c r="BA2414" s="7"/>
    </row>
    <row r="2415">
      <c r="A2415" s="7"/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</row>
    <row r="2416">
      <c r="A2416" s="7"/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  <c r="AZ2416" s="7"/>
      <c r="BA2416" s="7"/>
    </row>
    <row r="2417">
      <c r="A2417" s="7"/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</row>
    <row r="2418">
      <c r="A2418" s="7"/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</row>
    <row r="2419">
      <c r="A2419" s="7"/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</row>
    <row r="2420">
      <c r="A2420" s="7"/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</row>
    <row r="2421">
      <c r="A2421" s="7"/>
      <c r="B2421" s="6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</row>
    <row r="2422">
      <c r="A2422" s="7"/>
      <c r="B2422" s="6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</row>
    <row r="2423">
      <c r="A2423" s="7"/>
      <c r="B2423" s="6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</row>
    <row r="2424">
      <c r="A2424" s="7"/>
      <c r="B2424" s="6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</row>
    <row r="2425">
      <c r="A2425" s="7"/>
      <c r="B2425" s="6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</row>
    <row r="2426">
      <c r="A2426" s="7"/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7"/>
      <c r="BA2426" s="7"/>
    </row>
    <row r="2427">
      <c r="A2427" s="7"/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</row>
    <row r="2428">
      <c r="A2428" s="7"/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</row>
    <row r="2429">
      <c r="A2429" s="7"/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7"/>
    </row>
    <row r="2430">
      <c r="A2430" s="7"/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  <c r="AZ2430" s="7"/>
      <c r="BA2430" s="7"/>
    </row>
    <row r="2431">
      <c r="A2431" s="7"/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</row>
    <row r="2432">
      <c r="A2432" s="7"/>
      <c r="B2432" s="6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7"/>
      <c r="BA2432" s="7"/>
    </row>
    <row r="2433">
      <c r="A2433" s="7"/>
      <c r="B2433" s="6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</row>
    <row r="2434">
      <c r="A2434" s="7"/>
      <c r="B2434" s="6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</row>
    <row r="2435">
      <c r="A2435" s="7"/>
      <c r="B2435" s="6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</row>
    <row r="2436">
      <c r="A2436" s="7"/>
      <c r="B2436" s="6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</row>
    <row r="2437">
      <c r="A2437" s="7"/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  <c r="AZ2437" s="7"/>
      <c r="BA2437" s="7"/>
    </row>
    <row r="2438">
      <c r="A2438" s="7"/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</row>
    <row r="2439">
      <c r="A2439" s="7"/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  <c r="AZ2439" s="7"/>
      <c r="BA2439" s="7"/>
    </row>
    <row r="2440">
      <c r="A2440" s="7"/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</row>
    <row r="2441">
      <c r="A2441" s="7"/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</row>
    <row r="2442">
      <c r="A2442" s="7"/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7"/>
      <c r="BA2442" s="7"/>
    </row>
    <row r="2443">
      <c r="A2443" s="7"/>
      <c r="B2443" s="6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</row>
    <row r="2444">
      <c r="A2444" s="7"/>
      <c r="B2444" s="6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7"/>
      <c r="BA2444" s="7"/>
    </row>
    <row r="2445">
      <c r="A2445" s="7"/>
      <c r="B2445" s="6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</row>
    <row r="2446">
      <c r="A2446" s="7"/>
      <c r="B2446" s="6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</row>
    <row r="2447">
      <c r="A2447" s="7"/>
      <c r="B2447" s="6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</row>
    <row r="2448">
      <c r="A2448" s="7"/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</row>
    <row r="2449">
      <c r="A2449" s="7"/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  <c r="AZ2449" s="7"/>
      <c r="BA2449" s="7"/>
    </row>
    <row r="2450">
      <c r="A2450" s="7"/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</row>
    <row r="2451">
      <c r="A2451" s="7"/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</row>
    <row r="2452">
      <c r="A2452" s="7"/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</row>
    <row r="2453">
      <c r="A2453" s="7"/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</row>
    <row r="2454">
      <c r="A2454" s="7"/>
      <c r="B2454" s="6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</row>
    <row r="2455">
      <c r="A2455" s="7"/>
      <c r="B2455" s="6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  <c r="AZ2455" s="7"/>
      <c r="BA2455" s="7"/>
    </row>
    <row r="2456">
      <c r="A2456" s="7"/>
      <c r="B2456" s="6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  <c r="AZ2456" s="7"/>
      <c r="BA2456" s="7"/>
    </row>
    <row r="2457">
      <c r="A2457" s="7"/>
      <c r="B2457" s="6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  <c r="AZ2457" s="7"/>
      <c r="BA2457" s="7"/>
    </row>
    <row r="2458">
      <c r="A2458" s="7"/>
      <c r="B2458" s="6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7"/>
    </row>
    <row r="2459">
      <c r="A2459" s="7"/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</row>
    <row r="2460">
      <c r="A2460" s="7"/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7"/>
      <c r="BA2460" s="7"/>
    </row>
    <row r="2461">
      <c r="A2461" s="7"/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</row>
    <row r="2462">
      <c r="A2462" s="7"/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</row>
    <row r="2463">
      <c r="A2463" s="7"/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</row>
    <row r="2464">
      <c r="A2464" s="7"/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</row>
    <row r="2465">
      <c r="A2465" s="7"/>
      <c r="B2465" s="6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</row>
    <row r="2466">
      <c r="A2466" s="7"/>
      <c r="B2466" s="6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</row>
    <row r="2467">
      <c r="A2467" s="7"/>
      <c r="B2467" s="6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</row>
    <row r="2468">
      <c r="A2468" s="7"/>
      <c r="B2468" s="6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</row>
    <row r="2469">
      <c r="A2469" s="7"/>
      <c r="B2469" s="6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</row>
    <row r="2470">
      <c r="A2470" s="7"/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7"/>
    </row>
    <row r="2471">
      <c r="A2471" s="7"/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</row>
    <row r="2472">
      <c r="A2472" s="7"/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  <c r="AZ2472" s="7"/>
      <c r="BA2472" s="7"/>
    </row>
    <row r="2473">
      <c r="A2473" s="7"/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  <c r="AZ2473" s="7"/>
      <c r="BA2473" s="7"/>
    </row>
    <row r="2474">
      <c r="A2474" s="7"/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</row>
    <row r="2475">
      <c r="A2475" s="7"/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  <c r="AZ2475" s="7"/>
      <c r="BA2475" s="7"/>
    </row>
    <row r="2476">
      <c r="A2476" s="7"/>
      <c r="B2476" s="6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  <c r="AZ2476" s="7"/>
      <c r="BA2476" s="7"/>
    </row>
    <row r="2477">
      <c r="A2477" s="7"/>
      <c r="B2477" s="6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  <c r="AZ2477" s="7"/>
      <c r="BA2477" s="7"/>
    </row>
    <row r="2478">
      <c r="A2478" s="7"/>
      <c r="B2478" s="6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7"/>
      <c r="AZ2478" s="7"/>
      <c r="BA2478" s="7"/>
    </row>
    <row r="2479">
      <c r="A2479" s="7"/>
      <c r="B2479" s="6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  <c r="AZ2479" s="7"/>
      <c r="BA2479" s="7"/>
    </row>
    <row r="2480">
      <c r="A2480" s="7"/>
      <c r="B2480" s="6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  <c r="AZ2480" s="7"/>
      <c r="BA2480" s="7"/>
    </row>
    <row r="2481">
      <c r="A2481" s="7"/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  <c r="AZ2481" s="7"/>
      <c r="BA2481" s="7"/>
    </row>
    <row r="2482">
      <c r="A2482" s="7"/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  <c r="AY2482" s="7"/>
      <c r="AZ2482" s="7"/>
      <c r="BA2482" s="7"/>
    </row>
    <row r="2483">
      <c r="A2483" s="7"/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7"/>
      <c r="AZ2483" s="7"/>
      <c r="BA2483" s="7"/>
    </row>
    <row r="2484">
      <c r="A2484" s="7"/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  <c r="AY2484" s="7"/>
      <c r="AZ2484" s="7"/>
      <c r="BA2484" s="7"/>
    </row>
    <row r="2485">
      <c r="A2485" s="7"/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  <c r="AY2485" s="7"/>
      <c r="AZ2485" s="7"/>
      <c r="BA2485" s="7"/>
    </row>
    <row r="2486">
      <c r="A2486" s="7"/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7"/>
      <c r="AZ2486" s="7"/>
      <c r="BA2486" s="7"/>
    </row>
    <row r="2487">
      <c r="A2487" s="7"/>
      <c r="B2487" s="6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7"/>
      <c r="AZ2487" s="7"/>
      <c r="BA2487" s="7"/>
    </row>
    <row r="2488">
      <c r="A2488" s="7"/>
      <c r="B2488" s="6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  <c r="AZ2488" s="7"/>
      <c r="BA2488" s="7"/>
    </row>
    <row r="2489">
      <c r="A2489" s="7"/>
      <c r="B2489" s="6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  <c r="AZ2489" s="7"/>
      <c r="BA2489" s="7"/>
    </row>
    <row r="2490">
      <c r="A2490" s="7"/>
      <c r="B2490" s="6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  <c r="AY2490" s="7"/>
      <c r="AZ2490" s="7"/>
      <c r="BA2490" s="7"/>
    </row>
    <row r="2491">
      <c r="A2491" s="7"/>
      <c r="B2491" s="6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  <c r="AY2491" s="7"/>
      <c r="AZ2491" s="7"/>
      <c r="BA2491" s="7"/>
    </row>
    <row r="2492">
      <c r="A2492" s="7"/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7"/>
      <c r="AZ2492" s="7"/>
      <c r="BA2492" s="7"/>
    </row>
    <row r="2493">
      <c r="A2493" s="7"/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  <c r="AY2493" s="7"/>
      <c r="AZ2493" s="7"/>
      <c r="BA2493" s="7"/>
    </row>
    <row r="2494">
      <c r="A2494" s="7"/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  <c r="AY2494" s="7"/>
      <c r="AZ2494" s="7"/>
      <c r="BA2494" s="7"/>
    </row>
    <row r="2495">
      <c r="A2495" s="7"/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7"/>
      <c r="AZ2495" s="7"/>
      <c r="BA2495" s="7"/>
    </row>
    <row r="2496">
      <c r="A2496" s="7"/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  <c r="AY2496" s="7"/>
      <c r="AZ2496" s="7"/>
      <c r="BA2496" s="7"/>
    </row>
    <row r="2497">
      <c r="A2497" s="7"/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  <c r="AY2497" s="7"/>
      <c r="AZ2497" s="7"/>
      <c r="BA2497" s="7"/>
    </row>
    <row r="2498">
      <c r="A2498" s="7"/>
      <c r="B2498" s="6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7"/>
      <c r="AZ2498" s="7"/>
      <c r="BA2498" s="7"/>
    </row>
    <row r="2499">
      <c r="A2499" s="7"/>
      <c r="B2499" s="6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7"/>
      <c r="AZ2499" s="7"/>
      <c r="BA2499" s="7"/>
    </row>
    <row r="2500">
      <c r="A2500" s="7"/>
      <c r="B2500" s="6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  <c r="AZ2500" s="7"/>
      <c r="BA2500" s="7"/>
    </row>
    <row r="2501">
      <c r="A2501" s="7"/>
      <c r="B2501" s="6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  <c r="AZ2501" s="7"/>
      <c r="BA2501" s="7"/>
    </row>
    <row r="2502">
      <c r="A2502" s="7"/>
      <c r="B2502" s="6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  <c r="AZ2502" s="7"/>
      <c r="BA2502" s="7"/>
    </row>
    <row r="2503">
      <c r="A2503" s="7"/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7"/>
      <c r="AZ2503" s="7"/>
      <c r="BA2503" s="7"/>
    </row>
    <row r="2504">
      <c r="A2504" s="7"/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7"/>
      <c r="AZ2504" s="7"/>
      <c r="BA2504" s="7"/>
    </row>
    <row r="2505">
      <c r="A2505" s="7"/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7"/>
      <c r="AZ2505" s="7"/>
      <c r="BA2505" s="7"/>
    </row>
    <row r="2506">
      <c r="A2506" s="7"/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7"/>
      <c r="AZ2506" s="7"/>
      <c r="BA2506" s="7"/>
    </row>
    <row r="2507">
      <c r="A2507" s="7"/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  <c r="AY2507" s="7"/>
      <c r="AZ2507" s="7"/>
      <c r="BA2507" s="7"/>
    </row>
    <row r="2508">
      <c r="A2508" s="7"/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  <c r="AZ2508" s="7"/>
      <c r="BA2508" s="7"/>
    </row>
    <row r="2509">
      <c r="A2509" s="7"/>
      <c r="B2509" s="6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7"/>
      <c r="AZ2509" s="7"/>
      <c r="BA2509" s="7"/>
    </row>
    <row r="2510">
      <c r="A2510" s="7"/>
      <c r="B2510" s="6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7"/>
      <c r="AZ2510" s="7"/>
      <c r="BA2510" s="7"/>
    </row>
    <row r="2511">
      <c r="A2511" s="7"/>
      <c r="B2511" s="6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  <c r="AY2511" s="7"/>
      <c r="AZ2511" s="7"/>
      <c r="BA2511" s="7"/>
    </row>
    <row r="2512">
      <c r="A2512" s="7"/>
      <c r="B2512" s="6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  <c r="AY2512" s="7"/>
      <c r="AZ2512" s="7"/>
      <c r="BA2512" s="7"/>
    </row>
    <row r="2513">
      <c r="A2513" s="7"/>
      <c r="B2513" s="6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  <c r="AY2513" s="7"/>
      <c r="AZ2513" s="7"/>
      <c r="BA2513" s="7"/>
    </row>
    <row r="2514">
      <c r="A2514" s="7"/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  <c r="AY2514" s="7"/>
      <c r="AZ2514" s="7"/>
      <c r="BA2514" s="7"/>
    </row>
    <row r="2515">
      <c r="A2515" s="7"/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7"/>
      <c r="AZ2515" s="7"/>
      <c r="BA2515" s="7"/>
    </row>
    <row r="2516">
      <c r="A2516" s="7"/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  <c r="AZ2516" s="7"/>
      <c r="BA2516" s="7"/>
    </row>
    <row r="2517">
      <c r="A2517" s="7"/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  <c r="AY2517" s="7"/>
      <c r="AZ2517" s="7"/>
      <c r="BA2517" s="7"/>
    </row>
    <row r="2518">
      <c r="A2518" s="7"/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7"/>
      <c r="AZ2518" s="7"/>
      <c r="BA2518" s="7"/>
    </row>
    <row r="2519">
      <c r="A2519" s="7"/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  <c r="AY2519" s="7"/>
      <c r="AZ2519" s="7"/>
      <c r="BA2519" s="7"/>
    </row>
    <row r="2520">
      <c r="A2520" s="7"/>
      <c r="B2520" s="6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  <c r="AZ2520" s="7"/>
      <c r="BA2520" s="7"/>
    </row>
    <row r="2521">
      <c r="A2521" s="7"/>
      <c r="B2521" s="6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  <c r="AZ2521" s="7"/>
      <c r="BA2521" s="7"/>
    </row>
    <row r="2522">
      <c r="A2522" s="7"/>
      <c r="B2522" s="6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7"/>
      <c r="BA2522" s="7"/>
    </row>
    <row r="2523">
      <c r="A2523" s="7"/>
      <c r="B2523" s="6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  <c r="AY2523" s="7"/>
      <c r="AZ2523" s="7"/>
      <c r="BA2523" s="7"/>
    </row>
    <row r="2524">
      <c r="A2524" s="7"/>
      <c r="B2524" s="6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7"/>
      <c r="AZ2524" s="7"/>
      <c r="BA2524" s="7"/>
    </row>
    <row r="2525">
      <c r="A2525" s="7"/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7"/>
      <c r="AZ2525" s="7"/>
      <c r="BA2525" s="7"/>
    </row>
    <row r="2526">
      <c r="A2526" s="7"/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7"/>
      <c r="AZ2526" s="7"/>
      <c r="BA2526" s="7"/>
    </row>
    <row r="2527">
      <c r="A2527" s="7"/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  <c r="AY2527" s="7"/>
      <c r="AZ2527" s="7"/>
      <c r="BA2527" s="7"/>
    </row>
    <row r="2528">
      <c r="A2528" s="7"/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  <c r="AZ2528" s="7"/>
      <c r="BA2528" s="7"/>
    </row>
    <row r="2529">
      <c r="A2529" s="7"/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  <c r="AY2529" s="7"/>
      <c r="AZ2529" s="7"/>
      <c r="BA2529" s="7"/>
    </row>
    <row r="2530">
      <c r="A2530" s="7"/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7"/>
      <c r="AZ2530" s="7"/>
      <c r="BA2530" s="7"/>
    </row>
    <row r="2531">
      <c r="A2531" s="7"/>
      <c r="B2531" s="6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  <c r="AY2531" s="7"/>
      <c r="AZ2531" s="7"/>
      <c r="BA2531" s="7"/>
    </row>
    <row r="2532">
      <c r="A2532" s="7"/>
      <c r="B2532" s="6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  <c r="AY2532" s="7"/>
      <c r="AZ2532" s="7"/>
      <c r="BA2532" s="7"/>
    </row>
    <row r="2533">
      <c r="A2533" s="7"/>
      <c r="B2533" s="6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7"/>
      <c r="AZ2533" s="7"/>
      <c r="BA2533" s="7"/>
    </row>
    <row r="2534">
      <c r="A2534" s="7"/>
      <c r="B2534" s="6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  <c r="AY2534" s="7"/>
      <c r="AZ2534" s="7"/>
      <c r="BA2534" s="7"/>
    </row>
    <row r="2535">
      <c r="A2535" s="7"/>
      <c r="B2535" s="6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  <c r="AY2535" s="7"/>
      <c r="AZ2535" s="7"/>
      <c r="BA2535" s="7"/>
    </row>
    <row r="2536">
      <c r="A2536" s="7"/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7"/>
      <c r="AZ2536" s="7"/>
      <c r="BA2536" s="7"/>
    </row>
    <row r="2537">
      <c r="A2537" s="7"/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  <c r="AY2537" s="7"/>
      <c r="AZ2537" s="7"/>
      <c r="BA2537" s="7"/>
    </row>
    <row r="2538">
      <c r="A2538" s="7"/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7"/>
      <c r="AZ2538" s="7"/>
      <c r="BA2538" s="7"/>
    </row>
    <row r="2539">
      <c r="A2539" s="7"/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7"/>
      <c r="AZ2539" s="7"/>
      <c r="BA2539" s="7"/>
    </row>
    <row r="2540">
      <c r="A2540" s="7"/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  <c r="AY2540" s="7"/>
      <c r="AZ2540" s="7"/>
      <c r="BA2540" s="7"/>
    </row>
    <row r="2541">
      <c r="A2541" s="7"/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  <c r="AY2541" s="7"/>
      <c r="AZ2541" s="7"/>
      <c r="BA2541" s="7"/>
    </row>
    <row r="2542">
      <c r="A2542" s="7"/>
      <c r="B2542" s="6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  <c r="AY2542" s="7"/>
      <c r="AZ2542" s="7"/>
      <c r="BA2542" s="7"/>
    </row>
    <row r="2543">
      <c r="A2543" s="7"/>
      <c r="B2543" s="6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  <c r="AY2543" s="7"/>
      <c r="AZ2543" s="7"/>
      <c r="BA2543" s="7"/>
    </row>
    <row r="2544">
      <c r="A2544" s="7"/>
      <c r="B2544" s="6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7"/>
      <c r="AZ2544" s="7"/>
      <c r="BA2544" s="7"/>
    </row>
    <row r="2545">
      <c r="A2545" s="7"/>
      <c r="B2545" s="6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7"/>
      <c r="AZ2545" s="7"/>
      <c r="BA2545" s="7"/>
    </row>
    <row r="2546">
      <c r="A2546" s="7"/>
      <c r="B2546" s="6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7"/>
      <c r="AZ2546" s="7"/>
      <c r="BA2546" s="7"/>
    </row>
    <row r="2547">
      <c r="A2547" s="7"/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  <c r="AY2547" s="7"/>
      <c r="AZ2547" s="7"/>
      <c r="BA2547" s="7"/>
    </row>
    <row r="2548">
      <c r="A2548" s="7"/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7"/>
      <c r="AZ2548" s="7"/>
      <c r="BA2548" s="7"/>
    </row>
    <row r="2549">
      <c r="A2549" s="7"/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7"/>
      <c r="AZ2549" s="7"/>
      <c r="BA2549" s="7"/>
    </row>
    <row r="2550">
      <c r="A2550" s="7"/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7"/>
      <c r="AZ2550" s="7"/>
      <c r="BA2550" s="7"/>
    </row>
    <row r="2551">
      <c r="A2551" s="7"/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7"/>
      <c r="AZ2551" s="7"/>
      <c r="BA2551" s="7"/>
    </row>
    <row r="2552">
      <c r="A2552" s="7"/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  <c r="AY2552" s="7"/>
      <c r="AZ2552" s="7"/>
      <c r="BA2552" s="7"/>
    </row>
    <row r="2553">
      <c r="A2553" s="7"/>
      <c r="B2553" s="6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  <c r="AY2553" s="7"/>
      <c r="AZ2553" s="7"/>
      <c r="BA2553" s="7"/>
    </row>
    <row r="2554">
      <c r="A2554" s="7"/>
      <c r="B2554" s="6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  <c r="AY2554" s="7"/>
      <c r="AZ2554" s="7"/>
      <c r="BA2554" s="7"/>
    </row>
    <row r="2555">
      <c r="A2555" s="7"/>
      <c r="B2555" s="6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  <c r="AY2555" s="7"/>
      <c r="AZ2555" s="7"/>
      <c r="BA2555" s="7"/>
    </row>
    <row r="2556">
      <c r="A2556" s="7"/>
      <c r="B2556" s="6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  <c r="AY2556" s="7"/>
      <c r="AZ2556" s="7"/>
      <c r="BA2556" s="7"/>
    </row>
    <row r="2557">
      <c r="A2557" s="7"/>
      <c r="B2557" s="6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  <c r="AY2557" s="7"/>
      <c r="AZ2557" s="7"/>
      <c r="BA2557" s="7"/>
    </row>
    <row r="2558">
      <c r="A2558" s="7"/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  <c r="AY2558" s="7"/>
      <c r="AZ2558" s="7"/>
      <c r="BA2558" s="7"/>
    </row>
    <row r="2559">
      <c r="A2559" s="7"/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  <c r="AY2559" s="7"/>
      <c r="AZ2559" s="7"/>
      <c r="BA2559" s="7"/>
    </row>
    <row r="2560">
      <c r="A2560" s="7"/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  <c r="AY2560" s="7"/>
      <c r="AZ2560" s="7"/>
      <c r="BA2560" s="7"/>
    </row>
    <row r="2561">
      <c r="A2561" s="7"/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  <c r="AY2561" s="7"/>
      <c r="AZ2561" s="7"/>
      <c r="BA2561" s="7"/>
    </row>
    <row r="2562">
      <c r="A2562" s="7"/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7"/>
      <c r="AZ2562" s="7"/>
      <c r="BA2562" s="7"/>
    </row>
    <row r="2563">
      <c r="A2563" s="7"/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  <c r="AY2563" s="7"/>
      <c r="AZ2563" s="7"/>
      <c r="BA2563" s="7"/>
    </row>
    <row r="2564">
      <c r="A2564" s="7"/>
      <c r="B2564" s="6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  <c r="AY2564" s="7"/>
      <c r="AZ2564" s="7"/>
      <c r="BA2564" s="7"/>
    </row>
    <row r="2565">
      <c r="A2565" s="7"/>
      <c r="B2565" s="6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  <c r="AY2565" s="7"/>
      <c r="AZ2565" s="7"/>
      <c r="BA2565" s="7"/>
    </row>
    <row r="2566">
      <c r="A2566" s="7"/>
      <c r="B2566" s="6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  <c r="AY2566" s="7"/>
      <c r="AZ2566" s="7"/>
      <c r="BA2566" s="7"/>
    </row>
    <row r="2567">
      <c r="A2567" s="7"/>
      <c r="B2567" s="6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  <c r="AY2567" s="7"/>
      <c r="AZ2567" s="7"/>
      <c r="BA2567" s="7"/>
    </row>
    <row r="2568">
      <c r="A2568" s="7"/>
      <c r="B2568" s="6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  <c r="AY2568" s="7"/>
      <c r="AZ2568" s="7"/>
      <c r="BA2568" s="7"/>
    </row>
    <row r="2569">
      <c r="A2569" s="7"/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  <c r="AY2569" s="7"/>
      <c r="AZ2569" s="7"/>
      <c r="BA2569" s="7"/>
    </row>
    <row r="2570">
      <c r="A2570" s="7"/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  <c r="AY2570" s="7"/>
      <c r="AZ2570" s="7"/>
      <c r="BA2570" s="7"/>
    </row>
    <row r="2571">
      <c r="A2571" s="7"/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  <c r="AY2571" s="7"/>
      <c r="AZ2571" s="7"/>
      <c r="BA2571" s="7"/>
    </row>
    <row r="2572">
      <c r="A2572" s="7"/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7"/>
      <c r="AZ2572" s="7"/>
      <c r="BA2572" s="7"/>
    </row>
    <row r="2573">
      <c r="A2573" s="7"/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  <c r="AY2573" s="7"/>
      <c r="AZ2573" s="7"/>
      <c r="BA2573" s="7"/>
    </row>
    <row r="2574">
      <c r="A2574" s="7"/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  <c r="AY2574" s="7"/>
      <c r="AZ2574" s="7"/>
      <c r="BA2574" s="7"/>
    </row>
    <row r="2575">
      <c r="A2575" s="7"/>
      <c r="B2575" s="6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  <c r="AY2575" s="7"/>
      <c r="AZ2575" s="7"/>
      <c r="BA2575" s="7"/>
    </row>
    <row r="2576">
      <c r="A2576" s="7"/>
      <c r="B2576" s="6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  <c r="AY2576" s="7"/>
      <c r="AZ2576" s="7"/>
      <c r="BA2576" s="7"/>
    </row>
    <row r="2577">
      <c r="A2577" s="7"/>
      <c r="B2577" s="6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  <c r="AY2577" s="7"/>
      <c r="AZ2577" s="7"/>
      <c r="BA2577" s="7"/>
    </row>
    <row r="2578">
      <c r="A2578" s="7"/>
      <c r="B2578" s="6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  <c r="AY2578" s="7"/>
      <c r="AZ2578" s="7"/>
      <c r="BA2578" s="7"/>
    </row>
    <row r="2579">
      <c r="A2579" s="7"/>
      <c r="B2579" s="6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  <c r="AY2579" s="7"/>
      <c r="AZ2579" s="7"/>
      <c r="BA2579" s="7"/>
    </row>
    <row r="2580">
      <c r="A2580" s="7"/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7"/>
      <c r="AZ2580" s="7"/>
      <c r="BA2580" s="7"/>
    </row>
    <row r="2581">
      <c r="A2581" s="7"/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  <c r="AY2581" s="7"/>
      <c r="AZ2581" s="7"/>
      <c r="BA2581" s="7"/>
    </row>
    <row r="2582">
      <c r="A2582" s="7"/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7"/>
      <c r="AZ2582" s="7"/>
      <c r="BA2582" s="7"/>
    </row>
    <row r="2583">
      <c r="A2583" s="7"/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  <c r="AY2583" s="7"/>
      <c r="AZ2583" s="7"/>
      <c r="BA2583" s="7"/>
    </row>
    <row r="2584">
      <c r="A2584" s="7"/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7"/>
      <c r="AZ2584" s="7"/>
      <c r="BA2584" s="7"/>
    </row>
    <row r="2585">
      <c r="A2585" s="7"/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  <c r="AY2585" s="7"/>
      <c r="AZ2585" s="7"/>
      <c r="BA2585" s="7"/>
    </row>
    <row r="2586">
      <c r="A2586" s="7"/>
      <c r="B2586" s="6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7"/>
      <c r="AZ2586" s="7"/>
      <c r="BA2586" s="7"/>
    </row>
    <row r="2587">
      <c r="A2587" s="7"/>
      <c r="B2587" s="6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  <c r="AY2587" s="7"/>
      <c r="AZ2587" s="7"/>
      <c r="BA2587" s="7"/>
    </row>
    <row r="2588">
      <c r="A2588" s="7"/>
      <c r="B2588" s="6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  <c r="AY2588" s="7"/>
      <c r="AZ2588" s="7"/>
      <c r="BA2588" s="7"/>
    </row>
    <row r="2589">
      <c r="A2589" s="7"/>
      <c r="B2589" s="6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  <c r="AY2589" s="7"/>
      <c r="AZ2589" s="7"/>
      <c r="BA2589" s="7"/>
    </row>
    <row r="2590">
      <c r="A2590" s="7"/>
      <c r="B2590" s="6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  <c r="AY2590" s="7"/>
      <c r="AZ2590" s="7"/>
      <c r="BA2590" s="7"/>
    </row>
    <row r="2591">
      <c r="A2591" s="7"/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  <c r="AY2591" s="7"/>
      <c r="AZ2591" s="7"/>
      <c r="BA2591" s="7"/>
    </row>
    <row r="2592">
      <c r="A2592" s="7"/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7"/>
      <c r="AZ2592" s="7"/>
      <c r="BA2592" s="7"/>
    </row>
    <row r="2593">
      <c r="A2593" s="7"/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  <c r="AY2593" s="7"/>
      <c r="AZ2593" s="7"/>
      <c r="BA2593" s="7"/>
    </row>
    <row r="2594">
      <c r="A2594" s="7"/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  <c r="AY2594" s="7"/>
      <c r="AZ2594" s="7"/>
      <c r="BA2594" s="7"/>
    </row>
    <row r="2595">
      <c r="A2595" s="7"/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  <c r="AY2595" s="7"/>
      <c r="AZ2595" s="7"/>
      <c r="BA2595" s="7"/>
    </row>
    <row r="2596">
      <c r="A2596" s="7"/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  <c r="AY2596" s="7"/>
      <c r="AZ2596" s="7"/>
      <c r="BA2596" s="7"/>
    </row>
    <row r="2597">
      <c r="A2597" s="7"/>
      <c r="B2597" s="6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  <c r="AY2597" s="7"/>
      <c r="AZ2597" s="7"/>
      <c r="BA2597" s="7"/>
    </row>
    <row r="2598">
      <c r="A2598" s="7"/>
      <c r="B2598" s="6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7"/>
      <c r="AZ2598" s="7"/>
      <c r="BA2598" s="7"/>
    </row>
    <row r="2599">
      <c r="A2599" s="7"/>
      <c r="B2599" s="6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  <c r="AY2599" s="7"/>
      <c r="AZ2599" s="7"/>
      <c r="BA2599" s="7"/>
    </row>
    <row r="2600">
      <c r="A2600" s="7"/>
      <c r="B2600" s="6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  <c r="AY2600" s="7"/>
      <c r="AZ2600" s="7"/>
      <c r="BA2600" s="7"/>
    </row>
    <row r="2601">
      <c r="A2601" s="7"/>
      <c r="B2601" s="6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  <c r="AY2601" s="7"/>
      <c r="AZ2601" s="7"/>
      <c r="BA2601" s="7"/>
    </row>
    <row r="2602">
      <c r="A2602" s="7"/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  <c r="AZ2602" s="7"/>
      <c r="BA2602" s="7"/>
    </row>
    <row r="2603">
      <c r="A2603" s="7"/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  <c r="AY2603" s="7"/>
      <c r="AZ2603" s="7"/>
      <c r="BA2603" s="7"/>
    </row>
    <row r="2604">
      <c r="A2604" s="7"/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  <c r="AY2604" s="7"/>
      <c r="AZ2604" s="7"/>
      <c r="BA2604" s="7"/>
    </row>
    <row r="2605">
      <c r="A2605" s="7"/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  <c r="AY2605" s="7"/>
      <c r="AZ2605" s="7"/>
      <c r="BA2605" s="7"/>
    </row>
    <row r="2606">
      <c r="A2606" s="7"/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  <c r="AY2606" s="7"/>
      <c r="AZ2606" s="7"/>
      <c r="BA2606" s="7"/>
    </row>
    <row r="2607">
      <c r="A2607" s="7"/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  <c r="AY2607" s="7"/>
      <c r="AZ2607" s="7"/>
      <c r="BA2607" s="7"/>
    </row>
    <row r="2608">
      <c r="A2608" s="7"/>
      <c r="B2608" s="6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  <c r="AY2608" s="7"/>
      <c r="AZ2608" s="7"/>
      <c r="BA2608" s="7"/>
    </row>
    <row r="2609">
      <c r="A2609" s="7"/>
      <c r="B2609" s="6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  <c r="AY2609" s="7"/>
      <c r="AZ2609" s="7"/>
      <c r="BA2609" s="7"/>
    </row>
    <row r="2610">
      <c r="A2610" s="7"/>
      <c r="B2610" s="6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  <c r="AY2610" s="7"/>
      <c r="AZ2610" s="7"/>
      <c r="BA2610" s="7"/>
    </row>
    <row r="2611">
      <c r="A2611" s="7"/>
      <c r="B2611" s="6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7"/>
      <c r="AZ2611" s="7"/>
      <c r="BA2611" s="7"/>
    </row>
    <row r="2612">
      <c r="A2612" s="7"/>
      <c r="B2612" s="6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  <c r="AY2612" s="7"/>
      <c r="AZ2612" s="7"/>
      <c r="BA2612" s="7"/>
    </row>
    <row r="2613">
      <c r="A2613" s="7"/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  <c r="AY2613" s="7"/>
      <c r="AZ2613" s="7"/>
      <c r="BA2613" s="7"/>
    </row>
    <row r="2614">
      <c r="A2614" s="7"/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  <c r="AY2614" s="7"/>
      <c r="AZ2614" s="7"/>
      <c r="BA2614" s="7"/>
    </row>
    <row r="2615">
      <c r="A2615" s="7"/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  <c r="AY2615" s="7"/>
      <c r="AZ2615" s="7"/>
      <c r="BA2615" s="7"/>
    </row>
    <row r="2616">
      <c r="A2616" s="7"/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  <c r="AY2616" s="7"/>
      <c r="AZ2616" s="7"/>
      <c r="BA2616" s="7"/>
    </row>
    <row r="2617">
      <c r="A2617" s="7"/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7"/>
      <c r="AZ2617" s="7"/>
      <c r="BA2617" s="7"/>
    </row>
    <row r="2618">
      <c r="A2618" s="7"/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7"/>
      <c r="AZ2618" s="7"/>
      <c r="BA2618" s="7"/>
    </row>
    <row r="2619">
      <c r="A2619" s="7"/>
      <c r="B2619" s="6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  <c r="AY2619" s="7"/>
      <c r="AZ2619" s="7"/>
      <c r="BA2619" s="7"/>
    </row>
    <row r="2620">
      <c r="A2620" s="7"/>
      <c r="B2620" s="6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7"/>
      <c r="AZ2620" s="7"/>
      <c r="BA2620" s="7"/>
    </row>
    <row r="2621">
      <c r="A2621" s="7"/>
      <c r="B2621" s="6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  <c r="AY2621" s="7"/>
      <c r="AZ2621" s="7"/>
      <c r="BA2621" s="7"/>
    </row>
    <row r="2622">
      <c r="A2622" s="7"/>
      <c r="B2622" s="6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7"/>
      <c r="AZ2622" s="7"/>
      <c r="BA2622" s="7"/>
    </row>
    <row r="2623">
      <c r="A2623" s="7"/>
      <c r="B2623" s="6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  <c r="AY2623" s="7"/>
      <c r="AZ2623" s="7"/>
      <c r="BA2623" s="7"/>
    </row>
    <row r="2624">
      <c r="A2624" s="7"/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7"/>
      <c r="AZ2624" s="7"/>
      <c r="BA2624" s="7"/>
    </row>
    <row r="2625">
      <c r="A2625" s="7"/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  <c r="AY2625" s="7"/>
      <c r="AZ2625" s="7"/>
      <c r="BA2625" s="7"/>
    </row>
    <row r="2626">
      <c r="A2626" s="7"/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7"/>
      <c r="AZ2626" s="7"/>
      <c r="BA2626" s="7"/>
    </row>
    <row r="2627">
      <c r="A2627" s="7"/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  <c r="AY2627" s="7"/>
      <c r="AZ2627" s="7"/>
      <c r="BA2627" s="7"/>
    </row>
    <row r="2628">
      <c r="A2628" s="7"/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  <c r="AY2628" s="7"/>
      <c r="AZ2628" s="7"/>
      <c r="BA2628" s="7"/>
    </row>
    <row r="2629">
      <c r="A2629" s="7"/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  <c r="AY2629" s="7"/>
      <c r="AZ2629" s="7"/>
      <c r="BA2629" s="7"/>
    </row>
    <row r="2630">
      <c r="A2630" s="7"/>
      <c r="B2630" s="6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  <c r="AY2630" s="7"/>
      <c r="AZ2630" s="7"/>
      <c r="BA2630" s="7"/>
    </row>
    <row r="2631">
      <c r="A2631" s="7"/>
      <c r="B2631" s="6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  <c r="AY2631" s="7"/>
      <c r="AZ2631" s="7"/>
      <c r="BA2631" s="7"/>
    </row>
    <row r="2632">
      <c r="A2632" s="7"/>
      <c r="B2632" s="6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  <c r="AY2632" s="7"/>
      <c r="AZ2632" s="7"/>
      <c r="BA2632" s="7"/>
    </row>
    <row r="2633">
      <c r="A2633" s="7"/>
      <c r="B2633" s="6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  <c r="AY2633" s="7"/>
      <c r="AZ2633" s="7"/>
      <c r="BA2633" s="7"/>
    </row>
    <row r="2634">
      <c r="A2634" s="7"/>
      <c r="B2634" s="6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  <c r="AY2634" s="7"/>
      <c r="AZ2634" s="7"/>
      <c r="BA2634" s="7"/>
    </row>
    <row r="2635">
      <c r="A2635" s="7"/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  <c r="AY2635" s="7"/>
      <c r="AZ2635" s="7"/>
      <c r="BA2635" s="7"/>
    </row>
    <row r="2636">
      <c r="A2636" s="7"/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  <c r="AY2636" s="7"/>
      <c r="AZ2636" s="7"/>
      <c r="BA2636" s="7"/>
    </row>
    <row r="2637">
      <c r="A2637" s="7"/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  <c r="AY2637" s="7"/>
      <c r="AZ2637" s="7"/>
      <c r="BA2637" s="7"/>
    </row>
    <row r="2638">
      <c r="A2638" s="7"/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  <c r="AY2638" s="7"/>
      <c r="AZ2638" s="7"/>
      <c r="BA2638" s="7"/>
    </row>
    <row r="2639">
      <c r="A2639" s="7"/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  <c r="AY2639" s="7"/>
      <c r="AZ2639" s="7"/>
      <c r="BA2639" s="7"/>
    </row>
    <row r="2640">
      <c r="A2640" s="7"/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  <c r="AY2640" s="7"/>
      <c r="AZ2640" s="7"/>
      <c r="BA2640" s="7"/>
    </row>
    <row r="2641">
      <c r="A2641" s="7"/>
      <c r="B2641" s="6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  <c r="AY2641" s="7"/>
      <c r="AZ2641" s="7"/>
      <c r="BA2641" s="7"/>
    </row>
    <row r="2642">
      <c r="A2642" s="7"/>
      <c r="B2642" s="6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  <c r="AY2642" s="7"/>
      <c r="AZ2642" s="7"/>
      <c r="BA2642" s="7"/>
    </row>
    <row r="2643">
      <c r="A2643" s="7"/>
      <c r="B2643" s="6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  <c r="AY2643" s="7"/>
      <c r="AZ2643" s="7"/>
      <c r="BA2643" s="7"/>
    </row>
    <row r="2644">
      <c r="A2644" s="7"/>
      <c r="B2644" s="6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  <c r="AZ2644" s="7"/>
      <c r="BA2644" s="7"/>
    </row>
    <row r="2645">
      <c r="A2645" s="7"/>
      <c r="B2645" s="6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  <c r="AY2645" s="7"/>
      <c r="AZ2645" s="7"/>
      <c r="BA2645" s="7"/>
    </row>
    <row r="2646">
      <c r="A2646" s="7"/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7"/>
      <c r="AZ2646" s="7"/>
      <c r="BA2646" s="7"/>
    </row>
    <row r="2647">
      <c r="A2647" s="7"/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  <c r="AY2647" s="7"/>
      <c r="AZ2647" s="7"/>
      <c r="BA2647" s="7"/>
    </row>
    <row r="2648">
      <c r="A2648" s="7"/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  <c r="AY2648" s="7"/>
      <c r="AZ2648" s="7"/>
      <c r="BA2648" s="7"/>
    </row>
    <row r="2649">
      <c r="A2649" s="7"/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  <c r="AZ2649" s="7"/>
      <c r="BA2649" s="7"/>
    </row>
    <row r="2650">
      <c r="A2650" s="7"/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  <c r="AY2650" s="7"/>
      <c r="AZ2650" s="7"/>
      <c r="BA2650" s="7"/>
    </row>
    <row r="2651">
      <c r="A2651" s="7"/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  <c r="AY2651" s="7"/>
      <c r="AZ2651" s="7"/>
      <c r="BA2651" s="7"/>
    </row>
    <row r="2652">
      <c r="A2652" s="7"/>
      <c r="B2652" s="6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  <c r="AY2652" s="7"/>
      <c r="AZ2652" s="7"/>
      <c r="BA2652" s="7"/>
    </row>
    <row r="2653">
      <c r="A2653" s="7"/>
      <c r="B2653" s="6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  <c r="AY2653" s="7"/>
      <c r="AZ2653" s="7"/>
      <c r="BA2653" s="7"/>
    </row>
    <row r="2654">
      <c r="A2654" s="7"/>
      <c r="B2654" s="6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  <c r="AY2654" s="7"/>
      <c r="AZ2654" s="7"/>
      <c r="BA2654" s="7"/>
    </row>
    <row r="2655">
      <c r="A2655" s="7"/>
      <c r="B2655" s="6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  <c r="AY2655" s="7"/>
      <c r="AZ2655" s="7"/>
      <c r="BA2655" s="7"/>
    </row>
    <row r="2656">
      <c r="A2656" s="7"/>
      <c r="B2656" s="6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  <c r="AY2656" s="7"/>
      <c r="AZ2656" s="7"/>
      <c r="BA2656" s="7"/>
    </row>
    <row r="2657">
      <c r="A2657" s="7"/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  <c r="AY2657" s="7"/>
      <c r="AZ2657" s="7"/>
      <c r="BA2657" s="7"/>
    </row>
    <row r="2658">
      <c r="A2658" s="7"/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  <c r="AY2658" s="7"/>
      <c r="AZ2658" s="7"/>
      <c r="BA2658" s="7"/>
    </row>
    <row r="2659">
      <c r="A2659" s="7"/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  <c r="AY2659" s="7"/>
      <c r="AZ2659" s="7"/>
      <c r="BA2659" s="7"/>
    </row>
    <row r="2660">
      <c r="A2660" s="7"/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  <c r="AY2660" s="7"/>
      <c r="AZ2660" s="7"/>
      <c r="BA2660" s="7"/>
    </row>
    <row r="2661">
      <c r="A2661" s="7"/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7"/>
      <c r="AZ2661" s="7"/>
      <c r="BA2661" s="7"/>
    </row>
    <row r="2662">
      <c r="A2662" s="7"/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  <c r="AY2662" s="7"/>
      <c r="AZ2662" s="7"/>
      <c r="BA2662" s="7"/>
    </row>
    <row r="2663">
      <c r="A2663" s="7"/>
      <c r="B2663" s="6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  <c r="AY2663" s="7"/>
      <c r="AZ2663" s="7"/>
      <c r="BA2663" s="7"/>
    </row>
    <row r="2664">
      <c r="A2664" s="7"/>
      <c r="B2664" s="6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7"/>
      <c r="AZ2664" s="7"/>
      <c r="BA2664" s="7"/>
    </row>
    <row r="2665">
      <c r="A2665" s="7"/>
      <c r="B2665" s="6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7"/>
      <c r="AZ2665" s="7"/>
      <c r="BA2665" s="7"/>
    </row>
    <row r="2666">
      <c r="A2666" s="7"/>
      <c r="B2666" s="6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  <c r="AY2666" s="7"/>
      <c r="AZ2666" s="7"/>
      <c r="BA2666" s="7"/>
    </row>
    <row r="2667">
      <c r="A2667" s="7"/>
      <c r="B2667" s="6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  <c r="AY2667" s="7"/>
      <c r="AZ2667" s="7"/>
      <c r="BA2667" s="7"/>
    </row>
    <row r="2668">
      <c r="A2668" s="7"/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  <c r="AY2668" s="7"/>
      <c r="AZ2668" s="7"/>
      <c r="BA2668" s="7"/>
    </row>
    <row r="2669">
      <c r="A2669" s="7"/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  <c r="AY2669" s="7"/>
      <c r="AZ2669" s="7"/>
      <c r="BA2669" s="7"/>
    </row>
    <row r="2670">
      <c r="A2670" s="7"/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  <c r="AY2670" s="7"/>
      <c r="AZ2670" s="7"/>
      <c r="BA2670" s="7"/>
    </row>
    <row r="2671">
      <c r="A2671" s="7"/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  <c r="AZ2671" s="7"/>
      <c r="BA2671" s="7"/>
    </row>
    <row r="2672">
      <c r="A2672" s="7"/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7"/>
      <c r="AZ2672" s="7"/>
      <c r="BA2672" s="7"/>
    </row>
    <row r="2673">
      <c r="A2673" s="7"/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  <c r="AY2673" s="7"/>
      <c r="AZ2673" s="7"/>
      <c r="BA2673" s="7"/>
    </row>
    <row r="2674">
      <c r="A2674" s="7"/>
      <c r="B2674" s="6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  <c r="AY2674" s="7"/>
      <c r="AZ2674" s="7"/>
      <c r="BA2674" s="7"/>
    </row>
    <row r="2675">
      <c r="A2675" s="7"/>
      <c r="B2675" s="6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  <c r="AY2675" s="7"/>
      <c r="AZ2675" s="7"/>
      <c r="BA2675" s="7"/>
    </row>
    <row r="2676">
      <c r="A2676" s="7"/>
      <c r="B2676" s="6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  <c r="AY2676" s="7"/>
      <c r="AZ2676" s="7"/>
      <c r="BA2676" s="7"/>
    </row>
    <row r="2677">
      <c r="A2677" s="7"/>
      <c r="B2677" s="6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7"/>
      <c r="AZ2677" s="7"/>
      <c r="BA2677" s="7"/>
    </row>
    <row r="2678">
      <c r="A2678" s="7"/>
      <c r="B2678" s="6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  <c r="AY2678" s="7"/>
      <c r="AZ2678" s="7"/>
      <c r="BA2678" s="7"/>
    </row>
    <row r="2679">
      <c r="A2679" s="7"/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  <c r="AY2679" s="7"/>
      <c r="AZ2679" s="7"/>
      <c r="BA2679" s="7"/>
    </row>
    <row r="2680">
      <c r="A2680" s="7"/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7"/>
      <c r="AZ2680" s="7"/>
      <c r="BA2680" s="7"/>
    </row>
    <row r="2681">
      <c r="A2681" s="7"/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7"/>
      <c r="AZ2681" s="7"/>
      <c r="BA2681" s="7"/>
    </row>
    <row r="2682">
      <c r="A2682" s="7"/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  <c r="AY2682" s="7"/>
      <c r="AZ2682" s="7"/>
      <c r="BA2682" s="7"/>
    </row>
    <row r="2683">
      <c r="A2683" s="7"/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7"/>
      <c r="AZ2683" s="7"/>
      <c r="BA2683" s="7"/>
    </row>
    <row r="2684">
      <c r="A2684" s="7"/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  <c r="AY2684" s="7"/>
      <c r="AZ2684" s="7"/>
      <c r="BA2684" s="7"/>
    </row>
    <row r="2685">
      <c r="A2685" s="7"/>
      <c r="B2685" s="6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  <c r="AY2685" s="7"/>
      <c r="AZ2685" s="7"/>
      <c r="BA2685" s="7"/>
    </row>
    <row r="2686">
      <c r="A2686" s="7"/>
      <c r="B2686" s="6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7"/>
      <c r="AZ2686" s="7"/>
      <c r="BA2686" s="7"/>
    </row>
    <row r="2687">
      <c r="A2687" s="7"/>
      <c r="B2687" s="6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  <c r="AY2687" s="7"/>
      <c r="AZ2687" s="7"/>
      <c r="BA2687" s="7"/>
    </row>
    <row r="2688">
      <c r="A2688" s="7"/>
      <c r="B2688" s="6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7"/>
      <c r="AZ2688" s="7"/>
      <c r="BA2688" s="7"/>
    </row>
    <row r="2689">
      <c r="A2689" s="7"/>
      <c r="B2689" s="6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  <c r="AY2689" s="7"/>
      <c r="AZ2689" s="7"/>
      <c r="BA2689" s="7"/>
    </row>
    <row r="2690">
      <c r="A2690" s="7"/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  <c r="AY2690" s="7"/>
      <c r="AZ2690" s="7"/>
      <c r="BA2690" s="7"/>
    </row>
    <row r="2691">
      <c r="A2691" s="7"/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  <c r="AY2691" s="7"/>
      <c r="AZ2691" s="7"/>
      <c r="BA2691" s="7"/>
    </row>
    <row r="2692">
      <c r="A2692" s="7"/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7"/>
      <c r="AZ2692" s="7"/>
      <c r="BA2692" s="7"/>
    </row>
    <row r="2693">
      <c r="A2693" s="7"/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  <c r="AY2693" s="7"/>
      <c r="AZ2693" s="7"/>
      <c r="BA2693" s="7"/>
    </row>
    <row r="2694">
      <c r="A2694" s="7"/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  <c r="AY2694" s="7"/>
      <c r="AZ2694" s="7"/>
      <c r="BA2694" s="7"/>
    </row>
    <row r="2695">
      <c r="A2695" s="7"/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  <c r="AY2695" s="7"/>
      <c r="AZ2695" s="7"/>
      <c r="BA2695" s="7"/>
    </row>
    <row r="2696">
      <c r="A2696" s="7"/>
      <c r="B2696" s="6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7"/>
      <c r="AZ2696" s="7"/>
      <c r="BA2696" s="7"/>
    </row>
    <row r="2697">
      <c r="A2697" s="7"/>
      <c r="B2697" s="6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  <c r="AZ2697" s="7"/>
      <c r="BA2697" s="7"/>
    </row>
    <row r="2698">
      <c r="A2698" s="7"/>
      <c r="B2698" s="6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  <c r="AY2698" s="7"/>
      <c r="AZ2698" s="7"/>
      <c r="BA2698" s="7"/>
    </row>
    <row r="2699">
      <c r="A2699" s="7"/>
      <c r="B2699" s="6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7"/>
      <c r="AZ2699" s="7"/>
      <c r="BA2699" s="7"/>
    </row>
    <row r="2700">
      <c r="A2700" s="7"/>
      <c r="B2700" s="6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7"/>
      <c r="AZ2700" s="7"/>
      <c r="BA2700" s="7"/>
    </row>
    <row r="2701">
      <c r="A2701" s="7"/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  <c r="AY2701" s="7"/>
      <c r="AZ2701" s="7"/>
      <c r="BA2701" s="7"/>
    </row>
    <row r="2702">
      <c r="A2702" s="7"/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  <c r="AY2702" s="7"/>
      <c r="AZ2702" s="7"/>
      <c r="BA2702" s="7"/>
    </row>
    <row r="2703">
      <c r="A2703" s="7"/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  <c r="AY2703" s="7"/>
      <c r="AZ2703" s="7"/>
      <c r="BA2703" s="7"/>
    </row>
    <row r="2704">
      <c r="A2704" s="7"/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7"/>
      <c r="AZ2704" s="7"/>
      <c r="BA2704" s="7"/>
    </row>
    <row r="2705">
      <c r="A2705" s="7"/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7"/>
      <c r="AZ2705" s="7"/>
      <c r="BA2705" s="7"/>
    </row>
    <row r="2706">
      <c r="A2706" s="7"/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  <c r="AY2706" s="7"/>
      <c r="AZ2706" s="7"/>
      <c r="BA2706" s="7"/>
    </row>
    <row r="2707">
      <c r="A2707" s="7"/>
      <c r="B2707" s="6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  <c r="AY2707" s="7"/>
      <c r="AZ2707" s="7"/>
      <c r="BA2707" s="7"/>
    </row>
    <row r="2708">
      <c r="A2708" s="7"/>
      <c r="B2708" s="6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7"/>
      <c r="AZ2708" s="7"/>
      <c r="BA2708" s="7"/>
    </row>
    <row r="2709">
      <c r="A2709" s="7"/>
      <c r="B2709" s="6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7"/>
      <c r="AZ2709" s="7"/>
      <c r="BA2709" s="7"/>
    </row>
    <row r="2710">
      <c r="A2710" s="7"/>
      <c r="B2710" s="6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  <c r="AY2710" s="7"/>
      <c r="AZ2710" s="7"/>
      <c r="BA2710" s="7"/>
    </row>
    <row r="2711">
      <c r="A2711" s="7"/>
      <c r="B2711" s="6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7"/>
      <c r="AZ2711" s="7"/>
      <c r="BA2711" s="7"/>
    </row>
    <row r="2712">
      <c r="A2712" s="7"/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7"/>
      <c r="AZ2712" s="7"/>
      <c r="BA2712" s="7"/>
    </row>
    <row r="2713">
      <c r="A2713" s="7"/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7"/>
      <c r="AZ2713" s="7"/>
      <c r="BA2713" s="7"/>
    </row>
    <row r="2714">
      <c r="A2714" s="7"/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  <c r="AY2714" s="7"/>
      <c r="AZ2714" s="7"/>
      <c r="BA2714" s="7"/>
    </row>
    <row r="2715">
      <c r="A2715" s="7"/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  <c r="AY2715" s="7"/>
      <c r="AZ2715" s="7"/>
      <c r="BA2715" s="7"/>
    </row>
    <row r="2716">
      <c r="A2716" s="7"/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7"/>
      <c r="AZ2716" s="7"/>
      <c r="BA2716" s="7"/>
    </row>
    <row r="2717">
      <c r="A2717" s="7"/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  <c r="AY2717" s="7"/>
      <c r="AZ2717" s="7"/>
      <c r="BA2717" s="7"/>
    </row>
    <row r="2718">
      <c r="A2718" s="7"/>
      <c r="B2718" s="6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7"/>
      <c r="AZ2718" s="7"/>
      <c r="BA2718" s="7"/>
    </row>
    <row r="2719">
      <c r="A2719" s="7"/>
      <c r="B2719" s="6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7"/>
      <c r="AZ2719" s="7"/>
      <c r="BA2719" s="7"/>
    </row>
    <row r="2720">
      <c r="A2720" s="7"/>
      <c r="B2720" s="6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  <c r="AY2720" s="7"/>
      <c r="AZ2720" s="7"/>
      <c r="BA2720" s="7"/>
    </row>
    <row r="2721">
      <c r="A2721" s="7"/>
      <c r="B2721" s="6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  <c r="AY2721" s="7"/>
      <c r="AZ2721" s="7"/>
      <c r="BA2721" s="7"/>
    </row>
    <row r="2722">
      <c r="A2722" s="7"/>
      <c r="B2722" s="6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  <c r="AY2722" s="7"/>
      <c r="AZ2722" s="7"/>
      <c r="BA2722" s="7"/>
    </row>
    <row r="2723">
      <c r="A2723" s="7"/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  <c r="AY2723" s="7"/>
      <c r="AZ2723" s="7"/>
      <c r="BA2723" s="7"/>
    </row>
    <row r="2724">
      <c r="A2724" s="7"/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7"/>
      <c r="AZ2724" s="7"/>
      <c r="BA2724" s="7"/>
    </row>
    <row r="2725">
      <c r="A2725" s="7"/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  <c r="AY2725" s="7"/>
      <c r="AZ2725" s="7"/>
      <c r="BA2725" s="7"/>
    </row>
    <row r="2726">
      <c r="A2726" s="7"/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  <c r="AY2726" s="7"/>
      <c r="AZ2726" s="7"/>
      <c r="BA2726" s="7"/>
    </row>
    <row r="2727">
      <c r="A2727" s="7"/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  <c r="AY2727" s="7"/>
      <c r="AZ2727" s="7"/>
      <c r="BA2727" s="7"/>
    </row>
    <row r="2728">
      <c r="A2728" s="7"/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  <c r="AY2728" s="7"/>
      <c r="AZ2728" s="7"/>
      <c r="BA2728" s="7"/>
    </row>
    <row r="2729">
      <c r="A2729" s="7"/>
      <c r="B2729" s="6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  <c r="AY2729" s="7"/>
      <c r="AZ2729" s="7"/>
      <c r="BA2729" s="7"/>
    </row>
    <row r="2730">
      <c r="A2730" s="7"/>
      <c r="B2730" s="6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7"/>
      <c r="AZ2730" s="7"/>
      <c r="BA2730" s="7"/>
    </row>
    <row r="2731">
      <c r="A2731" s="7"/>
      <c r="B2731" s="6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  <c r="AY2731" s="7"/>
      <c r="AZ2731" s="7"/>
      <c r="BA2731" s="7"/>
    </row>
    <row r="2732">
      <c r="A2732" s="7"/>
      <c r="B2732" s="6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  <c r="AY2732" s="7"/>
      <c r="AZ2732" s="7"/>
      <c r="BA2732" s="7"/>
    </row>
    <row r="2733">
      <c r="A2733" s="7"/>
      <c r="B2733" s="6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  <c r="AY2733" s="7"/>
      <c r="AZ2733" s="7"/>
      <c r="BA2733" s="7"/>
    </row>
    <row r="2734">
      <c r="A2734" s="7"/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7"/>
      <c r="AZ2734" s="7"/>
      <c r="BA2734" s="7"/>
    </row>
    <row r="2735">
      <c r="A2735" s="7"/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  <c r="AY2735" s="7"/>
      <c r="AZ2735" s="7"/>
      <c r="BA2735" s="7"/>
    </row>
    <row r="2736">
      <c r="A2736" s="7"/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7"/>
      <c r="AZ2736" s="7"/>
      <c r="BA2736" s="7"/>
    </row>
    <row r="2737">
      <c r="A2737" s="7"/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  <c r="AY2737" s="7"/>
      <c r="AZ2737" s="7"/>
      <c r="BA2737" s="7"/>
    </row>
    <row r="2738">
      <c r="A2738" s="7"/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  <c r="AZ2738" s="7"/>
      <c r="BA2738" s="7"/>
    </row>
    <row r="2739">
      <c r="A2739" s="7"/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  <c r="AY2739" s="7"/>
      <c r="AZ2739" s="7"/>
      <c r="BA2739" s="7"/>
    </row>
    <row r="2740">
      <c r="A2740" s="7"/>
      <c r="B2740" s="6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7"/>
      <c r="AZ2740" s="7"/>
      <c r="BA2740" s="7"/>
    </row>
    <row r="2741">
      <c r="A2741" s="7"/>
      <c r="B2741" s="6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  <c r="AY2741" s="7"/>
      <c r="AZ2741" s="7"/>
      <c r="BA2741" s="7"/>
    </row>
    <row r="2742">
      <c r="A2742" s="7"/>
      <c r="B2742" s="6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  <c r="AY2742" s="7"/>
      <c r="AZ2742" s="7"/>
      <c r="BA2742" s="7"/>
    </row>
    <row r="2743">
      <c r="A2743" s="7"/>
      <c r="B2743" s="6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  <c r="AY2743" s="7"/>
      <c r="AZ2743" s="7"/>
      <c r="BA2743" s="7"/>
    </row>
    <row r="2744">
      <c r="A2744" s="7"/>
      <c r="B2744" s="6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  <c r="AY2744" s="7"/>
      <c r="AZ2744" s="7"/>
      <c r="BA2744" s="7"/>
    </row>
    <row r="2745">
      <c r="A2745" s="7"/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  <c r="AY2745" s="7"/>
      <c r="AZ2745" s="7"/>
      <c r="BA2745" s="7"/>
    </row>
    <row r="2746">
      <c r="A2746" s="7"/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  <c r="AY2746" s="7"/>
      <c r="AZ2746" s="7"/>
      <c r="BA2746" s="7"/>
    </row>
    <row r="2747">
      <c r="A2747" s="7"/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  <c r="AY2747" s="7"/>
      <c r="AZ2747" s="7"/>
      <c r="BA2747" s="7"/>
    </row>
    <row r="2748">
      <c r="A2748" s="7"/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7"/>
      <c r="AZ2748" s="7"/>
      <c r="BA2748" s="7"/>
    </row>
    <row r="2749">
      <c r="A2749" s="7"/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  <c r="AY2749" s="7"/>
      <c r="AZ2749" s="7"/>
      <c r="BA2749" s="7"/>
    </row>
    <row r="2750">
      <c r="A2750" s="7"/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  <c r="AY2750" s="7"/>
      <c r="AZ2750" s="7"/>
      <c r="BA2750" s="7"/>
    </row>
    <row r="2751">
      <c r="A2751" s="7"/>
      <c r="B2751" s="6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  <c r="AY2751" s="7"/>
      <c r="AZ2751" s="7"/>
      <c r="BA2751" s="7"/>
    </row>
    <row r="2752">
      <c r="A2752" s="7"/>
      <c r="B2752" s="6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  <c r="AY2752" s="7"/>
      <c r="AZ2752" s="7"/>
      <c r="BA2752" s="7"/>
    </row>
    <row r="2753">
      <c r="A2753" s="7"/>
      <c r="B2753" s="6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  <c r="AY2753" s="7"/>
      <c r="AZ2753" s="7"/>
      <c r="BA2753" s="7"/>
    </row>
    <row r="2754">
      <c r="A2754" s="7"/>
      <c r="B2754" s="6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  <c r="AY2754" s="7"/>
      <c r="AZ2754" s="7"/>
      <c r="BA2754" s="7"/>
    </row>
    <row r="2755">
      <c r="A2755" s="7"/>
      <c r="B2755" s="6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  <c r="AY2755" s="7"/>
      <c r="AZ2755" s="7"/>
      <c r="BA2755" s="7"/>
    </row>
    <row r="2756">
      <c r="A2756" s="7"/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  <c r="AY2756" s="7"/>
      <c r="AZ2756" s="7"/>
      <c r="BA2756" s="7"/>
    </row>
    <row r="2757">
      <c r="A2757" s="7"/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  <c r="AY2757" s="7"/>
      <c r="AZ2757" s="7"/>
      <c r="BA2757" s="7"/>
    </row>
    <row r="2758">
      <c r="A2758" s="7"/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  <c r="AY2758" s="7"/>
      <c r="AZ2758" s="7"/>
      <c r="BA2758" s="7"/>
    </row>
    <row r="2759">
      <c r="A2759" s="7"/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  <c r="AY2759" s="7"/>
      <c r="AZ2759" s="7"/>
      <c r="BA2759" s="7"/>
    </row>
    <row r="2760">
      <c r="A2760" s="7"/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  <c r="AZ2760" s="7"/>
      <c r="BA2760" s="7"/>
    </row>
    <row r="2761">
      <c r="A2761" s="7"/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  <c r="AY2761" s="7"/>
      <c r="AZ2761" s="7"/>
      <c r="BA2761" s="7"/>
    </row>
    <row r="2762">
      <c r="A2762" s="7"/>
      <c r="B2762" s="6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  <c r="AY2762" s="7"/>
      <c r="AZ2762" s="7"/>
      <c r="BA2762" s="7"/>
    </row>
    <row r="2763">
      <c r="A2763" s="7"/>
      <c r="B2763" s="6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  <c r="AY2763" s="7"/>
      <c r="AZ2763" s="7"/>
      <c r="BA2763" s="7"/>
    </row>
    <row r="2764">
      <c r="A2764" s="7"/>
      <c r="B2764" s="6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  <c r="AY2764" s="7"/>
      <c r="AZ2764" s="7"/>
      <c r="BA2764" s="7"/>
    </row>
    <row r="2765">
      <c r="A2765" s="7"/>
      <c r="B2765" s="6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  <c r="AY2765" s="7"/>
      <c r="AZ2765" s="7"/>
      <c r="BA2765" s="7"/>
    </row>
    <row r="2766">
      <c r="A2766" s="7"/>
      <c r="B2766" s="6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7"/>
      <c r="AZ2766" s="7"/>
      <c r="BA2766" s="7"/>
    </row>
    <row r="2767">
      <c r="A2767" s="7"/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  <c r="AY2767" s="7"/>
      <c r="AZ2767" s="7"/>
      <c r="BA2767" s="7"/>
    </row>
    <row r="2768">
      <c r="A2768" s="7"/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  <c r="AY2768" s="7"/>
      <c r="AZ2768" s="7"/>
      <c r="BA2768" s="7"/>
    </row>
    <row r="2769">
      <c r="A2769" s="7"/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  <c r="AY2769" s="7"/>
      <c r="AZ2769" s="7"/>
      <c r="BA2769" s="7"/>
    </row>
    <row r="2770">
      <c r="A2770" s="7"/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7"/>
      <c r="AZ2770" s="7"/>
      <c r="BA2770" s="7"/>
    </row>
    <row r="2771">
      <c r="A2771" s="7"/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  <c r="AY2771" s="7"/>
      <c r="AZ2771" s="7"/>
      <c r="BA2771" s="7"/>
    </row>
    <row r="2772">
      <c r="A2772" s="7"/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  <c r="AZ2772" s="7"/>
      <c r="BA2772" s="7"/>
    </row>
    <row r="2773">
      <c r="A2773" s="7"/>
      <c r="B2773" s="6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7"/>
      <c r="AZ2773" s="7"/>
      <c r="BA2773" s="7"/>
    </row>
    <row r="2774">
      <c r="A2774" s="7"/>
      <c r="B2774" s="6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  <c r="AZ2774" s="7"/>
      <c r="BA2774" s="7"/>
    </row>
    <row r="2775">
      <c r="A2775" s="7"/>
      <c r="B2775" s="6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7"/>
      <c r="AZ2775" s="7"/>
      <c r="BA2775" s="7"/>
    </row>
    <row r="2776">
      <c r="A2776" s="7"/>
      <c r="B2776" s="6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7"/>
      <c r="AZ2776" s="7"/>
      <c r="BA2776" s="7"/>
    </row>
    <row r="2777">
      <c r="A2777" s="7"/>
      <c r="B2777" s="6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7"/>
      <c r="AZ2777" s="7"/>
      <c r="BA2777" s="7"/>
    </row>
    <row r="2778">
      <c r="A2778" s="7"/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  <c r="AY2778" s="7"/>
      <c r="AZ2778" s="7"/>
      <c r="BA2778" s="7"/>
    </row>
    <row r="2779">
      <c r="A2779" s="7"/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  <c r="AY2779" s="7"/>
      <c r="AZ2779" s="7"/>
      <c r="BA2779" s="7"/>
    </row>
    <row r="2780">
      <c r="A2780" s="7"/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  <c r="AY2780" s="7"/>
      <c r="AZ2780" s="7"/>
      <c r="BA2780" s="7"/>
    </row>
    <row r="2781">
      <c r="A2781" s="7"/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  <c r="AY2781" s="7"/>
      <c r="AZ2781" s="7"/>
      <c r="BA2781" s="7"/>
    </row>
    <row r="2782">
      <c r="A2782" s="7"/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  <c r="AY2782" s="7"/>
      <c r="AZ2782" s="7"/>
      <c r="BA2782" s="7"/>
    </row>
    <row r="2783">
      <c r="A2783" s="7"/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  <c r="AY2783" s="7"/>
      <c r="AZ2783" s="7"/>
      <c r="BA2783" s="7"/>
    </row>
    <row r="2784">
      <c r="A2784" s="7"/>
      <c r="B2784" s="6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7"/>
      <c r="AZ2784" s="7"/>
      <c r="BA2784" s="7"/>
    </row>
    <row r="2785">
      <c r="A2785" s="7"/>
      <c r="B2785" s="6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  <c r="AY2785" s="7"/>
      <c r="AZ2785" s="7"/>
      <c r="BA2785" s="7"/>
    </row>
    <row r="2786">
      <c r="A2786" s="7"/>
      <c r="B2786" s="6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7"/>
      <c r="AZ2786" s="7"/>
      <c r="BA2786" s="7"/>
    </row>
    <row r="2787">
      <c r="A2787" s="7"/>
      <c r="B2787" s="6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  <c r="AY2787" s="7"/>
      <c r="AZ2787" s="7"/>
      <c r="BA2787" s="7"/>
    </row>
    <row r="2788">
      <c r="A2788" s="7"/>
      <c r="B2788" s="6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  <c r="AY2788" s="7"/>
      <c r="AZ2788" s="7"/>
      <c r="BA2788" s="7"/>
    </row>
    <row r="2789">
      <c r="A2789" s="7"/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  <c r="AY2789" s="7"/>
      <c r="AZ2789" s="7"/>
      <c r="BA2789" s="7"/>
    </row>
    <row r="2790">
      <c r="A2790" s="7"/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  <c r="AY2790" s="7"/>
      <c r="AZ2790" s="7"/>
      <c r="BA2790" s="7"/>
    </row>
    <row r="2791">
      <c r="A2791" s="7"/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  <c r="AY2791" s="7"/>
      <c r="AZ2791" s="7"/>
      <c r="BA2791" s="7"/>
    </row>
    <row r="2792">
      <c r="A2792" s="7"/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  <c r="AY2792" s="7"/>
      <c r="AZ2792" s="7"/>
      <c r="BA2792" s="7"/>
    </row>
    <row r="2793">
      <c r="A2793" s="7"/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  <c r="AY2793" s="7"/>
      <c r="AZ2793" s="7"/>
      <c r="BA2793" s="7"/>
    </row>
    <row r="2794">
      <c r="A2794" s="7"/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  <c r="AY2794" s="7"/>
      <c r="AZ2794" s="7"/>
      <c r="BA2794" s="7"/>
    </row>
    <row r="2795">
      <c r="A2795" s="7"/>
      <c r="B2795" s="6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  <c r="AY2795" s="7"/>
      <c r="AZ2795" s="7"/>
      <c r="BA2795" s="7"/>
    </row>
    <row r="2796">
      <c r="A2796" s="7"/>
      <c r="B2796" s="6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7"/>
      <c r="AZ2796" s="7"/>
      <c r="BA2796" s="7"/>
    </row>
    <row r="2797">
      <c r="A2797" s="7"/>
      <c r="B2797" s="6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  <c r="AY2797" s="7"/>
      <c r="AZ2797" s="7"/>
      <c r="BA2797" s="7"/>
    </row>
    <row r="2798">
      <c r="A2798" s="7"/>
      <c r="B2798" s="6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  <c r="AY2798" s="7"/>
      <c r="AZ2798" s="7"/>
      <c r="BA2798" s="7"/>
    </row>
    <row r="2799">
      <c r="A2799" s="7"/>
      <c r="B2799" s="6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  <c r="AY2799" s="7"/>
      <c r="AZ2799" s="7"/>
      <c r="BA2799" s="7"/>
    </row>
    <row r="2800">
      <c r="A2800" s="7"/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7"/>
      <c r="AZ2800" s="7"/>
      <c r="BA2800" s="7"/>
    </row>
    <row r="2801">
      <c r="A2801" s="7"/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  <c r="AY2801" s="7"/>
      <c r="AZ2801" s="7"/>
      <c r="BA2801" s="7"/>
    </row>
    <row r="2802">
      <c r="A2802" s="7"/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7"/>
      <c r="AZ2802" s="7"/>
      <c r="BA2802" s="7"/>
    </row>
    <row r="2803">
      <c r="A2803" s="7"/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7"/>
      <c r="AZ2803" s="7"/>
      <c r="BA2803" s="7"/>
    </row>
    <row r="2804">
      <c r="A2804" s="7"/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  <c r="AY2804" s="7"/>
      <c r="AZ2804" s="7"/>
      <c r="BA2804" s="7"/>
    </row>
    <row r="2805">
      <c r="A2805" s="7"/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  <c r="AY2805" s="7"/>
      <c r="AZ2805" s="7"/>
      <c r="BA2805" s="7"/>
    </row>
    <row r="2806">
      <c r="A2806" s="7"/>
      <c r="B2806" s="6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7"/>
      <c r="AZ2806" s="7"/>
      <c r="BA2806" s="7"/>
    </row>
    <row r="2807">
      <c r="A2807" s="7"/>
      <c r="B2807" s="6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7"/>
      <c r="AZ2807" s="7"/>
      <c r="BA2807" s="7"/>
    </row>
    <row r="2808">
      <c r="A2808" s="7"/>
      <c r="B2808" s="6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7"/>
      <c r="AZ2808" s="7"/>
      <c r="BA2808" s="7"/>
    </row>
    <row r="2809">
      <c r="A2809" s="7"/>
      <c r="B2809" s="6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  <c r="AY2809" s="7"/>
      <c r="AZ2809" s="7"/>
      <c r="BA2809" s="7"/>
    </row>
    <row r="2810">
      <c r="A2810" s="7"/>
      <c r="B2810" s="6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  <c r="AY2810" s="7"/>
      <c r="AZ2810" s="7"/>
      <c r="BA2810" s="7"/>
    </row>
    <row r="2811">
      <c r="A2811" s="7"/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  <c r="AY2811" s="7"/>
      <c r="AZ2811" s="7"/>
      <c r="BA2811" s="7"/>
    </row>
    <row r="2812">
      <c r="A2812" s="7"/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7"/>
      <c r="AZ2812" s="7"/>
      <c r="BA2812" s="7"/>
    </row>
    <row r="2813">
      <c r="A2813" s="7"/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  <c r="AY2813" s="7"/>
      <c r="AZ2813" s="7"/>
      <c r="BA2813" s="7"/>
    </row>
    <row r="2814">
      <c r="A2814" s="7"/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  <c r="AY2814" s="7"/>
      <c r="AZ2814" s="7"/>
      <c r="BA2814" s="7"/>
    </row>
    <row r="2815">
      <c r="A2815" s="7"/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  <c r="AY2815" s="7"/>
      <c r="AZ2815" s="7"/>
      <c r="BA2815" s="7"/>
    </row>
    <row r="2816">
      <c r="A2816" s="7"/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  <c r="AY2816" s="7"/>
      <c r="AZ2816" s="7"/>
      <c r="BA2816" s="7"/>
    </row>
    <row r="2817">
      <c r="A2817" s="7"/>
      <c r="B2817" s="6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  <c r="AY2817" s="7"/>
      <c r="AZ2817" s="7"/>
      <c r="BA2817" s="7"/>
    </row>
    <row r="2818">
      <c r="A2818" s="7"/>
      <c r="B2818" s="6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  <c r="AY2818" s="7"/>
      <c r="AZ2818" s="7"/>
      <c r="BA2818" s="7"/>
    </row>
    <row r="2819">
      <c r="A2819" s="7"/>
      <c r="B2819" s="6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  <c r="AY2819" s="7"/>
      <c r="AZ2819" s="7"/>
      <c r="BA2819" s="7"/>
    </row>
    <row r="2820">
      <c r="A2820" s="7"/>
      <c r="B2820" s="6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  <c r="AY2820" s="7"/>
      <c r="AZ2820" s="7"/>
      <c r="BA2820" s="7"/>
    </row>
    <row r="2821">
      <c r="A2821" s="7"/>
      <c r="B2821" s="6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  <c r="AZ2821" s="7"/>
      <c r="BA2821" s="7"/>
    </row>
    <row r="2822">
      <c r="A2822" s="7"/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  <c r="AY2822" s="7"/>
      <c r="AZ2822" s="7"/>
      <c r="BA2822" s="7"/>
    </row>
    <row r="2823">
      <c r="A2823" s="7"/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  <c r="AY2823" s="7"/>
      <c r="AZ2823" s="7"/>
      <c r="BA2823" s="7"/>
    </row>
    <row r="2824">
      <c r="A2824" s="7"/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7"/>
      <c r="AZ2824" s="7"/>
      <c r="BA2824" s="7"/>
    </row>
    <row r="2825">
      <c r="A2825" s="7"/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  <c r="AY2825" s="7"/>
      <c r="AZ2825" s="7"/>
      <c r="BA2825" s="7"/>
    </row>
    <row r="2826">
      <c r="A2826" s="7"/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  <c r="AY2826" s="7"/>
      <c r="AZ2826" s="7"/>
      <c r="BA2826" s="7"/>
    </row>
    <row r="2827">
      <c r="A2827" s="7"/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  <c r="AY2827" s="7"/>
      <c r="AZ2827" s="7"/>
      <c r="BA2827" s="7"/>
    </row>
    <row r="2828">
      <c r="A2828" s="7"/>
      <c r="B2828" s="6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  <c r="AY2828" s="7"/>
      <c r="AZ2828" s="7"/>
      <c r="BA2828" s="7"/>
    </row>
    <row r="2829">
      <c r="A2829" s="7"/>
      <c r="B2829" s="6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  <c r="AY2829" s="7"/>
      <c r="AZ2829" s="7"/>
      <c r="BA2829" s="7"/>
    </row>
    <row r="2830">
      <c r="A2830" s="7"/>
      <c r="B2830" s="6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  <c r="AY2830" s="7"/>
      <c r="AZ2830" s="7"/>
      <c r="BA2830" s="7"/>
    </row>
    <row r="2831">
      <c r="A2831" s="7"/>
      <c r="B2831" s="6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  <c r="AY2831" s="7"/>
      <c r="AZ2831" s="7"/>
      <c r="BA2831" s="7"/>
    </row>
    <row r="2832">
      <c r="A2832" s="7"/>
      <c r="B2832" s="6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  <c r="AY2832" s="7"/>
      <c r="AZ2832" s="7"/>
      <c r="BA2832" s="7"/>
    </row>
    <row r="2833">
      <c r="A2833" s="7"/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  <c r="AY2833" s="7"/>
      <c r="AZ2833" s="7"/>
      <c r="BA2833" s="7"/>
    </row>
    <row r="2834">
      <c r="A2834" s="7"/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7"/>
      <c r="AZ2834" s="7"/>
      <c r="BA2834" s="7"/>
    </row>
    <row r="2835">
      <c r="A2835" s="7"/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  <c r="AY2835" s="7"/>
      <c r="AZ2835" s="7"/>
      <c r="BA2835" s="7"/>
    </row>
    <row r="2836">
      <c r="A2836" s="7"/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  <c r="AY2836" s="7"/>
      <c r="AZ2836" s="7"/>
      <c r="BA2836" s="7"/>
    </row>
    <row r="2837">
      <c r="A2837" s="7"/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  <c r="AY2837" s="7"/>
      <c r="AZ2837" s="7"/>
      <c r="BA2837" s="7"/>
    </row>
    <row r="2838">
      <c r="A2838" s="7"/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  <c r="AY2838" s="7"/>
      <c r="AZ2838" s="7"/>
      <c r="BA2838" s="7"/>
    </row>
    <row r="2839">
      <c r="A2839" s="7"/>
      <c r="B2839" s="6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  <c r="AY2839" s="7"/>
      <c r="AZ2839" s="7"/>
      <c r="BA2839" s="7"/>
    </row>
    <row r="2840">
      <c r="A2840" s="7"/>
      <c r="B2840" s="6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  <c r="AY2840" s="7"/>
      <c r="AZ2840" s="7"/>
      <c r="BA2840" s="7"/>
    </row>
    <row r="2841">
      <c r="A2841" s="7"/>
      <c r="B2841" s="6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  <c r="AY2841" s="7"/>
      <c r="AZ2841" s="7"/>
      <c r="BA2841" s="7"/>
    </row>
    <row r="2842">
      <c r="A2842" s="7"/>
      <c r="B2842" s="6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7"/>
      <c r="AZ2842" s="7"/>
      <c r="BA2842" s="7"/>
    </row>
    <row r="2843">
      <c r="A2843" s="7"/>
      <c r="B2843" s="6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  <c r="AY2843" s="7"/>
      <c r="AZ2843" s="7"/>
      <c r="BA2843" s="7"/>
    </row>
    <row r="2844">
      <c r="A2844" s="7"/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  <c r="AY2844" s="7"/>
      <c r="AZ2844" s="7"/>
      <c r="BA2844" s="7"/>
    </row>
    <row r="2845">
      <c r="A2845" s="7"/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  <c r="AY2845" s="7"/>
      <c r="AZ2845" s="7"/>
      <c r="BA2845" s="7"/>
    </row>
    <row r="2846">
      <c r="A2846" s="7"/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  <c r="AY2846" s="7"/>
      <c r="AZ2846" s="7"/>
      <c r="BA2846" s="7"/>
    </row>
    <row r="2847">
      <c r="A2847" s="7"/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  <c r="AY2847" s="7"/>
      <c r="AZ2847" s="7"/>
      <c r="BA2847" s="7"/>
    </row>
    <row r="2848">
      <c r="A2848" s="7"/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7"/>
      <c r="AZ2848" s="7"/>
      <c r="BA2848" s="7"/>
    </row>
    <row r="2849">
      <c r="A2849" s="7"/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  <c r="AY2849" s="7"/>
      <c r="AZ2849" s="7"/>
      <c r="BA2849" s="7"/>
    </row>
    <row r="2850">
      <c r="A2850" s="7"/>
      <c r="B2850" s="6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  <c r="AY2850" s="7"/>
      <c r="AZ2850" s="7"/>
      <c r="BA2850" s="7"/>
    </row>
    <row r="2851">
      <c r="A2851" s="7"/>
      <c r="B2851" s="6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  <c r="AY2851" s="7"/>
      <c r="AZ2851" s="7"/>
      <c r="BA2851" s="7"/>
    </row>
    <row r="2852">
      <c r="A2852" s="7"/>
      <c r="B2852" s="6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  <c r="AZ2852" s="7"/>
      <c r="BA2852" s="7"/>
    </row>
    <row r="2853">
      <c r="A2853" s="7"/>
      <c r="B2853" s="6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  <c r="AY2853" s="7"/>
      <c r="AZ2853" s="7"/>
      <c r="BA2853" s="7"/>
    </row>
    <row r="2854">
      <c r="A2854" s="7"/>
      <c r="B2854" s="6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7"/>
      <c r="AZ2854" s="7"/>
      <c r="BA2854" s="7"/>
    </row>
    <row r="2855">
      <c r="A2855" s="7"/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  <c r="AY2855" s="7"/>
      <c r="AZ2855" s="7"/>
      <c r="BA2855" s="7"/>
    </row>
    <row r="2856">
      <c r="A2856" s="7"/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  <c r="AY2856" s="7"/>
      <c r="AZ2856" s="7"/>
      <c r="BA2856" s="7"/>
    </row>
    <row r="2857">
      <c r="A2857" s="7"/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  <c r="AY2857" s="7"/>
      <c r="AZ2857" s="7"/>
      <c r="BA2857" s="7"/>
    </row>
    <row r="2858">
      <c r="A2858" s="7"/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7"/>
      <c r="AZ2858" s="7"/>
      <c r="BA2858" s="7"/>
    </row>
    <row r="2859">
      <c r="A2859" s="7"/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  <c r="AY2859" s="7"/>
      <c r="AZ2859" s="7"/>
      <c r="BA2859" s="7"/>
    </row>
    <row r="2860">
      <c r="A2860" s="7"/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  <c r="AY2860" s="7"/>
      <c r="AZ2860" s="7"/>
      <c r="BA2860" s="7"/>
    </row>
    <row r="2861">
      <c r="A2861" s="7"/>
      <c r="B2861" s="6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  <c r="AY2861" s="7"/>
      <c r="AZ2861" s="7"/>
      <c r="BA2861" s="7"/>
    </row>
    <row r="2862">
      <c r="A2862" s="7"/>
      <c r="B2862" s="6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  <c r="AY2862" s="7"/>
      <c r="AZ2862" s="7"/>
      <c r="BA2862" s="7"/>
    </row>
    <row r="2863">
      <c r="A2863" s="7"/>
      <c r="B2863" s="6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  <c r="AY2863" s="7"/>
      <c r="AZ2863" s="7"/>
      <c r="BA2863" s="7"/>
    </row>
    <row r="2864">
      <c r="A2864" s="7"/>
      <c r="B2864" s="6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  <c r="AY2864" s="7"/>
      <c r="AZ2864" s="7"/>
      <c r="BA2864" s="7"/>
    </row>
    <row r="2865">
      <c r="A2865" s="7"/>
      <c r="B2865" s="6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  <c r="AY2865" s="7"/>
      <c r="AZ2865" s="7"/>
      <c r="BA2865" s="7"/>
    </row>
    <row r="2866">
      <c r="A2866" s="7"/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7"/>
      <c r="AZ2866" s="7"/>
      <c r="BA2866" s="7"/>
    </row>
    <row r="2867">
      <c r="A2867" s="7"/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  <c r="AY2867" s="7"/>
      <c r="AZ2867" s="7"/>
      <c r="BA2867" s="7"/>
    </row>
    <row r="2868">
      <c r="A2868" s="7"/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  <c r="AY2868" s="7"/>
      <c r="AZ2868" s="7"/>
      <c r="BA2868" s="7"/>
    </row>
    <row r="2869">
      <c r="A2869" s="7"/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  <c r="AY2869" s="7"/>
      <c r="AZ2869" s="7"/>
      <c r="BA2869" s="7"/>
    </row>
    <row r="2870">
      <c r="A2870" s="7"/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  <c r="AY2870" s="7"/>
      <c r="AZ2870" s="7"/>
      <c r="BA2870" s="7"/>
    </row>
    <row r="2871">
      <c r="A2871" s="7"/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  <c r="AY2871" s="7"/>
      <c r="AZ2871" s="7"/>
      <c r="BA2871" s="7"/>
    </row>
    <row r="2872">
      <c r="A2872" s="7"/>
      <c r="B2872" s="6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  <c r="AY2872" s="7"/>
      <c r="AZ2872" s="7"/>
      <c r="BA2872" s="7"/>
    </row>
    <row r="2873">
      <c r="A2873" s="7"/>
      <c r="B2873" s="6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  <c r="AY2873" s="7"/>
      <c r="AZ2873" s="7"/>
      <c r="BA2873" s="7"/>
    </row>
    <row r="2874">
      <c r="A2874" s="7"/>
      <c r="B2874" s="6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  <c r="AY2874" s="7"/>
      <c r="AZ2874" s="7"/>
      <c r="BA2874" s="7"/>
    </row>
    <row r="2875">
      <c r="A2875" s="7"/>
      <c r="B2875" s="6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  <c r="AY2875" s="7"/>
      <c r="AZ2875" s="7"/>
      <c r="BA2875" s="7"/>
    </row>
    <row r="2876">
      <c r="A2876" s="7"/>
      <c r="B2876" s="6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  <c r="AY2876" s="7"/>
      <c r="AZ2876" s="7"/>
      <c r="BA2876" s="7"/>
    </row>
    <row r="2877">
      <c r="A2877" s="7"/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  <c r="AY2877" s="7"/>
      <c r="AZ2877" s="7"/>
      <c r="BA2877" s="7"/>
    </row>
    <row r="2878">
      <c r="A2878" s="7"/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  <c r="AY2878" s="7"/>
      <c r="AZ2878" s="7"/>
      <c r="BA2878" s="7"/>
    </row>
    <row r="2879">
      <c r="A2879" s="7"/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  <c r="AY2879" s="7"/>
      <c r="AZ2879" s="7"/>
      <c r="BA2879" s="7"/>
    </row>
    <row r="2880">
      <c r="A2880" s="7"/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  <c r="AY2880" s="7"/>
      <c r="AZ2880" s="7"/>
      <c r="BA2880" s="7"/>
    </row>
    <row r="2881">
      <c r="A2881" s="7"/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  <c r="AY2881" s="7"/>
      <c r="AZ2881" s="7"/>
      <c r="BA2881" s="7"/>
    </row>
    <row r="2882">
      <c r="A2882" s="7"/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  <c r="AY2882" s="7"/>
      <c r="AZ2882" s="7"/>
      <c r="BA2882" s="7"/>
    </row>
    <row r="2883">
      <c r="A2883" s="7"/>
      <c r="B2883" s="6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  <c r="AY2883" s="7"/>
      <c r="AZ2883" s="7"/>
      <c r="BA2883" s="7"/>
    </row>
    <row r="2884">
      <c r="A2884" s="7"/>
      <c r="B2884" s="6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  <c r="AY2884" s="7"/>
      <c r="AZ2884" s="7"/>
      <c r="BA2884" s="7"/>
    </row>
    <row r="2885">
      <c r="A2885" s="7"/>
      <c r="B2885" s="6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  <c r="AY2885" s="7"/>
      <c r="AZ2885" s="7"/>
      <c r="BA2885" s="7"/>
    </row>
    <row r="2886">
      <c r="A2886" s="7"/>
      <c r="B2886" s="6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  <c r="AY2886" s="7"/>
      <c r="AZ2886" s="7"/>
      <c r="BA2886" s="7"/>
    </row>
    <row r="2887">
      <c r="A2887" s="7"/>
      <c r="B2887" s="6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  <c r="AY2887" s="7"/>
      <c r="AZ2887" s="7"/>
      <c r="BA2887" s="7"/>
    </row>
    <row r="2888">
      <c r="A2888" s="7"/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  <c r="AY2888" s="7"/>
      <c r="AZ2888" s="7"/>
      <c r="BA2888" s="7"/>
    </row>
    <row r="2889">
      <c r="A2889" s="7"/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  <c r="AY2889" s="7"/>
      <c r="AZ2889" s="7"/>
      <c r="BA2889" s="7"/>
    </row>
    <row r="2890">
      <c r="A2890" s="7"/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  <c r="AY2890" s="7"/>
      <c r="AZ2890" s="7"/>
      <c r="BA2890" s="7"/>
    </row>
    <row r="2891">
      <c r="A2891" s="7"/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  <c r="AY2891" s="7"/>
      <c r="AZ2891" s="7"/>
      <c r="BA2891" s="7"/>
    </row>
    <row r="2892">
      <c r="A2892" s="7"/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  <c r="AY2892" s="7"/>
      <c r="AZ2892" s="7"/>
      <c r="BA2892" s="7"/>
    </row>
    <row r="2893">
      <c r="A2893" s="7"/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  <c r="AY2893" s="7"/>
      <c r="AZ2893" s="7"/>
      <c r="BA2893" s="7"/>
    </row>
    <row r="2894">
      <c r="A2894" s="7"/>
      <c r="B2894" s="6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  <c r="AY2894" s="7"/>
      <c r="AZ2894" s="7"/>
      <c r="BA2894" s="7"/>
    </row>
    <row r="2895">
      <c r="A2895" s="7"/>
      <c r="B2895" s="6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  <c r="AY2895" s="7"/>
      <c r="AZ2895" s="7"/>
      <c r="BA2895" s="7"/>
    </row>
    <row r="2896">
      <c r="A2896" s="7"/>
      <c r="B2896" s="6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  <c r="AY2896" s="7"/>
      <c r="AZ2896" s="7"/>
      <c r="BA2896" s="7"/>
    </row>
    <row r="2897">
      <c r="A2897" s="7"/>
      <c r="B2897" s="6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  <c r="AY2897" s="7"/>
      <c r="AZ2897" s="7"/>
      <c r="BA2897" s="7"/>
    </row>
    <row r="2898">
      <c r="A2898" s="7"/>
      <c r="B2898" s="6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  <c r="AY2898" s="7"/>
      <c r="AZ2898" s="7"/>
      <c r="BA2898" s="7"/>
    </row>
    <row r="2899">
      <c r="A2899" s="7"/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  <c r="AY2899" s="7"/>
      <c r="AZ2899" s="7"/>
      <c r="BA2899" s="7"/>
    </row>
    <row r="2900">
      <c r="A2900" s="7"/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  <c r="AY2900" s="7"/>
      <c r="AZ2900" s="7"/>
      <c r="BA2900" s="7"/>
    </row>
    <row r="2901">
      <c r="A2901" s="7"/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  <c r="AY2901" s="7"/>
      <c r="AZ2901" s="7"/>
      <c r="BA2901" s="7"/>
    </row>
    <row r="2902">
      <c r="A2902" s="7"/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  <c r="AY2902" s="7"/>
      <c r="AZ2902" s="7"/>
      <c r="BA2902" s="7"/>
    </row>
    <row r="2903">
      <c r="A2903" s="7"/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  <c r="AY2903" s="7"/>
      <c r="AZ2903" s="7"/>
      <c r="BA2903" s="7"/>
    </row>
    <row r="2904">
      <c r="A2904" s="7"/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  <c r="AY2904" s="7"/>
      <c r="AZ2904" s="7"/>
      <c r="BA2904" s="7"/>
    </row>
    <row r="2905">
      <c r="A2905" s="7"/>
      <c r="B2905" s="6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  <c r="AY2905" s="7"/>
      <c r="AZ2905" s="7"/>
      <c r="BA2905" s="7"/>
    </row>
    <row r="2906">
      <c r="A2906" s="7"/>
      <c r="B2906" s="6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  <c r="AY2906" s="7"/>
      <c r="AZ2906" s="7"/>
      <c r="BA2906" s="7"/>
    </row>
    <row r="2907">
      <c r="A2907" s="7"/>
      <c r="B2907" s="6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  <c r="AY2907" s="7"/>
      <c r="AZ2907" s="7"/>
      <c r="BA2907" s="7"/>
    </row>
    <row r="2908">
      <c r="A2908" s="7"/>
      <c r="B2908" s="6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  <c r="AY2908" s="7"/>
      <c r="AZ2908" s="7"/>
      <c r="BA2908" s="7"/>
    </row>
    <row r="2909">
      <c r="A2909" s="7"/>
      <c r="B2909" s="6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  <c r="AY2909" s="7"/>
      <c r="AZ2909" s="7"/>
      <c r="BA2909" s="7"/>
    </row>
    <row r="2910">
      <c r="A2910" s="7"/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  <c r="AY2910" s="7"/>
      <c r="AZ2910" s="7"/>
      <c r="BA2910" s="7"/>
    </row>
    <row r="2911">
      <c r="A2911" s="7"/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  <c r="AY2911" s="7"/>
      <c r="AZ2911" s="7"/>
      <c r="BA2911" s="7"/>
    </row>
    <row r="2912">
      <c r="A2912" s="7"/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  <c r="AY2912" s="7"/>
      <c r="AZ2912" s="7"/>
      <c r="BA2912" s="7"/>
    </row>
    <row r="2913">
      <c r="A2913" s="7"/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  <c r="AY2913" s="7"/>
      <c r="AZ2913" s="7"/>
      <c r="BA2913" s="7"/>
    </row>
    <row r="2914">
      <c r="A2914" s="7"/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  <c r="AY2914" s="7"/>
      <c r="AZ2914" s="7"/>
      <c r="BA2914" s="7"/>
    </row>
    <row r="2915">
      <c r="A2915" s="7"/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  <c r="AY2915" s="7"/>
      <c r="AZ2915" s="7"/>
      <c r="BA2915" s="7"/>
    </row>
    <row r="2916">
      <c r="A2916" s="7"/>
      <c r="B2916" s="6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  <c r="AY2916" s="7"/>
      <c r="AZ2916" s="7"/>
      <c r="BA2916" s="7"/>
    </row>
    <row r="2917">
      <c r="A2917" s="7"/>
      <c r="B2917" s="6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  <c r="AY2917" s="7"/>
      <c r="AZ2917" s="7"/>
      <c r="BA2917" s="7"/>
    </row>
    <row r="2918">
      <c r="A2918" s="7"/>
      <c r="B2918" s="6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  <c r="AY2918" s="7"/>
      <c r="AZ2918" s="7"/>
      <c r="BA2918" s="7"/>
    </row>
    <row r="2919">
      <c r="A2919" s="7"/>
      <c r="B2919" s="6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  <c r="AY2919" s="7"/>
      <c r="AZ2919" s="7"/>
      <c r="BA2919" s="7"/>
    </row>
    <row r="2920">
      <c r="A2920" s="7"/>
      <c r="B2920" s="6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  <c r="AY2920" s="7"/>
      <c r="AZ2920" s="7"/>
      <c r="BA2920" s="7"/>
    </row>
    <row r="2921">
      <c r="A2921" s="7"/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  <c r="AY2921" s="7"/>
      <c r="AZ2921" s="7"/>
      <c r="BA2921" s="7"/>
    </row>
    <row r="2922">
      <c r="A2922" s="7"/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  <c r="AY2922" s="7"/>
      <c r="AZ2922" s="7"/>
      <c r="BA2922" s="7"/>
    </row>
    <row r="2923">
      <c r="A2923" s="7"/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  <c r="AY2923" s="7"/>
      <c r="AZ2923" s="7"/>
      <c r="BA2923" s="7"/>
    </row>
    <row r="2924">
      <c r="A2924" s="7"/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  <c r="AY2924" s="7"/>
      <c r="AZ2924" s="7"/>
      <c r="BA2924" s="7"/>
    </row>
    <row r="2925">
      <c r="A2925" s="7"/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  <c r="AY2925" s="7"/>
      <c r="AZ2925" s="7"/>
      <c r="BA2925" s="7"/>
    </row>
    <row r="2926">
      <c r="A2926" s="7"/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  <c r="AY2926" s="7"/>
      <c r="AZ2926" s="7"/>
      <c r="BA2926" s="7"/>
    </row>
    <row r="2927">
      <c r="A2927" s="7"/>
      <c r="B2927" s="6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  <c r="AY2927" s="7"/>
      <c r="AZ2927" s="7"/>
      <c r="BA2927" s="7"/>
    </row>
    <row r="2928">
      <c r="A2928" s="7"/>
      <c r="B2928" s="6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  <c r="AY2928" s="7"/>
      <c r="AZ2928" s="7"/>
      <c r="BA2928" s="7"/>
    </row>
    <row r="2929">
      <c r="A2929" s="7"/>
      <c r="B2929" s="6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  <c r="AY2929" s="7"/>
      <c r="AZ2929" s="7"/>
      <c r="BA2929" s="7"/>
    </row>
    <row r="2930">
      <c r="A2930" s="7"/>
      <c r="B2930" s="6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  <c r="AY2930" s="7"/>
      <c r="AZ2930" s="7"/>
      <c r="BA2930" s="7"/>
    </row>
    <row r="2931">
      <c r="A2931" s="7"/>
      <c r="B2931" s="6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  <c r="AY2931" s="7"/>
      <c r="AZ2931" s="7"/>
      <c r="BA2931" s="7"/>
    </row>
    <row r="2932">
      <c r="A2932" s="7"/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  <c r="AY2932" s="7"/>
      <c r="AZ2932" s="7"/>
      <c r="BA2932" s="7"/>
    </row>
    <row r="2933">
      <c r="A2933" s="7"/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  <c r="AY2933" s="7"/>
      <c r="AZ2933" s="7"/>
      <c r="BA2933" s="7"/>
    </row>
    <row r="2934">
      <c r="A2934" s="7"/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  <c r="AY2934" s="7"/>
      <c r="AZ2934" s="7"/>
      <c r="BA2934" s="7"/>
    </row>
    <row r="2935">
      <c r="A2935" s="7"/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  <c r="AY2935" s="7"/>
      <c r="AZ2935" s="7"/>
      <c r="BA2935" s="7"/>
    </row>
    <row r="2936">
      <c r="A2936" s="7"/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  <c r="AY2936" s="7"/>
      <c r="AZ2936" s="7"/>
      <c r="BA2936" s="7"/>
    </row>
    <row r="2937">
      <c r="A2937" s="7"/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  <c r="AY2937" s="7"/>
      <c r="AZ2937" s="7"/>
      <c r="BA2937" s="7"/>
    </row>
    <row r="2938">
      <c r="A2938" s="7"/>
      <c r="B2938" s="6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  <c r="AY2938" s="7"/>
      <c r="AZ2938" s="7"/>
      <c r="BA2938" s="7"/>
    </row>
    <row r="2939">
      <c r="A2939" s="7"/>
      <c r="B2939" s="6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  <c r="AY2939" s="7"/>
      <c r="AZ2939" s="7"/>
      <c r="BA2939" s="7"/>
    </row>
    <row r="2940">
      <c r="A2940" s="7"/>
      <c r="B2940" s="6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  <c r="AY2940" s="7"/>
      <c r="AZ2940" s="7"/>
      <c r="BA2940" s="7"/>
    </row>
    <row r="2941">
      <c r="A2941" s="7"/>
      <c r="B2941" s="6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  <c r="AY2941" s="7"/>
      <c r="AZ2941" s="7"/>
      <c r="BA2941" s="7"/>
    </row>
    <row r="2942">
      <c r="A2942" s="7"/>
      <c r="B2942" s="6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  <c r="AY2942" s="7"/>
      <c r="AZ2942" s="7"/>
      <c r="BA2942" s="7"/>
    </row>
    <row r="2943">
      <c r="A2943" s="7"/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  <c r="AY2943" s="7"/>
      <c r="AZ2943" s="7"/>
      <c r="BA2943" s="7"/>
    </row>
    <row r="2944">
      <c r="A2944" s="7"/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  <c r="AY2944" s="7"/>
      <c r="AZ2944" s="7"/>
      <c r="BA2944" s="7"/>
    </row>
    <row r="2945">
      <c r="A2945" s="7"/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  <c r="AY2945" s="7"/>
      <c r="AZ2945" s="7"/>
      <c r="BA2945" s="7"/>
    </row>
    <row r="2946">
      <c r="A2946" s="7"/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  <c r="AY2946" s="7"/>
      <c r="AZ2946" s="7"/>
      <c r="BA2946" s="7"/>
    </row>
    <row r="2947">
      <c r="A2947" s="7"/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  <c r="AY2947" s="7"/>
      <c r="AZ2947" s="7"/>
      <c r="BA2947" s="7"/>
    </row>
    <row r="2948">
      <c r="A2948" s="7"/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  <c r="AY2948" s="7"/>
      <c r="AZ2948" s="7"/>
      <c r="BA2948" s="7"/>
    </row>
    <row r="2949">
      <c r="A2949" s="7"/>
      <c r="B2949" s="6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  <c r="AY2949" s="7"/>
      <c r="AZ2949" s="7"/>
      <c r="BA2949" s="7"/>
    </row>
    <row r="2950">
      <c r="A2950" s="7"/>
      <c r="B2950" s="6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  <c r="AY2950" s="7"/>
      <c r="AZ2950" s="7"/>
      <c r="BA2950" s="7"/>
    </row>
    <row r="2951">
      <c r="A2951" s="7"/>
      <c r="B2951" s="6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  <c r="AY2951" s="7"/>
      <c r="AZ2951" s="7"/>
      <c r="BA2951" s="7"/>
    </row>
    <row r="2952">
      <c r="A2952" s="7"/>
      <c r="B2952" s="6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  <c r="AY2952" s="7"/>
      <c r="AZ2952" s="7"/>
      <c r="BA2952" s="7"/>
    </row>
    <row r="2953">
      <c r="A2953" s="7"/>
      <c r="B2953" s="6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  <c r="AY2953" s="7"/>
      <c r="AZ2953" s="7"/>
      <c r="BA2953" s="7"/>
    </row>
    <row r="2954">
      <c r="A2954" s="7"/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  <c r="AY2954" s="7"/>
      <c r="AZ2954" s="7"/>
      <c r="BA2954" s="7"/>
    </row>
    <row r="2955">
      <c r="A2955" s="7"/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  <c r="AY2955" s="7"/>
      <c r="AZ2955" s="7"/>
      <c r="BA2955" s="7"/>
    </row>
    <row r="2956">
      <c r="A2956" s="7"/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  <c r="AY2956" s="7"/>
      <c r="AZ2956" s="7"/>
      <c r="BA2956" s="7"/>
    </row>
    <row r="2957">
      <c r="A2957" s="7"/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  <c r="AY2957" s="7"/>
      <c r="AZ2957" s="7"/>
      <c r="BA2957" s="7"/>
    </row>
    <row r="2958">
      <c r="A2958" s="7"/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  <c r="AY2958" s="7"/>
      <c r="AZ2958" s="7"/>
      <c r="BA2958" s="7"/>
    </row>
    <row r="2959">
      <c r="A2959" s="7"/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  <c r="AY2959" s="7"/>
      <c r="AZ2959" s="7"/>
      <c r="BA2959" s="7"/>
    </row>
    <row r="2960">
      <c r="A2960" s="7"/>
      <c r="B2960" s="6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  <c r="AY2960" s="7"/>
      <c r="AZ2960" s="7"/>
      <c r="BA2960" s="7"/>
    </row>
    <row r="2961">
      <c r="A2961" s="7"/>
      <c r="B2961" s="6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  <c r="AY2961" s="7"/>
      <c r="AZ2961" s="7"/>
      <c r="BA2961" s="7"/>
    </row>
    <row r="2962">
      <c r="A2962" s="7"/>
      <c r="B2962" s="6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  <c r="AY2962" s="7"/>
      <c r="AZ2962" s="7"/>
      <c r="BA2962" s="7"/>
    </row>
    <row r="2963">
      <c r="A2963" s="7"/>
      <c r="B2963" s="6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  <c r="AY2963" s="7"/>
      <c r="AZ2963" s="7"/>
      <c r="BA2963" s="7"/>
    </row>
    <row r="2964">
      <c r="A2964" s="7"/>
      <c r="B2964" s="6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  <c r="AY2964" s="7"/>
      <c r="AZ2964" s="7"/>
      <c r="BA2964" s="7"/>
    </row>
    <row r="2965">
      <c r="A2965" s="7"/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  <c r="AY2965" s="7"/>
      <c r="AZ2965" s="7"/>
      <c r="BA2965" s="7"/>
    </row>
    <row r="2966">
      <c r="A2966" s="7"/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  <c r="AY2966" s="7"/>
      <c r="AZ2966" s="7"/>
      <c r="BA2966" s="7"/>
    </row>
    <row r="2967">
      <c r="A2967" s="7"/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  <c r="AY2967" s="7"/>
      <c r="AZ2967" s="7"/>
      <c r="BA2967" s="7"/>
    </row>
    <row r="2968">
      <c r="A2968" s="7"/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  <c r="AY2968" s="7"/>
      <c r="AZ2968" s="7"/>
      <c r="BA2968" s="7"/>
    </row>
    <row r="2969">
      <c r="A2969" s="7"/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  <c r="AY2969" s="7"/>
      <c r="AZ2969" s="7"/>
      <c r="BA2969" s="7"/>
    </row>
    <row r="2970">
      <c r="A2970" s="7"/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  <c r="AY2970" s="7"/>
      <c r="AZ2970" s="7"/>
      <c r="BA2970" s="7"/>
    </row>
    <row r="2971">
      <c r="A2971" s="7"/>
      <c r="B2971" s="6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  <c r="AY2971" s="7"/>
      <c r="AZ2971" s="7"/>
      <c r="BA2971" s="7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IFERROR(__xludf.DUMMYFUNCTION("IFERROR(GOOGLEFINANCE(""NSE:RELIANCE"",""all"",EDATE(TODAY(),-12),TODAY(),""DAILY""))"),"Date")</f>
        <v>Date</v>
      </c>
      <c r="B1" s="11" t="str">
        <f>IFERROR(__xludf.DUMMYFUNCTION("""COMPUTED_VALUE"""),"Open")</f>
        <v>Open</v>
      </c>
      <c r="C1" s="11" t="str">
        <f>IFERROR(__xludf.DUMMYFUNCTION("""COMPUTED_VALUE"""),"High")</f>
        <v>High</v>
      </c>
      <c r="D1" s="11" t="str">
        <f>IFERROR(__xludf.DUMMYFUNCTION("""COMPUTED_VALUE"""),"Low")</f>
        <v>Low</v>
      </c>
      <c r="E1" s="11" t="str">
        <f>IFERROR(__xludf.DUMMYFUNCTION("""COMPUTED_VALUE"""),"Close")</f>
        <v>Close</v>
      </c>
      <c r="F1" s="11" t="str">
        <f>IFERROR(__xludf.DUMMYFUNCTION("""COMPUTED_VALUE"""),"Volume")</f>
        <v>Volume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>
        <f>IFERROR(__xludf.DUMMYFUNCTION("""COMPUTED_VALUE"""),45551.64583333333)</f>
        <v>45551.64583</v>
      </c>
      <c r="B2" s="7">
        <f>IFERROR(__xludf.DUMMYFUNCTION("""COMPUTED_VALUE"""),1477.55)</f>
        <v>1477.55</v>
      </c>
      <c r="C2" s="7">
        <f>IFERROR(__xludf.DUMMYFUNCTION("""COMPUTED_VALUE"""),1480.9)</f>
        <v>1480.9</v>
      </c>
      <c r="D2" s="7">
        <f>IFERROR(__xludf.DUMMYFUNCTION("""COMPUTED_VALUE"""),1464.75)</f>
        <v>1464.75</v>
      </c>
      <c r="E2" s="7">
        <f>IFERROR(__xludf.DUMMYFUNCTION("""COMPUTED_VALUE"""),1471.35)</f>
        <v>1471.35</v>
      </c>
      <c r="F2" s="7">
        <f>IFERROR(__xludf.DUMMYFUNCTION("""COMPUTED_VALUE"""),2740887.0)</f>
        <v>2740887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f>IFERROR(__xludf.DUMMYFUNCTION("""COMPUTED_VALUE"""),45552.64583333333)</f>
        <v>45552.64583</v>
      </c>
      <c r="B3" s="7">
        <f>IFERROR(__xludf.DUMMYFUNCTION("""COMPUTED_VALUE"""),1474.0)</f>
        <v>1474</v>
      </c>
      <c r="C3" s="7">
        <f>IFERROR(__xludf.DUMMYFUNCTION("""COMPUTED_VALUE"""),1477.48)</f>
        <v>1477.48</v>
      </c>
      <c r="D3" s="7">
        <f>IFERROR(__xludf.DUMMYFUNCTION("""COMPUTED_VALUE"""),1466.63)</f>
        <v>1466.63</v>
      </c>
      <c r="E3" s="7">
        <f>IFERROR(__xludf.DUMMYFUNCTION("""COMPUTED_VALUE"""),1472.3)</f>
        <v>1472.3</v>
      </c>
      <c r="F3" s="7">
        <f>IFERROR(__xludf.DUMMYFUNCTION("""COMPUTED_VALUE"""),2967664.0)</f>
        <v>2967664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f>IFERROR(__xludf.DUMMYFUNCTION("""COMPUTED_VALUE"""),45553.64583333333)</f>
        <v>45553.64583</v>
      </c>
      <c r="B4" s="7">
        <f>IFERROR(__xludf.DUMMYFUNCTION("""COMPUTED_VALUE"""),1470.0)</f>
        <v>1470</v>
      </c>
      <c r="C4" s="7">
        <f>IFERROR(__xludf.DUMMYFUNCTION("""COMPUTED_VALUE"""),1482.0)</f>
        <v>1482</v>
      </c>
      <c r="D4" s="7">
        <f>IFERROR(__xludf.DUMMYFUNCTION("""COMPUTED_VALUE"""),1460.55)</f>
        <v>1460.55</v>
      </c>
      <c r="E4" s="7">
        <f>IFERROR(__xludf.DUMMYFUNCTION("""COMPUTED_VALUE"""),1463.45)</f>
        <v>1463.45</v>
      </c>
      <c r="F4" s="7">
        <f>IFERROR(__xludf.DUMMYFUNCTION("""COMPUTED_VALUE"""),4287357.0)</f>
        <v>4287357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f>IFERROR(__xludf.DUMMYFUNCTION("""COMPUTED_VALUE"""),45554.64583333333)</f>
        <v>45554.64583</v>
      </c>
      <c r="B5" s="7">
        <f>IFERROR(__xludf.DUMMYFUNCTION("""COMPUTED_VALUE"""),1466.25)</f>
        <v>1466.25</v>
      </c>
      <c r="C5" s="7">
        <f>IFERROR(__xludf.DUMMYFUNCTION("""COMPUTED_VALUE"""),1476.5)</f>
        <v>1476.5</v>
      </c>
      <c r="D5" s="7">
        <f>IFERROR(__xludf.DUMMYFUNCTION("""COMPUTED_VALUE"""),1455.55)</f>
        <v>1455.55</v>
      </c>
      <c r="E5" s="7">
        <f>IFERROR(__xludf.DUMMYFUNCTION("""COMPUTED_VALUE"""),1469.68)</f>
        <v>1469.68</v>
      </c>
      <c r="F5" s="7">
        <f>IFERROR(__xludf.DUMMYFUNCTION("""COMPUTED_VALUE"""),8477951.0)</f>
        <v>8477951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f>IFERROR(__xludf.DUMMYFUNCTION("""COMPUTED_VALUE"""),45555.64583333333)</f>
        <v>45555.64583</v>
      </c>
      <c r="B6" s="7">
        <f>IFERROR(__xludf.DUMMYFUNCTION("""COMPUTED_VALUE"""),1474.0)</f>
        <v>1474</v>
      </c>
      <c r="C6" s="7">
        <f>IFERROR(__xludf.DUMMYFUNCTION("""COMPUTED_VALUE"""),1495.0)</f>
        <v>1495</v>
      </c>
      <c r="D6" s="7">
        <f>IFERROR(__xludf.DUMMYFUNCTION("""COMPUTED_VALUE"""),1471.38)</f>
        <v>1471.38</v>
      </c>
      <c r="E6" s="7">
        <f>IFERROR(__xludf.DUMMYFUNCTION("""COMPUTED_VALUE"""),1485.93)</f>
        <v>1485.93</v>
      </c>
      <c r="F6" s="7">
        <f>IFERROR(__xludf.DUMMYFUNCTION("""COMPUTED_VALUE"""),1.544866E7)</f>
        <v>15448660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f>IFERROR(__xludf.DUMMYFUNCTION("""COMPUTED_VALUE"""),45558.64583333333)</f>
        <v>45558.64583</v>
      </c>
      <c r="B7" s="7">
        <f>IFERROR(__xludf.DUMMYFUNCTION("""COMPUTED_VALUE"""),1491.0)</f>
        <v>1491</v>
      </c>
      <c r="C7" s="7">
        <f>IFERROR(__xludf.DUMMYFUNCTION("""COMPUTED_VALUE"""),1501.5)</f>
        <v>1501.5</v>
      </c>
      <c r="D7" s="7">
        <f>IFERROR(__xludf.DUMMYFUNCTION("""COMPUTED_VALUE"""),1488.95)</f>
        <v>1488.95</v>
      </c>
      <c r="E7" s="7">
        <f>IFERROR(__xludf.DUMMYFUNCTION("""COMPUTED_VALUE"""),1493.38)</f>
        <v>1493.38</v>
      </c>
      <c r="F7" s="7">
        <f>IFERROR(__xludf.DUMMYFUNCTION("""COMPUTED_VALUE"""),4416157.0)</f>
        <v>4416157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f>IFERROR(__xludf.DUMMYFUNCTION("""COMPUTED_VALUE"""),45559.64583333333)</f>
        <v>45559.64583</v>
      </c>
      <c r="B8" s="7">
        <f>IFERROR(__xludf.DUMMYFUNCTION("""COMPUTED_VALUE"""),1488.5)</f>
        <v>1488.5</v>
      </c>
      <c r="C8" s="7">
        <f>IFERROR(__xludf.DUMMYFUNCTION("""COMPUTED_VALUE"""),1500.5)</f>
        <v>1500.5</v>
      </c>
      <c r="D8" s="7">
        <f>IFERROR(__xludf.DUMMYFUNCTION("""COMPUTED_VALUE"""),1487.88)</f>
        <v>1487.88</v>
      </c>
      <c r="E8" s="7">
        <f>IFERROR(__xludf.DUMMYFUNCTION("""COMPUTED_VALUE"""),1489.38)</f>
        <v>1489.38</v>
      </c>
      <c r="F8" s="7">
        <f>IFERROR(__xludf.DUMMYFUNCTION("""COMPUTED_VALUE"""),8568722.0)</f>
        <v>8568722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f>IFERROR(__xludf.DUMMYFUNCTION("""COMPUTED_VALUE"""),45560.64583333333)</f>
        <v>45560.64583</v>
      </c>
      <c r="B9" s="7">
        <f>IFERROR(__xludf.DUMMYFUNCTION("""COMPUTED_VALUE"""),1483.9)</f>
        <v>1483.9</v>
      </c>
      <c r="C9" s="7">
        <f>IFERROR(__xludf.DUMMYFUNCTION("""COMPUTED_VALUE"""),1496.5)</f>
        <v>1496.5</v>
      </c>
      <c r="D9" s="7">
        <f>IFERROR(__xludf.DUMMYFUNCTION("""COMPUTED_VALUE"""),1480.2)</f>
        <v>1480.2</v>
      </c>
      <c r="E9" s="7">
        <f>IFERROR(__xludf.DUMMYFUNCTION("""COMPUTED_VALUE"""),1493.95)</f>
        <v>1493.95</v>
      </c>
      <c r="F9" s="7">
        <f>IFERROR(__xludf.DUMMYFUNCTION("""COMPUTED_VALUE"""),3534501.0)</f>
        <v>3534501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f>IFERROR(__xludf.DUMMYFUNCTION("""COMPUTED_VALUE"""),45561.64583333333)</f>
        <v>45561.64583</v>
      </c>
      <c r="B10" s="7">
        <f>IFERROR(__xludf.DUMMYFUNCTION("""COMPUTED_VALUE"""),1490.65)</f>
        <v>1490.65</v>
      </c>
      <c r="C10" s="7">
        <f>IFERROR(__xludf.DUMMYFUNCTION("""COMPUTED_VALUE"""),1504.0)</f>
        <v>1504</v>
      </c>
      <c r="D10" s="7">
        <f>IFERROR(__xludf.DUMMYFUNCTION("""COMPUTED_VALUE"""),1488.05)</f>
        <v>1488.05</v>
      </c>
      <c r="E10" s="7">
        <f>IFERROR(__xludf.DUMMYFUNCTION("""COMPUTED_VALUE"""),1497.95)</f>
        <v>1497.95</v>
      </c>
      <c r="F10" s="7">
        <f>IFERROR(__xludf.DUMMYFUNCTION("""COMPUTED_VALUE"""),9409499.0)</f>
        <v>9409499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f>IFERROR(__xludf.DUMMYFUNCTION("""COMPUTED_VALUE"""),45562.64583333333)</f>
        <v>45562.64583</v>
      </c>
      <c r="B11" s="7">
        <f>IFERROR(__xludf.DUMMYFUNCTION("""COMPUTED_VALUE"""),1499.0)</f>
        <v>1499</v>
      </c>
      <c r="C11" s="7">
        <f>IFERROR(__xludf.DUMMYFUNCTION("""COMPUTED_VALUE"""),1533.48)</f>
        <v>1533.48</v>
      </c>
      <c r="D11" s="7">
        <f>IFERROR(__xludf.DUMMYFUNCTION("""COMPUTED_VALUE"""),1492.0)</f>
        <v>1492</v>
      </c>
      <c r="E11" s="7">
        <f>IFERROR(__xludf.DUMMYFUNCTION("""COMPUTED_VALUE"""),1526.18)</f>
        <v>1526.18</v>
      </c>
      <c r="F11" s="7">
        <f>IFERROR(__xludf.DUMMYFUNCTION("""COMPUTED_VALUE"""),1.0298739E7)</f>
        <v>10298739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f>IFERROR(__xludf.DUMMYFUNCTION("""COMPUTED_VALUE"""),45565.64583333333)</f>
        <v>45565.64583</v>
      </c>
      <c r="B12" s="7">
        <f>IFERROR(__xludf.DUMMYFUNCTION("""COMPUTED_VALUE"""),1519.4)</f>
        <v>1519.4</v>
      </c>
      <c r="C12" s="7">
        <f>IFERROR(__xludf.DUMMYFUNCTION("""COMPUTED_VALUE"""),1524.98)</f>
        <v>1524.98</v>
      </c>
      <c r="D12" s="7">
        <f>IFERROR(__xludf.DUMMYFUNCTION("""COMPUTED_VALUE"""),1474.4)</f>
        <v>1474.4</v>
      </c>
      <c r="E12" s="7">
        <f>IFERROR(__xludf.DUMMYFUNCTION("""COMPUTED_VALUE"""),1476.58)</f>
        <v>1476.58</v>
      </c>
      <c r="F12" s="7">
        <f>IFERROR(__xludf.DUMMYFUNCTION("""COMPUTED_VALUE"""),1.3504407E7)</f>
        <v>13504407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f>IFERROR(__xludf.DUMMYFUNCTION("""COMPUTED_VALUE"""),45566.64583333333)</f>
        <v>45566.64583</v>
      </c>
      <c r="B13" s="7">
        <f>IFERROR(__xludf.DUMMYFUNCTION("""COMPUTED_VALUE"""),1480.65)</f>
        <v>1480.65</v>
      </c>
      <c r="C13" s="7">
        <f>IFERROR(__xludf.DUMMYFUNCTION("""COMPUTED_VALUE"""),1487.95)</f>
        <v>1487.95</v>
      </c>
      <c r="D13" s="7">
        <f>IFERROR(__xludf.DUMMYFUNCTION("""COMPUTED_VALUE"""),1462.83)</f>
        <v>1462.83</v>
      </c>
      <c r="E13" s="7">
        <f>IFERROR(__xludf.DUMMYFUNCTION("""COMPUTED_VALUE"""),1464.83)</f>
        <v>1464.83</v>
      </c>
      <c r="F13" s="7">
        <f>IFERROR(__xludf.DUMMYFUNCTION("""COMPUTED_VALUE"""),8215821.0)</f>
        <v>8215821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f>IFERROR(__xludf.DUMMYFUNCTION("""COMPUTED_VALUE"""),45568.64583333333)</f>
        <v>45568.64583</v>
      </c>
      <c r="B14" s="7">
        <f>IFERROR(__xludf.DUMMYFUNCTION("""COMPUTED_VALUE"""),1436.58)</f>
        <v>1436.58</v>
      </c>
      <c r="C14" s="7">
        <f>IFERROR(__xludf.DUMMYFUNCTION("""COMPUTED_VALUE"""),1449.4)</f>
        <v>1449.4</v>
      </c>
      <c r="D14" s="7">
        <f>IFERROR(__xludf.DUMMYFUNCTION("""COMPUTED_VALUE"""),1402.08)</f>
        <v>1402.08</v>
      </c>
      <c r="E14" s="7">
        <f>IFERROR(__xludf.DUMMYFUNCTION("""COMPUTED_VALUE"""),1406.98)</f>
        <v>1406.98</v>
      </c>
      <c r="F14" s="7">
        <f>IFERROR(__xludf.DUMMYFUNCTION("""COMPUTED_VALUE"""),1.8878647E7)</f>
        <v>18878647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f>IFERROR(__xludf.DUMMYFUNCTION("""COMPUTED_VALUE"""),45569.64583333333)</f>
        <v>45569.64583</v>
      </c>
      <c r="B15" s="7">
        <f>IFERROR(__xludf.DUMMYFUNCTION("""COMPUTED_VALUE"""),1403.93)</f>
        <v>1403.93</v>
      </c>
      <c r="C15" s="7">
        <f>IFERROR(__xludf.DUMMYFUNCTION("""COMPUTED_VALUE"""),1417.35)</f>
        <v>1417.35</v>
      </c>
      <c r="D15" s="7">
        <f>IFERROR(__xludf.DUMMYFUNCTION("""COMPUTED_VALUE"""),1381.78)</f>
        <v>1381.78</v>
      </c>
      <c r="E15" s="7">
        <f>IFERROR(__xludf.DUMMYFUNCTION("""COMPUTED_VALUE"""),1386.53)</f>
        <v>1386.53</v>
      </c>
      <c r="F15" s="7">
        <f>IFERROR(__xludf.DUMMYFUNCTION("""COMPUTED_VALUE"""),1.8536438E7)</f>
        <v>18536438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f>IFERROR(__xludf.DUMMYFUNCTION("""COMPUTED_VALUE"""),45572.64583333333)</f>
        <v>45572.64583</v>
      </c>
      <c r="B16" s="7">
        <f>IFERROR(__xludf.DUMMYFUNCTION("""COMPUTED_VALUE"""),1393.5)</f>
        <v>1393.5</v>
      </c>
      <c r="C16" s="7">
        <f>IFERROR(__xludf.DUMMYFUNCTION("""COMPUTED_VALUE"""),1396.5)</f>
        <v>1396.5</v>
      </c>
      <c r="D16" s="7">
        <f>IFERROR(__xludf.DUMMYFUNCTION("""COMPUTED_VALUE"""),1361.38)</f>
        <v>1361.38</v>
      </c>
      <c r="E16" s="7">
        <f>IFERROR(__xludf.DUMMYFUNCTION("""COMPUTED_VALUE"""),1370.73)</f>
        <v>1370.73</v>
      </c>
      <c r="F16" s="7">
        <f>IFERROR(__xludf.DUMMYFUNCTION("""COMPUTED_VALUE"""),1.109067E7)</f>
        <v>11090670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f>IFERROR(__xludf.DUMMYFUNCTION("""COMPUTED_VALUE"""),45573.64583333333)</f>
        <v>45573.64583</v>
      </c>
      <c r="B17" s="7">
        <f>IFERROR(__xludf.DUMMYFUNCTION("""COMPUTED_VALUE"""),1372.98)</f>
        <v>1372.98</v>
      </c>
      <c r="C17" s="7">
        <f>IFERROR(__xludf.DUMMYFUNCTION("""COMPUTED_VALUE"""),1401.0)</f>
        <v>1401</v>
      </c>
      <c r="D17" s="7">
        <f>IFERROR(__xludf.DUMMYFUNCTION("""COMPUTED_VALUE"""),1365.1)</f>
        <v>1365.1</v>
      </c>
      <c r="E17" s="7">
        <f>IFERROR(__xludf.DUMMYFUNCTION("""COMPUTED_VALUE"""),1397.35)</f>
        <v>1397.35</v>
      </c>
      <c r="F17" s="7">
        <f>IFERROR(__xludf.DUMMYFUNCTION("""COMPUTED_VALUE"""),8510404.0)</f>
        <v>8510404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f>IFERROR(__xludf.DUMMYFUNCTION("""COMPUTED_VALUE"""),45574.64583333333)</f>
        <v>45574.64583</v>
      </c>
      <c r="B18" s="7">
        <f>IFERROR(__xludf.DUMMYFUNCTION("""COMPUTED_VALUE"""),1397.53)</f>
        <v>1397.53</v>
      </c>
      <c r="C18" s="7">
        <f>IFERROR(__xludf.DUMMYFUNCTION("""COMPUTED_VALUE"""),1400.98)</f>
        <v>1400.98</v>
      </c>
      <c r="D18" s="7">
        <f>IFERROR(__xludf.DUMMYFUNCTION("""COMPUTED_VALUE"""),1372.5)</f>
        <v>1372.5</v>
      </c>
      <c r="E18" s="7">
        <f>IFERROR(__xludf.DUMMYFUNCTION("""COMPUTED_VALUE"""),1374.6)</f>
        <v>1374.6</v>
      </c>
      <c r="F18" s="7">
        <f>IFERROR(__xludf.DUMMYFUNCTION("""COMPUTED_VALUE"""),7155305.0)</f>
        <v>7155305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f>IFERROR(__xludf.DUMMYFUNCTION("""COMPUTED_VALUE"""),45575.64583333333)</f>
        <v>45575.64583</v>
      </c>
      <c r="B19" s="7">
        <f>IFERROR(__xludf.DUMMYFUNCTION("""COMPUTED_VALUE"""),1380.03)</f>
        <v>1380.03</v>
      </c>
      <c r="C19" s="7">
        <f>IFERROR(__xludf.DUMMYFUNCTION("""COMPUTED_VALUE"""),1386.0)</f>
        <v>1386</v>
      </c>
      <c r="D19" s="7">
        <f>IFERROR(__xludf.DUMMYFUNCTION("""COMPUTED_VALUE"""),1369.43)</f>
        <v>1369.43</v>
      </c>
      <c r="E19" s="7">
        <f>IFERROR(__xludf.DUMMYFUNCTION("""COMPUTED_VALUE"""),1371.05)</f>
        <v>1371.05</v>
      </c>
      <c r="F19" s="7">
        <f>IFERROR(__xludf.DUMMYFUNCTION("""COMPUTED_VALUE"""),1.1179323E7)</f>
        <v>11179323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f>IFERROR(__xludf.DUMMYFUNCTION("""COMPUTED_VALUE"""),45576.64583333333)</f>
        <v>45576.64583</v>
      </c>
      <c r="B20" s="7">
        <f>IFERROR(__xludf.DUMMYFUNCTION("""COMPUTED_VALUE"""),1370.0)</f>
        <v>1370</v>
      </c>
      <c r="C20" s="7">
        <f>IFERROR(__xludf.DUMMYFUNCTION("""COMPUTED_VALUE"""),1383.28)</f>
        <v>1383.28</v>
      </c>
      <c r="D20" s="7">
        <f>IFERROR(__xludf.DUMMYFUNCTION("""COMPUTED_VALUE"""),1368.83)</f>
        <v>1368.83</v>
      </c>
      <c r="E20" s="7">
        <f>IFERROR(__xludf.DUMMYFUNCTION("""COMPUTED_VALUE"""),1372.1)</f>
        <v>1372.1</v>
      </c>
      <c r="F20" s="7">
        <f>IFERROR(__xludf.DUMMYFUNCTION("""COMPUTED_VALUE"""),3990061.0)</f>
        <v>3990061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f>IFERROR(__xludf.DUMMYFUNCTION("""COMPUTED_VALUE"""),45579.64583333333)</f>
        <v>45579.64583</v>
      </c>
      <c r="B21" s="7">
        <f>IFERROR(__xludf.DUMMYFUNCTION("""COMPUTED_VALUE"""),1379.45)</f>
        <v>1379.45</v>
      </c>
      <c r="C21" s="7">
        <f>IFERROR(__xludf.DUMMYFUNCTION("""COMPUTED_VALUE"""),1380.08)</f>
        <v>1380.08</v>
      </c>
      <c r="D21" s="7">
        <f>IFERROR(__xludf.DUMMYFUNCTION("""COMPUTED_VALUE"""),1368.25)</f>
        <v>1368.25</v>
      </c>
      <c r="E21" s="7">
        <f>IFERROR(__xludf.DUMMYFUNCTION("""COMPUTED_VALUE"""),1372.53)</f>
        <v>1372.53</v>
      </c>
      <c r="F21" s="7">
        <f>IFERROR(__xludf.DUMMYFUNCTION("""COMPUTED_VALUE"""),6110716.0)</f>
        <v>6110716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f>IFERROR(__xludf.DUMMYFUNCTION("""COMPUTED_VALUE"""),45580.64583333333)</f>
        <v>45580.64583</v>
      </c>
      <c r="B22" s="7">
        <f>IFERROR(__xludf.DUMMYFUNCTION("""COMPUTED_VALUE"""),1358.53)</f>
        <v>1358.53</v>
      </c>
      <c r="C22" s="7">
        <f>IFERROR(__xludf.DUMMYFUNCTION("""COMPUTED_VALUE"""),1371.7)</f>
        <v>1371.7</v>
      </c>
      <c r="D22" s="7">
        <f>IFERROR(__xludf.DUMMYFUNCTION("""COMPUTED_VALUE"""),1340.7)</f>
        <v>1340.7</v>
      </c>
      <c r="E22" s="7">
        <f>IFERROR(__xludf.DUMMYFUNCTION("""COMPUTED_VALUE"""),1344.03)</f>
        <v>1344.03</v>
      </c>
      <c r="F22" s="7">
        <f>IFERROR(__xludf.DUMMYFUNCTION("""COMPUTED_VALUE"""),1.6881397E7)</f>
        <v>16881397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f>IFERROR(__xludf.DUMMYFUNCTION("""COMPUTED_VALUE"""),45581.64583333333)</f>
        <v>45581.64583</v>
      </c>
      <c r="B23" s="7">
        <f>IFERROR(__xludf.DUMMYFUNCTION("""COMPUTED_VALUE"""),1340.0)</f>
        <v>1340</v>
      </c>
      <c r="C23" s="7">
        <f>IFERROR(__xludf.DUMMYFUNCTION("""COMPUTED_VALUE"""),1364.0)</f>
        <v>1364</v>
      </c>
      <c r="D23" s="7">
        <f>IFERROR(__xludf.DUMMYFUNCTION("""COMPUTED_VALUE"""),1337.63)</f>
        <v>1337.63</v>
      </c>
      <c r="E23" s="7">
        <f>IFERROR(__xludf.DUMMYFUNCTION("""COMPUTED_VALUE"""),1354.08)</f>
        <v>1354.08</v>
      </c>
      <c r="F23" s="7">
        <f>IFERROR(__xludf.DUMMYFUNCTION("""COMPUTED_VALUE"""),1.0017219E7)</f>
        <v>10017219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f>IFERROR(__xludf.DUMMYFUNCTION("""COMPUTED_VALUE"""),45582.64583333333)</f>
        <v>45582.64583</v>
      </c>
      <c r="B24" s="7">
        <f>IFERROR(__xludf.DUMMYFUNCTION("""COMPUTED_VALUE"""),1365.7)</f>
        <v>1365.7</v>
      </c>
      <c r="C24" s="7">
        <f>IFERROR(__xludf.DUMMYFUNCTION("""COMPUTED_VALUE"""),1368.45)</f>
        <v>1368.45</v>
      </c>
      <c r="D24" s="7">
        <f>IFERROR(__xludf.DUMMYFUNCTION("""COMPUTED_VALUE"""),1352.05)</f>
        <v>1352.05</v>
      </c>
      <c r="E24" s="7">
        <f>IFERROR(__xludf.DUMMYFUNCTION("""COMPUTED_VALUE"""),1356.43)</f>
        <v>1356.43</v>
      </c>
      <c r="F24" s="7">
        <f>IFERROR(__xludf.DUMMYFUNCTION("""COMPUTED_VALUE"""),7771830.0)</f>
        <v>7771830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f>IFERROR(__xludf.DUMMYFUNCTION("""COMPUTED_VALUE"""),45583.64583333333)</f>
        <v>45583.64583</v>
      </c>
      <c r="B25" s="7">
        <f>IFERROR(__xludf.DUMMYFUNCTION("""COMPUTED_VALUE"""),1352.18)</f>
        <v>1352.18</v>
      </c>
      <c r="C25" s="7">
        <f>IFERROR(__xludf.DUMMYFUNCTION("""COMPUTED_VALUE"""),1368.43)</f>
        <v>1368.43</v>
      </c>
      <c r="D25" s="7">
        <f>IFERROR(__xludf.DUMMYFUNCTION("""COMPUTED_VALUE"""),1341.33)</f>
        <v>1341.33</v>
      </c>
      <c r="E25" s="7">
        <f>IFERROR(__xludf.DUMMYFUNCTION("""COMPUTED_VALUE"""),1359.3)</f>
        <v>1359.3</v>
      </c>
      <c r="F25" s="7">
        <f>IFERROR(__xludf.DUMMYFUNCTION("""COMPUTED_VALUE"""),6041226.0)</f>
        <v>6041226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f>IFERROR(__xludf.DUMMYFUNCTION("""COMPUTED_VALUE"""),45586.64583333333)</f>
        <v>45586.64583</v>
      </c>
      <c r="B26" s="7">
        <f>IFERROR(__xludf.DUMMYFUNCTION("""COMPUTED_VALUE"""),1367.13)</f>
        <v>1367.13</v>
      </c>
      <c r="C26" s="7">
        <f>IFERROR(__xludf.DUMMYFUNCTION("""COMPUTED_VALUE"""),1374.0)</f>
        <v>1374</v>
      </c>
      <c r="D26" s="7">
        <f>IFERROR(__xludf.DUMMYFUNCTION("""COMPUTED_VALUE"""),1357.73)</f>
        <v>1357.73</v>
      </c>
      <c r="E26" s="7">
        <f>IFERROR(__xludf.DUMMYFUNCTION("""COMPUTED_VALUE"""),1369.2)</f>
        <v>1369.2</v>
      </c>
      <c r="F26" s="7">
        <f>IFERROR(__xludf.DUMMYFUNCTION("""COMPUTED_VALUE"""),7033704.0)</f>
        <v>7033704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f>IFERROR(__xludf.DUMMYFUNCTION("""COMPUTED_VALUE"""),45587.64583333333)</f>
        <v>45587.64583</v>
      </c>
      <c r="B27" s="7">
        <f>IFERROR(__xludf.DUMMYFUNCTION("""COMPUTED_VALUE"""),1369.2)</f>
        <v>1369.2</v>
      </c>
      <c r="C27" s="7">
        <f>IFERROR(__xludf.DUMMYFUNCTION("""COMPUTED_VALUE"""),1376.0)</f>
        <v>1376</v>
      </c>
      <c r="D27" s="7">
        <f>IFERROR(__xludf.DUMMYFUNCTION("""COMPUTED_VALUE"""),1340.23)</f>
        <v>1340.23</v>
      </c>
      <c r="E27" s="7">
        <f>IFERROR(__xludf.DUMMYFUNCTION("""COMPUTED_VALUE"""),1343.35)</f>
        <v>1343.35</v>
      </c>
      <c r="F27" s="7">
        <f>IFERROR(__xludf.DUMMYFUNCTION("""COMPUTED_VALUE"""),7915980.0)</f>
        <v>7915980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f>IFERROR(__xludf.DUMMYFUNCTION("""COMPUTED_VALUE"""),45588.64583333333)</f>
        <v>45588.64583</v>
      </c>
      <c r="B28" s="7">
        <f>IFERROR(__xludf.DUMMYFUNCTION("""COMPUTED_VALUE"""),1337.5)</f>
        <v>1337.5</v>
      </c>
      <c r="C28" s="7">
        <f>IFERROR(__xludf.DUMMYFUNCTION("""COMPUTED_VALUE"""),1357.48)</f>
        <v>1357.48</v>
      </c>
      <c r="D28" s="7">
        <f>IFERROR(__xludf.DUMMYFUNCTION("""COMPUTED_VALUE"""),1335.0)</f>
        <v>1335</v>
      </c>
      <c r="E28" s="7">
        <f>IFERROR(__xludf.DUMMYFUNCTION("""COMPUTED_VALUE"""),1338.53)</f>
        <v>1338.53</v>
      </c>
      <c r="F28" s="7">
        <f>IFERROR(__xludf.DUMMYFUNCTION("""COMPUTED_VALUE"""),8607371.0)</f>
        <v>8607371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f>IFERROR(__xludf.DUMMYFUNCTION("""COMPUTED_VALUE"""),45589.64583333333)</f>
        <v>45589.64583</v>
      </c>
      <c r="B29" s="7">
        <f>IFERROR(__xludf.DUMMYFUNCTION("""COMPUTED_VALUE"""),1335.28)</f>
        <v>1335.28</v>
      </c>
      <c r="C29" s="7">
        <f>IFERROR(__xludf.DUMMYFUNCTION("""COMPUTED_VALUE"""),1343.7)</f>
        <v>1343.7</v>
      </c>
      <c r="D29" s="7">
        <f>IFERROR(__xludf.DUMMYFUNCTION("""COMPUTED_VALUE"""),1323.13)</f>
        <v>1323.13</v>
      </c>
      <c r="E29" s="7">
        <f>IFERROR(__xludf.DUMMYFUNCTION("""COMPUTED_VALUE"""),1339.8)</f>
        <v>1339.8</v>
      </c>
      <c r="F29" s="7">
        <f>IFERROR(__xludf.DUMMYFUNCTION("""COMPUTED_VALUE"""),1.1077967E7)</f>
        <v>11077967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f>IFERROR(__xludf.DUMMYFUNCTION("""COMPUTED_VALUE"""),45590.64583333333)</f>
        <v>45590.64583</v>
      </c>
      <c r="B30" s="7">
        <f>IFERROR(__xludf.DUMMYFUNCTION("""COMPUTED_VALUE"""),1343.5)</f>
        <v>1343.5</v>
      </c>
      <c r="C30" s="7">
        <f>IFERROR(__xludf.DUMMYFUNCTION("""COMPUTED_VALUE"""),1344.35)</f>
        <v>1344.35</v>
      </c>
      <c r="D30" s="7">
        <f>IFERROR(__xludf.DUMMYFUNCTION("""COMPUTED_VALUE"""),1322.0)</f>
        <v>1322</v>
      </c>
      <c r="E30" s="7">
        <f>IFERROR(__xludf.DUMMYFUNCTION("""COMPUTED_VALUE"""),1327.85)</f>
        <v>1327.85</v>
      </c>
      <c r="F30" s="7">
        <f>IFERROR(__xludf.DUMMYFUNCTION("""COMPUTED_VALUE"""),9298748.0)</f>
        <v>9298748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f>IFERROR(__xludf.DUMMYFUNCTION("""COMPUTED_VALUE"""),45593.64583333333)</f>
        <v>45593.64583</v>
      </c>
      <c r="B31" s="7">
        <f>IFERROR(__xludf.DUMMYFUNCTION("""COMPUTED_VALUE"""),1337.0)</f>
        <v>1337</v>
      </c>
      <c r="C31" s="7">
        <f>IFERROR(__xludf.DUMMYFUNCTION("""COMPUTED_VALUE"""),1353.0)</f>
        <v>1353</v>
      </c>
      <c r="D31" s="7">
        <f>IFERROR(__xludf.DUMMYFUNCTION("""COMPUTED_VALUE"""),1322.1)</f>
        <v>1322.1</v>
      </c>
      <c r="E31" s="7">
        <f>IFERROR(__xludf.DUMMYFUNCTION("""COMPUTED_VALUE"""),1334.35)</f>
        <v>1334.35</v>
      </c>
      <c r="F31" s="7">
        <f>IFERROR(__xludf.DUMMYFUNCTION("""COMPUTED_VALUE"""),1.082435E7)</f>
        <v>10824350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f>IFERROR(__xludf.DUMMYFUNCTION("""COMPUTED_VALUE"""),45594.64583333333)</f>
        <v>45594.64583</v>
      </c>
      <c r="B32" s="7">
        <f>IFERROR(__xludf.DUMMYFUNCTION("""COMPUTED_VALUE"""),1328.1)</f>
        <v>1328.1</v>
      </c>
      <c r="C32" s="7">
        <f>IFERROR(__xludf.DUMMYFUNCTION("""COMPUTED_VALUE"""),1343.2)</f>
        <v>1343.2</v>
      </c>
      <c r="D32" s="7">
        <f>IFERROR(__xludf.DUMMYFUNCTION("""COMPUTED_VALUE"""),1320.3)</f>
        <v>1320.3</v>
      </c>
      <c r="E32" s="7">
        <f>IFERROR(__xludf.DUMMYFUNCTION("""COMPUTED_VALUE"""),1340.0)</f>
        <v>1340</v>
      </c>
      <c r="F32" s="7">
        <f>IFERROR(__xludf.DUMMYFUNCTION("""COMPUTED_VALUE"""),1.2008361E7)</f>
        <v>12008361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f>IFERROR(__xludf.DUMMYFUNCTION("""COMPUTED_VALUE"""),45595.64583333333)</f>
        <v>45595.64583</v>
      </c>
      <c r="B33" s="7">
        <f>IFERROR(__xludf.DUMMYFUNCTION("""COMPUTED_VALUE"""),1335.0)</f>
        <v>1335</v>
      </c>
      <c r="C33" s="7">
        <f>IFERROR(__xludf.DUMMYFUNCTION("""COMPUTED_VALUE"""),1350.0)</f>
        <v>1350</v>
      </c>
      <c r="D33" s="7">
        <f>IFERROR(__xludf.DUMMYFUNCTION("""COMPUTED_VALUE"""),1325.35)</f>
        <v>1325.35</v>
      </c>
      <c r="E33" s="7">
        <f>IFERROR(__xludf.DUMMYFUNCTION("""COMPUTED_VALUE"""),1343.9)</f>
        <v>1343.9</v>
      </c>
      <c r="F33" s="7">
        <f>IFERROR(__xludf.DUMMYFUNCTION("""COMPUTED_VALUE"""),1.1984423E7)</f>
        <v>11984423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f>IFERROR(__xludf.DUMMYFUNCTION("""COMPUTED_VALUE"""),45596.64583333333)</f>
        <v>45596.64583</v>
      </c>
      <c r="B34" s="7">
        <f>IFERROR(__xludf.DUMMYFUNCTION("""COMPUTED_VALUE"""),1340.0)</f>
        <v>1340</v>
      </c>
      <c r="C34" s="7">
        <f>IFERROR(__xludf.DUMMYFUNCTION("""COMPUTED_VALUE"""),1343.0)</f>
        <v>1343</v>
      </c>
      <c r="D34" s="7">
        <f>IFERROR(__xludf.DUMMYFUNCTION("""COMPUTED_VALUE"""),1326.15)</f>
        <v>1326.15</v>
      </c>
      <c r="E34" s="7">
        <f>IFERROR(__xludf.DUMMYFUNCTION("""COMPUTED_VALUE"""),1332.05)</f>
        <v>1332.05</v>
      </c>
      <c r="F34" s="7">
        <f>IFERROR(__xludf.DUMMYFUNCTION("""COMPUTED_VALUE"""),9331650.0)</f>
        <v>9331650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f>IFERROR(__xludf.DUMMYFUNCTION("""COMPUTED_VALUE"""),45600.64583333333)</f>
        <v>45600.64583</v>
      </c>
      <c r="B35" s="7">
        <f>IFERROR(__xludf.DUMMYFUNCTION("""COMPUTED_VALUE"""),1337.85)</f>
        <v>1337.85</v>
      </c>
      <c r="C35" s="7">
        <f>IFERROR(__xludf.DUMMYFUNCTION("""COMPUTED_VALUE"""),1340.0)</f>
        <v>1340</v>
      </c>
      <c r="D35" s="7">
        <f>IFERROR(__xludf.DUMMYFUNCTION("""COMPUTED_VALUE"""),1285.1)</f>
        <v>1285.1</v>
      </c>
      <c r="E35" s="7">
        <f>IFERROR(__xludf.DUMMYFUNCTION("""COMPUTED_VALUE"""),1302.15)</f>
        <v>1302.15</v>
      </c>
      <c r="F35" s="7">
        <f>IFERROR(__xludf.DUMMYFUNCTION("""COMPUTED_VALUE"""),1.979689E7)</f>
        <v>19796890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f>IFERROR(__xludf.DUMMYFUNCTION("""COMPUTED_VALUE"""),45601.64583333333)</f>
        <v>45601.64583</v>
      </c>
      <c r="B36" s="7">
        <f>IFERROR(__xludf.DUMMYFUNCTION("""COMPUTED_VALUE"""),1293.0)</f>
        <v>1293</v>
      </c>
      <c r="C36" s="7">
        <f>IFERROR(__xludf.DUMMYFUNCTION("""COMPUTED_VALUE"""),1309.55)</f>
        <v>1309.55</v>
      </c>
      <c r="D36" s="7">
        <f>IFERROR(__xludf.DUMMYFUNCTION("""COMPUTED_VALUE"""),1286.15)</f>
        <v>1286.15</v>
      </c>
      <c r="E36" s="7">
        <f>IFERROR(__xludf.DUMMYFUNCTION("""COMPUTED_VALUE"""),1305.3)</f>
        <v>1305.3</v>
      </c>
      <c r="F36" s="7">
        <f>IFERROR(__xludf.DUMMYFUNCTION("""COMPUTED_VALUE"""),1.6267479E7)</f>
        <v>16267479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f>IFERROR(__xludf.DUMMYFUNCTION("""COMPUTED_VALUE"""),45602.64583333333)</f>
        <v>45602.64583</v>
      </c>
      <c r="B37" s="7">
        <f>IFERROR(__xludf.DUMMYFUNCTION("""COMPUTED_VALUE"""),1310.0)</f>
        <v>1310</v>
      </c>
      <c r="C37" s="7">
        <f>IFERROR(__xludf.DUMMYFUNCTION("""COMPUTED_VALUE"""),1328.3)</f>
        <v>1328.3</v>
      </c>
      <c r="D37" s="7">
        <f>IFERROR(__xludf.DUMMYFUNCTION("""COMPUTED_VALUE"""),1300.2)</f>
        <v>1300.2</v>
      </c>
      <c r="E37" s="7">
        <f>IFERROR(__xludf.DUMMYFUNCTION("""COMPUTED_VALUE"""),1325.35)</f>
        <v>1325.35</v>
      </c>
      <c r="F37" s="7">
        <f>IFERROR(__xludf.DUMMYFUNCTION("""COMPUTED_VALUE"""),2.1625209E7)</f>
        <v>21625209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f>IFERROR(__xludf.DUMMYFUNCTION("""COMPUTED_VALUE"""),45603.64583333333)</f>
        <v>45603.64583</v>
      </c>
      <c r="B38" s="7">
        <f>IFERROR(__xludf.DUMMYFUNCTION("""COMPUTED_VALUE"""),1324.0)</f>
        <v>1324</v>
      </c>
      <c r="C38" s="7">
        <f>IFERROR(__xludf.DUMMYFUNCTION("""COMPUTED_VALUE"""),1324.0)</f>
        <v>1324</v>
      </c>
      <c r="D38" s="7">
        <f>IFERROR(__xludf.DUMMYFUNCTION("""COMPUTED_VALUE"""),1302.6)</f>
        <v>1302.6</v>
      </c>
      <c r="E38" s="7">
        <f>IFERROR(__xludf.DUMMYFUNCTION("""COMPUTED_VALUE"""),1305.65)</f>
        <v>1305.65</v>
      </c>
      <c r="F38" s="7">
        <f>IFERROR(__xludf.DUMMYFUNCTION("""COMPUTED_VALUE"""),9611974.0)</f>
        <v>9611974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f>IFERROR(__xludf.DUMMYFUNCTION("""COMPUTED_VALUE"""),45604.64583333333)</f>
        <v>45604.64583</v>
      </c>
      <c r="B39" s="7">
        <f>IFERROR(__xludf.DUMMYFUNCTION("""COMPUTED_VALUE"""),1297.65)</f>
        <v>1297.65</v>
      </c>
      <c r="C39" s="7">
        <f>IFERROR(__xludf.DUMMYFUNCTION("""COMPUTED_VALUE"""),1301.65)</f>
        <v>1301.65</v>
      </c>
      <c r="D39" s="7">
        <f>IFERROR(__xludf.DUMMYFUNCTION("""COMPUTED_VALUE"""),1275.0)</f>
        <v>1275</v>
      </c>
      <c r="E39" s="7">
        <f>IFERROR(__xludf.DUMMYFUNCTION("""COMPUTED_VALUE"""),1283.75)</f>
        <v>1283.75</v>
      </c>
      <c r="F39" s="7">
        <f>IFERROR(__xludf.DUMMYFUNCTION("""COMPUTED_VALUE"""),1.9814406E7)</f>
        <v>19814406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f>IFERROR(__xludf.DUMMYFUNCTION("""COMPUTED_VALUE"""),45607.64583333333)</f>
        <v>45607.64583</v>
      </c>
      <c r="B40" s="7">
        <f>IFERROR(__xludf.DUMMYFUNCTION("""COMPUTED_VALUE"""),1278.95)</f>
        <v>1278.95</v>
      </c>
      <c r="C40" s="7">
        <f>IFERROR(__xludf.DUMMYFUNCTION("""COMPUTED_VALUE"""),1286.0)</f>
        <v>1286</v>
      </c>
      <c r="D40" s="7">
        <f>IFERROR(__xludf.DUMMYFUNCTION("""COMPUTED_VALUE"""),1267.0)</f>
        <v>1267</v>
      </c>
      <c r="E40" s="7">
        <f>IFERROR(__xludf.DUMMYFUNCTION("""COMPUTED_VALUE"""),1272.7)</f>
        <v>1272.7</v>
      </c>
      <c r="F40" s="7">
        <f>IFERROR(__xludf.DUMMYFUNCTION("""COMPUTED_VALUE"""),9056552.0)</f>
        <v>9056552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f>IFERROR(__xludf.DUMMYFUNCTION("""COMPUTED_VALUE"""),45608.64583333333)</f>
        <v>45608.64583</v>
      </c>
      <c r="B41" s="7">
        <f>IFERROR(__xludf.DUMMYFUNCTION("""COMPUTED_VALUE"""),1275.55)</f>
        <v>1275.55</v>
      </c>
      <c r="C41" s="7">
        <f>IFERROR(__xludf.DUMMYFUNCTION("""COMPUTED_VALUE"""),1289.3)</f>
        <v>1289.3</v>
      </c>
      <c r="D41" s="7">
        <f>IFERROR(__xludf.DUMMYFUNCTION("""COMPUTED_VALUE"""),1267.5)</f>
        <v>1267.5</v>
      </c>
      <c r="E41" s="7">
        <f>IFERROR(__xludf.DUMMYFUNCTION("""COMPUTED_VALUE"""),1274.25)</f>
        <v>1274.25</v>
      </c>
      <c r="F41" s="7">
        <f>IFERROR(__xludf.DUMMYFUNCTION("""COMPUTED_VALUE"""),1.0671091E7)</f>
        <v>10671091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f>IFERROR(__xludf.DUMMYFUNCTION("""COMPUTED_VALUE"""),45609.64583333333)</f>
        <v>45609.64583</v>
      </c>
      <c r="B42" s="7">
        <f>IFERROR(__xludf.DUMMYFUNCTION("""COMPUTED_VALUE"""),1270.25)</f>
        <v>1270.25</v>
      </c>
      <c r="C42" s="7">
        <f>IFERROR(__xludf.DUMMYFUNCTION("""COMPUTED_VALUE"""),1275.45)</f>
        <v>1275.45</v>
      </c>
      <c r="D42" s="7">
        <f>IFERROR(__xludf.DUMMYFUNCTION("""COMPUTED_VALUE"""),1249.5)</f>
        <v>1249.5</v>
      </c>
      <c r="E42" s="7">
        <f>IFERROR(__xludf.DUMMYFUNCTION("""COMPUTED_VALUE"""),1252.05)</f>
        <v>1252.05</v>
      </c>
      <c r="F42" s="7">
        <f>IFERROR(__xludf.DUMMYFUNCTION("""COMPUTED_VALUE"""),1.4633633E7)</f>
        <v>14633633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f>IFERROR(__xludf.DUMMYFUNCTION("""COMPUTED_VALUE"""),45610.64583333333)</f>
        <v>45610.64583</v>
      </c>
      <c r="B43" s="7">
        <f>IFERROR(__xludf.DUMMYFUNCTION("""COMPUTED_VALUE"""),1253.6)</f>
        <v>1253.6</v>
      </c>
      <c r="C43" s="7">
        <f>IFERROR(__xludf.DUMMYFUNCTION("""COMPUTED_VALUE"""),1272.6)</f>
        <v>1272.6</v>
      </c>
      <c r="D43" s="7">
        <f>IFERROR(__xludf.DUMMYFUNCTION("""COMPUTED_VALUE"""),1251.1)</f>
        <v>1251.1</v>
      </c>
      <c r="E43" s="7">
        <f>IFERROR(__xludf.DUMMYFUNCTION("""COMPUTED_VALUE"""),1267.6)</f>
        <v>1267.6</v>
      </c>
      <c r="F43" s="7">
        <f>IFERROR(__xludf.DUMMYFUNCTION("""COMPUTED_VALUE"""),1.2612633E7)</f>
        <v>12612633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f>IFERROR(__xludf.DUMMYFUNCTION("""COMPUTED_VALUE"""),45614.64583333333)</f>
        <v>45614.64583</v>
      </c>
      <c r="B44" s="7">
        <f>IFERROR(__xludf.DUMMYFUNCTION("""COMPUTED_VALUE"""),1267.6)</f>
        <v>1267.6</v>
      </c>
      <c r="C44" s="7">
        <f>IFERROR(__xludf.DUMMYFUNCTION("""COMPUTED_VALUE"""),1272.9)</f>
        <v>1272.9</v>
      </c>
      <c r="D44" s="7">
        <f>IFERROR(__xludf.DUMMYFUNCTION("""COMPUTED_VALUE"""),1243.9)</f>
        <v>1243.9</v>
      </c>
      <c r="E44" s="7">
        <f>IFERROR(__xludf.DUMMYFUNCTION("""COMPUTED_VALUE"""),1260.75)</f>
        <v>1260.75</v>
      </c>
      <c r="F44" s="7">
        <f>IFERROR(__xludf.DUMMYFUNCTION("""COMPUTED_VALUE"""),1.3620611E7)</f>
        <v>13620611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f>IFERROR(__xludf.DUMMYFUNCTION("""COMPUTED_VALUE"""),45615.64583333333)</f>
        <v>45615.64583</v>
      </c>
      <c r="B45" s="7">
        <f>IFERROR(__xludf.DUMMYFUNCTION("""COMPUTED_VALUE"""),1260.75)</f>
        <v>1260.75</v>
      </c>
      <c r="C45" s="7">
        <f>IFERROR(__xludf.DUMMYFUNCTION("""COMPUTED_VALUE"""),1281.5)</f>
        <v>1281.5</v>
      </c>
      <c r="D45" s="7">
        <f>IFERROR(__xludf.DUMMYFUNCTION("""COMPUTED_VALUE"""),1235.15)</f>
        <v>1235.15</v>
      </c>
      <c r="E45" s="7">
        <f>IFERROR(__xludf.DUMMYFUNCTION("""COMPUTED_VALUE"""),1241.65)</f>
        <v>1241.65</v>
      </c>
      <c r="F45" s="7">
        <f>IFERROR(__xludf.DUMMYFUNCTION("""COMPUTED_VALUE"""),1.4183746E7)</f>
        <v>14183746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f>IFERROR(__xludf.DUMMYFUNCTION("""COMPUTED_VALUE"""),45617.64583333333)</f>
        <v>45617.64583</v>
      </c>
      <c r="B46" s="7">
        <f>IFERROR(__xludf.DUMMYFUNCTION("""COMPUTED_VALUE"""),1241.65)</f>
        <v>1241.65</v>
      </c>
      <c r="C46" s="7">
        <f>IFERROR(__xludf.DUMMYFUNCTION("""COMPUTED_VALUE"""),1243.95)</f>
        <v>1243.95</v>
      </c>
      <c r="D46" s="7">
        <f>IFERROR(__xludf.DUMMYFUNCTION("""COMPUTED_VALUE"""),1217.25)</f>
        <v>1217.25</v>
      </c>
      <c r="E46" s="7">
        <f>IFERROR(__xludf.DUMMYFUNCTION("""COMPUTED_VALUE"""),1223.0)</f>
        <v>1223</v>
      </c>
      <c r="F46" s="7">
        <f>IFERROR(__xludf.DUMMYFUNCTION("""COMPUTED_VALUE"""),1.9433843E7)</f>
        <v>19433843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f>IFERROR(__xludf.DUMMYFUNCTION("""COMPUTED_VALUE"""),45618.64583333333)</f>
        <v>45618.64583</v>
      </c>
      <c r="B47" s="7">
        <f>IFERROR(__xludf.DUMMYFUNCTION("""COMPUTED_VALUE"""),1229.4)</f>
        <v>1229.4</v>
      </c>
      <c r="C47" s="7">
        <f>IFERROR(__xludf.DUMMYFUNCTION("""COMPUTED_VALUE"""),1268.85)</f>
        <v>1268.85</v>
      </c>
      <c r="D47" s="7">
        <f>IFERROR(__xludf.DUMMYFUNCTION("""COMPUTED_VALUE"""),1222.45)</f>
        <v>1222.45</v>
      </c>
      <c r="E47" s="7">
        <f>IFERROR(__xludf.DUMMYFUNCTION("""COMPUTED_VALUE"""),1265.4)</f>
        <v>1265.4</v>
      </c>
      <c r="F47" s="7">
        <f>IFERROR(__xludf.DUMMYFUNCTION("""COMPUTED_VALUE"""),2.0471957E7)</f>
        <v>20471957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f>IFERROR(__xludf.DUMMYFUNCTION("""COMPUTED_VALUE"""),45621.64583333333)</f>
        <v>45621.64583</v>
      </c>
      <c r="B48" s="7">
        <f>IFERROR(__xludf.DUMMYFUNCTION("""COMPUTED_VALUE"""),1290.0)</f>
        <v>1290</v>
      </c>
      <c r="C48" s="7">
        <f>IFERROR(__xludf.DUMMYFUNCTION("""COMPUTED_VALUE"""),1304.45)</f>
        <v>1304.45</v>
      </c>
      <c r="D48" s="7">
        <f>IFERROR(__xludf.DUMMYFUNCTION("""COMPUTED_VALUE"""),1282.45)</f>
        <v>1282.45</v>
      </c>
      <c r="E48" s="7">
        <f>IFERROR(__xludf.DUMMYFUNCTION("""COMPUTED_VALUE"""),1287.0)</f>
        <v>1287</v>
      </c>
      <c r="F48" s="7">
        <f>IFERROR(__xludf.DUMMYFUNCTION("""COMPUTED_VALUE"""),2.8923341E7)</f>
        <v>28923341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f>IFERROR(__xludf.DUMMYFUNCTION("""COMPUTED_VALUE"""),45622.64583333333)</f>
        <v>45622.64583</v>
      </c>
      <c r="B49" s="7">
        <f>IFERROR(__xludf.DUMMYFUNCTION("""COMPUTED_VALUE"""),1294.95)</f>
        <v>1294.95</v>
      </c>
      <c r="C49" s="7">
        <f>IFERROR(__xludf.DUMMYFUNCTION("""COMPUTED_VALUE"""),1297.85)</f>
        <v>1297.85</v>
      </c>
      <c r="D49" s="7">
        <f>IFERROR(__xludf.DUMMYFUNCTION("""COMPUTED_VALUE"""),1284.2)</f>
        <v>1284.2</v>
      </c>
      <c r="E49" s="7">
        <f>IFERROR(__xludf.DUMMYFUNCTION("""COMPUTED_VALUE"""),1295.7)</f>
        <v>1295.7</v>
      </c>
      <c r="F49" s="7">
        <f>IFERROR(__xludf.DUMMYFUNCTION("""COMPUTED_VALUE"""),9247557.0)</f>
        <v>9247557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f>IFERROR(__xludf.DUMMYFUNCTION("""COMPUTED_VALUE"""),45623.64583333333)</f>
        <v>45623.64583</v>
      </c>
      <c r="B50" s="7">
        <f>IFERROR(__xludf.DUMMYFUNCTION("""COMPUTED_VALUE"""),1293.5)</f>
        <v>1293.5</v>
      </c>
      <c r="C50" s="7">
        <f>IFERROR(__xludf.DUMMYFUNCTION("""COMPUTED_VALUE"""),1303.85)</f>
        <v>1303.85</v>
      </c>
      <c r="D50" s="7">
        <f>IFERROR(__xludf.DUMMYFUNCTION("""COMPUTED_VALUE"""),1286.0)</f>
        <v>1286</v>
      </c>
      <c r="E50" s="7">
        <f>IFERROR(__xludf.DUMMYFUNCTION("""COMPUTED_VALUE"""),1293.2)</f>
        <v>1293.2</v>
      </c>
      <c r="F50" s="7">
        <f>IFERROR(__xludf.DUMMYFUNCTION("""COMPUTED_VALUE"""),9572746.0)</f>
        <v>9572746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f>IFERROR(__xludf.DUMMYFUNCTION("""COMPUTED_VALUE"""),45624.64583333333)</f>
        <v>45624.64583</v>
      </c>
      <c r="B51" s="7">
        <f>IFERROR(__xludf.DUMMYFUNCTION("""COMPUTED_VALUE"""),1289.95)</f>
        <v>1289.95</v>
      </c>
      <c r="C51" s="7">
        <f>IFERROR(__xludf.DUMMYFUNCTION("""COMPUTED_VALUE"""),1296.6)</f>
        <v>1296.6</v>
      </c>
      <c r="D51" s="7">
        <f>IFERROR(__xludf.DUMMYFUNCTION("""COMPUTED_VALUE"""),1269.05)</f>
        <v>1269.05</v>
      </c>
      <c r="E51" s="7">
        <f>IFERROR(__xludf.DUMMYFUNCTION("""COMPUTED_VALUE"""),1270.8)</f>
        <v>1270.8</v>
      </c>
      <c r="F51" s="7">
        <f>IFERROR(__xludf.DUMMYFUNCTION("""COMPUTED_VALUE"""),1.5027412E7)</f>
        <v>15027412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f>IFERROR(__xludf.DUMMYFUNCTION("""COMPUTED_VALUE"""),45625.64583333333)</f>
        <v>45625.64583</v>
      </c>
      <c r="B52" s="7">
        <f>IFERROR(__xludf.DUMMYFUNCTION("""COMPUTED_VALUE"""),1280.0)</f>
        <v>1280</v>
      </c>
      <c r="C52" s="7">
        <f>IFERROR(__xludf.DUMMYFUNCTION("""COMPUTED_VALUE"""),1299.5)</f>
        <v>1299.5</v>
      </c>
      <c r="D52" s="7">
        <f>IFERROR(__xludf.DUMMYFUNCTION("""COMPUTED_VALUE"""),1275.25)</f>
        <v>1275.25</v>
      </c>
      <c r="E52" s="7">
        <f>IFERROR(__xludf.DUMMYFUNCTION("""COMPUTED_VALUE"""),1292.2)</f>
        <v>1292.2</v>
      </c>
      <c r="F52" s="7">
        <f>IFERROR(__xludf.DUMMYFUNCTION("""COMPUTED_VALUE"""),1.3202307E7)</f>
        <v>13202307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f>IFERROR(__xludf.DUMMYFUNCTION("""COMPUTED_VALUE"""),45628.64583333333)</f>
        <v>45628.64583</v>
      </c>
      <c r="B53" s="7">
        <f>IFERROR(__xludf.DUMMYFUNCTION("""COMPUTED_VALUE"""),1288.0)</f>
        <v>1288</v>
      </c>
      <c r="C53" s="7">
        <f>IFERROR(__xludf.DUMMYFUNCTION("""COMPUTED_VALUE"""),1311.35)</f>
        <v>1311.35</v>
      </c>
      <c r="D53" s="7">
        <f>IFERROR(__xludf.DUMMYFUNCTION("""COMPUTED_VALUE"""),1277.05)</f>
        <v>1277.05</v>
      </c>
      <c r="E53" s="7">
        <f>IFERROR(__xludf.DUMMYFUNCTION("""COMPUTED_VALUE"""),1309.15)</f>
        <v>1309.15</v>
      </c>
      <c r="F53" s="7">
        <f>IFERROR(__xludf.DUMMYFUNCTION("""COMPUTED_VALUE"""),1.1024152E7)</f>
        <v>11024152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f>IFERROR(__xludf.DUMMYFUNCTION("""COMPUTED_VALUE"""),45629.64583333333)</f>
        <v>45629.64583</v>
      </c>
      <c r="B54" s="7">
        <f>IFERROR(__xludf.DUMMYFUNCTION("""COMPUTED_VALUE"""),1317.0)</f>
        <v>1317</v>
      </c>
      <c r="C54" s="7">
        <f>IFERROR(__xludf.DUMMYFUNCTION("""COMPUTED_VALUE"""),1326.8)</f>
        <v>1326.8</v>
      </c>
      <c r="D54" s="7">
        <f>IFERROR(__xludf.DUMMYFUNCTION("""COMPUTED_VALUE"""),1307.0)</f>
        <v>1307</v>
      </c>
      <c r="E54" s="7">
        <f>IFERROR(__xludf.DUMMYFUNCTION("""COMPUTED_VALUE"""),1323.3)</f>
        <v>1323.3</v>
      </c>
      <c r="F54" s="7">
        <f>IFERROR(__xludf.DUMMYFUNCTION("""COMPUTED_VALUE"""),1.6869482E7)</f>
        <v>16869482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f>IFERROR(__xludf.DUMMYFUNCTION("""COMPUTED_VALUE"""),45630.64583333333)</f>
        <v>45630.64583</v>
      </c>
      <c r="B55" s="7">
        <f>IFERROR(__xludf.DUMMYFUNCTION("""COMPUTED_VALUE"""),1326.0)</f>
        <v>1326</v>
      </c>
      <c r="C55" s="7">
        <f>IFERROR(__xludf.DUMMYFUNCTION("""COMPUTED_VALUE"""),1328.4)</f>
        <v>1328.4</v>
      </c>
      <c r="D55" s="7">
        <f>IFERROR(__xludf.DUMMYFUNCTION("""COMPUTED_VALUE"""),1304.05)</f>
        <v>1304.05</v>
      </c>
      <c r="E55" s="7">
        <f>IFERROR(__xludf.DUMMYFUNCTION("""COMPUTED_VALUE"""),1308.95)</f>
        <v>1308.95</v>
      </c>
      <c r="F55" s="7">
        <f>IFERROR(__xludf.DUMMYFUNCTION("""COMPUTED_VALUE"""),1.960854E7)</f>
        <v>19608540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f>IFERROR(__xludf.DUMMYFUNCTION("""COMPUTED_VALUE"""),45631.64583333333)</f>
        <v>45631.64583</v>
      </c>
      <c r="B56" s="7">
        <f>IFERROR(__xludf.DUMMYFUNCTION("""COMPUTED_VALUE"""),1314.35)</f>
        <v>1314.35</v>
      </c>
      <c r="C56" s="7">
        <f>IFERROR(__xludf.DUMMYFUNCTION("""COMPUTED_VALUE"""),1329.95)</f>
        <v>1329.95</v>
      </c>
      <c r="D56" s="7">
        <f>IFERROR(__xludf.DUMMYFUNCTION("""COMPUTED_VALUE"""),1306.15)</f>
        <v>1306.15</v>
      </c>
      <c r="E56" s="7">
        <f>IFERROR(__xludf.DUMMYFUNCTION("""COMPUTED_VALUE"""),1322.05)</f>
        <v>1322.05</v>
      </c>
      <c r="F56" s="7">
        <f>IFERROR(__xludf.DUMMYFUNCTION("""COMPUTED_VALUE"""),1.6858723E7)</f>
        <v>16858723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f>IFERROR(__xludf.DUMMYFUNCTION("""COMPUTED_VALUE"""),45632.64583333333)</f>
        <v>45632.64583</v>
      </c>
      <c r="B57" s="7">
        <f>IFERROR(__xludf.DUMMYFUNCTION("""COMPUTED_VALUE"""),1323.9)</f>
        <v>1323.9</v>
      </c>
      <c r="C57" s="7">
        <f>IFERROR(__xludf.DUMMYFUNCTION("""COMPUTED_VALUE"""),1323.9)</f>
        <v>1323.9</v>
      </c>
      <c r="D57" s="7">
        <f>IFERROR(__xludf.DUMMYFUNCTION("""COMPUTED_VALUE"""),1310.0)</f>
        <v>1310</v>
      </c>
      <c r="E57" s="7">
        <f>IFERROR(__xludf.DUMMYFUNCTION("""COMPUTED_VALUE"""),1311.55)</f>
        <v>1311.55</v>
      </c>
      <c r="F57" s="7">
        <f>IFERROR(__xludf.DUMMYFUNCTION("""COMPUTED_VALUE"""),9037514.0)</f>
        <v>9037514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f>IFERROR(__xludf.DUMMYFUNCTION("""COMPUTED_VALUE"""),45635.64583333333)</f>
        <v>45635.64583</v>
      </c>
      <c r="B58" s="7">
        <f>IFERROR(__xludf.DUMMYFUNCTION("""COMPUTED_VALUE"""),1303.0)</f>
        <v>1303</v>
      </c>
      <c r="C58" s="7">
        <f>IFERROR(__xludf.DUMMYFUNCTION("""COMPUTED_VALUE"""),1315.0)</f>
        <v>1315</v>
      </c>
      <c r="D58" s="7">
        <f>IFERROR(__xludf.DUMMYFUNCTION("""COMPUTED_VALUE"""),1293.1)</f>
        <v>1293.1</v>
      </c>
      <c r="E58" s="7">
        <f>IFERROR(__xludf.DUMMYFUNCTION("""COMPUTED_VALUE"""),1295.15)</f>
        <v>1295.15</v>
      </c>
      <c r="F58" s="7">
        <f>IFERROR(__xludf.DUMMYFUNCTION("""COMPUTED_VALUE"""),1.4650002E7)</f>
        <v>14650002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f>IFERROR(__xludf.DUMMYFUNCTION("""COMPUTED_VALUE"""),45636.64583333333)</f>
        <v>45636.64583</v>
      </c>
      <c r="B59" s="7">
        <f>IFERROR(__xludf.DUMMYFUNCTION("""COMPUTED_VALUE"""),1289.25)</f>
        <v>1289.25</v>
      </c>
      <c r="C59" s="7">
        <f>IFERROR(__xludf.DUMMYFUNCTION("""COMPUTED_VALUE"""),1294.9)</f>
        <v>1294.9</v>
      </c>
      <c r="D59" s="7">
        <f>IFERROR(__xludf.DUMMYFUNCTION("""COMPUTED_VALUE"""),1280.2)</f>
        <v>1280.2</v>
      </c>
      <c r="E59" s="7">
        <f>IFERROR(__xludf.DUMMYFUNCTION("""COMPUTED_VALUE"""),1284.85)</f>
        <v>1284.85</v>
      </c>
      <c r="F59" s="7">
        <f>IFERROR(__xludf.DUMMYFUNCTION("""COMPUTED_VALUE"""),1.6043729E7)</f>
        <v>16043729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f>IFERROR(__xludf.DUMMYFUNCTION("""COMPUTED_VALUE"""),45637.64583333333)</f>
        <v>45637.64583</v>
      </c>
      <c r="B60" s="7">
        <f>IFERROR(__xludf.DUMMYFUNCTION("""COMPUTED_VALUE"""),1285.0)</f>
        <v>1285</v>
      </c>
      <c r="C60" s="7">
        <f>IFERROR(__xludf.DUMMYFUNCTION("""COMPUTED_VALUE"""),1290.0)</f>
        <v>1290</v>
      </c>
      <c r="D60" s="7">
        <f>IFERROR(__xludf.DUMMYFUNCTION("""COMPUTED_VALUE"""),1276.05)</f>
        <v>1276.05</v>
      </c>
      <c r="E60" s="7">
        <f>IFERROR(__xludf.DUMMYFUNCTION("""COMPUTED_VALUE"""),1278.2)</f>
        <v>1278.2</v>
      </c>
      <c r="F60" s="7">
        <f>IFERROR(__xludf.DUMMYFUNCTION("""COMPUTED_VALUE"""),1.1724373E7)</f>
        <v>11724373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f>IFERROR(__xludf.DUMMYFUNCTION("""COMPUTED_VALUE"""),45638.64583333333)</f>
        <v>45638.64583</v>
      </c>
      <c r="B61" s="7">
        <f>IFERROR(__xludf.DUMMYFUNCTION("""COMPUTED_VALUE"""),1270.0)</f>
        <v>1270</v>
      </c>
      <c r="C61" s="7">
        <f>IFERROR(__xludf.DUMMYFUNCTION("""COMPUTED_VALUE"""),1278.2)</f>
        <v>1278.2</v>
      </c>
      <c r="D61" s="7">
        <f>IFERROR(__xludf.DUMMYFUNCTION("""COMPUTED_VALUE"""),1260.6)</f>
        <v>1260.6</v>
      </c>
      <c r="E61" s="7">
        <f>IFERROR(__xludf.DUMMYFUNCTION("""COMPUTED_VALUE"""),1262.9)</f>
        <v>1262.9</v>
      </c>
      <c r="F61" s="7">
        <f>IFERROR(__xludf.DUMMYFUNCTION("""COMPUTED_VALUE"""),2.0906813E7)</f>
        <v>20906813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f>IFERROR(__xludf.DUMMYFUNCTION("""COMPUTED_VALUE"""),45639.64583333333)</f>
        <v>45639.64583</v>
      </c>
      <c r="B62" s="7">
        <f>IFERROR(__xludf.DUMMYFUNCTION("""COMPUTED_VALUE"""),1260.0)</f>
        <v>1260</v>
      </c>
      <c r="C62" s="7">
        <f>IFERROR(__xludf.DUMMYFUNCTION("""COMPUTED_VALUE"""),1275.2)</f>
        <v>1275.2</v>
      </c>
      <c r="D62" s="7">
        <f>IFERROR(__xludf.DUMMYFUNCTION("""COMPUTED_VALUE"""),1239.6)</f>
        <v>1239.6</v>
      </c>
      <c r="E62" s="7">
        <f>IFERROR(__xludf.DUMMYFUNCTION("""COMPUTED_VALUE"""),1272.85)</f>
        <v>1272.85</v>
      </c>
      <c r="F62" s="7">
        <f>IFERROR(__xludf.DUMMYFUNCTION("""COMPUTED_VALUE"""),2.8630222E7)</f>
        <v>28630222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f>IFERROR(__xludf.DUMMYFUNCTION("""COMPUTED_VALUE"""),45642.64583333333)</f>
        <v>45642.64583</v>
      </c>
      <c r="B63" s="7">
        <f>IFERROR(__xludf.DUMMYFUNCTION("""COMPUTED_VALUE"""),1275.0)</f>
        <v>1275</v>
      </c>
      <c r="C63" s="7">
        <f>IFERROR(__xludf.DUMMYFUNCTION("""COMPUTED_VALUE"""),1281.0)</f>
        <v>1281</v>
      </c>
      <c r="D63" s="7">
        <f>IFERROR(__xludf.DUMMYFUNCTION("""COMPUTED_VALUE"""),1266.55)</f>
        <v>1266.55</v>
      </c>
      <c r="E63" s="7">
        <f>IFERROR(__xludf.DUMMYFUNCTION("""COMPUTED_VALUE"""),1268.3)</f>
        <v>1268.3</v>
      </c>
      <c r="F63" s="7">
        <f>IFERROR(__xludf.DUMMYFUNCTION("""COMPUTED_VALUE"""),9486781.0)</f>
        <v>9486781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f>IFERROR(__xludf.DUMMYFUNCTION("""COMPUTED_VALUE"""),45643.64583333333)</f>
        <v>45643.64583</v>
      </c>
      <c r="B64" s="7">
        <f>IFERROR(__xludf.DUMMYFUNCTION("""COMPUTED_VALUE"""),1261.05)</f>
        <v>1261.05</v>
      </c>
      <c r="C64" s="7">
        <f>IFERROR(__xludf.DUMMYFUNCTION("""COMPUTED_VALUE"""),1263.9)</f>
        <v>1263.9</v>
      </c>
      <c r="D64" s="7">
        <f>IFERROR(__xludf.DUMMYFUNCTION("""COMPUTED_VALUE"""),1242.8)</f>
        <v>1242.8</v>
      </c>
      <c r="E64" s="7">
        <f>IFERROR(__xludf.DUMMYFUNCTION("""COMPUTED_VALUE"""),1245.3)</f>
        <v>1245.3</v>
      </c>
      <c r="F64" s="7">
        <f>IFERROR(__xludf.DUMMYFUNCTION("""COMPUTED_VALUE"""),1.7462791E7)</f>
        <v>17462791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f>IFERROR(__xludf.DUMMYFUNCTION("""COMPUTED_VALUE"""),45644.64583333333)</f>
        <v>45644.64583</v>
      </c>
      <c r="B65" s="7">
        <f>IFERROR(__xludf.DUMMYFUNCTION("""COMPUTED_VALUE"""),1240.65)</f>
        <v>1240.65</v>
      </c>
      <c r="C65" s="7">
        <f>IFERROR(__xludf.DUMMYFUNCTION("""COMPUTED_VALUE"""),1259.95)</f>
        <v>1259.95</v>
      </c>
      <c r="D65" s="7">
        <f>IFERROR(__xludf.DUMMYFUNCTION("""COMPUTED_VALUE"""),1240.65)</f>
        <v>1240.65</v>
      </c>
      <c r="E65" s="7">
        <f>IFERROR(__xludf.DUMMYFUNCTION("""COMPUTED_VALUE"""),1253.25)</f>
        <v>1253.25</v>
      </c>
      <c r="F65" s="7">
        <f>IFERROR(__xludf.DUMMYFUNCTION("""COMPUTED_VALUE"""),1.2670179E7)</f>
        <v>12670179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f>IFERROR(__xludf.DUMMYFUNCTION("""COMPUTED_VALUE"""),45645.64583333333)</f>
        <v>45645.64583</v>
      </c>
      <c r="B66" s="7">
        <f>IFERROR(__xludf.DUMMYFUNCTION("""COMPUTED_VALUE"""),1239.0)</f>
        <v>1239</v>
      </c>
      <c r="C66" s="7">
        <f>IFERROR(__xludf.DUMMYFUNCTION("""COMPUTED_VALUE"""),1244.9)</f>
        <v>1244.9</v>
      </c>
      <c r="D66" s="7">
        <f>IFERROR(__xludf.DUMMYFUNCTION("""COMPUTED_VALUE"""),1229.0)</f>
        <v>1229</v>
      </c>
      <c r="E66" s="7">
        <f>IFERROR(__xludf.DUMMYFUNCTION("""COMPUTED_VALUE"""),1230.45)</f>
        <v>1230.45</v>
      </c>
      <c r="F66" s="7">
        <f>IFERROR(__xludf.DUMMYFUNCTION("""COMPUTED_VALUE"""),1.4244653E7)</f>
        <v>14244653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f>IFERROR(__xludf.DUMMYFUNCTION("""COMPUTED_VALUE"""),45646.64583333333)</f>
        <v>45646.64583</v>
      </c>
      <c r="B67" s="7">
        <f>IFERROR(__xludf.DUMMYFUNCTION("""COMPUTED_VALUE"""),1224.0)</f>
        <v>1224</v>
      </c>
      <c r="C67" s="7">
        <f>IFERROR(__xludf.DUMMYFUNCTION("""COMPUTED_VALUE"""),1239.5)</f>
        <v>1239.5</v>
      </c>
      <c r="D67" s="7">
        <f>IFERROR(__xludf.DUMMYFUNCTION("""COMPUTED_VALUE"""),1201.5)</f>
        <v>1201.5</v>
      </c>
      <c r="E67" s="7">
        <f>IFERROR(__xludf.DUMMYFUNCTION("""COMPUTED_VALUE"""),1205.3)</f>
        <v>1205.3</v>
      </c>
      <c r="F67" s="7">
        <f>IFERROR(__xludf.DUMMYFUNCTION("""COMPUTED_VALUE"""),2.0312896E7)</f>
        <v>20312896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f>IFERROR(__xludf.DUMMYFUNCTION("""COMPUTED_VALUE"""),45649.64583333333)</f>
        <v>45649.64583</v>
      </c>
      <c r="B68" s="7">
        <f>IFERROR(__xludf.DUMMYFUNCTION("""COMPUTED_VALUE"""),1215.0)</f>
        <v>1215</v>
      </c>
      <c r="C68" s="7">
        <f>IFERROR(__xludf.DUMMYFUNCTION("""COMPUTED_VALUE"""),1227.2)</f>
        <v>1227.2</v>
      </c>
      <c r="D68" s="7">
        <f>IFERROR(__xludf.DUMMYFUNCTION("""COMPUTED_VALUE"""),1213.2)</f>
        <v>1213.2</v>
      </c>
      <c r="E68" s="7">
        <f>IFERROR(__xludf.DUMMYFUNCTION("""COMPUTED_VALUE"""),1222.3)</f>
        <v>1222.3</v>
      </c>
      <c r="F68" s="7">
        <f>IFERROR(__xludf.DUMMYFUNCTION("""COMPUTED_VALUE"""),1.0052824E7)</f>
        <v>10052824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f>IFERROR(__xludf.DUMMYFUNCTION("""COMPUTED_VALUE"""),45650.64583333333)</f>
        <v>45650.64583</v>
      </c>
      <c r="B69" s="7">
        <f>IFERROR(__xludf.DUMMYFUNCTION("""COMPUTED_VALUE"""),1222.3)</f>
        <v>1222.3</v>
      </c>
      <c r="C69" s="7">
        <f>IFERROR(__xludf.DUMMYFUNCTION("""COMPUTED_VALUE"""),1233.55)</f>
        <v>1233.55</v>
      </c>
      <c r="D69" s="7">
        <f>IFERROR(__xludf.DUMMYFUNCTION("""COMPUTED_VALUE"""),1221.0)</f>
        <v>1221</v>
      </c>
      <c r="E69" s="7">
        <f>IFERROR(__xludf.DUMMYFUNCTION("""COMPUTED_VALUE"""),1222.75)</f>
        <v>1222.75</v>
      </c>
      <c r="F69" s="7">
        <f>IFERROR(__xludf.DUMMYFUNCTION("""COMPUTED_VALUE"""),6734917.0)</f>
        <v>6734917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f>IFERROR(__xludf.DUMMYFUNCTION("""COMPUTED_VALUE"""),45652.64583333333)</f>
        <v>45652.64583</v>
      </c>
      <c r="B70" s="7">
        <f>IFERROR(__xludf.DUMMYFUNCTION("""COMPUTED_VALUE"""),1224.25)</f>
        <v>1224.25</v>
      </c>
      <c r="C70" s="7">
        <f>IFERROR(__xludf.DUMMYFUNCTION("""COMPUTED_VALUE"""),1227.7)</f>
        <v>1227.7</v>
      </c>
      <c r="D70" s="7">
        <f>IFERROR(__xludf.DUMMYFUNCTION("""COMPUTED_VALUE"""),1214.25)</f>
        <v>1214.25</v>
      </c>
      <c r="E70" s="7">
        <f>IFERROR(__xludf.DUMMYFUNCTION("""COMPUTED_VALUE"""),1216.55)</f>
        <v>1216.55</v>
      </c>
      <c r="F70" s="7">
        <f>IFERROR(__xludf.DUMMYFUNCTION("""COMPUTED_VALUE"""),1.0016178E7)</f>
        <v>10016178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f>IFERROR(__xludf.DUMMYFUNCTION("""COMPUTED_VALUE"""),45653.64583333333)</f>
        <v>45653.64583</v>
      </c>
      <c r="B71" s="7">
        <f>IFERROR(__xludf.DUMMYFUNCTION("""COMPUTED_VALUE"""),1218.3)</f>
        <v>1218.3</v>
      </c>
      <c r="C71" s="7">
        <f>IFERROR(__xludf.DUMMYFUNCTION("""COMPUTED_VALUE"""),1227.9)</f>
        <v>1227.9</v>
      </c>
      <c r="D71" s="7">
        <f>IFERROR(__xludf.DUMMYFUNCTION("""COMPUTED_VALUE"""),1217.0)</f>
        <v>1217</v>
      </c>
      <c r="E71" s="7">
        <f>IFERROR(__xludf.DUMMYFUNCTION("""COMPUTED_VALUE"""),1221.05)</f>
        <v>1221.05</v>
      </c>
      <c r="F71" s="7">
        <f>IFERROR(__xludf.DUMMYFUNCTION("""COMPUTED_VALUE"""),7000397.0)</f>
        <v>7000397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f>IFERROR(__xludf.DUMMYFUNCTION("""COMPUTED_VALUE"""),45656.64583333333)</f>
        <v>45656.64583</v>
      </c>
      <c r="B72" s="7">
        <f>IFERROR(__xludf.DUMMYFUNCTION("""COMPUTED_VALUE"""),1216.4)</f>
        <v>1216.4</v>
      </c>
      <c r="C72" s="7">
        <f>IFERROR(__xludf.DUMMYFUNCTION("""COMPUTED_VALUE"""),1223.2)</f>
        <v>1223.2</v>
      </c>
      <c r="D72" s="7">
        <f>IFERROR(__xludf.DUMMYFUNCTION("""COMPUTED_VALUE"""),1208.1)</f>
        <v>1208.1</v>
      </c>
      <c r="E72" s="7">
        <f>IFERROR(__xludf.DUMMYFUNCTION("""COMPUTED_VALUE"""),1210.7)</f>
        <v>1210.7</v>
      </c>
      <c r="F72" s="7">
        <f>IFERROR(__xludf.DUMMYFUNCTION("""COMPUTED_VALUE"""),8818766.0)</f>
        <v>8818766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f>IFERROR(__xludf.DUMMYFUNCTION("""COMPUTED_VALUE"""),45657.64583333333)</f>
        <v>45657.64583</v>
      </c>
      <c r="B73" s="7">
        <f>IFERROR(__xludf.DUMMYFUNCTION("""COMPUTED_VALUE"""),1208.0)</f>
        <v>1208</v>
      </c>
      <c r="C73" s="7">
        <f>IFERROR(__xludf.DUMMYFUNCTION("""COMPUTED_VALUE"""),1219.1)</f>
        <v>1219.1</v>
      </c>
      <c r="D73" s="7">
        <f>IFERROR(__xludf.DUMMYFUNCTION("""COMPUTED_VALUE"""),1206.15)</f>
        <v>1206.15</v>
      </c>
      <c r="E73" s="7">
        <f>IFERROR(__xludf.DUMMYFUNCTION("""COMPUTED_VALUE"""),1215.45)</f>
        <v>1215.45</v>
      </c>
      <c r="F73" s="7">
        <f>IFERROR(__xludf.DUMMYFUNCTION("""COMPUTED_VALUE"""),6405475.0)</f>
        <v>6405475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f>IFERROR(__xludf.DUMMYFUNCTION("""COMPUTED_VALUE"""),45658.64583333333)</f>
        <v>45658.64583</v>
      </c>
      <c r="B74" s="7">
        <f>IFERROR(__xludf.DUMMYFUNCTION("""COMPUTED_VALUE"""),1214.85)</f>
        <v>1214.85</v>
      </c>
      <c r="C74" s="7">
        <f>IFERROR(__xludf.DUMMYFUNCTION("""COMPUTED_VALUE"""),1226.3)</f>
        <v>1226.3</v>
      </c>
      <c r="D74" s="7">
        <f>IFERROR(__xludf.DUMMYFUNCTION("""COMPUTED_VALUE"""),1211.6)</f>
        <v>1211.6</v>
      </c>
      <c r="E74" s="7">
        <f>IFERROR(__xludf.DUMMYFUNCTION("""COMPUTED_VALUE"""),1221.25)</f>
        <v>1221.25</v>
      </c>
      <c r="F74" s="7">
        <f>IFERROR(__xludf.DUMMYFUNCTION("""COMPUTED_VALUE"""),5892590.0)</f>
        <v>5892590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f>IFERROR(__xludf.DUMMYFUNCTION("""COMPUTED_VALUE"""),45659.64583333333)</f>
        <v>45659.64583</v>
      </c>
      <c r="B75" s="7">
        <f>IFERROR(__xludf.DUMMYFUNCTION("""COMPUTED_VALUE"""),1221.25)</f>
        <v>1221.25</v>
      </c>
      <c r="C75" s="7">
        <f>IFERROR(__xludf.DUMMYFUNCTION("""COMPUTED_VALUE"""),1244.45)</f>
        <v>1244.45</v>
      </c>
      <c r="D75" s="7">
        <f>IFERROR(__xludf.DUMMYFUNCTION("""COMPUTED_VALUE"""),1220.0)</f>
        <v>1220</v>
      </c>
      <c r="E75" s="7">
        <f>IFERROR(__xludf.DUMMYFUNCTION("""COMPUTED_VALUE"""),1241.8)</f>
        <v>1241.8</v>
      </c>
      <c r="F75" s="7">
        <f>IFERROR(__xludf.DUMMYFUNCTION("""COMPUTED_VALUE"""),1.5486276E7)</f>
        <v>15486276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f>IFERROR(__xludf.DUMMYFUNCTION("""COMPUTED_VALUE"""),45660.64583333333)</f>
        <v>45660.64583</v>
      </c>
      <c r="B76" s="7">
        <f>IFERROR(__xludf.DUMMYFUNCTION("""COMPUTED_VALUE"""),1243.9)</f>
        <v>1243.9</v>
      </c>
      <c r="C76" s="7">
        <f>IFERROR(__xludf.DUMMYFUNCTION("""COMPUTED_VALUE"""),1262.05)</f>
        <v>1262.05</v>
      </c>
      <c r="D76" s="7">
        <f>IFERROR(__xludf.DUMMYFUNCTION("""COMPUTED_VALUE"""),1235.5)</f>
        <v>1235.5</v>
      </c>
      <c r="E76" s="7">
        <f>IFERROR(__xludf.DUMMYFUNCTION("""COMPUTED_VALUE"""),1251.15)</f>
        <v>1251.15</v>
      </c>
      <c r="F76" s="7">
        <f>IFERROR(__xludf.DUMMYFUNCTION("""COMPUTED_VALUE"""),1.5521102E7)</f>
        <v>15521102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f>IFERROR(__xludf.DUMMYFUNCTION("""COMPUTED_VALUE"""),45663.64583333333)</f>
        <v>45663.64583</v>
      </c>
      <c r="B77" s="7">
        <f>IFERROR(__xludf.DUMMYFUNCTION("""COMPUTED_VALUE"""),1253.95)</f>
        <v>1253.95</v>
      </c>
      <c r="C77" s="7">
        <f>IFERROR(__xludf.DUMMYFUNCTION("""COMPUTED_VALUE"""),1262.0)</f>
        <v>1262</v>
      </c>
      <c r="D77" s="7">
        <f>IFERROR(__xludf.DUMMYFUNCTION("""COMPUTED_VALUE"""),1215.0)</f>
        <v>1215</v>
      </c>
      <c r="E77" s="7">
        <f>IFERROR(__xludf.DUMMYFUNCTION("""COMPUTED_VALUE"""),1218.0)</f>
        <v>1218</v>
      </c>
      <c r="F77" s="7">
        <f>IFERROR(__xludf.DUMMYFUNCTION("""COMPUTED_VALUE"""),1.4816766E7)</f>
        <v>14816766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f>IFERROR(__xludf.DUMMYFUNCTION("""COMPUTED_VALUE"""),45664.64583333333)</f>
        <v>45664.64583</v>
      </c>
      <c r="B78" s="7">
        <f>IFERROR(__xludf.DUMMYFUNCTION("""COMPUTED_VALUE"""),1222.0)</f>
        <v>1222</v>
      </c>
      <c r="C78" s="7">
        <f>IFERROR(__xludf.DUMMYFUNCTION("""COMPUTED_VALUE"""),1244.5)</f>
        <v>1244.5</v>
      </c>
      <c r="D78" s="7">
        <f>IFERROR(__xludf.DUMMYFUNCTION("""COMPUTED_VALUE"""),1221.25)</f>
        <v>1221.25</v>
      </c>
      <c r="E78" s="7">
        <f>IFERROR(__xludf.DUMMYFUNCTION("""COMPUTED_VALUE"""),1240.85)</f>
        <v>1240.85</v>
      </c>
      <c r="F78" s="7">
        <f>IFERROR(__xludf.DUMMYFUNCTION("""COMPUTED_VALUE"""),1.0070505E7)</f>
        <v>10070505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f>IFERROR(__xludf.DUMMYFUNCTION("""COMPUTED_VALUE"""),45665.64583333333)</f>
        <v>45665.64583</v>
      </c>
      <c r="B79" s="7">
        <f>IFERROR(__xludf.DUMMYFUNCTION("""COMPUTED_VALUE"""),1249.0)</f>
        <v>1249</v>
      </c>
      <c r="C79" s="7">
        <f>IFERROR(__xludf.DUMMYFUNCTION("""COMPUTED_VALUE"""),1271.05)</f>
        <v>1271.05</v>
      </c>
      <c r="D79" s="7">
        <f>IFERROR(__xludf.DUMMYFUNCTION("""COMPUTED_VALUE"""),1245.35)</f>
        <v>1245.35</v>
      </c>
      <c r="E79" s="7">
        <f>IFERROR(__xludf.DUMMYFUNCTION("""COMPUTED_VALUE"""),1265.5)</f>
        <v>1265.5</v>
      </c>
      <c r="F79" s="7">
        <f>IFERROR(__xludf.DUMMYFUNCTION("""COMPUTED_VALUE"""),1.9346579E7)</f>
        <v>19346579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f>IFERROR(__xludf.DUMMYFUNCTION("""COMPUTED_VALUE"""),45666.64583333333)</f>
        <v>45666.64583</v>
      </c>
      <c r="B80" s="7">
        <f>IFERROR(__xludf.DUMMYFUNCTION("""COMPUTED_VALUE"""),1267.0)</f>
        <v>1267</v>
      </c>
      <c r="C80" s="7">
        <f>IFERROR(__xludf.DUMMYFUNCTION("""COMPUTED_VALUE"""),1269.75)</f>
        <v>1269.75</v>
      </c>
      <c r="D80" s="7">
        <f>IFERROR(__xludf.DUMMYFUNCTION("""COMPUTED_VALUE"""),1248.05)</f>
        <v>1248.05</v>
      </c>
      <c r="E80" s="7">
        <f>IFERROR(__xludf.DUMMYFUNCTION("""COMPUTED_VALUE"""),1254.75)</f>
        <v>1254.75</v>
      </c>
      <c r="F80" s="7">
        <f>IFERROR(__xludf.DUMMYFUNCTION("""COMPUTED_VALUE"""),1.2794704E7)</f>
        <v>12794704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f>IFERROR(__xludf.DUMMYFUNCTION("""COMPUTED_VALUE"""),45667.64583333333)</f>
        <v>45667.64583</v>
      </c>
      <c r="B81" s="7">
        <f>IFERROR(__xludf.DUMMYFUNCTION("""COMPUTED_VALUE"""),1253.85)</f>
        <v>1253.85</v>
      </c>
      <c r="C81" s="7">
        <f>IFERROR(__xludf.DUMMYFUNCTION("""COMPUTED_VALUE"""),1256.75)</f>
        <v>1256.75</v>
      </c>
      <c r="D81" s="7">
        <f>IFERROR(__xludf.DUMMYFUNCTION("""COMPUTED_VALUE"""),1236.0)</f>
        <v>1236</v>
      </c>
      <c r="E81" s="7">
        <f>IFERROR(__xludf.DUMMYFUNCTION("""COMPUTED_VALUE"""),1241.9)</f>
        <v>1241.9</v>
      </c>
      <c r="F81" s="7">
        <f>IFERROR(__xludf.DUMMYFUNCTION("""COMPUTED_VALUE"""),8120332.0)</f>
        <v>8120332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f>IFERROR(__xludf.DUMMYFUNCTION("""COMPUTED_VALUE"""),45670.64583333333)</f>
        <v>45670.64583</v>
      </c>
      <c r="B82" s="7">
        <f>IFERROR(__xludf.DUMMYFUNCTION("""COMPUTED_VALUE"""),1230.0)</f>
        <v>1230</v>
      </c>
      <c r="C82" s="7">
        <f>IFERROR(__xludf.DUMMYFUNCTION("""COMPUTED_VALUE"""),1245.25)</f>
        <v>1245.25</v>
      </c>
      <c r="D82" s="7">
        <f>IFERROR(__xludf.DUMMYFUNCTION("""COMPUTED_VALUE"""),1226.4)</f>
        <v>1226.4</v>
      </c>
      <c r="E82" s="7">
        <f>IFERROR(__xludf.DUMMYFUNCTION("""COMPUTED_VALUE"""),1239.85)</f>
        <v>1239.85</v>
      </c>
      <c r="F82" s="7">
        <f>IFERROR(__xludf.DUMMYFUNCTION("""COMPUTED_VALUE"""),1.3764861E7)</f>
        <v>13764861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f>IFERROR(__xludf.DUMMYFUNCTION("""COMPUTED_VALUE"""),45671.64583333333)</f>
        <v>45671.64583</v>
      </c>
      <c r="B83" s="7">
        <f>IFERROR(__xludf.DUMMYFUNCTION("""COMPUTED_VALUE"""),1244.1)</f>
        <v>1244.1</v>
      </c>
      <c r="C83" s="7">
        <f>IFERROR(__xludf.DUMMYFUNCTION("""COMPUTED_VALUE"""),1253.35)</f>
        <v>1253.35</v>
      </c>
      <c r="D83" s="7">
        <f>IFERROR(__xludf.DUMMYFUNCTION("""COMPUTED_VALUE"""),1227.25)</f>
        <v>1227.25</v>
      </c>
      <c r="E83" s="7">
        <f>IFERROR(__xludf.DUMMYFUNCTION("""COMPUTED_VALUE"""),1238.75)</f>
        <v>1238.75</v>
      </c>
      <c r="F83" s="7">
        <f>IFERROR(__xludf.DUMMYFUNCTION("""COMPUTED_VALUE"""),1.3095266E7)</f>
        <v>13095266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f>IFERROR(__xludf.DUMMYFUNCTION("""COMPUTED_VALUE"""),45672.64583333333)</f>
        <v>45672.64583</v>
      </c>
      <c r="B84" s="7">
        <f>IFERROR(__xludf.DUMMYFUNCTION("""COMPUTED_VALUE"""),1244.95)</f>
        <v>1244.95</v>
      </c>
      <c r="C84" s="7">
        <f>IFERROR(__xludf.DUMMYFUNCTION("""COMPUTED_VALUE"""),1257.0)</f>
        <v>1257</v>
      </c>
      <c r="D84" s="7">
        <f>IFERROR(__xludf.DUMMYFUNCTION("""COMPUTED_VALUE"""),1241.85)</f>
        <v>1241.85</v>
      </c>
      <c r="E84" s="7">
        <f>IFERROR(__xludf.DUMMYFUNCTION("""COMPUTED_VALUE"""),1252.2)</f>
        <v>1252.2</v>
      </c>
      <c r="F84" s="7">
        <f>IFERROR(__xludf.DUMMYFUNCTION("""COMPUTED_VALUE"""),9578856.0)</f>
        <v>9578856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f>IFERROR(__xludf.DUMMYFUNCTION("""COMPUTED_VALUE"""),45673.64583333333)</f>
        <v>45673.64583</v>
      </c>
      <c r="B85" s="7">
        <f>IFERROR(__xludf.DUMMYFUNCTION("""COMPUTED_VALUE"""),1258.9)</f>
        <v>1258.9</v>
      </c>
      <c r="C85" s="7">
        <f>IFERROR(__xludf.DUMMYFUNCTION("""COMPUTED_VALUE"""),1275.0)</f>
        <v>1275</v>
      </c>
      <c r="D85" s="7">
        <f>IFERROR(__xludf.DUMMYFUNCTION("""COMPUTED_VALUE"""),1251.3)</f>
        <v>1251.3</v>
      </c>
      <c r="E85" s="7">
        <f>IFERROR(__xludf.DUMMYFUNCTION("""COMPUTED_VALUE"""),1266.45)</f>
        <v>1266.45</v>
      </c>
      <c r="F85" s="7">
        <f>IFERROR(__xludf.DUMMYFUNCTION("""COMPUTED_VALUE"""),1.4117603E7)</f>
        <v>14117603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f>IFERROR(__xludf.DUMMYFUNCTION("""COMPUTED_VALUE"""),45674.64583333333)</f>
        <v>45674.64583</v>
      </c>
      <c r="B86" s="7">
        <f>IFERROR(__xludf.DUMMYFUNCTION("""COMPUTED_VALUE"""),1322.25)</f>
        <v>1322.25</v>
      </c>
      <c r="C86" s="7">
        <f>IFERROR(__xludf.DUMMYFUNCTION("""COMPUTED_VALUE"""),1326.0)</f>
        <v>1326</v>
      </c>
      <c r="D86" s="7">
        <f>IFERROR(__xludf.DUMMYFUNCTION("""COMPUTED_VALUE"""),1285.0)</f>
        <v>1285</v>
      </c>
      <c r="E86" s="7">
        <f>IFERROR(__xludf.DUMMYFUNCTION("""COMPUTED_VALUE"""),1302.35)</f>
        <v>1302.35</v>
      </c>
      <c r="F86" s="7">
        <f>IFERROR(__xludf.DUMMYFUNCTION("""COMPUTED_VALUE"""),2.9366277E7)</f>
        <v>29366277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f>IFERROR(__xludf.DUMMYFUNCTION("""COMPUTED_VALUE"""),45677.64583333333)</f>
        <v>45677.64583</v>
      </c>
      <c r="B87" s="7">
        <f>IFERROR(__xludf.DUMMYFUNCTION("""COMPUTED_VALUE"""),1316.0)</f>
        <v>1316</v>
      </c>
      <c r="C87" s="7">
        <f>IFERROR(__xludf.DUMMYFUNCTION("""COMPUTED_VALUE"""),1316.0)</f>
        <v>1316</v>
      </c>
      <c r="D87" s="7">
        <f>IFERROR(__xludf.DUMMYFUNCTION("""COMPUTED_VALUE"""),1300.25)</f>
        <v>1300.25</v>
      </c>
      <c r="E87" s="7">
        <f>IFERROR(__xludf.DUMMYFUNCTION("""COMPUTED_VALUE"""),1305.45)</f>
        <v>1305.45</v>
      </c>
      <c r="F87" s="7">
        <f>IFERROR(__xludf.DUMMYFUNCTION("""COMPUTED_VALUE"""),1.4040244E7)</f>
        <v>14040244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f>IFERROR(__xludf.DUMMYFUNCTION("""COMPUTED_VALUE"""),45678.64583333333)</f>
        <v>45678.64583</v>
      </c>
      <c r="B88" s="7">
        <f>IFERROR(__xludf.DUMMYFUNCTION("""COMPUTED_VALUE"""),1310.5)</f>
        <v>1310.5</v>
      </c>
      <c r="C88" s="7">
        <f>IFERROR(__xludf.DUMMYFUNCTION("""COMPUTED_VALUE"""),1313.0)</f>
        <v>1313</v>
      </c>
      <c r="D88" s="7">
        <f>IFERROR(__xludf.DUMMYFUNCTION("""COMPUTED_VALUE"""),1270.2)</f>
        <v>1270.2</v>
      </c>
      <c r="E88" s="7">
        <f>IFERROR(__xludf.DUMMYFUNCTION("""COMPUTED_VALUE"""),1273.7)</f>
        <v>1273.7</v>
      </c>
      <c r="F88" s="7">
        <f>IFERROR(__xludf.DUMMYFUNCTION("""COMPUTED_VALUE"""),1.4562976E7)</f>
        <v>14562976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f>IFERROR(__xludf.DUMMYFUNCTION("""COMPUTED_VALUE"""),45679.64583333333)</f>
        <v>45679.64583</v>
      </c>
      <c r="B89" s="7">
        <f>IFERROR(__xludf.DUMMYFUNCTION("""COMPUTED_VALUE"""),1278.3)</f>
        <v>1278.3</v>
      </c>
      <c r="C89" s="7">
        <f>IFERROR(__xludf.DUMMYFUNCTION("""COMPUTED_VALUE"""),1282.9)</f>
        <v>1282.9</v>
      </c>
      <c r="D89" s="7">
        <f>IFERROR(__xludf.DUMMYFUNCTION("""COMPUTED_VALUE"""),1268.7)</f>
        <v>1268.7</v>
      </c>
      <c r="E89" s="7">
        <f>IFERROR(__xludf.DUMMYFUNCTION("""COMPUTED_VALUE"""),1277.1)</f>
        <v>1277.1</v>
      </c>
      <c r="F89" s="7">
        <f>IFERROR(__xludf.DUMMYFUNCTION("""COMPUTED_VALUE"""),1.027359E7)</f>
        <v>10273590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f>IFERROR(__xludf.DUMMYFUNCTION("""COMPUTED_VALUE"""),45680.64583333333)</f>
        <v>45680.64583</v>
      </c>
      <c r="B90" s="7">
        <f>IFERROR(__xludf.DUMMYFUNCTION("""COMPUTED_VALUE"""),1270.0)</f>
        <v>1270</v>
      </c>
      <c r="C90" s="7">
        <f>IFERROR(__xludf.DUMMYFUNCTION("""COMPUTED_VALUE"""),1277.35)</f>
        <v>1277.35</v>
      </c>
      <c r="D90" s="7">
        <f>IFERROR(__xludf.DUMMYFUNCTION("""COMPUTED_VALUE"""),1261.6)</f>
        <v>1261.6</v>
      </c>
      <c r="E90" s="7">
        <f>IFERROR(__xludf.DUMMYFUNCTION("""COMPUTED_VALUE"""),1263.65)</f>
        <v>1263.65</v>
      </c>
      <c r="F90" s="7">
        <f>IFERROR(__xludf.DUMMYFUNCTION("""COMPUTED_VALUE"""),8720682.0)</f>
        <v>8720682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f>IFERROR(__xludf.DUMMYFUNCTION("""COMPUTED_VALUE"""),45681.64583333333)</f>
        <v>45681.64583</v>
      </c>
      <c r="B91" s="7">
        <f>IFERROR(__xludf.DUMMYFUNCTION("""COMPUTED_VALUE"""),1266.0)</f>
        <v>1266</v>
      </c>
      <c r="C91" s="7">
        <f>IFERROR(__xludf.DUMMYFUNCTION("""COMPUTED_VALUE"""),1273.0)</f>
        <v>1273</v>
      </c>
      <c r="D91" s="7">
        <f>IFERROR(__xludf.DUMMYFUNCTION("""COMPUTED_VALUE"""),1243.5)</f>
        <v>1243.5</v>
      </c>
      <c r="E91" s="7">
        <f>IFERROR(__xludf.DUMMYFUNCTION("""COMPUTED_VALUE"""),1246.3)</f>
        <v>1246.3</v>
      </c>
      <c r="F91" s="7">
        <f>IFERROR(__xludf.DUMMYFUNCTION("""COMPUTED_VALUE"""),1.423597E7)</f>
        <v>14235970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f>IFERROR(__xludf.DUMMYFUNCTION("""COMPUTED_VALUE"""),45684.64583333333)</f>
        <v>45684.64583</v>
      </c>
      <c r="B92" s="7">
        <f>IFERROR(__xludf.DUMMYFUNCTION("""COMPUTED_VALUE"""),1239.1)</f>
        <v>1239.1</v>
      </c>
      <c r="C92" s="7">
        <f>IFERROR(__xludf.DUMMYFUNCTION("""COMPUTED_VALUE"""),1240.45)</f>
        <v>1240.45</v>
      </c>
      <c r="D92" s="7">
        <f>IFERROR(__xludf.DUMMYFUNCTION("""COMPUTED_VALUE"""),1220.0)</f>
        <v>1220</v>
      </c>
      <c r="E92" s="7">
        <f>IFERROR(__xludf.DUMMYFUNCTION("""COMPUTED_VALUE"""),1229.35)</f>
        <v>1229.35</v>
      </c>
      <c r="F92" s="7">
        <f>IFERROR(__xludf.DUMMYFUNCTION("""COMPUTED_VALUE"""),9536019.0)</f>
        <v>9536019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f>IFERROR(__xludf.DUMMYFUNCTION("""COMPUTED_VALUE"""),45685.64583333333)</f>
        <v>45685.64583</v>
      </c>
      <c r="B93" s="7">
        <f>IFERROR(__xludf.DUMMYFUNCTION("""COMPUTED_VALUE"""),1238.0)</f>
        <v>1238</v>
      </c>
      <c r="C93" s="7">
        <f>IFERROR(__xludf.DUMMYFUNCTION("""COMPUTED_VALUE"""),1244.75)</f>
        <v>1244.75</v>
      </c>
      <c r="D93" s="7">
        <f>IFERROR(__xludf.DUMMYFUNCTION("""COMPUTED_VALUE"""),1218.5)</f>
        <v>1218.5</v>
      </c>
      <c r="E93" s="7">
        <f>IFERROR(__xludf.DUMMYFUNCTION("""COMPUTED_VALUE"""),1234.4)</f>
        <v>1234.4</v>
      </c>
      <c r="F93" s="7">
        <f>IFERROR(__xludf.DUMMYFUNCTION("""COMPUTED_VALUE"""),1.0568025E7)</f>
        <v>10568025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f>IFERROR(__xludf.DUMMYFUNCTION("""COMPUTED_VALUE"""),45686.64583333333)</f>
        <v>45686.64583</v>
      </c>
      <c r="B94" s="7">
        <f>IFERROR(__xludf.DUMMYFUNCTION("""COMPUTED_VALUE"""),1236.0)</f>
        <v>1236</v>
      </c>
      <c r="C94" s="7">
        <f>IFERROR(__xludf.DUMMYFUNCTION("""COMPUTED_VALUE"""),1242.75)</f>
        <v>1242.75</v>
      </c>
      <c r="D94" s="7">
        <f>IFERROR(__xludf.DUMMYFUNCTION("""COMPUTED_VALUE"""),1228.05)</f>
        <v>1228.05</v>
      </c>
      <c r="E94" s="7">
        <f>IFERROR(__xludf.DUMMYFUNCTION("""COMPUTED_VALUE"""),1235.5)</f>
        <v>1235.5</v>
      </c>
      <c r="F94" s="7">
        <f>IFERROR(__xludf.DUMMYFUNCTION("""COMPUTED_VALUE"""),5928156.0)</f>
        <v>5928156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f>IFERROR(__xludf.DUMMYFUNCTION("""COMPUTED_VALUE"""),45687.64583333333)</f>
        <v>45687.64583</v>
      </c>
      <c r="B95" s="7">
        <f>IFERROR(__xludf.DUMMYFUNCTION("""COMPUTED_VALUE"""),1235.55)</f>
        <v>1235.55</v>
      </c>
      <c r="C95" s="7">
        <f>IFERROR(__xludf.DUMMYFUNCTION("""COMPUTED_VALUE"""),1257.0)</f>
        <v>1257</v>
      </c>
      <c r="D95" s="7">
        <f>IFERROR(__xludf.DUMMYFUNCTION("""COMPUTED_VALUE"""),1232.4)</f>
        <v>1232.4</v>
      </c>
      <c r="E95" s="7">
        <f>IFERROR(__xludf.DUMMYFUNCTION("""COMPUTED_VALUE"""),1253.05)</f>
        <v>1253.05</v>
      </c>
      <c r="F95" s="7">
        <f>IFERROR(__xludf.DUMMYFUNCTION("""COMPUTED_VALUE"""),9269259.0)</f>
        <v>9269259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f>IFERROR(__xludf.DUMMYFUNCTION("""COMPUTED_VALUE"""),45688.64583333333)</f>
        <v>45688.64583</v>
      </c>
      <c r="B96" s="7">
        <f>IFERROR(__xludf.DUMMYFUNCTION("""COMPUTED_VALUE"""),1255.85)</f>
        <v>1255.85</v>
      </c>
      <c r="C96" s="7">
        <f>IFERROR(__xludf.DUMMYFUNCTION("""COMPUTED_VALUE"""),1267.0)</f>
        <v>1267</v>
      </c>
      <c r="D96" s="7">
        <f>IFERROR(__xludf.DUMMYFUNCTION("""COMPUTED_VALUE"""),1249.0)</f>
        <v>1249</v>
      </c>
      <c r="E96" s="7">
        <f>IFERROR(__xludf.DUMMYFUNCTION("""COMPUTED_VALUE"""),1265.1)</f>
        <v>1265.1</v>
      </c>
      <c r="F96" s="7">
        <f>IFERROR(__xludf.DUMMYFUNCTION("""COMPUTED_VALUE"""),6584612.0)</f>
        <v>6584612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f>IFERROR(__xludf.DUMMYFUNCTION("""COMPUTED_VALUE"""),45691.64583333333)</f>
        <v>45691.64583</v>
      </c>
      <c r="B97" s="7">
        <f>IFERROR(__xludf.DUMMYFUNCTION("""COMPUTED_VALUE"""),1251.0)</f>
        <v>1251</v>
      </c>
      <c r="C97" s="7">
        <f>IFERROR(__xludf.DUMMYFUNCTION("""COMPUTED_VALUE"""),1256.0)</f>
        <v>1256</v>
      </c>
      <c r="D97" s="7">
        <f>IFERROR(__xludf.DUMMYFUNCTION("""COMPUTED_VALUE"""),1237.55)</f>
        <v>1237.55</v>
      </c>
      <c r="E97" s="7">
        <f>IFERROR(__xludf.DUMMYFUNCTION("""COMPUTED_VALUE"""),1245.9)</f>
        <v>1245.9</v>
      </c>
      <c r="F97" s="7">
        <f>IFERROR(__xludf.DUMMYFUNCTION("""COMPUTED_VALUE"""),9252345.0)</f>
        <v>9252345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f>IFERROR(__xludf.DUMMYFUNCTION("""COMPUTED_VALUE"""),45692.64583333333)</f>
        <v>45692.64583</v>
      </c>
      <c r="B98" s="7">
        <f>IFERROR(__xludf.DUMMYFUNCTION("""COMPUTED_VALUE"""),1248.05)</f>
        <v>1248.05</v>
      </c>
      <c r="C98" s="7">
        <f>IFERROR(__xludf.DUMMYFUNCTION("""COMPUTED_VALUE"""),1288.8)</f>
        <v>1288.8</v>
      </c>
      <c r="D98" s="7">
        <f>IFERROR(__xludf.DUMMYFUNCTION("""COMPUTED_VALUE"""),1246.6)</f>
        <v>1246.6</v>
      </c>
      <c r="E98" s="7">
        <f>IFERROR(__xludf.DUMMYFUNCTION("""COMPUTED_VALUE"""),1285.2)</f>
        <v>1285.2</v>
      </c>
      <c r="F98" s="7">
        <f>IFERROR(__xludf.DUMMYFUNCTION("""COMPUTED_VALUE"""),1.6691069E7)</f>
        <v>16691069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f>IFERROR(__xludf.DUMMYFUNCTION("""COMPUTED_VALUE"""),45693.64583333333)</f>
        <v>45693.64583</v>
      </c>
      <c r="B99" s="7">
        <f>IFERROR(__xludf.DUMMYFUNCTION("""COMPUTED_VALUE"""),1282.65)</f>
        <v>1282.65</v>
      </c>
      <c r="C99" s="7">
        <f>IFERROR(__xludf.DUMMYFUNCTION("""COMPUTED_VALUE"""),1290.5)</f>
        <v>1290.5</v>
      </c>
      <c r="D99" s="7">
        <f>IFERROR(__xludf.DUMMYFUNCTION("""COMPUTED_VALUE"""),1276.7)</f>
        <v>1276.7</v>
      </c>
      <c r="E99" s="7">
        <f>IFERROR(__xludf.DUMMYFUNCTION("""COMPUTED_VALUE"""),1278.2)</f>
        <v>1278.2</v>
      </c>
      <c r="F99" s="7">
        <f>IFERROR(__xludf.DUMMYFUNCTION("""COMPUTED_VALUE"""),1.0112028E7)</f>
        <v>10112028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f>IFERROR(__xludf.DUMMYFUNCTION("""COMPUTED_VALUE"""),45694.64583333333)</f>
        <v>45694.64583</v>
      </c>
      <c r="B100" s="7">
        <f>IFERROR(__xludf.DUMMYFUNCTION("""COMPUTED_VALUE"""),1273.7)</f>
        <v>1273.7</v>
      </c>
      <c r="C100" s="7">
        <f>IFERROR(__xludf.DUMMYFUNCTION("""COMPUTED_VALUE"""),1288.0)</f>
        <v>1288</v>
      </c>
      <c r="D100" s="7">
        <f>IFERROR(__xludf.DUMMYFUNCTION("""COMPUTED_VALUE"""),1270.35)</f>
        <v>1270.35</v>
      </c>
      <c r="E100" s="7">
        <f>IFERROR(__xludf.DUMMYFUNCTION("""COMPUTED_VALUE"""),1281.55)</f>
        <v>1281.55</v>
      </c>
      <c r="F100" s="7">
        <f>IFERROR(__xludf.DUMMYFUNCTION("""COMPUTED_VALUE"""),9956001.0)</f>
        <v>9956001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f>IFERROR(__xludf.DUMMYFUNCTION("""COMPUTED_VALUE"""),45695.64583333333)</f>
        <v>45695.64583</v>
      </c>
      <c r="B101" s="7">
        <f>IFERROR(__xludf.DUMMYFUNCTION("""COMPUTED_VALUE"""),1276.15)</f>
        <v>1276.15</v>
      </c>
      <c r="C101" s="7">
        <f>IFERROR(__xludf.DUMMYFUNCTION("""COMPUTED_VALUE"""),1283.7)</f>
        <v>1283.7</v>
      </c>
      <c r="D101" s="7">
        <f>IFERROR(__xludf.DUMMYFUNCTION("""COMPUTED_VALUE"""),1262.0)</f>
        <v>1262</v>
      </c>
      <c r="E101" s="7">
        <f>IFERROR(__xludf.DUMMYFUNCTION("""COMPUTED_VALUE"""),1266.7)</f>
        <v>1266.7</v>
      </c>
      <c r="F101" s="7">
        <f>IFERROR(__xludf.DUMMYFUNCTION("""COMPUTED_VALUE"""),8764283.0)</f>
        <v>8764283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f>IFERROR(__xludf.DUMMYFUNCTION("""COMPUTED_VALUE"""),45698.64583333333)</f>
        <v>45698.64583</v>
      </c>
      <c r="B102" s="7">
        <f>IFERROR(__xludf.DUMMYFUNCTION("""COMPUTED_VALUE"""),1264.5)</f>
        <v>1264.5</v>
      </c>
      <c r="C102" s="7">
        <f>IFERROR(__xludf.DUMMYFUNCTION("""COMPUTED_VALUE"""),1266.5)</f>
        <v>1266.5</v>
      </c>
      <c r="D102" s="7">
        <f>IFERROR(__xludf.DUMMYFUNCTION("""COMPUTED_VALUE"""),1245.55)</f>
        <v>1245.55</v>
      </c>
      <c r="E102" s="7">
        <f>IFERROR(__xludf.DUMMYFUNCTION("""COMPUTED_VALUE"""),1253.65)</f>
        <v>1253.65</v>
      </c>
      <c r="F102" s="7">
        <f>IFERROR(__xludf.DUMMYFUNCTION("""COMPUTED_VALUE"""),6970972.0)</f>
        <v>6970972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f>IFERROR(__xludf.DUMMYFUNCTION("""COMPUTED_VALUE"""),45699.64583333333)</f>
        <v>45699.64583</v>
      </c>
      <c r="B103" s="7">
        <f>IFERROR(__xludf.DUMMYFUNCTION("""COMPUTED_VALUE"""),1264.55)</f>
        <v>1264.55</v>
      </c>
      <c r="C103" s="7">
        <f>IFERROR(__xludf.DUMMYFUNCTION("""COMPUTED_VALUE"""),1264.55)</f>
        <v>1264.55</v>
      </c>
      <c r="D103" s="7">
        <f>IFERROR(__xludf.DUMMYFUNCTION("""COMPUTED_VALUE"""),1230.1)</f>
        <v>1230.1</v>
      </c>
      <c r="E103" s="7">
        <f>IFERROR(__xludf.DUMMYFUNCTION("""COMPUTED_VALUE"""),1234.85)</f>
        <v>1234.85</v>
      </c>
      <c r="F103" s="7">
        <f>IFERROR(__xludf.DUMMYFUNCTION("""COMPUTED_VALUE"""),8859714.0)</f>
        <v>8859714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f>IFERROR(__xludf.DUMMYFUNCTION("""COMPUTED_VALUE"""),45700.64583333333)</f>
        <v>45700.64583</v>
      </c>
      <c r="B104" s="7">
        <f>IFERROR(__xludf.DUMMYFUNCTION("""COMPUTED_VALUE"""),1219.45)</f>
        <v>1219.45</v>
      </c>
      <c r="C104" s="7">
        <f>IFERROR(__xludf.DUMMYFUNCTION("""COMPUTED_VALUE"""),1226.9)</f>
        <v>1226.9</v>
      </c>
      <c r="D104" s="7">
        <f>IFERROR(__xludf.DUMMYFUNCTION("""COMPUTED_VALUE"""),1193.35)</f>
        <v>1193.35</v>
      </c>
      <c r="E104" s="7">
        <f>IFERROR(__xludf.DUMMYFUNCTION("""COMPUTED_VALUE"""),1216.55)</f>
        <v>1216.55</v>
      </c>
      <c r="F104" s="7">
        <f>IFERROR(__xludf.DUMMYFUNCTION("""COMPUTED_VALUE"""),2.1131654E7)</f>
        <v>21131654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f>IFERROR(__xludf.DUMMYFUNCTION("""COMPUTED_VALUE"""),45701.64583333333)</f>
        <v>45701.64583</v>
      </c>
      <c r="B105" s="7">
        <f>IFERROR(__xludf.DUMMYFUNCTION("""COMPUTED_VALUE"""),1217.05)</f>
        <v>1217.05</v>
      </c>
      <c r="C105" s="7">
        <f>IFERROR(__xludf.DUMMYFUNCTION("""COMPUTED_VALUE"""),1228.0)</f>
        <v>1228</v>
      </c>
      <c r="D105" s="7">
        <f>IFERROR(__xludf.DUMMYFUNCTION("""COMPUTED_VALUE"""),1212.0)</f>
        <v>1212</v>
      </c>
      <c r="E105" s="7">
        <f>IFERROR(__xludf.DUMMYFUNCTION("""COMPUTED_VALUE"""),1216.1)</f>
        <v>1216.1</v>
      </c>
      <c r="F105" s="7">
        <f>IFERROR(__xludf.DUMMYFUNCTION("""COMPUTED_VALUE"""),8511216.0)</f>
        <v>8511216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f>IFERROR(__xludf.DUMMYFUNCTION("""COMPUTED_VALUE"""),45702.64583333333)</f>
        <v>45702.64583</v>
      </c>
      <c r="B106" s="7">
        <f>IFERROR(__xludf.DUMMYFUNCTION("""COMPUTED_VALUE"""),1219.0)</f>
        <v>1219</v>
      </c>
      <c r="C106" s="7">
        <f>IFERROR(__xludf.DUMMYFUNCTION("""COMPUTED_VALUE"""),1224.0)</f>
        <v>1224</v>
      </c>
      <c r="D106" s="7">
        <f>IFERROR(__xludf.DUMMYFUNCTION("""COMPUTED_VALUE"""),1205.45)</f>
        <v>1205.45</v>
      </c>
      <c r="E106" s="7">
        <f>IFERROR(__xludf.DUMMYFUNCTION("""COMPUTED_VALUE"""),1217.25)</f>
        <v>1217.25</v>
      </c>
      <c r="F106" s="7">
        <f>IFERROR(__xludf.DUMMYFUNCTION("""COMPUTED_VALUE"""),1.0298145E7)</f>
        <v>10298145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f>IFERROR(__xludf.DUMMYFUNCTION("""COMPUTED_VALUE"""),45705.64583333333)</f>
        <v>45705.64583</v>
      </c>
      <c r="B107" s="7">
        <f>IFERROR(__xludf.DUMMYFUNCTION("""COMPUTED_VALUE"""),1211.1)</f>
        <v>1211.1</v>
      </c>
      <c r="C107" s="7">
        <f>IFERROR(__xludf.DUMMYFUNCTION("""COMPUTED_VALUE"""),1227.5)</f>
        <v>1227.5</v>
      </c>
      <c r="D107" s="7">
        <f>IFERROR(__xludf.DUMMYFUNCTION("""COMPUTED_VALUE"""),1204.5)</f>
        <v>1204.5</v>
      </c>
      <c r="E107" s="7">
        <f>IFERROR(__xludf.DUMMYFUNCTION("""COMPUTED_VALUE"""),1224.9)</f>
        <v>1224.9</v>
      </c>
      <c r="F107" s="7">
        <f>IFERROR(__xludf.DUMMYFUNCTION("""COMPUTED_VALUE"""),8166683.0)</f>
        <v>8166683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f>IFERROR(__xludf.DUMMYFUNCTION("""COMPUTED_VALUE"""),45706.64583333333)</f>
        <v>45706.64583</v>
      </c>
      <c r="B108" s="7">
        <f>IFERROR(__xludf.DUMMYFUNCTION("""COMPUTED_VALUE"""),1224.85)</f>
        <v>1224.85</v>
      </c>
      <c r="C108" s="7">
        <f>IFERROR(__xludf.DUMMYFUNCTION("""COMPUTED_VALUE"""),1229.9)</f>
        <v>1229.9</v>
      </c>
      <c r="D108" s="7">
        <f>IFERROR(__xludf.DUMMYFUNCTION("""COMPUTED_VALUE"""),1216.1)</f>
        <v>1216.1</v>
      </c>
      <c r="E108" s="7">
        <f>IFERROR(__xludf.DUMMYFUNCTION("""COMPUTED_VALUE"""),1225.4)</f>
        <v>1225.4</v>
      </c>
      <c r="F108" s="7">
        <f>IFERROR(__xludf.DUMMYFUNCTION("""COMPUTED_VALUE"""),6673250.0)</f>
        <v>6673250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f>IFERROR(__xludf.DUMMYFUNCTION("""COMPUTED_VALUE"""),45707.64583333333)</f>
        <v>45707.64583</v>
      </c>
      <c r="B109" s="7">
        <f>IFERROR(__xludf.DUMMYFUNCTION("""COMPUTED_VALUE"""),1219.5)</f>
        <v>1219.5</v>
      </c>
      <c r="C109" s="7">
        <f>IFERROR(__xludf.DUMMYFUNCTION("""COMPUTED_VALUE"""),1232.75)</f>
        <v>1232.75</v>
      </c>
      <c r="D109" s="7">
        <f>IFERROR(__xludf.DUMMYFUNCTION("""COMPUTED_VALUE"""),1217.55)</f>
        <v>1217.55</v>
      </c>
      <c r="E109" s="7">
        <f>IFERROR(__xludf.DUMMYFUNCTION("""COMPUTED_VALUE"""),1227.45)</f>
        <v>1227.45</v>
      </c>
      <c r="F109" s="7">
        <f>IFERROR(__xludf.DUMMYFUNCTION("""COMPUTED_VALUE"""),6217338.0)</f>
        <v>6217338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f>IFERROR(__xludf.DUMMYFUNCTION("""COMPUTED_VALUE"""),45708.64583333333)</f>
        <v>45708.64583</v>
      </c>
      <c r="B110" s="7">
        <f>IFERROR(__xludf.DUMMYFUNCTION("""COMPUTED_VALUE"""),1223.95)</f>
        <v>1223.95</v>
      </c>
      <c r="C110" s="7">
        <f>IFERROR(__xludf.DUMMYFUNCTION("""COMPUTED_VALUE"""),1239.35)</f>
        <v>1239.35</v>
      </c>
      <c r="D110" s="7">
        <f>IFERROR(__xludf.DUMMYFUNCTION("""COMPUTED_VALUE"""),1222.0)</f>
        <v>1222</v>
      </c>
      <c r="E110" s="7">
        <f>IFERROR(__xludf.DUMMYFUNCTION("""COMPUTED_VALUE"""),1233.0)</f>
        <v>1233</v>
      </c>
      <c r="F110" s="7">
        <f>IFERROR(__xludf.DUMMYFUNCTION("""COMPUTED_VALUE"""),7795582.0)</f>
        <v>7795582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f>IFERROR(__xludf.DUMMYFUNCTION("""COMPUTED_VALUE"""),45709.64583333333)</f>
        <v>45709.64583</v>
      </c>
      <c r="B111" s="7">
        <f>IFERROR(__xludf.DUMMYFUNCTION("""COMPUTED_VALUE"""),1228.7)</f>
        <v>1228.7</v>
      </c>
      <c r="C111" s="7">
        <f>IFERROR(__xludf.DUMMYFUNCTION("""COMPUTED_VALUE"""),1240.0)</f>
        <v>1240</v>
      </c>
      <c r="D111" s="7">
        <f>IFERROR(__xludf.DUMMYFUNCTION("""COMPUTED_VALUE"""),1222.15)</f>
        <v>1222.15</v>
      </c>
      <c r="E111" s="7">
        <f>IFERROR(__xludf.DUMMYFUNCTION("""COMPUTED_VALUE"""),1228.15)</f>
        <v>1228.15</v>
      </c>
      <c r="F111" s="7">
        <f>IFERROR(__xludf.DUMMYFUNCTION("""COMPUTED_VALUE"""),6904025.0)</f>
        <v>6904025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f>IFERROR(__xludf.DUMMYFUNCTION("""COMPUTED_VALUE"""),45712.64583333333)</f>
        <v>45712.64583</v>
      </c>
      <c r="B112" s="7">
        <f>IFERROR(__xludf.DUMMYFUNCTION("""COMPUTED_VALUE"""),1216.55)</f>
        <v>1216.55</v>
      </c>
      <c r="C112" s="7">
        <f>IFERROR(__xludf.DUMMYFUNCTION("""COMPUTED_VALUE"""),1223.25)</f>
        <v>1223.25</v>
      </c>
      <c r="D112" s="7">
        <f>IFERROR(__xludf.DUMMYFUNCTION("""COMPUTED_VALUE"""),1210.5)</f>
        <v>1210.5</v>
      </c>
      <c r="E112" s="7">
        <f>IFERROR(__xludf.DUMMYFUNCTION("""COMPUTED_VALUE"""),1214.55)</f>
        <v>1214.55</v>
      </c>
      <c r="F112" s="7">
        <f>IFERROR(__xludf.DUMMYFUNCTION("""COMPUTED_VALUE"""),7172498.0)</f>
        <v>7172498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f>IFERROR(__xludf.DUMMYFUNCTION("""COMPUTED_VALUE"""),45713.64583333333)</f>
        <v>45713.64583</v>
      </c>
      <c r="B113" s="7">
        <f>IFERROR(__xludf.DUMMYFUNCTION("""COMPUTED_VALUE"""),1211.0)</f>
        <v>1211</v>
      </c>
      <c r="C113" s="7">
        <f>IFERROR(__xludf.DUMMYFUNCTION("""COMPUTED_VALUE"""),1221.0)</f>
        <v>1221</v>
      </c>
      <c r="D113" s="7">
        <f>IFERROR(__xludf.DUMMYFUNCTION("""COMPUTED_VALUE"""),1201.5)</f>
        <v>1201.5</v>
      </c>
      <c r="E113" s="7">
        <f>IFERROR(__xludf.DUMMYFUNCTION("""COMPUTED_VALUE"""),1204.0)</f>
        <v>1204</v>
      </c>
      <c r="F113" s="7">
        <f>IFERROR(__xludf.DUMMYFUNCTION("""COMPUTED_VALUE"""),1.1552182E7)</f>
        <v>11552182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f>IFERROR(__xludf.DUMMYFUNCTION("""COMPUTED_VALUE"""),45715.64583333333)</f>
        <v>45715.64583</v>
      </c>
      <c r="B114" s="7">
        <f>IFERROR(__xludf.DUMMYFUNCTION("""COMPUTED_VALUE"""),1212.8)</f>
        <v>1212.8</v>
      </c>
      <c r="C114" s="7">
        <f>IFERROR(__xludf.DUMMYFUNCTION("""COMPUTED_VALUE"""),1215.0)</f>
        <v>1215</v>
      </c>
      <c r="D114" s="7">
        <f>IFERROR(__xludf.DUMMYFUNCTION("""COMPUTED_VALUE"""),1200.65)</f>
        <v>1200.65</v>
      </c>
      <c r="E114" s="7">
        <f>IFERROR(__xludf.DUMMYFUNCTION("""COMPUTED_VALUE"""),1207.1)</f>
        <v>1207.1</v>
      </c>
      <c r="F114" s="7">
        <f>IFERROR(__xludf.DUMMYFUNCTION("""COMPUTED_VALUE"""),1.1509215E7)</f>
        <v>11509215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f>IFERROR(__xludf.DUMMYFUNCTION("""COMPUTED_VALUE"""),45716.64583333333)</f>
        <v>45716.64583</v>
      </c>
      <c r="B115" s="7">
        <f>IFERROR(__xludf.DUMMYFUNCTION("""COMPUTED_VALUE"""),1202.0)</f>
        <v>1202</v>
      </c>
      <c r="C115" s="7">
        <f>IFERROR(__xludf.DUMMYFUNCTION("""COMPUTED_VALUE"""),1217.35)</f>
        <v>1217.35</v>
      </c>
      <c r="D115" s="7">
        <f>IFERROR(__xludf.DUMMYFUNCTION("""COMPUTED_VALUE"""),1193.3)</f>
        <v>1193.3</v>
      </c>
      <c r="E115" s="7">
        <f>IFERROR(__xludf.DUMMYFUNCTION("""COMPUTED_VALUE"""),1200.1)</f>
        <v>1200.1</v>
      </c>
      <c r="F115" s="7">
        <f>IFERROR(__xludf.DUMMYFUNCTION("""COMPUTED_VALUE"""),2.3007298E7)</f>
        <v>23007298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f>IFERROR(__xludf.DUMMYFUNCTION("""COMPUTED_VALUE"""),45719.64583333333)</f>
        <v>45719.64583</v>
      </c>
      <c r="B116" s="7">
        <f>IFERROR(__xludf.DUMMYFUNCTION("""COMPUTED_VALUE"""),1204.0)</f>
        <v>1204</v>
      </c>
      <c r="C116" s="7">
        <f>IFERROR(__xludf.DUMMYFUNCTION("""COMPUTED_VALUE"""),1206.45)</f>
        <v>1206.45</v>
      </c>
      <c r="D116" s="7">
        <f>IFERROR(__xludf.DUMMYFUNCTION("""COMPUTED_VALUE"""),1156.0)</f>
        <v>1156</v>
      </c>
      <c r="E116" s="7">
        <f>IFERROR(__xludf.DUMMYFUNCTION("""COMPUTED_VALUE"""),1171.25)</f>
        <v>1171.25</v>
      </c>
      <c r="F116" s="7">
        <f>IFERROR(__xludf.DUMMYFUNCTION("""COMPUTED_VALUE"""),1.7944938E7)</f>
        <v>17944938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f>IFERROR(__xludf.DUMMYFUNCTION("""COMPUTED_VALUE"""),45720.64583333333)</f>
        <v>45720.64583</v>
      </c>
      <c r="B117" s="7">
        <f>IFERROR(__xludf.DUMMYFUNCTION("""COMPUTED_VALUE"""),1162.2)</f>
        <v>1162.2</v>
      </c>
      <c r="C117" s="7">
        <f>IFERROR(__xludf.DUMMYFUNCTION("""COMPUTED_VALUE"""),1174.0)</f>
        <v>1174</v>
      </c>
      <c r="D117" s="7">
        <f>IFERROR(__xludf.DUMMYFUNCTION("""COMPUTED_VALUE"""),1159.55)</f>
        <v>1159.55</v>
      </c>
      <c r="E117" s="7">
        <f>IFERROR(__xludf.DUMMYFUNCTION("""COMPUTED_VALUE"""),1161.9)</f>
        <v>1161.9</v>
      </c>
      <c r="F117" s="7">
        <f>IFERROR(__xludf.DUMMYFUNCTION("""COMPUTED_VALUE"""),1.1377373E7)</f>
        <v>11377373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f>IFERROR(__xludf.DUMMYFUNCTION("""COMPUTED_VALUE"""),45721.64583333333)</f>
        <v>45721.64583</v>
      </c>
      <c r="B118" s="7">
        <f>IFERROR(__xludf.DUMMYFUNCTION("""COMPUTED_VALUE"""),1161.0)</f>
        <v>1161</v>
      </c>
      <c r="C118" s="7">
        <f>IFERROR(__xludf.DUMMYFUNCTION("""COMPUTED_VALUE"""),1183.0)</f>
        <v>1183</v>
      </c>
      <c r="D118" s="7">
        <f>IFERROR(__xludf.DUMMYFUNCTION("""COMPUTED_VALUE"""),1157.0)</f>
        <v>1157</v>
      </c>
      <c r="E118" s="7">
        <f>IFERROR(__xludf.DUMMYFUNCTION("""COMPUTED_VALUE"""),1175.6)</f>
        <v>1175.6</v>
      </c>
      <c r="F118" s="7">
        <f>IFERROR(__xludf.DUMMYFUNCTION("""COMPUTED_VALUE"""),8664095.0)</f>
        <v>8664095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f>IFERROR(__xludf.DUMMYFUNCTION("""COMPUTED_VALUE"""),45722.64583333333)</f>
        <v>45722.64583</v>
      </c>
      <c r="B119" s="7">
        <f>IFERROR(__xludf.DUMMYFUNCTION("""COMPUTED_VALUE"""),1197.0)</f>
        <v>1197</v>
      </c>
      <c r="C119" s="7">
        <f>IFERROR(__xludf.DUMMYFUNCTION("""COMPUTED_VALUE"""),1213.95)</f>
        <v>1213.95</v>
      </c>
      <c r="D119" s="7">
        <f>IFERROR(__xludf.DUMMYFUNCTION("""COMPUTED_VALUE"""),1185.15)</f>
        <v>1185.15</v>
      </c>
      <c r="E119" s="7">
        <f>IFERROR(__xludf.DUMMYFUNCTION("""COMPUTED_VALUE"""),1209.6)</f>
        <v>1209.6</v>
      </c>
      <c r="F119" s="7">
        <f>IFERROR(__xludf.DUMMYFUNCTION("""COMPUTED_VALUE"""),1.4468014E7)</f>
        <v>14468014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f>IFERROR(__xludf.DUMMYFUNCTION("""COMPUTED_VALUE"""),45723.64583333333)</f>
        <v>45723.64583</v>
      </c>
      <c r="B120" s="7">
        <f>IFERROR(__xludf.DUMMYFUNCTION("""COMPUTED_VALUE"""),1216.0)</f>
        <v>1216</v>
      </c>
      <c r="C120" s="7">
        <f>IFERROR(__xludf.DUMMYFUNCTION("""COMPUTED_VALUE"""),1254.8)</f>
        <v>1254.8</v>
      </c>
      <c r="D120" s="7">
        <f>IFERROR(__xludf.DUMMYFUNCTION("""COMPUTED_VALUE"""),1212.0)</f>
        <v>1212</v>
      </c>
      <c r="E120" s="7">
        <f>IFERROR(__xludf.DUMMYFUNCTION("""COMPUTED_VALUE"""),1249.8)</f>
        <v>1249.8</v>
      </c>
      <c r="F120" s="7">
        <f>IFERROR(__xludf.DUMMYFUNCTION("""COMPUTED_VALUE"""),1.6474965E7)</f>
        <v>16474965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f>IFERROR(__xludf.DUMMYFUNCTION("""COMPUTED_VALUE"""),45726.64583333333)</f>
        <v>45726.64583</v>
      </c>
      <c r="B121" s="7">
        <f>IFERROR(__xludf.DUMMYFUNCTION("""COMPUTED_VALUE"""),1245.0)</f>
        <v>1245</v>
      </c>
      <c r="C121" s="7">
        <f>IFERROR(__xludf.DUMMYFUNCTION("""COMPUTED_VALUE"""),1258.0)</f>
        <v>1258</v>
      </c>
      <c r="D121" s="7">
        <f>IFERROR(__xludf.DUMMYFUNCTION("""COMPUTED_VALUE"""),1235.4)</f>
        <v>1235.4</v>
      </c>
      <c r="E121" s="7">
        <f>IFERROR(__xludf.DUMMYFUNCTION("""COMPUTED_VALUE"""),1238.4)</f>
        <v>1238.4</v>
      </c>
      <c r="F121" s="7">
        <f>IFERROR(__xludf.DUMMYFUNCTION("""COMPUTED_VALUE"""),1.1931051E7)</f>
        <v>11931051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f>IFERROR(__xludf.DUMMYFUNCTION("""COMPUTED_VALUE"""),45727.64583333333)</f>
        <v>45727.64583</v>
      </c>
      <c r="B122" s="7">
        <f>IFERROR(__xludf.DUMMYFUNCTION("""COMPUTED_VALUE"""),1240.0)</f>
        <v>1240</v>
      </c>
      <c r="C122" s="7">
        <f>IFERROR(__xludf.DUMMYFUNCTION("""COMPUTED_VALUE"""),1249.5)</f>
        <v>1249.5</v>
      </c>
      <c r="D122" s="7">
        <f>IFERROR(__xludf.DUMMYFUNCTION("""COMPUTED_VALUE"""),1229.75)</f>
        <v>1229.75</v>
      </c>
      <c r="E122" s="7">
        <f>IFERROR(__xludf.DUMMYFUNCTION("""COMPUTED_VALUE"""),1247.3)</f>
        <v>1247.3</v>
      </c>
      <c r="F122" s="7">
        <f>IFERROR(__xludf.DUMMYFUNCTION("""COMPUTED_VALUE"""),1.0089838E7)</f>
        <v>10089838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f>IFERROR(__xludf.DUMMYFUNCTION("""COMPUTED_VALUE"""),45728.64583333333)</f>
        <v>45728.64583</v>
      </c>
      <c r="B123" s="7">
        <f>IFERROR(__xludf.DUMMYFUNCTION("""COMPUTED_VALUE"""),1258.0)</f>
        <v>1258</v>
      </c>
      <c r="C123" s="7">
        <f>IFERROR(__xludf.DUMMYFUNCTION("""COMPUTED_VALUE"""),1263.0)</f>
        <v>1263</v>
      </c>
      <c r="D123" s="7">
        <f>IFERROR(__xludf.DUMMYFUNCTION("""COMPUTED_VALUE"""),1244.0)</f>
        <v>1244</v>
      </c>
      <c r="E123" s="7">
        <f>IFERROR(__xludf.DUMMYFUNCTION("""COMPUTED_VALUE"""),1257.05)</f>
        <v>1257.05</v>
      </c>
      <c r="F123" s="7">
        <f>IFERROR(__xludf.DUMMYFUNCTION("""COMPUTED_VALUE"""),1.1977555E7)</f>
        <v>11977555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f>IFERROR(__xludf.DUMMYFUNCTION("""COMPUTED_VALUE"""),45729.64583333333)</f>
        <v>45729.64583</v>
      </c>
      <c r="B124" s="7">
        <f>IFERROR(__xludf.DUMMYFUNCTION("""COMPUTED_VALUE"""),1260.05)</f>
        <v>1260.05</v>
      </c>
      <c r="C124" s="7">
        <f>IFERROR(__xludf.DUMMYFUNCTION("""COMPUTED_VALUE"""),1264.15)</f>
        <v>1264.15</v>
      </c>
      <c r="D124" s="7">
        <f>IFERROR(__xludf.DUMMYFUNCTION("""COMPUTED_VALUE"""),1243.85)</f>
        <v>1243.85</v>
      </c>
      <c r="E124" s="7">
        <f>IFERROR(__xludf.DUMMYFUNCTION("""COMPUTED_VALUE"""),1247.9)</f>
        <v>1247.9</v>
      </c>
      <c r="F124" s="7">
        <f>IFERROR(__xludf.DUMMYFUNCTION("""COMPUTED_VALUE"""),9505270.0)</f>
        <v>9505270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f>IFERROR(__xludf.DUMMYFUNCTION("""COMPUTED_VALUE"""),45733.64583333333)</f>
        <v>45733.64583</v>
      </c>
      <c r="B125" s="7">
        <f>IFERROR(__xludf.DUMMYFUNCTION("""COMPUTED_VALUE"""),1242.15)</f>
        <v>1242.15</v>
      </c>
      <c r="C125" s="7">
        <f>IFERROR(__xludf.DUMMYFUNCTION("""COMPUTED_VALUE"""),1257.4)</f>
        <v>1257.4</v>
      </c>
      <c r="D125" s="7">
        <f>IFERROR(__xludf.DUMMYFUNCTION("""COMPUTED_VALUE"""),1233.1)</f>
        <v>1233.1</v>
      </c>
      <c r="E125" s="7">
        <f>IFERROR(__xludf.DUMMYFUNCTION("""COMPUTED_VALUE"""),1238.85)</f>
        <v>1238.85</v>
      </c>
      <c r="F125" s="7">
        <f>IFERROR(__xludf.DUMMYFUNCTION("""COMPUTED_VALUE"""),1.6640952E7)</f>
        <v>16640952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f>IFERROR(__xludf.DUMMYFUNCTION("""COMPUTED_VALUE"""),45734.64583333333)</f>
        <v>45734.64583</v>
      </c>
      <c r="B126" s="7">
        <f>IFERROR(__xludf.DUMMYFUNCTION("""COMPUTED_VALUE"""),1244.7)</f>
        <v>1244.7</v>
      </c>
      <c r="C126" s="7">
        <f>IFERROR(__xludf.DUMMYFUNCTION("""COMPUTED_VALUE"""),1248.35)</f>
        <v>1248.35</v>
      </c>
      <c r="D126" s="7">
        <f>IFERROR(__xludf.DUMMYFUNCTION("""COMPUTED_VALUE"""),1235.0)</f>
        <v>1235</v>
      </c>
      <c r="E126" s="7">
        <f>IFERROR(__xludf.DUMMYFUNCTION("""COMPUTED_VALUE"""),1238.8)</f>
        <v>1238.8</v>
      </c>
      <c r="F126" s="7">
        <f>IFERROR(__xludf.DUMMYFUNCTION("""COMPUTED_VALUE"""),1.5745877E7)</f>
        <v>15745877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f>IFERROR(__xludf.DUMMYFUNCTION("""COMPUTED_VALUE"""),45735.64583333333)</f>
        <v>45735.64583</v>
      </c>
      <c r="B127" s="7">
        <f>IFERROR(__xludf.DUMMYFUNCTION("""COMPUTED_VALUE"""),1241.05)</f>
        <v>1241.05</v>
      </c>
      <c r="C127" s="7">
        <f>IFERROR(__xludf.DUMMYFUNCTION("""COMPUTED_VALUE"""),1253.25)</f>
        <v>1253.25</v>
      </c>
      <c r="D127" s="7">
        <f>IFERROR(__xludf.DUMMYFUNCTION("""COMPUTED_VALUE"""),1238.8)</f>
        <v>1238.8</v>
      </c>
      <c r="E127" s="7">
        <f>IFERROR(__xludf.DUMMYFUNCTION("""COMPUTED_VALUE"""),1247.15)</f>
        <v>1247.15</v>
      </c>
      <c r="F127" s="7">
        <f>IFERROR(__xludf.DUMMYFUNCTION("""COMPUTED_VALUE"""),1.6162399E7)</f>
        <v>16162399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f>IFERROR(__xludf.DUMMYFUNCTION("""COMPUTED_VALUE"""),45736.64583333333)</f>
        <v>45736.64583</v>
      </c>
      <c r="B128" s="7">
        <f>IFERROR(__xludf.DUMMYFUNCTION("""COMPUTED_VALUE"""),1251.85)</f>
        <v>1251.85</v>
      </c>
      <c r="C128" s="7">
        <f>IFERROR(__xludf.DUMMYFUNCTION("""COMPUTED_VALUE"""),1273.0)</f>
        <v>1273</v>
      </c>
      <c r="D128" s="7">
        <f>IFERROR(__xludf.DUMMYFUNCTION("""COMPUTED_VALUE"""),1250.05)</f>
        <v>1250.05</v>
      </c>
      <c r="E128" s="7">
        <f>IFERROR(__xludf.DUMMYFUNCTION("""COMPUTED_VALUE"""),1269.15)</f>
        <v>1269.15</v>
      </c>
      <c r="F128" s="7">
        <f>IFERROR(__xludf.DUMMYFUNCTION("""COMPUTED_VALUE"""),1.5971477E7)</f>
        <v>15971477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f>IFERROR(__xludf.DUMMYFUNCTION("""COMPUTED_VALUE"""),45737.64583333333)</f>
        <v>45737.64583</v>
      </c>
      <c r="B129" s="7">
        <f>IFERROR(__xludf.DUMMYFUNCTION("""COMPUTED_VALUE"""),1275.0)</f>
        <v>1275</v>
      </c>
      <c r="C129" s="7">
        <f>IFERROR(__xludf.DUMMYFUNCTION("""COMPUTED_VALUE"""),1281.0)</f>
        <v>1281</v>
      </c>
      <c r="D129" s="7">
        <f>IFERROR(__xludf.DUMMYFUNCTION("""COMPUTED_VALUE"""),1270.1)</f>
        <v>1270.1</v>
      </c>
      <c r="E129" s="7">
        <f>IFERROR(__xludf.DUMMYFUNCTION("""COMPUTED_VALUE"""),1276.35)</f>
        <v>1276.35</v>
      </c>
      <c r="F129" s="7">
        <f>IFERROR(__xludf.DUMMYFUNCTION("""COMPUTED_VALUE"""),2.1780769E7)</f>
        <v>21780769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f>IFERROR(__xludf.DUMMYFUNCTION("""COMPUTED_VALUE"""),45740.64583333333)</f>
        <v>45740.64583</v>
      </c>
      <c r="B130" s="7">
        <f>IFERROR(__xludf.DUMMYFUNCTION("""COMPUTED_VALUE"""),1291.0)</f>
        <v>1291</v>
      </c>
      <c r="C130" s="7">
        <f>IFERROR(__xludf.DUMMYFUNCTION("""COMPUTED_VALUE"""),1306.0)</f>
        <v>1306</v>
      </c>
      <c r="D130" s="7">
        <f>IFERROR(__xludf.DUMMYFUNCTION("""COMPUTED_VALUE"""),1284.25)</f>
        <v>1284.25</v>
      </c>
      <c r="E130" s="7">
        <f>IFERROR(__xludf.DUMMYFUNCTION("""COMPUTED_VALUE"""),1302.1)</f>
        <v>1302.1</v>
      </c>
      <c r="F130" s="7">
        <f>IFERROR(__xludf.DUMMYFUNCTION("""COMPUTED_VALUE"""),2.0299319E7)</f>
        <v>20299319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f>IFERROR(__xludf.DUMMYFUNCTION("""COMPUTED_VALUE"""),45741.64583333333)</f>
        <v>45741.64583</v>
      </c>
      <c r="B131" s="7">
        <f>IFERROR(__xludf.DUMMYFUNCTION("""COMPUTED_VALUE"""),1307.7)</f>
        <v>1307.7</v>
      </c>
      <c r="C131" s="7">
        <f>IFERROR(__xludf.DUMMYFUNCTION("""COMPUTED_VALUE"""),1307.7)</f>
        <v>1307.7</v>
      </c>
      <c r="D131" s="7">
        <f>IFERROR(__xludf.DUMMYFUNCTION("""COMPUTED_VALUE"""),1282.6)</f>
        <v>1282.6</v>
      </c>
      <c r="E131" s="7">
        <f>IFERROR(__xludf.DUMMYFUNCTION("""COMPUTED_VALUE"""),1285.45)</f>
        <v>1285.45</v>
      </c>
      <c r="F131" s="7">
        <f>IFERROR(__xludf.DUMMYFUNCTION("""COMPUTED_VALUE"""),1.3713899E7)</f>
        <v>13713899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f>IFERROR(__xludf.DUMMYFUNCTION("""COMPUTED_VALUE"""),45742.64583333333)</f>
        <v>45742.64583</v>
      </c>
      <c r="B132" s="7">
        <f>IFERROR(__xludf.DUMMYFUNCTION("""COMPUTED_VALUE"""),1291.0)</f>
        <v>1291</v>
      </c>
      <c r="C132" s="7">
        <f>IFERROR(__xludf.DUMMYFUNCTION("""COMPUTED_VALUE"""),1293.8)</f>
        <v>1293.8</v>
      </c>
      <c r="D132" s="7">
        <f>IFERROR(__xludf.DUMMYFUNCTION("""COMPUTED_VALUE"""),1268.75)</f>
        <v>1268.75</v>
      </c>
      <c r="E132" s="7">
        <f>IFERROR(__xludf.DUMMYFUNCTION("""COMPUTED_VALUE"""),1273.05)</f>
        <v>1273.05</v>
      </c>
      <c r="F132" s="7">
        <f>IFERROR(__xludf.DUMMYFUNCTION("""COMPUTED_VALUE"""),1.2074747E7)</f>
        <v>12074747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f>IFERROR(__xludf.DUMMYFUNCTION("""COMPUTED_VALUE"""),45743.64583333333)</f>
        <v>45743.64583</v>
      </c>
      <c r="B133" s="7">
        <f>IFERROR(__xludf.DUMMYFUNCTION("""COMPUTED_VALUE"""),1278.15)</f>
        <v>1278.15</v>
      </c>
      <c r="C133" s="7">
        <f>IFERROR(__xludf.DUMMYFUNCTION("""COMPUTED_VALUE"""),1285.0)</f>
        <v>1285</v>
      </c>
      <c r="D133" s="7">
        <f>IFERROR(__xludf.DUMMYFUNCTION("""COMPUTED_VALUE"""),1271.3)</f>
        <v>1271.3</v>
      </c>
      <c r="E133" s="7">
        <f>IFERROR(__xludf.DUMMYFUNCTION("""COMPUTED_VALUE"""),1278.2)</f>
        <v>1278.2</v>
      </c>
      <c r="F133" s="7">
        <f>IFERROR(__xludf.DUMMYFUNCTION("""COMPUTED_VALUE"""),1.5028056E7)</f>
        <v>15028056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f>IFERROR(__xludf.DUMMYFUNCTION("""COMPUTED_VALUE"""),45744.64583333333)</f>
        <v>45744.64583</v>
      </c>
      <c r="B134" s="7">
        <f>IFERROR(__xludf.DUMMYFUNCTION("""COMPUTED_VALUE"""),1280.0)</f>
        <v>1280</v>
      </c>
      <c r="C134" s="7">
        <f>IFERROR(__xludf.DUMMYFUNCTION("""COMPUTED_VALUE"""),1295.75)</f>
        <v>1295.75</v>
      </c>
      <c r="D134" s="7">
        <f>IFERROR(__xludf.DUMMYFUNCTION("""COMPUTED_VALUE"""),1269.0)</f>
        <v>1269</v>
      </c>
      <c r="E134" s="7">
        <f>IFERROR(__xludf.DUMMYFUNCTION("""COMPUTED_VALUE"""),1275.1)</f>
        <v>1275.1</v>
      </c>
      <c r="F134" s="7">
        <f>IFERROR(__xludf.DUMMYFUNCTION("""COMPUTED_VALUE"""),1.8147129E7)</f>
        <v>18147129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f>IFERROR(__xludf.DUMMYFUNCTION("""COMPUTED_VALUE"""),45748.64583333333)</f>
        <v>45748.64583</v>
      </c>
      <c r="B135" s="7">
        <f>IFERROR(__xludf.DUMMYFUNCTION("""COMPUTED_VALUE"""),1264.6)</f>
        <v>1264.6</v>
      </c>
      <c r="C135" s="7">
        <f>IFERROR(__xludf.DUMMYFUNCTION("""COMPUTED_VALUE"""),1277.9)</f>
        <v>1277.9</v>
      </c>
      <c r="D135" s="7">
        <f>IFERROR(__xludf.DUMMYFUNCTION("""COMPUTED_VALUE"""),1249.3)</f>
        <v>1249.3</v>
      </c>
      <c r="E135" s="7">
        <f>IFERROR(__xludf.DUMMYFUNCTION("""COMPUTED_VALUE"""),1252.6)</f>
        <v>1252.6</v>
      </c>
      <c r="F135" s="7">
        <f>IFERROR(__xludf.DUMMYFUNCTION("""COMPUTED_VALUE"""),1.2099648E7)</f>
        <v>12099648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f>IFERROR(__xludf.DUMMYFUNCTION("""COMPUTED_VALUE"""),45749.64583333333)</f>
        <v>45749.64583</v>
      </c>
      <c r="B136" s="7">
        <f>IFERROR(__xludf.DUMMYFUNCTION("""COMPUTED_VALUE"""),1247.55)</f>
        <v>1247.55</v>
      </c>
      <c r="C136" s="7">
        <f>IFERROR(__xludf.DUMMYFUNCTION("""COMPUTED_VALUE"""),1255.55)</f>
        <v>1255.55</v>
      </c>
      <c r="D136" s="7">
        <f>IFERROR(__xludf.DUMMYFUNCTION("""COMPUTED_VALUE"""),1243.9)</f>
        <v>1243.9</v>
      </c>
      <c r="E136" s="7">
        <f>IFERROR(__xludf.DUMMYFUNCTION("""COMPUTED_VALUE"""),1251.15)</f>
        <v>1251.15</v>
      </c>
      <c r="F136" s="7">
        <f>IFERROR(__xludf.DUMMYFUNCTION("""COMPUTED_VALUE"""),1.014259E7)</f>
        <v>10142590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f>IFERROR(__xludf.DUMMYFUNCTION("""COMPUTED_VALUE"""),45750.64583333333)</f>
        <v>45750.64583</v>
      </c>
      <c r="B137" s="7">
        <f>IFERROR(__xludf.DUMMYFUNCTION("""COMPUTED_VALUE"""),1233.05)</f>
        <v>1233.05</v>
      </c>
      <c r="C137" s="7">
        <f>IFERROR(__xludf.DUMMYFUNCTION("""COMPUTED_VALUE"""),1251.8)</f>
        <v>1251.8</v>
      </c>
      <c r="D137" s="7">
        <f>IFERROR(__xludf.DUMMYFUNCTION("""COMPUTED_VALUE"""),1233.05)</f>
        <v>1233.05</v>
      </c>
      <c r="E137" s="7">
        <f>IFERROR(__xludf.DUMMYFUNCTION("""COMPUTED_VALUE"""),1248.7)</f>
        <v>1248.7</v>
      </c>
      <c r="F137" s="7">
        <f>IFERROR(__xludf.DUMMYFUNCTION("""COMPUTED_VALUE"""),7434366.0)</f>
        <v>7434366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f>IFERROR(__xludf.DUMMYFUNCTION("""COMPUTED_VALUE"""),45751.64583333333)</f>
        <v>45751.64583</v>
      </c>
      <c r="B138" s="7">
        <f>IFERROR(__xludf.DUMMYFUNCTION("""COMPUTED_VALUE"""),1241.1)</f>
        <v>1241.1</v>
      </c>
      <c r="C138" s="7">
        <f>IFERROR(__xludf.DUMMYFUNCTION("""COMPUTED_VALUE"""),1245.45)</f>
        <v>1245.45</v>
      </c>
      <c r="D138" s="7">
        <f>IFERROR(__xludf.DUMMYFUNCTION("""COMPUTED_VALUE"""),1193.15)</f>
        <v>1193.15</v>
      </c>
      <c r="E138" s="7">
        <f>IFERROR(__xludf.DUMMYFUNCTION("""COMPUTED_VALUE"""),1204.7)</f>
        <v>1204.7</v>
      </c>
      <c r="F138" s="7">
        <f>IFERROR(__xludf.DUMMYFUNCTION("""COMPUTED_VALUE"""),1.7908652E7)</f>
        <v>17908652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f>IFERROR(__xludf.DUMMYFUNCTION("""COMPUTED_VALUE"""),45754.64583333333)</f>
        <v>45754.64583</v>
      </c>
      <c r="B139" s="7">
        <f>IFERROR(__xludf.DUMMYFUNCTION("""COMPUTED_VALUE"""),1132.2)</f>
        <v>1132.2</v>
      </c>
      <c r="C139" s="7">
        <f>IFERROR(__xludf.DUMMYFUNCTION("""COMPUTED_VALUE"""),1171.25)</f>
        <v>1171.25</v>
      </c>
      <c r="D139" s="7">
        <f>IFERROR(__xludf.DUMMYFUNCTION("""COMPUTED_VALUE"""),1114.85)</f>
        <v>1114.85</v>
      </c>
      <c r="E139" s="7">
        <f>IFERROR(__xludf.DUMMYFUNCTION("""COMPUTED_VALUE"""),1165.7)</f>
        <v>1165.7</v>
      </c>
      <c r="F139" s="7">
        <f>IFERROR(__xludf.DUMMYFUNCTION("""COMPUTED_VALUE"""),2.2156106E7)</f>
        <v>22156106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f>IFERROR(__xludf.DUMMYFUNCTION("""COMPUTED_VALUE"""),45755.64583333333)</f>
        <v>45755.64583</v>
      </c>
      <c r="B140" s="7">
        <f>IFERROR(__xludf.DUMMYFUNCTION("""COMPUTED_VALUE"""),1172.0)</f>
        <v>1172</v>
      </c>
      <c r="C140" s="7">
        <f>IFERROR(__xludf.DUMMYFUNCTION("""COMPUTED_VALUE"""),1196.6)</f>
        <v>1196.6</v>
      </c>
      <c r="D140" s="7">
        <f>IFERROR(__xludf.DUMMYFUNCTION("""COMPUTED_VALUE"""),1163.3)</f>
        <v>1163.3</v>
      </c>
      <c r="E140" s="7">
        <f>IFERROR(__xludf.DUMMYFUNCTION("""COMPUTED_VALUE"""),1182.2)</f>
        <v>1182.2</v>
      </c>
      <c r="F140" s="7">
        <f>IFERROR(__xludf.DUMMYFUNCTION("""COMPUTED_VALUE"""),1.955504E7)</f>
        <v>19555040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f>IFERROR(__xludf.DUMMYFUNCTION("""COMPUTED_VALUE"""),45756.64583333333)</f>
        <v>45756.64583</v>
      </c>
      <c r="B141" s="7">
        <f>IFERROR(__xludf.DUMMYFUNCTION("""COMPUTED_VALUE"""),1169.5)</f>
        <v>1169.5</v>
      </c>
      <c r="C141" s="7">
        <f>IFERROR(__xludf.DUMMYFUNCTION("""COMPUTED_VALUE"""),1189.8)</f>
        <v>1189.8</v>
      </c>
      <c r="D141" s="7">
        <f>IFERROR(__xludf.DUMMYFUNCTION("""COMPUTED_VALUE"""),1168.0)</f>
        <v>1168</v>
      </c>
      <c r="E141" s="7">
        <f>IFERROR(__xludf.DUMMYFUNCTION("""COMPUTED_VALUE"""),1185.35)</f>
        <v>1185.35</v>
      </c>
      <c r="F141" s="7">
        <f>IFERROR(__xludf.DUMMYFUNCTION("""COMPUTED_VALUE"""),1.0223104E7)</f>
        <v>10223104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f>IFERROR(__xludf.DUMMYFUNCTION("""COMPUTED_VALUE"""),45758.64583333333)</f>
        <v>45758.64583</v>
      </c>
      <c r="B142" s="7">
        <f>IFERROR(__xludf.DUMMYFUNCTION("""COMPUTED_VALUE"""),1195.15)</f>
        <v>1195.15</v>
      </c>
      <c r="C142" s="7">
        <f>IFERROR(__xludf.DUMMYFUNCTION("""COMPUTED_VALUE"""),1222.65)</f>
        <v>1222.65</v>
      </c>
      <c r="D142" s="7">
        <f>IFERROR(__xludf.DUMMYFUNCTION("""COMPUTED_VALUE"""),1195.15)</f>
        <v>1195.15</v>
      </c>
      <c r="E142" s="7">
        <f>IFERROR(__xludf.DUMMYFUNCTION("""COMPUTED_VALUE"""),1218.95)</f>
        <v>1218.95</v>
      </c>
      <c r="F142" s="7">
        <f>IFERROR(__xludf.DUMMYFUNCTION("""COMPUTED_VALUE"""),1.1224242E7)</f>
        <v>11224242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f>IFERROR(__xludf.DUMMYFUNCTION("""COMPUTED_VALUE"""),45762.64583333333)</f>
        <v>45762.64583</v>
      </c>
      <c r="B143" s="7">
        <f>IFERROR(__xludf.DUMMYFUNCTION("""COMPUTED_VALUE"""),1251.0)</f>
        <v>1251</v>
      </c>
      <c r="C143" s="7">
        <f>IFERROR(__xludf.DUMMYFUNCTION("""COMPUTED_VALUE"""),1251.0)</f>
        <v>1251</v>
      </c>
      <c r="D143" s="7">
        <f>IFERROR(__xludf.DUMMYFUNCTION("""COMPUTED_VALUE"""),1237.1)</f>
        <v>1237.1</v>
      </c>
      <c r="E143" s="7">
        <f>IFERROR(__xludf.DUMMYFUNCTION("""COMPUTED_VALUE"""),1240.1)</f>
        <v>1240.1</v>
      </c>
      <c r="F143" s="7">
        <f>IFERROR(__xludf.DUMMYFUNCTION("""COMPUTED_VALUE"""),1.3378535E7)</f>
        <v>13378535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f>IFERROR(__xludf.DUMMYFUNCTION("""COMPUTED_VALUE"""),45763.64583333333)</f>
        <v>45763.64583</v>
      </c>
      <c r="B144" s="7">
        <f>IFERROR(__xludf.DUMMYFUNCTION("""COMPUTED_VALUE"""),1234.1)</f>
        <v>1234.1</v>
      </c>
      <c r="C144" s="7">
        <f>IFERROR(__xludf.DUMMYFUNCTION("""COMPUTED_VALUE"""),1240.9)</f>
        <v>1240.9</v>
      </c>
      <c r="D144" s="7">
        <f>IFERROR(__xludf.DUMMYFUNCTION("""COMPUTED_VALUE"""),1229.0)</f>
        <v>1229</v>
      </c>
      <c r="E144" s="7">
        <f>IFERROR(__xludf.DUMMYFUNCTION("""COMPUTED_VALUE"""),1239.3)</f>
        <v>1239.3</v>
      </c>
      <c r="F144" s="7">
        <f>IFERROR(__xludf.DUMMYFUNCTION("""COMPUTED_VALUE"""),8248464.0)</f>
        <v>8248464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f>IFERROR(__xludf.DUMMYFUNCTION("""COMPUTED_VALUE"""),45764.64583333333)</f>
        <v>45764.64583</v>
      </c>
      <c r="B145" s="7">
        <f>IFERROR(__xludf.DUMMYFUNCTION("""COMPUTED_VALUE"""),1240.2)</f>
        <v>1240.2</v>
      </c>
      <c r="C145" s="7">
        <f>IFERROR(__xludf.DUMMYFUNCTION("""COMPUTED_VALUE"""),1280.2)</f>
        <v>1280.2</v>
      </c>
      <c r="D145" s="7">
        <f>IFERROR(__xludf.DUMMYFUNCTION("""COMPUTED_VALUE"""),1227.6)</f>
        <v>1227.6</v>
      </c>
      <c r="E145" s="7">
        <f>IFERROR(__xludf.DUMMYFUNCTION("""COMPUTED_VALUE"""),1274.5)</f>
        <v>1274.5</v>
      </c>
      <c r="F145" s="7">
        <f>IFERROR(__xludf.DUMMYFUNCTION("""COMPUTED_VALUE"""),1.5398401E7)</f>
        <v>15398401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f>IFERROR(__xludf.DUMMYFUNCTION("""COMPUTED_VALUE"""),45768.64583333333)</f>
        <v>45768.64583</v>
      </c>
      <c r="B146" s="7">
        <f>IFERROR(__xludf.DUMMYFUNCTION("""COMPUTED_VALUE"""),1270.0)</f>
        <v>1270</v>
      </c>
      <c r="C146" s="7">
        <f>IFERROR(__xludf.DUMMYFUNCTION("""COMPUTED_VALUE"""),1300.9)</f>
        <v>1300.9</v>
      </c>
      <c r="D146" s="7">
        <f>IFERROR(__xludf.DUMMYFUNCTION("""COMPUTED_VALUE"""),1267.0)</f>
        <v>1267</v>
      </c>
      <c r="E146" s="7">
        <f>IFERROR(__xludf.DUMMYFUNCTION("""COMPUTED_VALUE"""),1295.5)</f>
        <v>1295.5</v>
      </c>
      <c r="F146" s="7">
        <f>IFERROR(__xludf.DUMMYFUNCTION("""COMPUTED_VALUE"""),1.0429964E7)</f>
        <v>10429964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f>IFERROR(__xludf.DUMMYFUNCTION("""COMPUTED_VALUE"""),45769.64583333333)</f>
        <v>45769.64583</v>
      </c>
      <c r="B147" s="7">
        <f>IFERROR(__xludf.DUMMYFUNCTION("""COMPUTED_VALUE"""),1300.0)</f>
        <v>1300</v>
      </c>
      <c r="C147" s="7">
        <f>IFERROR(__xludf.DUMMYFUNCTION("""COMPUTED_VALUE"""),1303.9)</f>
        <v>1303.9</v>
      </c>
      <c r="D147" s="7">
        <f>IFERROR(__xludf.DUMMYFUNCTION("""COMPUTED_VALUE"""),1286.3)</f>
        <v>1286.3</v>
      </c>
      <c r="E147" s="7">
        <f>IFERROR(__xludf.DUMMYFUNCTION("""COMPUTED_VALUE"""),1291.2)</f>
        <v>1291.2</v>
      </c>
      <c r="F147" s="7">
        <f>IFERROR(__xludf.DUMMYFUNCTION("""COMPUTED_VALUE"""),1.3051707E7)</f>
        <v>13051707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f>IFERROR(__xludf.DUMMYFUNCTION("""COMPUTED_VALUE"""),45770.64583333333)</f>
        <v>45770.64583</v>
      </c>
      <c r="B148" s="7">
        <f>IFERROR(__xludf.DUMMYFUNCTION("""COMPUTED_VALUE"""),1297.0)</f>
        <v>1297</v>
      </c>
      <c r="C148" s="7">
        <f>IFERROR(__xludf.DUMMYFUNCTION("""COMPUTED_VALUE"""),1306.0)</f>
        <v>1306</v>
      </c>
      <c r="D148" s="7">
        <f>IFERROR(__xludf.DUMMYFUNCTION("""COMPUTED_VALUE"""),1285.4)</f>
        <v>1285.4</v>
      </c>
      <c r="E148" s="7">
        <f>IFERROR(__xludf.DUMMYFUNCTION("""COMPUTED_VALUE"""),1300.0)</f>
        <v>1300</v>
      </c>
      <c r="F148" s="7">
        <f>IFERROR(__xludf.DUMMYFUNCTION("""COMPUTED_VALUE"""),1.0480888E7)</f>
        <v>10480888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f>IFERROR(__xludf.DUMMYFUNCTION("""COMPUTED_VALUE"""),45771.64583333333)</f>
        <v>45771.64583</v>
      </c>
      <c r="B149" s="7">
        <f>IFERROR(__xludf.DUMMYFUNCTION("""COMPUTED_VALUE"""),1292.4)</f>
        <v>1292.4</v>
      </c>
      <c r="C149" s="7">
        <f>IFERROR(__xludf.DUMMYFUNCTION("""COMPUTED_VALUE"""),1304.5)</f>
        <v>1304.5</v>
      </c>
      <c r="D149" s="7">
        <f>IFERROR(__xludf.DUMMYFUNCTION("""COMPUTED_VALUE"""),1290.3)</f>
        <v>1290.3</v>
      </c>
      <c r="E149" s="7">
        <f>IFERROR(__xludf.DUMMYFUNCTION("""COMPUTED_VALUE"""),1301.6)</f>
        <v>1301.6</v>
      </c>
      <c r="F149" s="7">
        <f>IFERROR(__xludf.DUMMYFUNCTION("""COMPUTED_VALUE"""),1.046894E7)</f>
        <v>10468940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f>IFERROR(__xludf.DUMMYFUNCTION("""COMPUTED_VALUE"""),45772.64583333333)</f>
        <v>45772.64583</v>
      </c>
      <c r="B150" s="7">
        <f>IFERROR(__xludf.DUMMYFUNCTION("""COMPUTED_VALUE"""),1303.5)</f>
        <v>1303.5</v>
      </c>
      <c r="C150" s="7">
        <f>IFERROR(__xludf.DUMMYFUNCTION("""COMPUTED_VALUE"""),1325.2)</f>
        <v>1325.2</v>
      </c>
      <c r="D150" s="7">
        <f>IFERROR(__xludf.DUMMYFUNCTION("""COMPUTED_VALUE"""),1288.1)</f>
        <v>1288.1</v>
      </c>
      <c r="E150" s="7">
        <f>IFERROR(__xludf.DUMMYFUNCTION("""COMPUTED_VALUE"""),1300.4)</f>
        <v>1300.4</v>
      </c>
      <c r="F150" s="7">
        <f>IFERROR(__xludf.DUMMYFUNCTION("""COMPUTED_VALUE"""),1.4431012E7)</f>
        <v>14431012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f>IFERROR(__xludf.DUMMYFUNCTION("""COMPUTED_VALUE"""),45775.64583333333)</f>
        <v>45775.64583</v>
      </c>
      <c r="B151" s="7">
        <f>IFERROR(__xludf.DUMMYFUNCTION("""COMPUTED_VALUE"""),1340.0)</f>
        <v>1340</v>
      </c>
      <c r="C151" s="7">
        <f>IFERROR(__xludf.DUMMYFUNCTION("""COMPUTED_VALUE"""),1374.6)</f>
        <v>1374.6</v>
      </c>
      <c r="D151" s="7">
        <f>IFERROR(__xludf.DUMMYFUNCTION("""COMPUTED_VALUE"""),1320.2)</f>
        <v>1320.2</v>
      </c>
      <c r="E151" s="7">
        <f>IFERROR(__xludf.DUMMYFUNCTION("""COMPUTED_VALUE"""),1368.8)</f>
        <v>1368.8</v>
      </c>
      <c r="F151" s="7">
        <f>IFERROR(__xludf.DUMMYFUNCTION("""COMPUTED_VALUE"""),3.1104496E7)</f>
        <v>31104496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f>IFERROR(__xludf.DUMMYFUNCTION("""COMPUTED_VALUE"""),45776.64583333333)</f>
        <v>45776.64583</v>
      </c>
      <c r="B152" s="7">
        <f>IFERROR(__xludf.DUMMYFUNCTION("""COMPUTED_VALUE"""),1371.0)</f>
        <v>1371</v>
      </c>
      <c r="C152" s="7">
        <f>IFERROR(__xludf.DUMMYFUNCTION("""COMPUTED_VALUE"""),1410.9)</f>
        <v>1410.9</v>
      </c>
      <c r="D152" s="7">
        <f>IFERROR(__xludf.DUMMYFUNCTION("""COMPUTED_VALUE"""),1370.0)</f>
        <v>1370</v>
      </c>
      <c r="E152" s="7">
        <f>IFERROR(__xludf.DUMMYFUNCTION("""COMPUTED_VALUE"""),1399.7)</f>
        <v>1399.7</v>
      </c>
      <c r="F152" s="7">
        <f>IFERROR(__xludf.DUMMYFUNCTION("""COMPUTED_VALUE"""),3.253897E7)</f>
        <v>32538970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f>IFERROR(__xludf.DUMMYFUNCTION("""COMPUTED_VALUE"""),45777.64583333333)</f>
        <v>45777.64583</v>
      </c>
      <c r="B153" s="7">
        <f>IFERROR(__xludf.DUMMYFUNCTION("""COMPUTED_VALUE"""),1402.0)</f>
        <v>1402</v>
      </c>
      <c r="C153" s="7">
        <f>IFERROR(__xludf.DUMMYFUNCTION("""COMPUTED_VALUE"""),1412.4)</f>
        <v>1412.4</v>
      </c>
      <c r="D153" s="7">
        <f>IFERROR(__xludf.DUMMYFUNCTION("""COMPUTED_VALUE"""),1369.0)</f>
        <v>1369</v>
      </c>
      <c r="E153" s="7">
        <f>IFERROR(__xludf.DUMMYFUNCTION("""COMPUTED_VALUE"""),1405.0)</f>
        <v>1405</v>
      </c>
      <c r="F153" s="7">
        <f>IFERROR(__xludf.DUMMYFUNCTION("""COMPUTED_VALUE"""),2.5480745E7)</f>
        <v>25480745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f>IFERROR(__xludf.DUMMYFUNCTION("""COMPUTED_VALUE"""),45779.64583333333)</f>
        <v>45779.64583</v>
      </c>
      <c r="B154" s="7">
        <f>IFERROR(__xludf.DUMMYFUNCTION("""COMPUTED_VALUE"""),1414.0)</f>
        <v>1414</v>
      </c>
      <c r="C154" s="7">
        <f>IFERROR(__xludf.DUMMYFUNCTION("""COMPUTED_VALUE"""),1426.7)</f>
        <v>1426.7</v>
      </c>
      <c r="D154" s="7">
        <f>IFERROR(__xludf.DUMMYFUNCTION("""COMPUTED_VALUE"""),1409.1)</f>
        <v>1409.1</v>
      </c>
      <c r="E154" s="7">
        <f>IFERROR(__xludf.DUMMYFUNCTION("""COMPUTED_VALUE"""),1422.4)</f>
        <v>1422.4</v>
      </c>
      <c r="F154" s="7">
        <f>IFERROR(__xludf.DUMMYFUNCTION("""COMPUTED_VALUE"""),1.3007841E7)</f>
        <v>13007841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f>IFERROR(__xludf.DUMMYFUNCTION("""COMPUTED_VALUE"""),45782.64583333333)</f>
        <v>45782.64583</v>
      </c>
      <c r="B155" s="7">
        <f>IFERROR(__xludf.DUMMYFUNCTION("""COMPUTED_VALUE"""),1431.0)</f>
        <v>1431</v>
      </c>
      <c r="C155" s="7">
        <f>IFERROR(__xludf.DUMMYFUNCTION("""COMPUTED_VALUE"""),1439.5)</f>
        <v>1439.5</v>
      </c>
      <c r="D155" s="7">
        <f>IFERROR(__xludf.DUMMYFUNCTION("""COMPUTED_VALUE"""),1426.9)</f>
        <v>1426.9</v>
      </c>
      <c r="E155" s="7">
        <f>IFERROR(__xludf.DUMMYFUNCTION("""COMPUTED_VALUE"""),1431.3)</f>
        <v>1431.3</v>
      </c>
      <c r="F155" s="7">
        <f>IFERROR(__xludf.DUMMYFUNCTION("""COMPUTED_VALUE"""),1.2685649E7)</f>
        <v>12685649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f>IFERROR(__xludf.DUMMYFUNCTION("""COMPUTED_VALUE"""),45783.64583333333)</f>
        <v>45783.64583</v>
      </c>
      <c r="B156" s="7">
        <f>IFERROR(__xludf.DUMMYFUNCTION("""COMPUTED_VALUE"""),1431.0)</f>
        <v>1431</v>
      </c>
      <c r="C156" s="7">
        <f>IFERROR(__xludf.DUMMYFUNCTION("""COMPUTED_VALUE"""),1432.0)</f>
        <v>1432</v>
      </c>
      <c r="D156" s="7">
        <f>IFERROR(__xludf.DUMMYFUNCTION("""COMPUTED_VALUE"""),1410.6)</f>
        <v>1410.6</v>
      </c>
      <c r="E156" s="7">
        <f>IFERROR(__xludf.DUMMYFUNCTION("""COMPUTED_VALUE"""),1420.9)</f>
        <v>1420.9</v>
      </c>
      <c r="F156" s="7">
        <f>IFERROR(__xludf.DUMMYFUNCTION("""COMPUTED_VALUE"""),1.4084117E7)</f>
        <v>14084117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f>IFERROR(__xludf.DUMMYFUNCTION("""COMPUTED_VALUE"""),45784.64583333333)</f>
        <v>45784.64583</v>
      </c>
      <c r="B157" s="7">
        <f>IFERROR(__xludf.DUMMYFUNCTION("""COMPUTED_VALUE"""),1420.9)</f>
        <v>1420.9</v>
      </c>
      <c r="C157" s="7">
        <f>IFERROR(__xludf.DUMMYFUNCTION("""COMPUTED_VALUE"""),1424.4)</f>
        <v>1424.4</v>
      </c>
      <c r="D157" s="7">
        <f>IFERROR(__xludf.DUMMYFUNCTION("""COMPUTED_VALUE"""),1402.7)</f>
        <v>1402.7</v>
      </c>
      <c r="E157" s="7">
        <f>IFERROR(__xludf.DUMMYFUNCTION("""COMPUTED_VALUE"""),1406.0)</f>
        <v>1406</v>
      </c>
      <c r="F157" s="7">
        <f>IFERROR(__xludf.DUMMYFUNCTION("""COMPUTED_VALUE"""),1.3440169E7)</f>
        <v>13440169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f>IFERROR(__xludf.DUMMYFUNCTION("""COMPUTED_VALUE"""),45785.64583333333)</f>
        <v>45785.64583</v>
      </c>
      <c r="B158" s="7">
        <f>IFERROR(__xludf.DUMMYFUNCTION("""COMPUTED_VALUE"""),1404.1)</f>
        <v>1404.1</v>
      </c>
      <c r="C158" s="7">
        <f>IFERROR(__xludf.DUMMYFUNCTION("""COMPUTED_VALUE"""),1420.8)</f>
        <v>1420.8</v>
      </c>
      <c r="D158" s="7">
        <f>IFERROR(__xludf.DUMMYFUNCTION("""COMPUTED_VALUE"""),1398.0)</f>
        <v>1398</v>
      </c>
      <c r="E158" s="7">
        <f>IFERROR(__xludf.DUMMYFUNCTION("""COMPUTED_VALUE"""),1407.0)</f>
        <v>1407</v>
      </c>
      <c r="F158" s="7">
        <f>IFERROR(__xludf.DUMMYFUNCTION("""COMPUTED_VALUE"""),1.6106175E7)</f>
        <v>16106175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f>IFERROR(__xludf.DUMMYFUNCTION("""COMPUTED_VALUE"""),45786.64583333333)</f>
        <v>45786.64583</v>
      </c>
      <c r="B159" s="7">
        <f>IFERROR(__xludf.DUMMYFUNCTION("""COMPUTED_VALUE"""),1385.5)</f>
        <v>1385.5</v>
      </c>
      <c r="C159" s="7">
        <f>IFERROR(__xludf.DUMMYFUNCTION("""COMPUTED_VALUE"""),1394.8)</f>
        <v>1394.8</v>
      </c>
      <c r="D159" s="7">
        <f>IFERROR(__xludf.DUMMYFUNCTION("""COMPUTED_VALUE"""),1374.5)</f>
        <v>1374.5</v>
      </c>
      <c r="E159" s="7">
        <f>IFERROR(__xludf.DUMMYFUNCTION("""COMPUTED_VALUE"""),1377.2)</f>
        <v>1377.2</v>
      </c>
      <c r="F159" s="7">
        <f>IFERROR(__xludf.DUMMYFUNCTION("""COMPUTED_VALUE"""),1.3668904E7)</f>
        <v>13668904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f>IFERROR(__xludf.DUMMYFUNCTION("""COMPUTED_VALUE"""),45789.64583333333)</f>
        <v>45789.64583</v>
      </c>
      <c r="B160" s="7">
        <f>IFERROR(__xludf.DUMMYFUNCTION("""COMPUTED_VALUE"""),1400.0)</f>
        <v>1400</v>
      </c>
      <c r="C160" s="7">
        <f>IFERROR(__xludf.DUMMYFUNCTION("""COMPUTED_VALUE"""),1439.0)</f>
        <v>1439</v>
      </c>
      <c r="D160" s="7">
        <f>IFERROR(__xludf.DUMMYFUNCTION("""COMPUTED_VALUE"""),1400.0)</f>
        <v>1400</v>
      </c>
      <c r="E160" s="7">
        <f>IFERROR(__xludf.DUMMYFUNCTION("""COMPUTED_VALUE"""),1436.5)</f>
        <v>1436.5</v>
      </c>
      <c r="F160" s="7">
        <f>IFERROR(__xludf.DUMMYFUNCTION("""COMPUTED_VALUE"""),1.0674081E7)</f>
        <v>10674081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f>IFERROR(__xludf.DUMMYFUNCTION("""COMPUTED_VALUE"""),45790.64583333333)</f>
        <v>45790.64583</v>
      </c>
      <c r="B161" s="7">
        <f>IFERROR(__xludf.DUMMYFUNCTION("""COMPUTED_VALUE"""),1433.5)</f>
        <v>1433.5</v>
      </c>
      <c r="C161" s="7">
        <f>IFERROR(__xludf.DUMMYFUNCTION("""COMPUTED_VALUE"""),1447.7)</f>
        <v>1447.7</v>
      </c>
      <c r="D161" s="7">
        <f>IFERROR(__xludf.DUMMYFUNCTION("""COMPUTED_VALUE"""),1412.4)</f>
        <v>1412.4</v>
      </c>
      <c r="E161" s="7">
        <f>IFERROR(__xludf.DUMMYFUNCTION("""COMPUTED_VALUE"""),1415.7)</f>
        <v>1415.7</v>
      </c>
      <c r="F161" s="7">
        <f>IFERROR(__xludf.DUMMYFUNCTION("""COMPUTED_VALUE"""),1.1407896E7)</f>
        <v>11407896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f>IFERROR(__xludf.DUMMYFUNCTION("""COMPUTED_VALUE"""),45791.64583333333)</f>
        <v>45791.64583</v>
      </c>
      <c r="B162" s="7">
        <f>IFERROR(__xludf.DUMMYFUNCTION("""COMPUTED_VALUE"""),1420.0)</f>
        <v>1420</v>
      </c>
      <c r="C162" s="7">
        <f>IFERROR(__xludf.DUMMYFUNCTION("""COMPUTED_VALUE"""),1429.9)</f>
        <v>1429.9</v>
      </c>
      <c r="D162" s="7">
        <f>IFERROR(__xludf.DUMMYFUNCTION("""COMPUTED_VALUE"""),1415.5)</f>
        <v>1415.5</v>
      </c>
      <c r="E162" s="7">
        <f>IFERROR(__xludf.DUMMYFUNCTION("""COMPUTED_VALUE"""),1424.4)</f>
        <v>1424.4</v>
      </c>
      <c r="F162" s="7">
        <f>IFERROR(__xludf.DUMMYFUNCTION("""COMPUTED_VALUE"""),5570160.0)</f>
        <v>5570160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f>IFERROR(__xludf.DUMMYFUNCTION("""COMPUTED_VALUE"""),45792.64583333333)</f>
        <v>45792.64583</v>
      </c>
      <c r="B163" s="7">
        <f>IFERROR(__xludf.DUMMYFUNCTION("""COMPUTED_VALUE"""),1425.0)</f>
        <v>1425</v>
      </c>
      <c r="C163" s="7">
        <f>IFERROR(__xludf.DUMMYFUNCTION("""COMPUTED_VALUE"""),1461.4)</f>
        <v>1461.4</v>
      </c>
      <c r="D163" s="7">
        <f>IFERROR(__xludf.DUMMYFUNCTION("""COMPUTED_VALUE"""),1412.7)</f>
        <v>1412.7</v>
      </c>
      <c r="E163" s="7">
        <f>IFERROR(__xludf.DUMMYFUNCTION("""COMPUTED_VALUE"""),1454.2)</f>
        <v>1454.2</v>
      </c>
      <c r="F163" s="7">
        <f>IFERROR(__xludf.DUMMYFUNCTION("""COMPUTED_VALUE"""),2.0177211E7)</f>
        <v>20177211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f>IFERROR(__xludf.DUMMYFUNCTION("""COMPUTED_VALUE"""),45793.64583333333)</f>
        <v>45793.64583</v>
      </c>
      <c r="B164" s="7">
        <f>IFERROR(__xludf.DUMMYFUNCTION("""COMPUTED_VALUE"""),1453.2)</f>
        <v>1453.2</v>
      </c>
      <c r="C164" s="7">
        <f>IFERROR(__xludf.DUMMYFUNCTION("""COMPUTED_VALUE"""),1461.0)</f>
        <v>1461</v>
      </c>
      <c r="D164" s="7">
        <f>IFERROR(__xludf.DUMMYFUNCTION("""COMPUTED_VALUE"""),1447.3)</f>
        <v>1447.3</v>
      </c>
      <c r="E164" s="7">
        <f>IFERROR(__xludf.DUMMYFUNCTION("""COMPUTED_VALUE"""),1456.4)</f>
        <v>1456.4</v>
      </c>
      <c r="F164" s="7">
        <f>IFERROR(__xludf.DUMMYFUNCTION("""COMPUTED_VALUE"""),9036695.0)</f>
        <v>9036695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f>IFERROR(__xludf.DUMMYFUNCTION("""COMPUTED_VALUE"""),45796.64583333333)</f>
        <v>45796.64583</v>
      </c>
      <c r="B165" s="7">
        <f>IFERROR(__xludf.DUMMYFUNCTION("""COMPUTED_VALUE"""),1452.1)</f>
        <v>1452.1</v>
      </c>
      <c r="C165" s="7">
        <f>IFERROR(__xludf.DUMMYFUNCTION("""COMPUTED_VALUE"""),1454.6)</f>
        <v>1454.6</v>
      </c>
      <c r="D165" s="7">
        <f>IFERROR(__xludf.DUMMYFUNCTION("""COMPUTED_VALUE"""),1438.2)</f>
        <v>1438.2</v>
      </c>
      <c r="E165" s="7">
        <f>IFERROR(__xludf.DUMMYFUNCTION("""COMPUTED_VALUE"""),1440.8)</f>
        <v>1440.8</v>
      </c>
      <c r="F165" s="7">
        <f>IFERROR(__xludf.DUMMYFUNCTION("""COMPUTED_VALUE"""),6195791.0)</f>
        <v>6195791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f>IFERROR(__xludf.DUMMYFUNCTION("""COMPUTED_VALUE"""),45797.64583333333)</f>
        <v>45797.64583</v>
      </c>
      <c r="B166" s="7">
        <f>IFERROR(__xludf.DUMMYFUNCTION("""COMPUTED_VALUE"""),1438.2)</f>
        <v>1438.2</v>
      </c>
      <c r="C166" s="7">
        <f>IFERROR(__xludf.DUMMYFUNCTION("""COMPUTED_VALUE"""),1445.0)</f>
        <v>1445</v>
      </c>
      <c r="D166" s="7">
        <f>IFERROR(__xludf.DUMMYFUNCTION("""COMPUTED_VALUE"""),1421.8)</f>
        <v>1421.8</v>
      </c>
      <c r="E166" s="7">
        <f>IFERROR(__xludf.DUMMYFUNCTION("""COMPUTED_VALUE"""),1424.6)</f>
        <v>1424.6</v>
      </c>
      <c r="F166" s="7">
        <f>IFERROR(__xludf.DUMMYFUNCTION("""COMPUTED_VALUE"""),1.127056E7)</f>
        <v>11270560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f>IFERROR(__xludf.DUMMYFUNCTION("""COMPUTED_VALUE"""),45798.64583333333)</f>
        <v>45798.64583</v>
      </c>
      <c r="B167" s="7">
        <f>IFERROR(__xludf.DUMMYFUNCTION("""COMPUTED_VALUE"""),1423.9)</f>
        <v>1423.9</v>
      </c>
      <c r="C167" s="7">
        <f>IFERROR(__xludf.DUMMYFUNCTION("""COMPUTED_VALUE"""),1436.2)</f>
        <v>1436.2</v>
      </c>
      <c r="D167" s="7">
        <f>IFERROR(__xludf.DUMMYFUNCTION("""COMPUTED_VALUE"""),1418.1)</f>
        <v>1418.1</v>
      </c>
      <c r="E167" s="7">
        <f>IFERROR(__xludf.DUMMYFUNCTION("""COMPUTED_VALUE"""),1429.2)</f>
        <v>1429.2</v>
      </c>
      <c r="F167" s="7">
        <f>IFERROR(__xludf.DUMMYFUNCTION("""COMPUTED_VALUE"""),6136364.0)</f>
        <v>6136364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f>IFERROR(__xludf.DUMMYFUNCTION("""COMPUTED_VALUE"""),45799.64583333333)</f>
        <v>45799.64583</v>
      </c>
      <c r="B168" s="7">
        <f>IFERROR(__xludf.DUMMYFUNCTION("""COMPUTED_VALUE"""),1421.2)</f>
        <v>1421.2</v>
      </c>
      <c r="C168" s="7">
        <f>IFERROR(__xludf.DUMMYFUNCTION("""COMPUTED_VALUE"""),1423.8)</f>
        <v>1423.8</v>
      </c>
      <c r="D168" s="7">
        <f>IFERROR(__xludf.DUMMYFUNCTION("""COMPUTED_VALUE"""),1396.9)</f>
        <v>1396.9</v>
      </c>
      <c r="E168" s="7">
        <f>IFERROR(__xludf.DUMMYFUNCTION("""COMPUTED_VALUE"""),1409.4)</f>
        <v>1409.4</v>
      </c>
      <c r="F168" s="7">
        <f>IFERROR(__xludf.DUMMYFUNCTION("""COMPUTED_VALUE"""),1.2134466E7)</f>
        <v>12134466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f>IFERROR(__xludf.DUMMYFUNCTION("""COMPUTED_VALUE"""),45800.64583333333)</f>
        <v>45800.64583</v>
      </c>
      <c r="B169" s="7">
        <f>IFERROR(__xludf.DUMMYFUNCTION("""COMPUTED_VALUE"""),1406.6)</f>
        <v>1406.6</v>
      </c>
      <c r="C169" s="7">
        <f>IFERROR(__xludf.DUMMYFUNCTION("""COMPUTED_VALUE"""),1433.8)</f>
        <v>1433.8</v>
      </c>
      <c r="D169" s="7">
        <f>IFERROR(__xludf.DUMMYFUNCTION("""COMPUTED_VALUE"""),1406.6)</f>
        <v>1406.6</v>
      </c>
      <c r="E169" s="7">
        <f>IFERROR(__xludf.DUMMYFUNCTION("""COMPUTED_VALUE"""),1426.8)</f>
        <v>1426.8</v>
      </c>
      <c r="F169" s="7">
        <f>IFERROR(__xludf.DUMMYFUNCTION("""COMPUTED_VALUE"""),6474883.0)</f>
        <v>6474883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f>IFERROR(__xludf.DUMMYFUNCTION("""COMPUTED_VALUE"""),45803.64583333333)</f>
        <v>45803.64583</v>
      </c>
      <c r="B170" s="7">
        <f>IFERROR(__xludf.DUMMYFUNCTION("""COMPUTED_VALUE"""),1432.0)</f>
        <v>1432</v>
      </c>
      <c r="C170" s="7">
        <f>IFERROR(__xludf.DUMMYFUNCTION("""COMPUTED_VALUE"""),1441.0)</f>
        <v>1441</v>
      </c>
      <c r="D170" s="7">
        <f>IFERROR(__xludf.DUMMYFUNCTION("""COMPUTED_VALUE"""),1425.1)</f>
        <v>1425.1</v>
      </c>
      <c r="E170" s="7">
        <f>IFERROR(__xludf.DUMMYFUNCTION("""COMPUTED_VALUE"""),1434.8)</f>
        <v>1434.8</v>
      </c>
      <c r="F170" s="7">
        <f>IFERROR(__xludf.DUMMYFUNCTION("""COMPUTED_VALUE"""),4842944.0)</f>
        <v>4842944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f>IFERROR(__xludf.DUMMYFUNCTION("""COMPUTED_VALUE"""),45804.64583333333)</f>
        <v>45804.64583</v>
      </c>
      <c r="B171" s="7">
        <f>IFERROR(__xludf.DUMMYFUNCTION("""COMPUTED_VALUE"""),1426.1)</f>
        <v>1426.1</v>
      </c>
      <c r="C171" s="7">
        <f>IFERROR(__xludf.DUMMYFUNCTION("""COMPUTED_VALUE"""),1437.0)</f>
        <v>1437</v>
      </c>
      <c r="D171" s="7">
        <f>IFERROR(__xludf.DUMMYFUNCTION("""COMPUTED_VALUE"""),1413.9)</f>
        <v>1413.9</v>
      </c>
      <c r="E171" s="7">
        <f>IFERROR(__xludf.DUMMYFUNCTION("""COMPUTED_VALUE"""),1422.1)</f>
        <v>1422.1</v>
      </c>
      <c r="F171" s="7">
        <f>IFERROR(__xludf.DUMMYFUNCTION("""COMPUTED_VALUE"""),1.2640414E7)</f>
        <v>12640414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f>IFERROR(__xludf.DUMMYFUNCTION("""COMPUTED_VALUE"""),45805.64583333333)</f>
        <v>45805.64583</v>
      </c>
      <c r="B172" s="7">
        <f>IFERROR(__xludf.DUMMYFUNCTION("""COMPUTED_VALUE"""),1420.1)</f>
        <v>1420.1</v>
      </c>
      <c r="C172" s="7">
        <f>IFERROR(__xludf.DUMMYFUNCTION("""COMPUTED_VALUE"""),1422.6)</f>
        <v>1422.6</v>
      </c>
      <c r="D172" s="7">
        <f>IFERROR(__xludf.DUMMYFUNCTION("""COMPUTED_VALUE"""),1410.7)</f>
        <v>1410.7</v>
      </c>
      <c r="E172" s="7">
        <f>IFERROR(__xludf.DUMMYFUNCTION("""COMPUTED_VALUE"""),1412.9)</f>
        <v>1412.9</v>
      </c>
      <c r="F172" s="7">
        <f>IFERROR(__xludf.DUMMYFUNCTION("""COMPUTED_VALUE"""),5944611.0)</f>
        <v>5944611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f>IFERROR(__xludf.DUMMYFUNCTION("""COMPUTED_VALUE"""),45806.64583333333)</f>
        <v>45806.64583</v>
      </c>
      <c r="B173" s="7">
        <f>IFERROR(__xludf.DUMMYFUNCTION("""COMPUTED_VALUE"""),1412.1)</f>
        <v>1412.1</v>
      </c>
      <c r="C173" s="7">
        <f>IFERROR(__xludf.DUMMYFUNCTION("""COMPUTED_VALUE"""),1420.0)</f>
        <v>1420</v>
      </c>
      <c r="D173" s="7">
        <f>IFERROR(__xludf.DUMMYFUNCTION("""COMPUTED_VALUE"""),1408.6)</f>
        <v>1408.6</v>
      </c>
      <c r="E173" s="7">
        <f>IFERROR(__xludf.DUMMYFUNCTION("""COMPUTED_VALUE"""),1417.8)</f>
        <v>1417.8</v>
      </c>
      <c r="F173" s="7">
        <f>IFERROR(__xludf.DUMMYFUNCTION("""COMPUTED_VALUE"""),1.3771917E7)</f>
        <v>13771917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f>IFERROR(__xludf.DUMMYFUNCTION("""COMPUTED_VALUE"""),45807.64583333333)</f>
        <v>45807.64583</v>
      </c>
      <c r="B174" s="7">
        <f>IFERROR(__xludf.DUMMYFUNCTION("""COMPUTED_VALUE"""),1418.0)</f>
        <v>1418</v>
      </c>
      <c r="C174" s="7">
        <f>IFERROR(__xludf.DUMMYFUNCTION("""COMPUTED_VALUE"""),1430.6)</f>
        <v>1430.6</v>
      </c>
      <c r="D174" s="7">
        <f>IFERROR(__xludf.DUMMYFUNCTION("""COMPUTED_VALUE"""),1409.7)</f>
        <v>1409.7</v>
      </c>
      <c r="E174" s="7">
        <f>IFERROR(__xludf.DUMMYFUNCTION("""COMPUTED_VALUE"""),1420.9)</f>
        <v>1420.9</v>
      </c>
      <c r="F174" s="7">
        <f>IFERROR(__xludf.DUMMYFUNCTION("""COMPUTED_VALUE"""),1.3788484E7)</f>
        <v>13788484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f>IFERROR(__xludf.DUMMYFUNCTION("""COMPUTED_VALUE"""),45810.64583333333)</f>
        <v>45810.64583</v>
      </c>
      <c r="B175" s="7">
        <f>IFERROR(__xludf.DUMMYFUNCTION("""COMPUTED_VALUE"""),1412.1)</f>
        <v>1412.1</v>
      </c>
      <c r="C175" s="7">
        <f>IFERROR(__xludf.DUMMYFUNCTION("""COMPUTED_VALUE"""),1417.5)</f>
        <v>1417.5</v>
      </c>
      <c r="D175" s="7">
        <f>IFERROR(__xludf.DUMMYFUNCTION("""COMPUTED_VALUE"""),1395.6)</f>
        <v>1395.6</v>
      </c>
      <c r="E175" s="7">
        <f>IFERROR(__xludf.DUMMYFUNCTION("""COMPUTED_VALUE"""),1413.7)</f>
        <v>1413.7</v>
      </c>
      <c r="F175" s="7">
        <f>IFERROR(__xludf.DUMMYFUNCTION("""COMPUTED_VALUE"""),8098668.0)</f>
        <v>8098668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f>IFERROR(__xludf.DUMMYFUNCTION("""COMPUTED_VALUE"""),45811.64583333333)</f>
        <v>45811.64583</v>
      </c>
      <c r="B176" s="7">
        <f>IFERROR(__xludf.DUMMYFUNCTION("""COMPUTED_VALUE"""),1422.3)</f>
        <v>1422.3</v>
      </c>
      <c r="C176" s="7">
        <f>IFERROR(__xludf.DUMMYFUNCTION("""COMPUTED_VALUE"""),1426.5)</f>
        <v>1426.5</v>
      </c>
      <c r="D176" s="7">
        <f>IFERROR(__xludf.DUMMYFUNCTION("""COMPUTED_VALUE"""),1403.4)</f>
        <v>1403.4</v>
      </c>
      <c r="E176" s="7">
        <f>IFERROR(__xludf.DUMMYFUNCTION("""COMPUTED_VALUE"""),1405.5)</f>
        <v>1405.5</v>
      </c>
      <c r="F176" s="7">
        <f>IFERROR(__xludf.DUMMYFUNCTION("""COMPUTED_VALUE"""),1.1252626E7)</f>
        <v>11252626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f>IFERROR(__xludf.DUMMYFUNCTION("""COMPUTED_VALUE"""),45812.64583333333)</f>
        <v>45812.64583</v>
      </c>
      <c r="B177" s="7">
        <f>IFERROR(__xludf.DUMMYFUNCTION("""COMPUTED_VALUE"""),1414.7)</f>
        <v>1414.7</v>
      </c>
      <c r="C177" s="7">
        <f>IFERROR(__xludf.DUMMYFUNCTION("""COMPUTED_VALUE"""),1425.7)</f>
        <v>1425.7</v>
      </c>
      <c r="D177" s="7">
        <f>IFERROR(__xludf.DUMMYFUNCTION("""COMPUTED_VALUE"""),1406.1)</f>
        <v>1406.1</v>
      </c>
      <c r="E177" s="7">
        <f>IFERROR(__xludf.DUMMYFUNCTION("""COMPUTED_VALUE"""),1423.5)</f>
        <v>1423.5</v>
      </c>
      <c r="F177" s="7">
        <f>IFERROR(__xludf.DUMMYFUNCTION("""COMPUTED_VALUE"""),8126827.0)</f>
        <v>8126827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f>IFERROR(__xludf.DUMMYFUNCTION("""COMPUTED_VALUE"""),45813.64583333333)</f>
        <v>45813.64583</v>
      </c>
      <c r="B178" s="7">
        <f>IFERROR(__xludf.DUMMYFUNCTION("""COMPUTED_VALUE"""),1428.0)</f>
        <v>1428</v>
      </c>
      <c r="C178" s="7">
        <f>IFERROR(__xludf.DUMMYFUNCTION("""COMPUTED_VALUE"""),1454.7)</f>
        <v>1454.7</v>
      </c>
      <c r="D178" s="7">
        <f>IFERROR(__xludf.DUMMYFUNCTION("""COMPUTED_VALUE"""),1423.6)</f>
        <v>1423.6</v>
      </c>
      <c r="E178" s="7">
        <f>IFERROR(__xludf.DUMMYFUNCTION("""COMPUTED_VALUE"""),1442.4)</f>
        <v>1442.4</v>
      </c>
      <c r="F178" s="7">
        <f>IFERROR(__xludf.DUMMYFUNCTION("""COMPUTED_VALUE"""),1.3716817E7)</f>
        <v>13716817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f>IFERROR(__xludf.DUMMYFUNCTION("""COMPUTED_VALUE"""),45814.64583333333)</f>
        <v>45814.64583</v>
      </c>
      <c r="B179" s="7">
        <f>IFERROR(__xludf.DUMMYFUNCTION("""COMPUTED_VALUE"""),1441.0)</f>
        <v>1441</v>
      </c>
      <c r="C179" s="7">
        <f>IFERROR(__xludf.DUMMYFUNCTION("""COMPUTED_VALUE"""),1451.5)</f>
        <v>1451.5</v>
      </c>
      <c r="D179" s="7">
        <f>IFERROR(__xludf.DUMMYFUNCTION("""COMPUTED_VALUE"""),1437.0)</f>
        <v>1437</v>
      </c>
      <c r="E179" s="7">
        <f>IFERROR(__xludf.DUMMYFUNCTION("""COMPUTED_VALUE"""),1443.5)</f>
        <v>1443.5</v>
      </c>
      <c r="F179" s="7">
        <f>IFERROR(__xludf.DUMMYFUNCTION("""COMPUTED_VALUE"""),8182161.0)</f>
        <v>8182161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f>IFERROR(__xludf.DUMMYFUNCTION("""COMPUTED_VALUE"""),45817.64583333333)</f>
        <v>45817.64583</v>
      </c>
      <c r="B180" s="7">
        <f>IFERROR(__xludf.DUMMYFUNCTION("""COMPUTED_VALUE"""),1457.0)</f>
        <v>1457</v>
      </c>
      <c r="C180" s="7">
        <f>IFERROR(__xludf.DUMMYFUNCTION("""COMPUTED_VALUE"""),1457.5)</f>
        <v>1457.5</v>
      </c>
      <c r="D180" s="7">
        <f>IFERROR(__xludf.DUMMYFUNCTION("""COMPUTED_VALUE"""),1445.3)</f>
        <v>1445.3</v>
      </c>
      <c r="E180" s="7">
        <f>IFERROR(__xludf.DUMMYFUNCTION("""COMPUTED_VALUE"""),1448.8)</f>
        <v>1448.8</v>
      </c>
      <c r="F180" s="7">
        <f>IFERROR(__xludf.DUMMYFUNCTION("""COMPUTED_VALUE"""),7885125.0)</f>
        <v>7885125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f>IFERROR(__xludf.DUMMYFUNCTION("""COMPUTED_VALUE"""),45818.64583333333)</f>
        <v>45818.64583</v>
      </c>
      <c r="B181" s="7">
        <f>IFERROR(__xludf.DUMMYFUNCTION("""COMPUTED_VALUE"""),1450.0)</f>
        <v>1450</v>
      </c>
      <c r="C181" s="7">
        <f>IFERROR(__xludf.DUMMYFUNCTION("""COMPUTED_VALUE"""),1453.9)</f>
        <v>1453.9</v>
      </c>
      <c r="D181" s="7">
        <f>IFERROR(__xludf.DUMMYFUNCTION("""COMPUTED_VALUE"""),1436.0)</f>
        <v>1436</v>
      </c>
      <c r="E181" s="7">
        <f>IFERROR(__xludf.DUMMYFUNCTION("""COMPUTED_VALUE"""),1438.5)</f>
        <v>1438.5</v>
      </c>
      <c r="F181" s="7">
        <f>IFERROR(__xludf.DUMMYFUNCTION("""COMPUTED_VALUE"""),7913181.0)</f>
        <v>7913181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f>IFERROR(__xludf.DUMMYFUNCTION("""COMPUTED_VALUE"""),45819.64583333333)</f>
        <v>45819.64583</v>
      </c>
      <c r="B182" s="7">
        <f>IFERROR(__xludf.DUMMYFUNCTION("""COMPUTED_VALUE"""),1445.8)</f>
        <v>1445.8</v>
      </c>
      <c r="C182" s="7">
        <f>IFERROR(__xludf.DUMMYFUNCTION("""COMPUTED_VALUE"""),1468.6)</f>
        <v>1468.6</v>
      </c>
      <c r="D182" s="7">
        <f>IFERROR(__xludf.DUMMYFUNCTION("""COMPUTED_VALUE"""),1443.1)</f>
        <v>1443.1</v>
      </c>
      <c r="E182" s="7">
        <f>IFERROR(__xludf.DUMMYFUNCTION("""COMPUTED_VALUE"""),1448.9)</f>
        <v>1448.9</v>
      </c>
      <c r="F182" s="7">
        <f>IFERROR(__xludf.DUMMYFUNCTION("""COMPUTED_VALUE"""),8195700.0)</f>
        <v>8195700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f>IFERROR(__xludf.DUMMYFUNCTION("""COMPUTED_VALUE"""),45820.64583333333)</f>
        <v>45820.64583</v>
      </c>
      <c r="B183" s="7">
        <f>IFERROR(__xludf.DUMMYFUNCTION("""COMPUTED_VALUE"""),1453.5)</f>
        <v>1453.5</v>
      </c>
      <c r="C183" s="7">
        <f>IFERROR(__xludf.DUMMYFUNCTION("""COMPUTED_VALUE"""),1457.0)</f>
        <v>1457</v>
      </c>
      <c r="D183" s="7">
        <f>IFERROR(__xludf.DUMMYFUNCTION("""COMPUTED_VALUE"""),1434.4)</f>
        <v>1434.4</v>
      </c>
      <c r="E183" s="7">
        <f>IFERROR(__xludf.DUMMYFUNCTION("""COMPUTED_VALUE"""),1441.6)</f>
        <v>1441.6</v>
      </c>
      <c r="F183" s="7">
        <f>IFERROR(__xludf.DUMMYFUNCTION("""COMPUTED_VALUE"""),8828114.0)</f>
        <v>8828114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f>IFERROR(__xludf.DUMMYFUNCTION("""COMPUTED_VALUE"""),45821.64583333333)</f>
        <v>45821.64583</v>
      </c>
      <c r="B184" s="7">
        <f>IFERROR(__xludf.DUMMYFUNCTION("""COMPUTED_VALUE"""),1424.0)</f>
        <v>1424</v>
      </c>
      <c r="C184" s="7">
        <f>IFERROR(__xludf.DUMMYFUNCTION("""COMPUTED_VALUE"""),1435.5)</f>
        <v>1435.5</v>
      </c>
      <c r="D184" s="7">
        <f>IFERROR(__xludf.DUMMYFUNCTION("""COMPUTED_VALUE"""),1414.3)</f>
        <v>1414.3</v>
      </c>
      <c r="E184" s="7">
        <f>IFERROR(__xludf.DUMMYFUNCTION("""COMPUTED_VALUE"""),1427.9)</f>
        <v>1427.9</v>
      </c>
      <c r="F184" s="7">
        <f>IFERROR(__xludf.DUMMYFUNCTION("""COMPUTED_VALUE"""),9757276.0)</f>
        <v>9757276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f>IFERROR(__xludf.DUMMYFUNCTION("""COMPUTED_VALUE"""),45824.64583333333)</f>
        <v>45824.64583</v>
      </c>
      <c r="B185" s="7">
        <f>IFERROR(__xludf.DUMMYFUNCTION("""COMPUTED_VALUE"""),1426.9)</f>
        <v>1426.9</v>
      </c>
      <c r="C185" s="7">
        <f>IFERROR(__xludf.DUMMYFUNCTION("""COMPUTED_VALUE"""),1442.4)</f>
        <v>1442.4</v>
      </c>
      <c r="D185" s="7">
        <f>IFERROR(__xludf.DUMMYFUNCTION("""COMPUTED_VALUE"""),1424.4)</f>
        <v>1424.4</v>
      </c>
      <c r="E185" s="7">
        <f>IFERROR(__xludf.DUMMYFUNCTION("""COMPUTED_VALUE"""),1437.8)</f>
        <v>1437.8</v>
      </c>
      <c r="F185" s="7">
        <f>IFERROR(__xludf.DUMMYFUNCTION("""COMPUTED_VALUE"""),8458093.0)</f>
        <v>8458093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f>IFERROR(__xludf.DUMMYFUNCTION("""COMPUTED_VALUE"""),45825.64583333333)</f>
        <v>45825.64583</v>
      </c>
      <c r="B186" s="7">
        <f>IFERROR(__xludf.DUMMYFUNCTION("""COMPUTED_VALUE"""),1448.0)</f>
        <v>1448</v>
      </c>
      <c r="C186" s="7">
        <f>IFERROR(__xludf.DUMMYFUNCTION("""COMPUTED_VALUE"""),1448.0)</f>
        <v>1448</v>
      </c>
      <c r="D186" s="7">
        <f>IFERROR(__xludf.DUMMYFUNCTION("""COMPUTED_VALUE"""),1425.8)</f>
        <v>1425.8</v>
      </c>
      <c r="E186" s="7">
        <f>IFERROR(__xludf.DUMMYFUNCTION("""COMPUTED_VALUE"""),1431.2)</f>
        <v>1431.2</v>
      </c>
      <c r="F186" s="7">
        <f>IFERROR(__xludf.DUMMYFUNCTION("""COMPUTED_VALUE"""),1.0366599E7)</f>
        <v>10366599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f>IFERROR(__xludf.DUMMYFUNCTION("""COMPUTED_VALUE"""),45826.64583333333)</f>
        <v>45826.64583</v>
      </c>
      <c r="B187" s="7">
        <f>IFERROR(__xludf.DUMMYFUNCTION("""COMPUTED_VALUE"""),1430.0)</f>
        <v>1430</v>
      </c>
      <c r="C187" s="7">
        <f>IFERROR(__xludf.DUMMYFUNCTION("""COMPUTED_VALUE"""),1442.8)</f>
        <v>1442.8</v>
      </c>
      <c r="D187" s="7">
        <f>IFERROR(__xludf.DUMMYFUNCTION("""COMPUTED_VALUE"""),1425.7)</f>
        <v>1425.7</v>
      </c>
      <c r="E187" s="7">
        <f>IFERROR(__xludf.DUMMYFUNCTION("""COMPUTED_VALUE"""),1430.1)</f>
        <v>1430.1</v>
      </c>
      <c r="F187" s="7">
        <f>IFERROR(__xludf.DUMMYFUNCTION("""COMPUTED_VALUE"""),6681735.0)</f>
        <v>6681735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f>IFERROR(__xludf.DUMMYFUNCTION("""COMPUTED_VALUE"""),45827.64583333333)</f>
        <v>45827.64583</v>
      </c>
      <c r="B188" s="7">
        <f>IFERROR(__xludf.DUMMYFUNCTION("""COMPUTED_VALUE"""),1430.1)</f>
        <v>1430.1</v>
      </c>
      <c r="C188" s="7">
        <f>IFERROR(__xludf.DUMMYFUNCTION("""COMPUTED_VALUE"""),1439.9)</f>
        <v>1439.9</v>
      </c>
      <c r="D188" s="7">
        <f>IFERROR(__xludf.DUMMYFUNCTION("""COMPUTED_VALUE"""),1425.7)</f>
        <v>1425.7</v>
      </c>
      <c r="E188" s="7">
        <f>IFERROR(__xludf.DUMMYFUNCTION("""COMPUTED_VALUE"""),1433.3)</f>
        <v>1433.3</v>
      </c>
      <c r="F188" s="7">
        <f>IFERROR(__xludf.DUMMYFUNCTION("""COMPUTED_VALUE"""),1.000723E7)</f>
        <v>10007230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f>IFERROR(__xludf.DUMMYFUNCTION("""COMPUTED_VALUE"""),45828.64583333333)</f>
        <v>45828.64583</v>
      </c>
      <c r="B189" s="7">
        <f>IFERROR(__xludf.DUMMYFUNCTION("""COMPUTED_VALUE"""),1431.0)</f>
        <v>1431</v>
      </c>
      <c r="C189" s="7">
        <f>IFERROR(__xludf.DUMMYFUNCTION("""COMPUTED_VALUE"""),1471.0)</f>
        <v>1471</v>
      </c>
      <c r="D189" s="7">
        <f>IFERROR(__xludf.DUMMYFUNCTION("""COMPUTED_VALUE"""),1428.1)</f>
        <v>1428.1</v>
      </c>
      <c r="E189" s="7">
        <f>IFERROR(__xludf.DUMMYFUNCTION("""COMPUTED_VALUE"""),1466.2)</f>
        <v>1466.2</v>
      </c>
      <c r="F189" s="7">
        <f>IFERROR(__xludf.DUMMYFUNCTION("""COMPUTED_VALUE"""),2.9010635E7)</f>
        <v>29010635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f>IFERROR(__xludf.DUMMYFUNCTION("""COMPUTED_VALUE"""),45831.64583333333)</f>
        <v>45831.64583</v>
      </c>
      <c r="B190" s="7">
        <f>IFERROR(__xludf.DUMMYFUNCTION("""COMPUTED_VALUE"""),1453.0)</f>
        <v>1453</v>
      </c>
      <c r="C190" s="7">
        <f>IFERROR(__xludf.DUMMYFUNCTION("""COMPUTED_VALUE"""),1463.8)</f>
        <v>1463.8</v>
      </c>
      <c r="D190" s="7">
        <f>IFERROR(__xludf.DUMMYFUNCTION("""COMPUTED_VALUE"""),1442.0)</f>
        <v>1442</v>
      </c>
      <c r="E190" s="7">
        <f>IFERROR(__xludf.DUMMYFUNCTION("""COMPUTED_VALUE"""),1456.8)</f>
        <v>1456.8</v>
      </c>
      <c r="F190" s="7">
        <f>IFERROR(__xludf.DUMMYFUNCTION("""COMPUTED_VALUE"""),5989078.0)</f>
        <v>5989078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f>IFERROR(__xludf.DUMMYFUNCTION("""COMPUTED_VALUE"""),45832.64583333333)</f>
        <v>45832.64583</v>
      </c>
      <c r="B191" s="7">
        <f>IFERROR(__xludf.DUMMYFUNCTION("""COMPUTED_VALUE"""),1465.0)</f>
        <v>1465</v>
      </c>
      <c r="C191" s="7">
        <f>IFERROR(__xludf.DUMMYFUNCTION("""COMPUTED_VALUE"""),1475.0)</f>
        <v>1475</v>
      </c>
      <c r="D191" s="7">
        <f>IFERROR(__xludf.DUMMYFUNCTION("""COMPUTED_VALUE"""),1443.1)</f>
        <v>1443.1</v>
      </c>
      <c r="E191" s="7">
        <f>IFERROR(__xludf.DUMMYFUNCTION("""COMPUTED_VALUE"""),1450.8)</f>
        <v>1450.8</v>
      </c>
      <c r="F191" s="7">
        <f>IFERROR(__xludf.DUMMYFUNCTION("""COMPUTED_VALUE"""),1.6402744E7)</f>
        <v>16402744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f>IFERROR(__xludf.DUMMYFUNCTION("""COMPUTED_VALUE"""),45833.64583333333)</f>
        <v>45833.64583</v>
      </c>
      <c r="B192" s="7">
        <f>IFERROR(__xludf.DUMMYFUNCTION("""COMPUTED_VALUE"""),1464.0)</f>
        <v>1464</v>
      </c>
      <c r="C192" s="7">
        <f>IFERROR(__xludf.DUMMYFUNCTION("""COMPUTED_VALUE"""),1472.4)</f>
        <v>1472.4</v>
      </c>
      <c r="D192" s="7">
        <f>IFERROR(__xludf.DUMMYFUNCTION("""COMPUTED_VALUE"""),1460.5)</f>
        <v>1460.5</v>
      </c>
      <c r="E192" s="7">
        <f>IFERROR(__xludf.DUMMYFUNCTION("""COMPUTED_VALUE"""),1467.3)</f>
        <v>1467.3</v>
      </c>
      <c r="F192" s="7">
        <f>IFERROR(__xludf.DUMMYFUNCTION("""COMPUTED_VALUE"""),7525851.0)</f>
        <v>7525851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f>IFERROR(__xludf.DUMMYFUNCTION("""COMPUTED_VALUE"""),45834.64583333333)</f>
        <v>45834.64583</v>
      </c>
      <c r="B193" s="7">
        <f>IFERROR(__xludf.DUMMYFUNCTION("""COMPUTED_VALUE"""),1469.1)</f>
        <v>1469.1</v>
      </c>
      <c r="C193" s="7">
        <f>IFERROR(__xludf.DUMMYFUNCTION("""COMPUTED_VALUE"""),1498.8)</f>
        <v>1498.8</v>
      </c>
      <c r="D193" s="7">
        <f>IFERROR(__xludf.DUMMYFUNCTION("""COMPUTED_VALUE"""),1465.1)</f>
        <v>1465.1</v>
      </c>
      <c r="E193" s="7">
        <f>IFERROR(__xludf.DUMMYFUNCTION("""COMPUTED_VALUE"""),1495.3)</f>
        <v>1495.3</v>
      </c>
      <c r="F193" s="7">
        <f>IFERROR(__xludf.DUMMYFUNCTION("""COMPUTED_VALUE"""),1.4657893E7)</f>
        <v>14657893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f>IFERROR(__xludf.DUMMYFUNCTION("""COMPUTED_VALUE"""),45835.64583333333)</f>
        <v>45835.64583</v>
      </c>
      <c r="B194" s="7">
        <f>IFERROR(__xludf.DUMMYFUNCTION("""COMPUTED_VALUE"""),1499.4)</f>
        <v>1499.4</v>
      </c>
      <c r="C194" s="7">
        <f>IFERROR(__xludf.DUMMYFUNCTION("""COMPUTED_VALUE"""),1522.0)</f>
        <v>1522</v>
      </c>
      <c r="D194" s="7">
        <f>IFERROR(__xludf.DUMMYFUNCTION("""COMPUTED_VALUE"""),1496.9)</f>
        <v>1496.9</v>
      </c>
      <c r="E194" s="7">
        <f>IFERROR(__xludf.DUMMYFUNCTION("""COMPUTED_VALUE"""),1515.4)</f>
        <v>1515.4</v>
      </c>
      <c r="F194" s="7">
        <f>IFERROR(__xludf.DUMMYFUNCTION("""COMPUTED_VALUE"""),1.1117052E7)</f>
        <v>11117052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f>IFERROR(__xludf.DUMMYFUNCTION("""COMPUTED_VALUE"""),45838.64583333333)</f>
        <v>45838.64583</v>
      </c>
      <c r="B195" s="7">
        <f>IFERROR(__xludf.DUMMYFUNCTION("""COMPUTED_VALUE"""),1513.8)</f>
        <v>1513.8</v>
      </c>
      <c r="C195" s="7">
        <f>IFERROR(__xludf.DUMMYFUNCTION("""COMPUTED_VALUE"""),1524.8)</f>
        <v>1524.8</v>
      </c>
      <c r="D195" s="7">
        <f>IFERROR(__xludf.DUMMYFUNCTION("""COMPUTED_VALUE"""),1496.0)</f>
        <v>1496</v>
      </c>
      <c r="E195" s="7">
        <f>IFERROR(__xludf.DUMMYFUNCTION("""COMPUTED_VALUE"""),1500.6)</f>
        <v>1500.6</v>
      </c>
      <c r="F195" s="7">
        <f>IFERROR(__xludf.DUMMYFUNCTION("""COMPUTED_VALUE"""),8409527.0)</f>
        <v>8409527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f>IFERROR(__xludf.DUMMYFUNCTION("""COMPUTED_VALUE"""),45839.64583333333)</f>
        <v>45839.64583</v>
      </c>
      <c r="B196" s="7">
        <f>IFERROR(__xludf.DUMMYFUNCTION("""COMPUTED_VALUE"""),1500.6)</f>
        <v>1500.6</v>
      </c>
      <c r="C196" s="7">
        <f>IFERROR(__xludf.DUMMYFUNCTION("""COMPUTED_VALUE"""),1531.4)</f>
        <v>1531.4</v>
      </c>
      <c r="D196" s="7">
        <f>IFERROR(__xludf.DUMMYFUNCTION("""COMPUTED_VALUE"""),1500.1)</f>
        <v>1500.1</v>
      </c>
      <c r="E196" s="7">
        <f>IFERROR(__xludf.DUMMYFUNCTION("""COMPUTED_VALUE"""),1528.4)</f>
        <v>1528.4</v>
      </c>
      <c r="F196" s="7">
        <f>IFERROR(__xludf.DUMMYFUNCTION("""COMPUTED_VALUE"""),1.0368523E7)</f>
        <v>10368523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f>IFERROR(__xludf.DUMMYFUNCTION("""COMPUTED_VALUE"""),45840.64583333333)</f>
        <v>45840.64583</v>
      </c>
      <c r="B197" s="7">
        <f>IFERROR(__xludf.DUMMYFUNCTION("""COMPUTED_VALUE"""),1528.4)</f>
        <v>1528.4</v>
      </c>
      <c r="C197" s="7">
        <f>IFERROR(__xludf.DUMMYFUNCTION("""COMPUTED_VALUE"""),1530.0)</f>
        <v>1530</v>
      </c>
      <c r="D197" s="7">
        <f>IFERROR(__xludf.DUMMYFUNCTION("""COMPUTED_VALUE"""),1508.7)</f>
        <v>1508.7</v>
      </c>
      <c r="E197" s="7">
        <f>IFERROR(__xludf.DUMMYFUNCTION("""COMPUTED_VALUE"""),1518.8)</f>
        <v>1518.8</v>
      </c>
      <c r="F197" s="7">
        <f>IFERROR(__xludf.DUMMYFUNCTION("""COMPUTED_VALUE"""),6361002.0)</f>
        <v>6361002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f>IFERROR(__xludf.DUMMYFUNCTION("""COMPUTED_VALUE"""),45841.64583333333)</f>
        <v>45841.64583</v>
      </c>
      <c r="B198" s="7">
        <f>IFERROR(__xludf.DUMMYFUNCTION("""COMPUTED_VALUE"""),1520.8)</f>
        <v>1520.8</v>
      </c>
      <c r="C198" s="7">
        <f>IFERROR(__xludf.DUMMYFUNCTION("""COMPUTED_VALUE"""),1531.9)</f>
        <v>1531.9</v>
      </c>
      <c r="D198" s="7">
        <f>IFERROR(__xludf.DUMMYFUNCTION("""COMPUTED_VALUE"""),1513.0)</f>
        <v>1513</v>
      </c>
      <c r="E198" s="7">
        <f>IFERROR(__xludf.DUMMYFUNCTION("""COMPUTED_VALUE"""),1517.8)</f>
        <v>1517.8</v>
      </c>
      <c r="F198" s="7">
        <f>IFERROR(__xludf.DUMMYFUNCTION("""COMPUTED_VALUE"""),1.1283291E7)</f>
        <v>11283291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f>IFERROR(__xludf.DUMMYFUNCTION("""COMPUTED_VALUE"""),45842.64583333333)</f>
        <v>45842.64583</v>
      </c>
      <c r="B199" s="7">
        <f>IFERROR(__xludf.DUMMYFUNCTION("""COMPUTED_VALUE"""),1524.0)</f>
        <v>1524</v>
      </c>
      <c r="C199" s="7">
        <f>IFERROR(__xludf.DUMMYFUNCTION("""COMPUTED_VALUE"""),1530.0)</f>
        <v>1530</v>
      </c>
      <c r="D199" s="7">
        <f>IFERROR(__xludf.DUMMYFUNCTION("""COMPUTED_VALUE"""),1517.2)</f>
        <v>1517.2</v>
      </c>
      <c r="E199" s="7">
        <f>IFERROR(__xludf.DUMMYFUNCTION("""COMPUTED_VALUE"""),1527.3)</f>
        <v>1527.3</v>
      </c>
      <c r="F199" s="7">
        <f>IFERROR(__xludf.DUMMYFUNCTION("""COMPUTED_VALUE"""),6603501.0)</f>
        <v>6603501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f>IFERROR(__xludf.DUMMYFUNCTION("""COMPUTED_VALUE"""),45845.64583333333)</f>
        <v>45845.64583</v>
      </c>
      <c r="B200" s="7">
        <f>IFERROR(__xludf.DUMMYFUNCTION("""COMPUTED_VALUE"""),1526.6)</f>
        <v>1526.6</v>
      </c>
      <c r="C200" s="7">
        <f>IFERROR(__xludf.DUMMYFUNCTION("""COMPUTED_VALUE"""),1544.8)</f>
        <v>1544.8</v>
      </c>
      <c r="D200" s="7">
        <f>IFERROR(__xludf.DUMMYFUNCTION("""COMPUTED_VALUE"""),1525.0)</f>
        <v>1525</v>
      </c>
      <c r="E200" s="7">
        <f>IFERROR(__xludf.DUMMYFUNCTION("""COMPUTED_VALUE"""),1541.5)</f>
        <v>1541.5</v>
      </c>
      <c r="F200" s="7">
        <f>IFERROR(__xludf.DUMMYFUNCTION("""COMPUTED_VALUE"""),7251074.0)</f>
        <v>7251074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f>IFERROR(__xludf.DUMMYFUNCTION("""COMPUTED_VALUE"""),45846.64583333333)</f>
        <v>45846.64583</v>
      </c>
      <c r="B201" s="7">
        <f>IFERROR(__xludf.DUMMYFUNCTION("""COMPUTED_VALUE"""),1536.0)</f>
        <v>1536</v>
      </c>
      <c r="C201" s="7">
        <f>IFERROR(__xludf.DUMMYFUNCTION("""COMPUTED_VALUE"""),1544.9)</f>
        <v>1544.9</v>
      </c>
      <c r="D201" s="7">
        <f>IFERROR(__xludf.DUMMYFUNCTION("""COMPUTED_VALUE"""),1530.2)</f>
        <v>1530.2</v>
      </c>
      <c r="E201" s="7">
        <f>IFERROR(__xludf.DUMMYFUNCTION("""COMPUTED_VALUE"""),1537.6)</f>
        <v>1537.6</v>
      </c>
      <c r="F201" s="7">
        <f>IFERROR(__xludf.DUMMYFUNCTION("""COMPUTED_VALUE"""),7171261.0)</f>
        <v>7171261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f>IFERROR(__xludf.DUMMYFUNCTION("""COMPUTED_VALUE"""),45847.64583333333)</f>
        <v>45847.64583</v>
      </c>
      <c r="B202" s="7">
        <f>IFERROR(__xludf.DUMMYFUNCTION("""COMPUTED_VALUE"""),1536.7)</f>
        <v>1536.7</v>
      </c>
      <c r="C202" s="7">
        <f>IFERROR(__xludf.DUMMYFUNCTION("""COMPUTED_VALUE"""),1551.0)</f>
        <v>1551</v>
      </c>
      <c r="D202" s="7">
        <f>IFERROR(__xludf.DUMMYFUNCTION("""COMPUTED_VALUE"""),1510.1)</f>
        <v>1510.1</v>
      </c>
      <c r="E202" s="7">
        <f>IFERROR(__xludf.DUMMYFUNCTION("""COMPUTED_VALUE"""),1519.0)</f>
        <v>1519</v>
      </c>
      <c r="F202" s="7">
        <f>IFERROR(__xludf.DUMMYFUNCTION("""COMPUTED_VALUE"""),8870660.0)</f>
        <v>8870660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f>IFERROR(__xludf.DUMMYFUNCTION("""COMPUTED_VALUE"""),45848.64583333333)</f>
        <v>45848.64583</v>
      </c>
      <c r="B203" s="7">
        <f>IFERROR(__xludf.DUMMYFUNCTION("""COMPUTED_VALUE"""),1519.7)</f>
        <v>1519.7</v>
      </c>
      <c r="C203" s="7">
        <f>IFERROR(__xludf.DUMMYFUNCTION("""COMPUTED_VALUE"""),1524.7)</f>
        <v>1524.7</v>
      </c>
      <c r="D203" s="7">
        <f>IFERROR(__xludf.DUMMYFUNCTION("""COMPUTED_VALUE"""),1507.5)</f>
        <v>1507.5</v>
      </c>
      <c r="E203" s="7">
        <f>IFERROR(__xludf.DUMMYFUNCTION("""COMPUTED_VALUE"""),1517.2)</f>
        <v>1517.2</v>
      </c>
      <c r="F203" s="7">
        <f>IFERROR(__xludf.DUMMYFUNCTION("""COMPUTED_VALUE"""),1.0047129E7)</f>
        <v>10047129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f>IFERROR(__xludf.DUMMYFUNCTION("""COMPUTED_VALUE"""),45849.64583333333)</f>
        <v>45849.64583</v>
      </c>
      <c r="B204" s="7">
        <f>IFERROR(__xludf.DUMMYFUNCTION("""COMPUTED_VALUE"""),1512.0)</f>
        <v>1512</v>
      </c>
      <c r="C204" s="7">
        <f>IFERROR(__xludf.DUMMYFUNCTION("""COMPUTED_VALUE"""),1515.0)</f>
        <v>1515</v>
      </c>
      <c r="D204" s="7">
        <f>IFERROR(__xludf.DUMMYFUNCTION("""COMPUTED_VALUE"""),1490.3)</f>
        <v>1490.3</v>
      </c>
      <c r="E204" s="7">
        <f>IFERROR(__xludf.DUMMYFUNCTION("""COMPUTED_VALUE"""),1495.2)</f>
        <v>1495.2</v>
      </c>
      <c r="F204" s="7">
        <f>IFERROR(__xludf.DUMMYFUNCTION("""COMPUTED_VALUE"""),7234991.0)</f>
        <v>7234991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f>IFERROR(__xludf.DUMMYFUNCTION("""COMPUTED_VALUE"""),45852.64583333333)</f>
        <v>45852.64583</v>
      </c>
      <c r="B205" s="7">
        <f>IFERROR(__xludf.DUMMYFUNCTION("""COMPUTED_VALUE"""),1492.2)</f>
        <v>1492.2</v>
      </c>
      <c r="C205" s="7">
        <f>IFERROR(__xludf.DUMMYFUNCTION("""COMPUTED_VALUE"""),1500.0)</f>
        <v>1500</v>
      </c>
      <c r="D205" s="7">
        <f>IFERROR(__xludf.DUMMYFUNCTION("""COMPUTED_VALUE"""),1479.1)</f>
        <v>1479.1</v>
      </c>
      <c r="E205" s="7">
        <f>IFERROR(__xludf.DUMMYFUNCTION("""COMPUTED_VALUE"""),1483.7)</f>
        <v>1483.7</v>
      </c>
      <c r="F205" s="7">
        <f>IFERROR(__xludf.DUMMYFUNCTION("""COMPUTED_VALUE"""),1.0311846E7)</f>
        <v>10311846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f>IFERROR(__xludf.DUMMYFUNCTION("""COMPUTED_VALUE"""),45853.64583333333)</f>
        <v>45853.64583</v>
      </c>
      <c r="B206" s="7">
        <f>IFERROR(__xludf.DUMMYFUNCTION("""COMPUTED_VALUE"""),1486.2)</f>
        <v>1486.2</v>
      </c>
      <c r="C206" s="7">
        <f>IFERROR(__xludf.DUMMYFUNCTION("""COMPUTED_VALUE"""),1496.5)</f>
        <v>1496.5</v>
      </c>
      <c r="D206" s="7">
        <f>IFERROR(__xludf.DUMMYFUNCTION("""COMPUTED_VALUE"""),1482.4)</f>
        <v>1482.4</v>
      </c>
      <c r="E206" s="7">
        <f>IFERROR(__xludf.DUMMYFUNCTION("""COMPUTED_VALUE"""),1485.4)</f>
        <v>1485.4</v>
      </c>
      <c r="F206" s="7">
        <f>IFERROR(__xludf.DUMMYFUNCTION("""COMPUTED_VALUE"""),8132454.0)</f>
        <v>8132454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f>IFERROR(__xludf.DUMMYFUNCTION("""COMPUTED_VALUE"""),45854.64583333333)</f>
        <v>45854.64583</v>
      </c>
      <c r="B207" s="7">
        <f>IFERROR(__xludf.DUMMYFUNCTION("""COMPUTED_VALUE"""),1473.0)</f>
        <v>1473</v>
      </c>
      <c r="C207" s="7">
        <f>IFERROR(__xludf.DUMMYFUNCTION("""COMPUTED_VALUE"""),1491.0)</f>
        <v>1491</v>
      </c>
      <c r="D207" s="7">
        <f>IFERROR(__xludf.DUMMYFUNCTION("""COMPUTED_VALUE"""),1471.5)</f>
        <v>1471.5</v>
      </c>
      <c r="E207" s="7">
        <f>IFERROR(__xludf.DUMMYFUNCTION("""COMPUTED_VALUE"""),1485.6)</f>
        <v>1485.6</v>
      </c>
      <c r="F207" s="7">
        <f>IFERROR(__xludf.DUMMYFUNCTION("""COMPUTED_VALUE"""),1.0409983E7)</f>
        <v>10409983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f>IFERROR(__xludf.DUMMYFUNCTION("""COMPUTED_VALUE"""),45855.64583333333)</f>
        <v>45855.64583</v>
      </c>
      <c r="B208" s="7">
        <f>IFERROR(__xludf.DUMMYFUNCTION("""COMPUTED_VALUE"""),1487.4)</f>
        <v>1487.4</v>
      </c>
      <c r="C208" s="7">
        <f>IFERROR(__xludf.DUMMYFUNCTION("""COMPUTED_VALUE"""),1489.6)</f>
        <v>1489.6</v>
      </c>
      <c r="D208" s="7">
        <f>IFERROR(__xludf.DUMMYFUNCTION("""COMPUTED_VALUE"""),1473.9)</f>
        <v>1473.9</v>
      </c>
      <c r="E208" s="7">
        <f>IFERROR(__xludf.DUMMYFUNCTION("""COMPUTED_VALUE"""),1476.4)</f>
        <v>1476.4</v>
      </c>
      <c r="F208" s="7">
        <f>IFERROR(__xludf.DUMMYFUNCTION("""COMPUTED_VALUE"""),1.1854613E7)</f>
        <v>11854613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f>IFERROR(__xludf.DUMMYFUNCTION("""COMPUTED_VALUE"""),45856.64583333333)</f>
        <v>45856.64583</v>
      </c>
      <c r="B209" s="7">
        <f>IFERROR(__xludf.DUMMYFUNCTION("""COMPUTED_VALUE"""),1484.8)</f>
        <v>1484.8</v>
      </c>
      <c r="C209" s="7">
        <f>IFERROR(__xludf.DUMMYFUNCTION("""COMPUTED_VALUE"""),1484.8)</f>
        <v>1484.8</v>
      </c>
      <c r="D209" s="7">
        <f>IFERROR(__xludf.DUMMYFUNCTION("""COMPUTED_VALUE"""),1469.1)</f>
        <v>1469.1</v>
      </c>
      <c r="E209" s="7">
        <f>IFERROR(__xludf.DUMMYFUNCTION("""COMPUTED_VALUE"""),1476.0)</f>
        <v>1476</v>
      </c>
      <c r="F209" s="7">
        <f>IFERROR(__xludf.DUMMYFUNCTION("""COMPUTED_VALUE"""),1.0296318E7)</f>
        <v>10296318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f>IFERROR(__xludf.DUMMYFUNCTION("""COMPUTED_VALUE"""),45859.64583333333)</f>
        <v>45859.64583</v>
      </c>
      <c r="B210" s="7">
        <f>IFERROR(__xludf.DUMMYFUNCTION("""COMPUTED_VALUE"""),1465.0)</f>
        <v>1465</v>
      </c>
      <c r="C210" s="7">
        <f>IFERROR(__xludf.DUMMYFUNCTION("""COMPUTED_VALUE"""),1476.0)</f>
        <v>1476</v>
      </c>
      <c r="D210" s="7">
        <f>IFERROR(__xludf.DUMMYFUNCTION("""COMPUTED_VALUE"""),1423.1)</f>
        <v>1423.1</v>
      </c>
      <c r="E210" s="7">
        <f>IFERROR(__xludf.DUMMYFUNCTION("""COMPUTED_VALUE"""),1428.6)</f>
        <v>1428.6</v>
      </c>
      <c r="F210" s="7">
        <f>IFERROR(__xludf.DUMMYFUNCTION("""COMPUTED_VALUE"""),2.2442744E7)</f>
        <v>22442744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f>IFERROR(__xludf.DUMMYFUNCTION("""COMPUTED_VALUE"""),45860.64583333333)</f>
        <v>45860.64583</v>
      </c>
      <c r="B211" s="7">
        <f>IFERROR(__xludf.DUMMYFUNCTION("""COMPUTED_VALUE"""),1427.4)</f>
        <v>1427.4</v>
      </c>
      <c r="C211" s="7">
        <f>IFERROR(__xludf.DUMMYFUNCTION("""COMPUTED_VALUE"""),1431.9)</f>
        <v>1431.9</v>
      </c>
      <c r="D211" s="7">
        <f>IFERROR(__xludf.DUMMYFUNCTION("""COMPUTED_VALUE"""),1410.7)</f>
        <v>1410.7</v>
      </c>
      <c r="E211" s="7">
        <f>IFERROR(__xludf.DUMMYFUNCTION("""COMPUTED_VALUE"""),1412.8)</f>
        <v>1412.8</v>
      </c>
      <c r="F211" s="7">
        <f>IFERROR(__xludf.DUMMYFUNCTION("""COMPUTED_VALUE"""),2.039632E7)</f>
        <v>20396320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f>IFERROR(__xludf.DUMMYFUNCTION("""COMPUTED_VALUE"""),45861.64583333333)</f>
        <v>45861.64583</v>
      </c>
      <c r="B212" s="7">
        <f>IFERROR(__xludf.DUMMYFUNCTION("""COMPUTED_VALUE"""),1426.0)</f>
        <v>1426</v>
      </c>
      <c r="C212" s="7">
        <f>IFERROR(__xludf.DUMMYFUNCTION("""COMPUTED_VALUE"""),1426.0)</f>
        <v>1426</v>
      </c>
      <c r="D212" s="7">
        <f>IFERROR(__xludf.DUMMYFUNCTION("""COMPUTED_VALUE"""),1414.4)</f>
        <v>1414.4</v>
      </c>
      <c r="E212" s="7">
        <f>IFERROR(__xludf.DUMMYFUNCTION("""COMPUTED_VALUE"""),1424.6)</f>
        <v>1424.6</v>
      </c>
      <c r="F212" s="7">
        <f>IFERROR(__xludf.DUMMYFUNCTION("""COMPUTED_VALUE"""),8354596.0)</f>
        <v>8354596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f>IFERROR(__xludf.DUMMYFUNCTION("""COMPUTED_VALUE"""),45862.64583333333)</f>
        <v>45862.64583</v>
      </c>
      <c r="B213" s="7">
        <f>IFERROR(__xludf.DUMMYFUNCTION("""COMPUTED_VALUE"""),1419.2)</f>
        <v>1419.2</v>
      </c>
      <c r="C213" s="7">
        <f>IFERROR(__xludf.DUMMYFUNCTION("""COMPUTED_VALUE"""),1423.0)</f>
        <v>1423</v>
      </c>
      <c r="D213" s="7">
        <f>IFERROR(__xludf.DUMMYFUNCTION("""COMPUTED_VALUE"""),1396.0)</f>
        <v>1396</v>
      </c>
      <c r="E213" s="7">
        <f>IFERROR(__xludf.DUMMYFUNCTION("""COMPUTED_VALUE"""),1402.9)</f>
        <v>1402.9</v>
      </c>
      <c r="F213" s="7">
        <f>IFERROR(__xludf.DUMMYFUNCTION("""COMPUTED_VALUE"""),1.4740507E7)</f>
        <v>14740507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f>IFERROR(__xludf.DUMMYFUNCTION("""COMPUTED_VALUE"""),45863.64583333333)</f>
        <v>45863.64583</v>
      </c>
      <c r="B214" s="7">
        <f>IFERROR(__xludf.DUMMYFUNCTION("""COMPUTED_VALUE"""),1398.9)</f>
        <v>1398.9</v>
      </c>
      <c r="C214" s="7">
        <f>IFERROR(__xludf.DUMMYFUNCTION("""COMPUTED_VALUE"""),1401.0)</f>
        <v>1401</v>
      </c>
      <c r="D214" s="7">
        <f>IFERROR(__xludf.DUMMYFUNCTION("""COMPUTED_VALUE"""),1384.1)</f>
        <v>1384.1</v>
      </c>
      <c r="E214" s="7">
        <f>IFERROR(__xludf.DUMMYFUNCTION("""COMPUTED_VALUE"""),1391.7)</f>
        <v>1391.7</v>
      </c>
      <c r="F214" s="7">
        <f>IFERROR(__xludf.DUMMYFUNCTION("""COMPUTED_VALUE"""),1.1854722E7)</f>
        <v>11854722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f>IFERROR(__xludf.DUMMYFUNCTION("""COMPUTED_VALUE"""),45866.64583333333)</f>
        <v>45866.64583</v>
      </c>
      <c r="B215" s="7">
        <f>IFERROR(__xludf.DUMMYFUNCTION("""COMPUTED_VALUE"""),1392.3)</f>
        <v>1392.3</v>
      </c>
      <c r="C215" s="7">
        <f>IFERROR(__xludf.DUMMYFUNCTION("""COMPUTED_VALUE"""),1407.8)</f>
        <v>1407.8</v>
      </c>
      <c r="D215" s="7">
        <f>IFERROR(__xludf.DUMMYFUNCTION("""COMPUTED_VALUE"""),1385.0)</f>
        <v>1385</v>
      </c>
      <c r="E215" s="7">
        <f>IFERROR(__xludf.DUMMYFUNCTION("""COMPUTED_VALUE"""),1387.6)</f>
        <v>1387.6</v>
      </c>
      <c r="F215" s="7">
        <f>IFERROR(__xludf.DUMMYFUNCTION("""COMPUTED_VALUE"""),7748361.0)</f>
        <v>7748361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f>IFERROR(__xludf.DUMMYFUNCTION("""COMPUTED_VALUE"""),45867.64583333333)</f>
        <v>45867.64583</v>
      </c>
      <c r="B216" s="7">
        <f>IFERROR(__xludf.DUMMYFUNCTION("""COMPUTED_VALUE"""),1383.0)</f>
        <v>1383</v>
      </c>
      <c r="C216" s="7">
        <f>IFERROR(__xludf.DUMMYFUNCTION("""COMPUTED_VALUE"""),1420.2)</f>
        <v>1420.2</v>
      </c>
      <c r="D216" s="7">
        <f>IFERROR(__xludf.DUMMYFUNCTION("""COMPUTED_VALUE"""),1383.0)</f>
        <v>1383</v>
      </c>
      <c r="E216" s="7">
        <f>IFERROR(__xludf.DUMMYFUNCTION("""COMPUTED_VALUE"""),1417.1)</f>
        <v>1417.1</v>
      </c>
      <c r="F216" s="7">
        <f>IFERROR(__xludf.DUMMYFUNCTION("""COMPUTED_VALUE"""),1.0750072E7)</f>
        <v>10750072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f>IFERROR(__xludf.DUMMYFUNCTION("""COMPUTED_VALUE"""),45868.64583333333)</f>
        <v>45868.64583</v>
      </c>
      <c r="B217" s="7">
        <f>IFERROR(__xludf.DUMMYFUNCTION("""COMPUTED_VALUE"""),1418.1)</f>
        <v>1418.1</v>
      </c>
      <c r="C217" s="7">
        <f>IFERROR(__xludf.DUMMYFUNCTION("""COMPUTED_VALUE"""),1423.3)</f>
        <v>1423.3</v>
      </c>
      <c r="D217" s="7">
        <f>IFERROR(__xludf.DUMMYFUNCTION("""COMPUTED_VALUE"""),1401.3)</f>
        <v>1401.3</v>
      </c>
      <c r="E217" s="7">
        <f>IFERROR(__xludf.DUMMYFUNCTION("""COMPUTED_VALUE"""),1410.1)</f>
        <v>1410.1</v>
      </c>
      <c r="F217" s="7">
        <f>IFERROR(__xludf.DUMMYFUNCTION("""COMPUTED_VALUE"""),7209849.0)</f>
        <v>7209849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f>IFERROR(__xludf.DUMMYFUNCTION("""COMPUTED_VALUE"""),45869.64583333333)</f>
        <v>45869.64583</v>
      </c>
      <c r="B218" s="7">
        <f>IFERROR(__xludf.DUMMYFUNCTION("""COMPUTED_VALUE"""),1388.1)</f>
        <v>1388.1</v>
      </c>
      <c r="C218" s="7">
        <f>IFERROR(__xludf.DUMMYFUNCTION("""COMPUTED_VALUE"""),1402.6)</f>
        <v>1402.6</v>
      </c>
      <c r="D218" s="7">
        <f>IFERROR(__xludf.DUMMYFUNCTION("""COMPUTED_VALUE"""),1382.2)</f>
        <v>1382.2</v>
      </c>
      <c r="E218" s="7">
        <f>IFERROR(__xludf.DUMMYFUNCTION("""COMPUTED_VALUE"""),1390.2)</f>
        <v>1390.2</v>
      </c>
      <c r="F218" s="7">
        <f>IFERROR(__xludf.DUMMYFUNCTION("""COMPUTED_VALUE"""),1.7065827E7)</f>
        <v>17065827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f>IFERROR(__xludf.DUMMYFUNCTION("""COMPUTED_VALUE"""),45870.64583333333)</f>
        <v>45870.64583</v>
      </c>
      <c r="B219" s="7">
        <f>IFERROR(__xludf.DUMMYFUNCTION("""COMPUTED_VALUE"""),1386.9)</f>
        <v>1386.9</v>
      </c>
      <c r="C219" s="7">
        <f>IFERROR(__xludf.DUMMYFUNCTION("""COMPUTED_VALUE"""),1405.9)</f>
        <v>1405.9</v>
      </c>
      <c r="D219" s="7">
        <f>IFERROR(__xludf.DUMMYFUNCTION("""COMPUTED_VALUE"""),1384.3)</f>
        <v>1384.3</v>
      </c>
      <c r="E219" s="7">
        <f>IFERROR(__xludf.DUMMYFUNCTION("""COMPUTED_VALUE"""),1393.7)</f>
        <v>1393.7</v>
      </c>
      <c r="F219" s="7">
        <f>IFERROR(__xludf.DUMMYFUNCTION("""COMPUTED_VALUE"""),1.0321171E7)</f>
        <v>10321171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f>IFERROR(__xludf.DUMMYFUNCTION("""COMPUTED_VALUE"""),45873.64583333333)</f>
        <v>45873.64583</v>
      </c>
      <c r="B220" s="7">
        <f>IFERROR(__xludf.DUMMYFUNCTION("""COMPUTED_VALUE"""),1395.1)</f>
        <v>1395.1</v>
      </c>
      <c r="C220" s="7">
        <f>IFERROR(__xludf.DUMMYFUNCTION("""COMPUTED_VALUE"""),1416.1)</f>
        <v>1416.1</v>
      </c>
      <c r="D220" s="7">
        <f>IFERROR(__xludf.DUMMYFUNCTION("""COMPUTED_VALUE"""),1391.7)</f>
        <v>1391.7</v>
      </c>
      <c r="E220" s="7">
        <f>IFERROR(__xludf.DUMMYFUNCTION("""COMPUTED_VALUE"""),1411.5)</f>
        <v>1411.5</v>
      </c>
      <c r="F220" s="7">
        <f>IFERROR(__xludf.DUMMYFUNCTION("""COMPUTED_VALUE"""),6312820.0)</f>
        <v>6312820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f>IFERROR(__xludf.DUMMYFUNCTION("""COMPUTED_VALUE"""),45874.64583333333)</f>
        <v>45874.64583</v>
      </c>
      <c r="B221" s="7">
        <f>IFERROR(__xludf.DUMMYFUNCTION("""COMPUTED_VALUE"""),1411.0)</f>
        <v>1411</v>
      </c>
      <c r="C221" s="7">
        <f>IFERROR(__xludf.DUMMYFUNCTION("""COMPUTED_VALUE"""),1411.0)</f>
        <v>1411</v>
      </c>
      <c r="D221" s="7">
        <f>IFERROR(__xludf.DUMMYFUNCTION("""COMPUTED_VALUE"""),1388.1)</f>
        <v>1388.1</v>
      </c>
      <c r="E221" s="7">
        <f>IFERROR(__xludf.DUMMYFUNCTION("""COMPUTED_VALUE"""),1391.7)</f>
        <v>1391.7</v>
      </c>
      <c r="F221" s="7">
        <f>IFERROR(__xludf.DUMMYFUNCTION("""COMPUTED_VALUE"""),9315972.0)</f>
        <v>9315972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f>IFERROR(__xludf.DUMMYFUNCTION("""COMPUTED_VALUE"""),45875.64583333333)</f>
        <v>45875.64583</v>
      </c>
      <c r="B222" s="7">
        <f>IFERROR(__xludf.DUMMYFUNCTION("""COMPUTED_VALUE"""),1391.9)</f>
        <v>1391.9</v>
      </c>
      <c r="C222" s="7">
        <f>IFERROR(__xludf.DUMMYFUNCTION("""COMPUTED_VALUE"""),1395.9)</f>
        <v>1395.9</v>
      </c>
      <c r="D222" s="7">
        <f>IFERROR(__xludf.DUMMYFUNCTION("""COMPUTED_VALUE"""),1383.3)</f>
        <v>1383.3</v>
      </c>
      <c r="E222" s="7">
        <f>IFERROR(__xludf.DUMMYFUNCTION("""COMPUTED_VALUE"""),1392.8)</f>
        <v>1392.8</v>
      </c>
      <c r="F222" s="7">
        <f>IFERROR(__xludf.DUMMYFUNCTION("""COMPUTED_VALUE"""),5834312.0)</f>
        <v>5834312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f>IFERROR(__xludf.DUMMYFUNCTION("""COMPUTED_VALUE"""),45876.64583333333)</f>
        <v>45876.64583</v>
      </c>
      <c r="B223" s="7">
        <f>IFERROR(__xludf.DUMMYFUNCTION("""COMPUTED_VALUE"""),1387.7)</f>
        <v>1387.7</v>
      </c>
      <c r="C223" s="7">
        <f>IFERROR(__xludf.DUMMYFUNCTION("""COMPUTED_VALUE"""),1393.7)</f>
        <v>1393.7</v>
      </c>
      <c r="D223" s="7">
        <f>IFERROR(__xludf.DUMMYFUNCTION("""COMPUTED_VALUE"""),1366.0)</f>
        <v>1366</v>
      </c>
      <c r="E223" s="7">
        <f>IFERROR(__xludf.DUMMYFUNCTION("""COMPUTED_VALUE"""),1389.4)</f>
        <v>1389.4</v>
      </c>
      <c r="F223" s="7">
        <f>IFERROR(__xludf.DUMMYFUNCTION("""COMPUTED_VALUE"""),9976705.0)</f>
        <v>9976705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f>IFERROR(__xludf.DUMMYFUNCTION("""COMPUTED_VALUE"""),45877.64583333333)</f>
        <v>45877.64583</v>
      </c>
      <c r="B224" s="7">
        <f>IFERROR(__xludf.DUMMYFUNCTION("""COMPUTED_VALUE"""),1385.0)</f>
        <v>1385</v>
      </c>
      <c r="C224" s="7">
        <f>IFERROR(__xludf.DUMMYFUNCTION("""COMPUTED_VALUE"""),1397.2)</f>
        <v>1397.2</v>
      </c>
      <c r="D224" s="7">
        <f>IFERROR(__xludf.DUMMYFUNCTION("""COMPUTED_VALUE"""),1365.0)</f>
        <v>1365</v>
      </c>
      <c r="E224" s="7">
        <f>IFERROR(__xludf.DUMMYFUNCTION("""COMPUTED_VALUE"""),1367.8)</f>
        <v>1367.8</v>
      </c>
      <c r="F224" s="7">
        <f>IFERROR(__xludf.DUMMYFUNCTION("""COMPUTED_VALUE"""),8793606.0)</f>
        <v>8793606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f>IFERROR(__xludf.DUMMYFUNCTION("""COMPUTED_VALUE"""),45880.64583333333)</f>
        <v>45880.64583</v>
      </c>
      <c r="B225" s="7">
        <f>IFERROR(__xludf.DUMMYFUNCTION("""COMPUTED_VALUE"""),1370.0)</f>
        <v>1370</v>
      </c>
      <c r="C225" s="7">
        <f>IFERROR(__xludf.DUMMYFUNCTION("""COMPUTED_VALUE"""),1388.0)</f>
        <v>1388</v>
      </c>
      <c r="D225" s="7">
        <f>IFERROR(__xludf.DUMMYFUNCTION("""COMPUTED_VALUE"""),1361.2)</f>
        <v>1361.2</v>
      </c>
      <c r="E225" s="7">
        <f>IFERROR(__xludf.DUMMYFUNCTION("""COMPUTED_VALUE"""),1386.2)</f>
        <v>1386.2</v>
      </c>
      <c r="F225" s="7">
        <f>IFERROR(__xludf.DUMMYFUNCTION("""COMPUTED_VALUE"""),9997486.0)</f>
        <v>9997486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f>IFERROR(__xludf.DUMMYFUNCTION("""COMPUTED_VALUE"""),45881.64583333333)</f>
        <v>45881.64583</v>
      </c>
      <c r="B226" s="7">
        <f>IFERROR(__xludf.DUMMYFUNCTION("""COMPUTED_VALUE"""),1381.9)</f>
        <v>1381.9</v>
      </c>
      <c r="C226" s="7">
        <f>IFERROR(__xludf.DUMMYFUNCTION("""COMPUTED_VALUE"""),1401.9)</f>
        <v>1401.9</v>
      </c>
      <c r="D226" s="7">
        <f>IFERROR(__xludf.DUMMYFUNCTION("""COMPUTED_VALUE"""),1375.2)</f>
        <v>1375.2</v>
      </c>
      <c r="E226" s="7">
        <f>IFERROR(__xludf.DUMMYFUNCTION("""COMPUTED_VALUE"""),1380.4)</f>
        <v>1380.4</v>
      </c>
      <c r="F226" s="7">
        <f>IFERROR(__xludf.DUMMYFUNCTION("""COMPUTED_VALUE"""),1.2244664E7)</f>
        <v>12244664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f>IFERROR(__xludf.DUMMYFUNCTION("""COMPUTED_VALUE"""),45882.64583333333)</f>
        <v>45882.64583</v>
      </c>
      <c r="B227" s="7">
        <f>IFERROR(__xludf.DUMMYFUNCTION("""COMPUTED_VALUE"""),1388.0)</f>
        <v>1388</v>
      </c>
      <c r="C227" s="7">
        <f>IFERROR(__xludf.DUMMYFUNCTION("""COMPUTED_VALUE"""),1391.8)</f>
        <v>1391.8</v>
      </c>
      <c r="D227" s="7">
        <f>IFERROR(__xludf.DUMMYFUNCTION("""COMPUTED_VALUE"""),1377.5)</f>
        <v>1377.5</v>
      </c>
      <c r="E227" s="7">
        <f>IFERROR(__xludf.DUMMYFUNCTION("""COMPUTED_VALUE"""),1382.6)</f>
        <v>1382.6</v>
      </c>
      <c r="F227" s="7">
        <f>IFERROR(__xludf.DUMMYFUNCTION("""COMPUTED_VALUE"""),7457021.0)</f>
        <v>7457021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f>IFERROR(__xludf.DUMMYFUNCTION("""COMPUTED_VALUE"""),45883.64583333333)</f>
        <v>45883.64583</v>
      </c>
      <c r="B228" s="7">
        <f>IFERROR(__xludf.DUMMYFUNCTION("""COMPUTED_VALUE"""),1377.3)</f>
        <v>1377.3</v>
      </c>
      <c r="C228" s="7">
        <f>IFERROR(__xludf.DUMMYFUNCTION("""COMPUTED_VALUE"""),1380.7)</f>
        <v>1380.7</v>
      </c>
      <c r="D228" s="7">
        <f>IFERROR(__xludf.DUMMYFUNCTION("""COMPUTED_VALUE"""),1370.1)</f>
        <v>1370.1</v>
      </c>
      <c r="E228" s="7">
        <f>IFERROR(__xludf.DUMMYFUNCTION("""COMPUTED_VALUE"""),1373.8)</f>
        <v>1373.8</v>
      </c>
      <c r="F228" s="7">
        <f>IFERROR(__xludf.DUMMYFUNCTION("""COMPUTED_VALUE"""),7126128.0)</f>
        <v>7126128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f>IFERROR(__xludf.DUMMYFUNCTION("""COMPUTED_VALUE"""),45887.64583333333)</f>
        <v>45887.64583</v>
      </c>
      <c r="B229" s="7">
        <f>IFERROR(__xludf.DUMMYFUNCTION("""COMPUTED_VALUE"""),1390.0)</f>
        <v>1390</v>
      </c>
      <c r="C229" s="7">
        <f>IFERROR(__xludf.DUMMYFUNCTION("""COMPUTED_VALUE"""),1394.9)</f>
        <v>1394.9</v>
      </c>
      <c r="D229" s="7">
        <f>IFERROR(__xludf.DUMMYFUNCTION("""COMPUTED_VALUE"""),1377.0)</f>
        <v>1377</v>
      </c>
      <c r="E229" s="7">
        <f>IFERROR(__xludf.DUMMYFUNCTION("""COMPUTED_VALUE"""),1381.7)</f>
        <v>1381.7</v>
      </c>
      <c r="F229" s="7">
        <f>IFERROR(__xludf.DUMMYFUNCTION("""COMPUTED_VALUE"""),1.1785109E7)</f>
        <v>11785109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f>IFERROR(__xludf.DUMMYFUNCTION("""COMPUTED_VALUE"""),45888.64583333333)</f>
        <v>45888.64583</v>
      </c>
      <c r="B230" s="7">
        <f>IFERROR(__xludf.DUMMYFUNCTION("""COMPUTED_VALUE"""),1390.0)</f>
        <v>1390</v>
      </c>
      <c r="C230" s="7">
        <f>IFERROR(__xludf.DUMMYFUNCTION("""COMPUTED_VALUE"""),1421.0)</f>
        <v>1421</v>
      </c>
      <c r="D230" s="7">
        <f>IFERROR(__xludf.DUMMYFUNCTION("""COMPUTED_VALUE"""),1389.1)</f>
        <v>1389.1</v>
      </c>
      <c r="E230" s="7">
        <f>IFERROR(__xludf.DUMMYFUNCTION("""COMPUTED_VALUE"""),1420.1)</f>
        <v>1420.1</v>
      </c>
      <c r="F230" s="7">
        <f>IFERROR(__xludf.DUMMYFUNCTION("""COMPUTED_VALUE"""),1.4384719E7)</f>
        <v>14384719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f>IFERROR(__xludf.DUMMYFUNCTION("""COMPUTED_VALUE"""),45889.64583333333)</f>
        <v>45889.64583</v>
      </c>
      <c r="B231" s="7">
        <f>IFERROR(__xludf.DUMMYFUNCTION("""COMPUTED_VALUE"""),1413.0)</f>
        <v>1413</v>
      </c>
      <c r="C231" s="7">
        <f>IFERROR(__xludf.DUMMYFUNCTION("""COMPUTED_VALUE"""),1424.9)</f>
        <v>1424.9</v>
      </c>
      <c r="D231" s="7">
        <f>IFERROR(__xludf.DUMMYFUNCTION("""COMPUTED_VALUE"""),1410.0)</f>
        <v>1410</v>
      </c>
      <c r="E231" s="7">
        <f>IFERROR(__xludf.DUMMYFUNCTION("""COMPUTED_VALUE"""),1413.0)</f>
        <v>1413</v>
      </c>
      <c r="F231" s="7">
        <f>IFERROR(__xludf.DUMMYFUNCTION("""COMPUTED_VALUE"""),8725641.0)</f>
        <v>8725641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f>IFERROR(__xludf.DUMMYFUNCTION("""COMPUTED_VALUE"""),45890.64583333333)</f>
        <v>45890.64583</v>
      </c>
      <c r="B232" s="7">
        <f>IFERROR(__xludf.DUMMYFUNCTION("""COMPUTED_VALUE"""),1425.0)</f>
        <v>1425</v>
      </c>
      <c r="C232" s="7">
        <f>IFERROR(__xludf.DUMMYFUNCTION("""COMPUTED_VALUE"""),1431.9)</f>
        <v>1431.9</v>
      </c>
      <c r="D232" s="7">
        <f>IFERROR(__xludf.DUMMYFUNCTION("""COMPUTED_VALUE"""),1420.3)</f>
        <v>1420.3</v>
      </c>
      <c r="E232" s="7">
        <f>IFERROR(__xludf.DUMMYFUNCTION("""COMPUTED_VALUE"""),1424.8)</f>
        <v>1424.8</v>
      </c>
      <c r="F232" s="7">
        <f>IFERROR(__xludf.DUMMYFUNCTION("""COMPUTED_VALUE"""),1.1021323E7)</f>
        <v>11021323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f>IFERROR(__xludf.DUMMYFUNCTION("""COMPUTED_VALUE"""),45891.64583333333)</f>
        <v>45891.64583</v>
      </c>
      <c r="B233" s="7">
        <f>IFERROR(__xludf.DUMMYFUNCTION("""COMPUTED_VALUE"""),1420.0)</f>
        <v>1420</v>
      </c>
      <c r="C233" s="7">
        <f>IFERROR(__xludf.DUMMYFUNCTION("""COMPUTED_VALUE"""),1423.4)</f>
        <v>1423.4</v>
      </c>
      <c r="D233" s="7">
        <f>IFERROR(__xludf.DUMMYFUNCTION("""COMPUTED_VALUE"""),1407.9)</f>
        <v>1407.9</v>
      </c>
      <c r="E233" s="7">
        <f>IFERROR(__xludf.DUMMYFUNCTION("""COMPUTED_VALUE"""),1409.2)</f>
        <v>1409.2</v>
      </c>
      <c r="F233" s="7">
        <f>IFERROR(__xludf.DUMMYFUNCTION("""COMPUTED_VALUE"""),5818868.0)</f>
        <v>5818868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f>IFERROR(__xludf.DUMMYFUNCTION("""COMPUTED_VALUE"""),45894.64583333333)</f>
        <v>45894.64583</v>
      </c>
      <c r="B234" s="7">
        <f>IFERROR(__xludf.DUMMYFUNCTION("""COMPUTED_VALUE"""),1414.7)</f>
        <v>1414.7</v>
      </c>
      <c r="C234" s="7">
        <f>IFERROR(__xludf.DUMMYFUNCTION("""COMPUTED_VALUE"""),1419.5)</f>
        <v>1419.5</v>
      </c>
      <c r="D234" s="7">
        <f>IFERROR(__xludf.DUMMYFUNCTION("""COMPUTED_VALUE"""),1405.7)</f>
        <v>1405.7</v>
      </c>
      <c r="E234" s="7">
        <f>IFERROR(__xludf.DUMMYFUNCTION("""COMPUTED_VALUE"""),1412.6)</f>
        <v>1412.6</v>
      </c>
      <c r="F234" s="7">
        <f>IFERROR(__xludf.DUMMYFUNCTION("""COMPUTED_VALUE"""),5979407.0)</f>
        <v>5979407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f>IFERROR(__xludf.DUMMYFUNCTION("""COMPUTED_VALUE"""),45895.64583333333)</f>
        <v>45895.64583</v>
      </c>
      <c r="B235" s="7">
        <f>IFERROR(__xludf.DUMMYFUNCTION("""COMPUTED_VALUE"""),1408.0)</f>
        <v>1408</v>
      </c>
      <c r="C235" s="7">
        <f>IFERROR(__xludf.DUMMYFUNCTION("""COMPUTED_VALUE"""),1410.0)</f>
        <v>1410</v>
      </c>
      <c r="D235" s="7">
        <f>IFERROR(__xludf.DUMMYFUNCTION("""COMPUTED_VALUE"""),1381.6)</f>
        <v>1381.6</v>
      </c>
      <c r="E235" s="7">
        <f>IFERROR(__xludf.DUMMYFUNCTION("""COMPUTED_VALUE"""),1384.9)</f>
        <v>1384.9</v>
      </c>
      <c r="F235" s="7">
        <f>IFERROR(__xludf.DUMMYFUNCTION("""COMPUTED_VALUE"""),1.2145259E7)</f>
        <v>12145259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f>IFERROR(__xludf.DUMMYFUNCTION("""COMPUTED_VALUE"""),45897.64583333333)</f>
        <v>45897.64583</v>
      </c>
      <c r="B236" s="7">
        <f>IFERROR(__xludf.DUMMYFUNCTION("""COMPUTED_VALUE"""),1389.9)</f>
        <v>1389.9</v>
      </c>
      <c r="C236" s="7">
        <f>IFERROR(__xludf.DUMMYFUNCTION("""COMPUTED_VALUE"""),1392.2)</f>
        <v>1392.2</v>
      </c>
      <c r="D236" s="7">
        <f>IFERROR(__xludf.DUMMYFUNCTION("""COMPUTED_VALUE"""),1366.5)</f>
        <v>1366.5</v>
      </c>
      <c r="E236" s="7">
        <f>IFERROR(__xludf.DUMMYFUNCTION("""COMPUTED_VALUE"""),1385.9)</f>
        <v>1385.9</v>
      </c>
      <c r="F236" s="7">
        <f>IFERROR(__xludf.DUMMYFUNCTION("""COMPUTED_VALUE"""),1.3161813E7)</f>
        <v>13161813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f>IFERROR(__xludf.DUMMYFUNCTION("""COMPUTED_VALUE"""),45898.64583333333)</f>
        <v>45898.64583</v>
      </c>
      <c r="B237" s="7">
        <f>IFERROR(__xludf.DUMMYFUNCTION("""COMPUTED_VALUE"""),1381.1)</f>
        <v>1381.1</v>
      </c>
      <c r="C237" s="7">
        <f>IFERROR(__xludf.DUMMYFUNCTION("""COMPUTED_VALUE"""),1403.5)</f>
        <v>1403.5</v>
      </c>
      <c r="D237" s="7">
        <f>IFERROR(__xludf.DUMMYFUNCTION("""COMPUTED_VALUE"""),1350.0)</f>
        <v>1350</v>
      </c>
      <c r="E237" s="7">
        <f>IFERROR(__xludf.DUMMYFUNCTION("""COMPUTED_VALUE"""),1357.2)</f>
        <v>1357.2</v>
      </c>
      <c r="F237" s="7">
        <f>IFERROR(__xludf.DUMMYFUNCTION("""COMPUTED_VALUE"""),1.8758842E7)</f>
        <v>18758842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f>IFERROR(__xludf.DUMMYFUNCTION("""COMPUTED_VALUE"""),45901.64583333333)</f>
        <v>45901.64583</v>
      </c>
      <c r="B238" s="7">
        <f>IFERROR(__xludf.DUMMYFUNCTION("""COMPUTED_VALUE"""),1356.0)</f>
        <v>1356</v>
      </c>
      <c r="C238" s="7">
        <f>IFERROR(__xludf.DUMMYFUNCTION("""COMPUTED_VALUE"""),1363.2)</f>
        <v>1363.2</v>
      </c>
      <c r="D238" s="7">
        <f>IFERROR(__xludf.DUMMYFUNCTION("""COMPUTED_VALUE"""),1340.6)</f>
        <v>1340.6</v>
      </c>
      <c r="E238" s="7">
        <f>IFERROR(__xludf.DUMMYFUNCTION("""COMPUTED_VALUE"""),1353.9)</f>
        <v>1353.9</v>
      </c>
      <c r="F238" s="7">
        <f>IFERROR(__xludf.DUMMYFUNCTION("""COMPUTED_VALUE"""),1.1232238E7)</f>
        <v>11232238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f>IFERROR(__xludf.DUMMYFUNCTION("""COMPUTED_VALUE"""),45902.64583333333)</f>
        <v>45902.64583</v>
      </c>
      <c r="B239" s="7">
        <f>IFERROR(__xludf.DUMMYFUNCTION("""COMPUTED_VALUE"""),1354.8)</f>
        <v>1354.8</v>
      </c>
      <c r="C239" s="7">
        <f>IFERROR(__xludf.DUMMYFUNCTION("""COMPUTED_VALUE"""),1384.5)</f>
        <v>1384.5</v>
      </c>
      <c r="D239" s="7">
        <f>IFERROR(__xludf.DUMMYFUNCTION("""COMPUTED_VALUE"""),1354.5)</f>
        <v>1354.5</v>
      </c>
      <c r="E239" s="7">
        <f>IFERROR(__xludf.DUMMYFUNCTION("""COMPUTED_VALUE"""),1366.5)</f>
        <v>1366.5</v>
      </c>
      <c r="F239" s="7">
        <f>IFERROR(__xludf.DUMMYFUNCTION("""COMPUTED_VALUE"""),1.1517006E7)</f>
        <v>11517006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f>IFERROR(__xludf.DUMMYFUNCTION("""COMPUTED_VALUE"""),45903.64583333333)</f>
        <v>45903.64583</v>
      </c>
      <c r="B240" s="7">
        <f>IFERROR(__xludf.DUMMYFUNCTION("""COMPUTED_VALUE"""),1369.7)</f>
        <v>1369.7</v>
      </c>
      <c r="C240" s="7">
        <f>IFERROR(__xludf.DUMMYFUNCTION("""COMPUTED_VALUE"""),1376.5)</f>
        <v>1376.5</v>
      </c>
      <c r="D240" s="7">
        <f>IFERROR(__xludf.DUMMYFUNCTION("""COMPUTED_VALUE"""),1360.5)</f>
        <v>1360.5</v>
      </c>
      <c r="E240" s="7">
        <f>IFERROR(__xludf.DUMMYFUNCTION("""COMPUTED_VALUE"""),1372.6)</f>
        <v>1372.6</v>
      </c>
      <c r="F240" s="7">
        <f>IFERROR(__xludf.DUMMYFUNCTION("""COMPUTED_VALUE"""),7847563.0)</f>
        <v>7847563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f>IFERROR(__xludf.DUMMYFUNCTION("""COMPUTED_VALUE"""),45904.64583333333)</f>
        <v>45904.64583</v>
      </c>
      <c r="B241" s="7">
        <f>IFERROR(__xludf.DUMMYFUNCTION("""COMPUTED_VALUE"""),1371.8)</f>
        <v>1371.8</v>
      </c>
      <c r="C241" s="7">
        <f>IFERROR(__xludf.DUMMYFUNCTION("""COMPUTED_VALUE"""),1374.0)</f>
        <v>1374</v>
      </c>
      <c r="D241" s="7">
        <f>IFERROR(__xludf.DUMMYFUNCTION("""COMPUTED_VALUE"""),1357.1)</f>
        <v>1357.1</v>
      </c>
      <c r="E241" s="7">
        <f>IFERROR(__xludf.DUMMYFUNCTION("""COMPUTED_VALUE"""),1359.3)</f>
        <v>1359.3</v>
      </c>
      <c r="F241" s="7">
        <f>IFERROR(__xludf.DUMMYFUNCTION("""COMPUTED_VALUE"""),1.3223177E7)</f>
        <v>13223177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f>IFERROR(__xludf.DUMMYFUNCTION("""COMPUTED_VALUE"""),45905.64583333333)</f>
        <v>45905.64583</v>
      </c>
      <c r="B242" s="7">
        <f>IFERROR(__xludf.DUMMYFUNCTION("""COMPUTED_VALUE"""),1363.0)</f>
        <v>1363</v>
      </c>
      <c r="C242" s="7">
        <f>IFERROR(__xludf.DUMMYFUNCTION("""COMPUTED_VALUE"""),1381.0)</f>
        <v>1381</v>
      </c>
      <c r="D242" s="7">
        <f>IFERROR(__xludf.DUMMYFUNCTION("""COMPUTED_VALUE"""),1359.3)</f>
        <v>1359.3</v>
      </c>
      <c r="E242" s="7">
        <f>IFERROR(__xludf.DUMMYFUNCTION("""COMPUTED_VALUE"""),1375.0)</f>
        <v>1375</v>
      </c>
      <c r="F242" s="7">
        <f>IFERROR(__xludf.DUMMYFUNCTION("""COMPUTED_VALUE"""),5777575.0)</f>
        <v>5777575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f>IFERROR(__xludf.DUMMYFUNCTION("""COMPUTED_VALUE"""),45908.64583333333)</f>
        <v>45908.64583</v>
      </c>
      <c r="B243" s="7">
        <f>IFERROR(__xludf.DUMMYFUNCTION("""COMPUTED_VALUE"""),1380.0)</f>
        <v>1380</v>
      </c>
      <c r="C243" s="7">
        <f>IFERROR(__xludf.DUMMYFUNCTION("""COMPUTED_VALUE"""),1386.0)</f>
        <v>1386</v>
      </c>
      <c r="D243" s="7">
        <f>IFERROR(__xludf.DUMMYFUNCTION("""COMPUTED_VALUE"""),1372.4)</f>
        <v>1372.4</v>
      </c>
      <c r="E243" s="7">
        <f>IFERROR(__xludf.DUMMYFUNCTION("""COMPUTED_VALUE"""),1378.5)</f>
        <v>1378.5</v>
      </c>
      <c r="F243" s="7">
        <f>IFERROR(__xludf.DUMMYFUNCTION("""COMPUTED_VALUE"""),6986720.0)</f>
        <v>6986720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f>IFERROR(__xludf.DUMMYFUNCTION("""COMPUTED_VALUE"""),45909.64583333333)</f>
        <v>45909.64583</v>
      </c>
      <c r="B244" s="7">
        <f>IFERROR(__xludf.DUMMYFUNCTION("""COMPUTED_VALUE"""),1376.6)</f>
        <v>1376.6</v>
      </c>
      <c r="C244" s="7">
        <f>IFERROR(__xludf.DUMMYFUNCTION("""COMPUTED_VALUE"""),1381.2)</f>
        <v>1381.2</v>
      </c>
      <c r="D244" s="7">
        <f>IFERROR(__xludf.DUMMYFUNCTION("""COMPUTED_VALUE"""),1368.7)</f>
        <v>1368.7</v>
      </c>
      <c r="E244" s="7">
        <f>IFERROR(__xludf.DUMMYFUNCTION("""COMPUTED_VALUE"""),1376.2)</f>
        <v>1376.2</v>
      </c>
      <c r="F244" s="7">
        <f>IFERROR(__xludf.DUMMYFUNCTION("""COMPUTED_VALUE"""),9754452.0)</f>
        <v>9754452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f>IFERROR(__xludf.DUMMYFUNCTION("""COMPUTED_VALUE"""),45910.64583333333)</f>
        <v>45910.64583</v>
      </c>
      <c r="B245" s="7">
        <f>IFERROR(__xludf.DUMMYFUNCTION("""COMPUTED_VALUE"""),1383.9)</f>
        <v>1383.9</v>
      </c>
      <c r="C245" s="7">
        <f>IFERROR(__xludf.DUMMYFUNCTION("""COMPUTED_VALUE"""),1388.5)</f>
        <v>1388.5</v>
      </c>
      <c r="D245" s="7">
        <f>IFERROR(__xludf.DUMMYFUNCTION("""COMPUTED_VALUE"""),1374.1)</f>
        <v>1374.1</v>
      </c>
      <c r="E245" s="7">
        <f>IFERROR(__xludf.DUMMYFUNCTION("""COMPUTED_VALUE"""),1377.0)</f>
        <v>1377</v>
      </c>
      <c r="F245" s="7">
        <f>IFERROR(__xludf.DUMMYFUNCTION("""COMPUTED_VALUE"""),7790815.0)</f>
        <v>7790815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f>IFERROR(__xludf.DUMMYFUNCTION("""COMPUTED_VALUE"""),45911.64583333333)</f>
        <v>45911.64583</v>
      </c>
      <c r="B246" s="7">
        <f>IFERROR(__xludf.DUMMYFUNCTION("""COMPUTED_VALUE"""),1376.0)</f>
        <v>1376</v>
      </c>
      <c r="C246" s="7">
        <f>IFERROR(__xludf.DUMMYFUNCTION("""COMPUTED_VALUE"""),1385.5)</f>
        <v>1385.5</v>
      </c>
      <c r="D246" s="7">
        <f>IFERROR(__xludf.DUMMYFUNCTION("""COMPUTED_VALUE"""),1375.0)</f>
        <v>1375</v>
      </c>
      <c r="E246" s="7">
        <f>IFERROR(__xludf.DUMMYFUNCTION("""COMPUTED_VALUE"""),1383.3)</f>
        <v>1383.3</v>
      </c>
      <c r="F246" s="7">
        <f>IFERROR(__xludf.DUMMYFUNCTION("""COMPUTED_VALUE"""),9766072.0)</f>
        <v>9766072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f>IFERROR(__xludf.DUMMYFUNCTION("""COMPUTED_VALUE"""),45912.64583333333)</f>
        <v>45912.64583</v>
      </c>
      <c r="B247" s="7">
        <f>IFERROR(__xludf.DUMMYFUNCTION("""COMPUTED_VALUE"""),1383.3)</f>
        <v>1383.3</v>
      </c>
      <c r="C247" s="7">
        <f>IFERROR(__xludf.DUMMYFUNCTION("""COMPUTED_VALUE"""),1396.3)</f>
        <v>1396.3</v>
      </c>
      <c r="D247" s="7">
        <f>IFERROR(__xludf.DUMMYFUNCTION("""COMPUTED_VALUE"""),1380.5)</f>
        <v>1380.5</v>
      </c>
      <c r="E247" s="7">
        <f>IFERROR(__xludf.DUMMYFUNCTION("""COMPUTED_VALUE"""),1395.0)</f>
        <v>1395</v>
      </c>
      <c r="F247" s="7">
        <f>IFERROR(__xludf.DUMMYFUNCTION("""COMPUTED_VALUE"""),7403368.0)</f>
        <v>7403368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f>IFERROR(__xludf.DUMMYFUNCTION("""COMPUTED_VALUE"""),45915.64583333333)</f>
        <v>45915.64583</v>
      </c>
      <c r="B248" s="7">
        <f>IFERROR(__xludf.DUMMYFUNCTION("""COMPUTED_VALUE"""),1393.0)</f>
        <v>1393</v>
      </c>
      <c r="C248" s="7">
        <f>IFERROR(__xludf.DUMMYFUNCTION("""COMPUTED_VALUE"""),1400.8)</f>
        <v>1400.8</v>
      </c>
      <c r="D248" s="7">
        <f>IFERROR(__xludf.DUMMYFUNCTION("""COMPUTED_VALUE"""),1388.6)</f>
        <v>1388.6</v>
      </c>
      <c r="E248" s="7">
        <f>IFERROR(__xludf.DUMMYFUNCTION("""COMPUTED_VALUE"""),1399.3)</f>
        <v>1399.3</v>
      </c>
      <c r="F248" s="7">
        <f>IFERROR(__xludf.DUMMYFUNCTION("""COMPUTED_VALUE"""),5396697.0)</f>
        <v>5396697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>
        <f>IFERROR(__xludf.DUMMYFUNCTION("""COMPUTED_VALUE"""),45916.64583333333)</f>
        <v>45916.64583</v>
      </c>
      <c r="B249" s="7">
        <f>IFERROR(__xludf.DUMMYFUNCTION("""COMPUTED_VALUE"""),1404.7)</f>
        <v>1404.7</v>
      </c>
      <c r="C249" s="7">
        <f>IFERROR(__xludf.DUMMYFUNCTION("""COMPUTED_VALUE"""),1408.0)</f>
        <v>1408</v>
      </c>
      <c r="D249" s="7">
        <f>IFERROR(__xludf.DUMMYFUNCTION("""COMPUTED_VALUE"""),1398.2)</f>
        <v>1398.2</v>
      </c>
      <c r="E249" s="7">
        <f>IFERROR(__xludf.DUMMYFUNCTION("""COMPUTED_VALUE"""),1405.3)</f>
        <v>1405.3</v>
      </c>
      <c r="F249" s="7">
        <f>IFERROR(__xludf.DUMMYFUNCTION("""COMPUTED_VALUE"""),8686919.0)</f>
        <v>8686919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IFERROR(__xludf.DUMMYFUNCTION("IFERROR(GOOGLEFINANCE(""NSE:ONGC"",""all"",EDATE(TODAY(),-12),TODAY(),""DAILY""))
"),"Date")</f>
        <v>Date</v>
      </c>
      <c r="B1" s="11" t="str">
        <f>IFERROR(__xludf.DUMMYFUNCTION("""COMPUTED_VALUE"""),"Open")</f>
        <v>Open</v>
      </c>
      <c r="C1" s="11" t="str">
        <f>IFERROR(__xludf.DUMMYFUNCTION("""COMPUTED_VALUE"""),"High")</f>
        <v>High</v>
      </c>
      <c r="D1" s="11" t="str">
        <f>IFERROR(__xludf.DUMMYFUNCTION("""COMPUTED_VALUE"""),"Low")</f>
        <v>Low</v>
      </c>
      <c r="E1" s="11" t="str">
        <f>IFERROR(__xludf.DUMMYFUNCTION("""COMPUTED_VALUE"""),"Close")</f>
        <v>Close</v>
      </c>
      <c r="F1" s="11" t="str">
        <f>IFERROR(__xludf.DUMMYFUNCTION("""COMPUTED_VALUE"""),"Volume")</f>
        <v>Volume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>
        <f>IFERROR(__xludf.DUMMYFUNCTION("""COMPUTED_VALUE"""),45551.64583333333)</f>
        <v>45551.64583</v>
      </c>
      <c r="B2" s="7">
        <f>IFERROR(__xludf.DUMMYFUNCTION("""COMPUTED_VALUE"""),294.8)</f>
        <v>294.8</v>
      </c>
      <c r="C2" s="7">
        <f>IFERROR(__xludf.DUMMYFUNCTION("""COMPUTED_VALUE"""),295.4)</f>
        <v>295.4</v>
      </c>
      <c r="D2" s="7">
        <f>IFERROR(__xludf.DUMMYFUNCTION("""COMPUTED_VALUE"""),291.35)</f>
        <v>291.35</v>
      </c>
      <c r="E2" s="7">
        <f>IFERROR(__xludf.DUMMYFUNCTION("""COMPUTED_VALUE"""),292.5)</f>
        <v>292.5</v>
      </c>
      <c r="F2" s="7">
        <f>IFERROR(__xludf.DUMMYFUNCTION("""COMPUTED_VALUE"""),1.097111E7)</f>
        <v>10971110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f>IFERROR(__xludf.DUMMYFUNCTION("""COMPUTED_VALUE"""),45552.64583333333)</f>
        <v>45552.64583</v>
      </c>
      <c r="B3" s="7">
        <f>IFERROR(__xludf.DUMMYFUNCTION("""COMPUTED_VALUE"""),293.7)</f>
        <v>293.7</v>
      </c>
      <c r="C3" s="7">
        <f>IFERROR(__xludf.DUMMYFUNCTION("""COMPUTED_VALUE"""),296.6)</f>
        <v>296.6</v>
      </c>
      <c r="D3" s="7">
        <f>IFERROR(__xludf.DUMMYFUNCTION("""COMPUTED_VALUE"""),292.15)</f>
        <v>292.15</v>
      </c>
      <c r="E3" s="7">
        <f>IFERROR(__xludf.DUMMYFUNCTION("""COMPUTED_VALUE"""),294.65)</f>
        <v>294.65</v>
      </c>
      <c r="F3" s="7">
        <f>IFERROR(__xludf.DUMMYFUNCTION("""COMPUTED_VALUE"""),1.1873436E7)</f>
        <v>11873436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f>IFERROR(__xludf.DUMMYFUNCTION("""COMPUTED_VALUE"""),45553.64583333333)</f>
        <v>45553.64583</v>
      </c>
      <c r="B4" s="7">
        <f>IFERROR(__xludf.DUMMYFUNCTION("""COMPUTED_VALUE"""),297.6)</f>
        <v>297.6</v>
      </c>
      <c r="C4" s="7">
        <f>IFERROR(__xludf.DUMMYFUNCTION("""COMPUTED_VALUE"""),297.8)</f>
        <v>297.8</v>
      </c>
      <c r="D4" s="7">
        <f>IFERROR(__xludf.DUMMYFUNCTION("""COMPUTED_VALUE"""),287.9)</f>
        <v>287.9</v>
      </c>
      <c r="E4" s="7">
        <f>IFERROR(__xludf.DUMMYFUNCTION("""COMPUTED_VALUE"""),290.4)</f>
        <v>290.4</v>
      </c>
      <c r="F4" s="7">
        <f>IFERROR(__xludf.DUMMYFUNCTION("""COMPUTED_VALUE"""),1.342176E7)</f>
        <v>13421760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f>IFERROR(__xludf.DUMMYFUNCTION("""COMPUTED_VALUE"""),45554.64583333333)</f>
        <v>45554.64583</v>
      </c>
      <c r="B5" s="7">
        <f>IFERROR(__xludf.DUMMYFUNCTION("""COMPUTED_VALUE"""),287.4)</f>
        <v>287.4</v>
      </c>
      <c r="C5" s="7">
        <f>IFERROR(__xludf.DUMMYFUNCTION("""COMPUTED_VALUE"""),289.2)</f>
        <v>289.2</v>
      </c>
      <c r="D5" s="7">
        <f>IFERROR(__xludf.DUMMYFUNCTION("""COMPUTED_VALUE"""),282.5)</f>
        <v>282.5</v>
      </c>
      <c r="E5" s="7">
        <f>IFERROR(__xludf.DUMMYFUNCTION("""COMPUTED_VALUE"""),285.25)</f>
        <v>285.25</v>
      </c>
      <c r="F5" s="7">
        <f>IFERROR(__xludf.DUMMYFUNCTION("""COMPUTED_VALUE"""),1.7067311E7)</f>
        <v>17067311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f>IFERROR(__xludf.DUMMYFUNCTION("""COMPUTED_VALUE"""),45555.64583333333)</f>
        <v>45555.64583</v>
      </c>
      <c r="B6" s="7">
        <f>IFERROR(__xludf.DUMMYFUNCTION("""COMPUTED_VALUE"""),287.0)</f>
        <v>287</v>
      </c>
      <c r="C6" s="7">
        <f>IFERROR(__xludf.DUMMYFUNCTION("""COMPUTED_VALUE"""),289.05)</f>
        <v>289.05</v>
      </c>
      <c r="D6" s="7">
        <f>IFERROR(__xludf.DUMMYFUNCTION("""COMPUTED_VALUE"""),285.2)</f>
        <v>285.2</v>
      </c>
      <c r="E6" s="7">
        <f>IFERROR(__xludf.DUMMYFUNCTION("""COMPUTED_VALUE"""),286.25)</f>
        <v>286.25</v>
      </c>
      <c r="F6" s="7">
        <f>IFERROR(__xludf.DUMMYFUNCTION("""COMPUTED_VALUE"""),1.658553E7)</f>
        <v>16585530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f>IFERROR(__xludf.DUMMYFUNCTION("""COMPUTED_VALUE"""),45558.64583333333)</f>
        <v>45558.64583</v>
      </c>
      <c r="B7" s="7">
        <f>IFERROR(__xludf.DUMMYFUNCTION("""COMPUTED_VALUE"""),288.4)</f>
        <v>288.4</v>
      </c>
      <c r="C7" s="7">
        <f>IFERROR(__xludf.DUMMYFUNCTION("""COMPUTED_VALUE"""),296.4)</f>
        <v>296.4</v>
      </c>
      <c r="D7" s="7">
        <f>IFERROR(__xludf.DUMMYFUNCTION("""COMPUTED_VALUE"""),287.55)</f>
        <v>287.55</v>
      </c>
      <c r="E7" s="7">
        <f>IFERROR(__xludf.DUMMYFUNCTION("""COMPUTED_VALUE"""),295.45)</f>
        <v>295.45</v>
      </c>
      <c r="F7" s="7">
        <f>IFERROR(__xludf.DUMMYFUNCTION("""COMPUTED_VALUE"""),1.4621229E7)</f>
        <v>14621229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f>IFERROR(__xludf.DUMMYFUNCTION("""COMPUTED_VALUE"""),45559.64583333333)</f>
        <v>45559.64583</v>
      </c>
      <c r="B8" s="7">
        <f>IFERROR(__xludf.DUMMYFUNCTION("""COMPUTED_VALUE"""),296.3)</f>
        <v>296.3</v>
      </c>
      <c r="C8" s="7">
        <f>IFERROR(__xludf.DUMMYFUNCTION("""COMPUTED_VALUE"""),302.0)</f>
        <v>302</v>
      </c>
      <c r="D8" s="7">
        <f>IFERROR(__xludf.DUMMYFUNCTION("""COMPUTED_VALUE"""),294.7)</f>
        <v>294.7</v>
      </c>
      <c r="E8" s="7">
        <f>IFERROR(__xludf.DUMMYFUNCTION("""COMPUTED_VALUE"""),299.45)</f>
        <v>299.45</v>
      </c>
      <c r="F8" s="7">
        <f>IFERROR(__xludf.DUMMYFUNCTION("""COMPUTED_VALUE"""),1.6986759E7)</f>
        <v>16986759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f>IFERROR(__xludf.DUMMYFUNCTION("""COMPUTED_VALUE"""),45560.64583333333)</f>
        <v>45560.64583</v>
      </c>
      <c r="B9" s="7">
        <f>IFERROR(__xludf.DUMMYFUNCTION("""COMPUTED_VALUE"""),299.45)</f>
        <v>299.45</v>
      </c>
      <c r="C9" s="7">
        <f>IFERROR(__xludf.DUMMYFUNCTION("""COMPUTED_VALUE"""),301.2)</f>
        <v>301.2</v>
      </c>
      <c r="D9" s="7">
        <f>IFERROR(__xludf.DUMMYFUNCTION("""COMPUTED_VALUE"""),296.7)</f>
        <v>296.7</v>
      </c>
      <c r="E9" s="7">
        <f>IFERROR(__xludf.DUMMYFUNCTION("""COMPUTED_VALUE"""),298.7)</f>
        <v>298.7</v>
      </c>
      <c r="F9" s="7">
        <f>IFERROR(__xludf.DUMMYFUNCTION("""COMPUTED_VALUE"""),1.0609614E7)</f>
        <v>10609614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f>IFERROR(__xludf.DUMMYFUNCTION("""COMPUTED_VALUE"""),45561.64583333333)</f>
        <v>45561.64583</v>
      </c>
      <c r="B10" s="7">
        <f>IFERROR(__xludf.DUMMYFUNCTION("""COMPUTED_VALUE"""),297.05)</f>
        <v>297.05</v>
      </c>
      <c r="C10" s="7">
        <f>IFERROR(__xludf.DUMMYFUNCTION("""COMPUTED_VALUE"""),298.7)</f>
        <v>298.7</v>
      </c>
      <c r="D10" s="7">
        <f>IFERROR(__xludf.DUMMYFUNCTION("""COMPUTED_VALUE"""),291.5)</f>
        <v>291.5</v>
      </c>
      <c r="E10" s="7">
        <f>IFERROR(__xludf.DUMMYFUNCTION("""COMPUTED_VALUE"""),295.2)</f>
        <v>295.2</v>
      </c>
      <c r="F10" s="7">
        <f>IFERROR(__xludf.DUMMYFUNCTION("""COMPUTED_VALUE"""),2.7812412E7)</f>
        <v>27812412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f>IFERROR(__xludf.DUMMYFUNCTION("""COMPUTED_VALUE"""),45562.64583333333)</f>
        <v>45562.64583</v>
      </c>
      <c r="B11" s="7">
        <f>IFERROR(__xludf.DUMMYFUNCTION("""COMPUTED_VALUE"""),292.7)</f>
        <v>292.7</v>
      </c>
      <c r="C11" s="7">
        <f>IFERROR(__xludf.DUMMYFUNCTION("""COMPUTED_VALUE"""),298.45)</f>
        <v>298.45</v>
      </c>
      <c r="D11" s="7">
        <f>IFERROR(__xludf.DUMMYFUNCTION("""COMPUTED_VALUE"""),289.7)</f>
        <v>289.7</v>
      </c>
      <c r="E11" s="7">
        <f>IFERROR(__xludf.DUMMYFUNCTION("""COMPUTED_VALUE"""),297.2)</f>
        <v>297.2</v>
      </c>
      <c r="F11" s="7">
        <f>IFERROR(__xludf.DUMMYFUNCTION("""COMPUTED_VALUE"""),3.570613E7)</f>
        <v>35706130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f>IFERROR(__xludf.DUMMYFUNCTION("""COMPUTED_VALUE"""),45565.64583333333)</f>
        <v>45565.64583</v>
      </c>
      <c r="B12" s="7">
        <f>IFERROR(__xludf.DUMMYFUNCTION("""COMPUTED_VALUE"""),297.0)</f>
        <v>297</v>
      </c>
      <c r="C12" s="7">
        <f>IFERROR(__xludf.DUMMYFUNCTION("""COMPUTED_VALUE"""),301.8)</f>
        <v>301.8</v>
      </c>
      <c r="D12" s="7">
        <f>IFERROR(__xludf.DUMMYFUNCTION("""COMPUTED_VALUE"""),293.75)</f>
        <v>293.75</v>
      </c>
      <c r="E12" s="7">
        <f>IFERROR(__xludf.DUMMYFUNCTION("""COMPUTED_VALUE"""),297.6)</f>
        <v>297.6</v>
      </c>
      <c r="F12" s="7">
        <f>IFERROR(__xludf.DUMMYFUNCTION("""COMPUTED_VALUE"""),1.6294341E7)</f>
        <v>16294341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f>IFERROR(__xludf.DUMMYFUNCTION("""COMPUTED_VALUE"""),45566.64583333333)</f>
        <v>45566.64583</v>
      </c>
      <c r="B13" s="7">
        <f>IFERROR(__xludf.DUMMYFUNCTION("""COMPUTED_VALUE"""),297.0)</f>
        <v>297</v>
      </c>
      <c r="C13" s="7">
        <f>IFERROR(__xludf.DUMMYFUNCTION("""COMPUTED_VALUE"""),299.15)</f>
        <v>299.15</v>
      </c>
      <c r="D13" s="7">
        <f>IFERROR(__xludf.DUMMYFUNCTION("""COMPUTED_VALUE"""),290.7)</f>
        <v>290.7</v>
      </c>
      <c r="E13" s="7">
        <f>IFERROR(__xludf.DUMMYFUNCTION("""COMPUTED_VALUE"""),291.95)</f>
        <v>291.95</v>
      </c>
      <c r="F13" s="7">
        <f>IFERROR(__xludf.DUMMYFUNCTION("""COMPUTED_VALUE"""),1.0919818E7)</f>
        <v>10919818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f>IFERROR(__xludf.DUMMYFUNCTION("""COMPUTED_VALUE"""),45568.64583333333)</f>
        <v>45568.64583</v>
      </c>
      <c r="B14" s="7">
        <f>IFERROR(__xludf.DUMMYFUNCTION("""COMPUTED_VALUE"""),295.0)</f>
        <v>295</v>
      </c>
      <c r="C14" s="7">
        <f>IFERROR(__xludf.DUMMYFUNCTION("""COMPUTED_VALUE"""),298.0)</f>
        <v>298</v>
      </c>
      <c r="D14" s="7">
        <f>IFERROR(__xludf.DUMMYFUNCTION("""COMPUTED_VALUE"""),290.55)</f>
        <v>290.55</v>
      </c>
      <c r="E14" s="7">
        <f>IFERROR(__xludf.DUMMYFUNCTION("""COMPUTED_VALUE"""),292.05)</f>
        <v>292.05</v>
      </c>
      <c r="F14" s="7">
        <f>IFERROR(__xludf.DUMMYFUNCTION("""COMPUTED_VALUE"""),2.8124665E7)</f>
        <v>28124665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f>IFERROR(__xludf.DUMMYFUNCTION("""COMPUTED_VALUE"""),45569.64583333333)</f>
        <v>45569.64583</v>
      </c>
      <c r="B15" s="7">
        <f>IFERROR(__xludf.DUMMYFUNCTION("""COMPUTED_VALUE"""),297.0)</f>
        <v>297</v>
      </c>
      <c r="C15" s="7">
        <f>IFERROR(__xludf.DUMMYFUNCTION("""COMPUTED_VALUE"""),299.7)</f>
        <v>299.7</v>
      </c>
      <c r="D15" s="7">
        <f>IFERROR(__xludf.DUMMYFUNCTION("""COMPUTED_VALUE"""),293.2)</f>
        <v>293.2</v>
      </c>
      <c r="E15" s="7">
        <f>IFERROR(__xludf.DUMMYFUNCTION("""COMPUTED_VALUE"""),295.25)</f>
        <v>295.25</v>
      </c>
      <c r="F15" s="7">
        <f>IFERROR(__xludf.DUMMYFUNCTION("""COMPUTED_VALUE"""),2.3104209E7)</f>
        <v>23104209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f>IFERROR(__xludf.DUMMYFUNCTION("""COMPUTED_VALUE"""),45572.64583333333)</f>
        <v>45572.64583</v>
      </c>
      <c r="B16" s="7">
        <f>IFERROR(__xludf.DUMMYFUNCTION("""COMPUTED_VALUE"""),296.0)</f>
        <v>296</v>
      </c>
      <c r="C16" s="7">
        <f>IFERROR(__xludf.DUMMYFUNCTION("""COMPUTED_VALUE"""),296.3)</f>
        <v>296.3</v>
      </c>
      <c r="D16" s="7">
        <f>IFERROR(__xludf.DUMMYFUNCTION("""COMPUTED_VALUE"""),281.5)</f>
        <v>281.5</v>
      </c>
      <c r="E16" s="7">
        <f>IFERROR(__xludf.DUMMYFUNCTION("""COMPUTED_VALUE"""),289.45)</f>
        <v>289.45</v>
      </c>
      <c r="F16" s="7">
        <f>IFERROR(__xludf.DUMMYFUNCTION("""COMPUTED_VALUE"""),2.0917962E7)</f>
        <v>20917962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f>IFERROR(__xludf.DUMMYFUNCTION("""COMPUTED_VALUE"""),45573.64583333333)</f>
        <v>45573.64583</v>
      </c>
      <c r="B17" s="7">
        <f>IFERROR(__xludf.DUMMYFUNCTION("""COMPUTED_VALUE"""),288.15)</f>
        <v>288.15</v>
      </c>
      <c r="C17" s="7">
        <f>IFERROR(__xludf.DUMMYFUNCTION("""COMPUTED_VALUE"""),293.9)</f>
        <v>293.9</v>
      </c>
      <c r="D17" s="7">
        <f>IFERROR(__xludf.DUMMYFUNCTION("""COMPUTED_VALUE"""),280.55)</f>
        <v>280.55</v>
      </c>
      <c r="E17" s="7">
        <f>IFERROR(__xludf.DUMMYFUNCTION("""COMPUTED_VALUE"""),293.45)</f>
        <v>293.45</v>
      </c>
      <c r="F17" s="7">
        <f>IFERROR(__xludf.DUMMYFUNCTION("""COMPUTED_VALUE"""),1.057236E7)</f>
        <v>10572360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f>IFERROR(__xludf.DUMMYFUNCTION("""COMPUTED_VALUE"""),45574.64583333333)</f>
        <v>45574.64583</v>
      </c>
      <c r="B18" s="7">
        <f>IFERROR(__xludf.DUMMYFUNCTION("""COMPUTED_VALUE"""),291.25)</f>
        <v>291.25</v>
      </c>
      <c r="C18" s="7">
        <f>IFERROR(__xludf.DUMMYFUNCTION("""COMPUTED_VALUE"""),291.9)</f>
        <v>291.9</v>
      </c>
      <c r="D18" s="7">
        <f>IFERROR(__xludf.DUMMYFUNCTION("""COMPUTED_VALUE"""),286.85)</f>
        <v>286.85</v>
      </c>
      <c r="E18" s="7">
        <f>IFERROR(__xludf.DUMMYFUNCTION("""COMPUTED_VALUE"""),288.5)</f>
        <v>288.5</v>
      </c>
      <c r="F18" s="7">
        <f>IFERROR(__xludf.DUMMYFUNCTION("""COMPUTED_VALUE"""),1.3147475E7)</f>
        <v>13147475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f>IFERROR(__xludf.DUMMYFUNCTION("""COMPUTED_VALUE"""),45575.64583333333)</f>
        <v>45575.64583</v>
      </c>
      <c r="B19" s="7">
        <f>IFERROR(__xludf.DUMMYFUNCTION("""COMPUTED_VALUE"""),288.7)</f>
        <v>288.7</v>
      </c>
      <c r="C19" s="7">
        <f>IFERROR(__xludf.DUMMYFUNCTION("""COMPUTED_VALUE"""),292.15)</f>
        <v>292.15</v>
      </c>
      <c r="D19" s="7">
        <f>IFERROR(__xludf.DUMMYFUNCTION("""COMPUTED_VALUE"""),287.55)</f>
        <v>287.55</v>
      </c>
      <c r="E19" s="7">
        <f>IFERROR(__xludf.DUMMYFUNCTION("""COMPUTED_VALUE"""),288.75)</f>
        <v>288.75</v>
      </c>
      <c r="F19" s="7">
        <f>IFERROR(__xludf.DUMMYFUNCTION("""COMPUTED_VALUE"""),7237212.0)</f>
        <v>7237212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f>IFERROR(__xludf.DUMMYFUNCTION("""COMPUTED_VALUE"""),45576.64583333333)</f>
        <v>45576.64583</v>
      </c>
      <c r="B20" s="7">
        <f>IFERROR(__xludf.DUMMYFUNCTION("""COMPUTED_VALUE"""),291.3)</f>
        <v>291.3</v>
      </c>
      <c r="C20" s="7">
        <f>IFERROR(__xludf.DUMMYFUNCTION("""COMPUTED_VALUE"""),293.65)</f>
        <v>293.65</v>
      </c>
      <c r="D20" s="7">
        <f>IFERROR(__xludf.DUMMYFUNCTION("""COMPUTED_VALUE"""),289.5)</f>
        <v>289.5</v>
      </c>
      <c r="E20" s="7">
        <f>IFERROR(__xludf.DUMMYFUNCTION("""COMPUTED_VALUE"""),292.55)</f>
        <v>292.55</v>
      </c>
      <c r="F20" s="7">
        <f>IFERROR(__xludf.DUMMYFUNCTION("""COMPUTED_VALUE"""),7011704.0)</f>
        <v>7011704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f>IFERROR(__xludf.DUMMYFUNCTION("""COMPUTED_VALUE"""),45579.64583333333)</f>
        <v>45579.64583</v>
      </c>
      <c r="B21" s="7">
        <f>IFERROR(__xludf.DUMMYFUNCTION("""COMPUTED_VALUE"""),292.7)</f>
        <v>292.7</v>
      </c>
      <c r="C21" s="7">
        <f>IFERROR(__xludf.DUMMYFUNCTION("""COMPUTED_VALUE"""),292.9)</f>
        <v>292.9</v>
      </c>
      <c r="D21" s="7">
        <f>IFERROR(__xludf.DUMMYFUNCTION("""COMPUTED_VALUE"""),285.15)</f>
        <v>285.15</v>
      </c>
      <c r="E21" s="7">
        <f>IFERROR(__xludf.DUMMYFUNCTION("""COMPUTED_VALUE"""),286.5)</f>
        <v>286.5</v>
      </c>
      <c r="F21" s="7">
        <f>IFERROR(__xludf.DUMMYFUNCTION("""COMPUTED_VALUE"""),1.2690951E7)</f>
        <v>12690951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f>IFERROR(__xludf.DUMMYFUNCTION("""COMPUTED_VALUE"""),45580.64583333333)</f>
        <v>45580.64583</v>
      </c>
      <c r="B22" s="7">
        <f>IFERROR(__xludf.DUMMYFUNCTION("""COMPUTED_VALUE"""),286.4)</f>
        <v>286.4</v>
      </c>
      <c r="C22" s="7">
        <f>IFERROR(__xludf.DUMMYFUNCTION("""COMPUTED_VALUE"""),286.4)</f>
        <v>286.4</v>
      </c>
      <c r="D22" s="7">
        <f>IFERROR(__xludf.DUMMYFUNCTION("""COMPUTED_VALUE"""),280.85)</f>
        <v>280.85</v>
      </c>
      <c r="E22" s="7">
        <f>IFERROR(__xludf.DUMMYFUNCTION("""COMPUTED_VALUE"""),283.7)</f>
        <v>283.7</v>
      </c>
      <c r="F22" s="7">
        <f>IFERROR(__xludf.DUMMYFUNCTION("""COMPUTED_VALUE"""),1.5087155E7)</f>
        <v>15087155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f>IFERROR(__xludf.DUMMYFUNCTION("""COMPUTED_VALUE"""),45581.64583333333)</f>
        <v>45581.64583</v>
      </c>
      <c r="B23" s="7">
        <f>IFERROR(__xludf.DUMMYFUNCTION("""COMPUTED_VALUE"""),283.0)</f>
        <v>283</v>
      </c>
      <c r="C23" s="7">
        <f>IFERROR(__xludf.DUMMYFUNCTION("""COMPUTED_VALUE"""),287.25)</f>
        <v>287.25</v>
      </c>
      <c r="D23" s="7">
        <f>IFERROR(__xludf.DUMMYFUNCTION("""COMPUTED_VALUE"""),280.65)</f>
        <v>280.65</v>
      </c>
      <c r="E23" s="7">
        <f>IFERROR(__xludf.DUMMYFUNCTION("""COMPUTED_VALUE"""),285.4)</f>
        <v>285.4</v>
      </c>
      <c r="F23" s="7">
        <f>IFERROR(__xludf.DUMMYFUNCTION("""COMPUTED_VALUE"""),1.8188885E7)</f>
        <v>18188885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f>IFERROR(__xludf.DUMMYFUNCTION("""COMPUTED_VALUE"""),45582.64583333333)</f>
        <v>45582.64583</v>
      </c>
      <c r="B24" s="7">
        <f>IFERROR(__xludf.DUMMYFUNCTION("""COMPUTED_VALUE"""),285.0)</f>
        <v>285</v>
      </c>
      <c r="C24" s="7">
        <f>IFERROR(__xludf.DUMMYFUNCTION("""COMPUTED_VALUE"""),287.6)</f>
        <v>287.6</v>
      </c>
      <c r="D24" s="7">
        <f>IFERROR(__xludf.DUMMYFUNCTION("""COMPUTED_VALUE"""),280.95)</f>
        <v>280.95</v>
      </c>
      <c r="E24" s="7">
        <f>IFERROR(__xludf.DUMMYFUNCTION("""COMPUTED_VALUE"""),281.6)</f>
        <v>281.6</v>
      </c>
      <c r="F24" s="7">
        <f>IFERROR(__xludf.DUMMYFUNCTION("""COMPUTED_VALUE"""),1.3343303E7)</f>
        <v>13343303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f>IFERROR(__xludf.DUMMYFUNCTION("""COMPUTED_VALUE"""),45583.64583333333)</f>
        <v>45583.64583</v>
      </c>
      <c r="B25" s="7">
        <f>IFERROR(__xludf.DUMMYFUNCTION("""COMPUTED_VALUE"""),282.0)</f>
        <v>282</v>
      </c>
      <c r="C25" s="7">
        <f>IFERROR(__xludf.DUMMYFUNCTION("""COMPUTED_VALUE"""),284.5)</f>
        <v>284.5</v>
      </c>
      <c r="D25" s="7">
        <f>IFERROR(__xludf.DUMMYFUNCTION("""COMPUTED_VALUE"""),279.2)</f>
        <v>279.2</v>
      </c>
      <c r="E25" s="7">
        <f>IFERROR(__xludf.DUMMYFUNCTION("""COMPUTED_VALUE"""),283.3)</f>
        <v>283.3</v>
      </c>
      <c r="F25" s="7">
        <f>IFERROR(__xludf.DUMMYFUNCTION("""COMPUTED_VALUE"""),1.4028398E7)</f>
        <v>14028398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f>IFERROR(__xludf.DUMMYFUNCTION("""COMPUTED_VALUE"""),45586.64583333333)</f>
        <v>45586.64583</v>
      </c>
      <c r="B26" s="7">
        <f>IFERROR(__xludf.DUMMYFUNCTION("""COMPUTED_VALUE"""),281.15)</f>
        <v>281.15</v>
      </c>
      <c r="C26" s="7">
        <f>IFERROR(__xludf.DUMMYFUNCTION("""COMPUTED_VALUE"""),284.0)</f>
        <v>284</v>
      </c>
      <c r="D26" s="7">
        <f>IFERROR(__xludf.DUMMYFUNCTION("""COMPUTED_VALUE"""),274.55)</f>
        <v>274.55</v>
      </c>
      <c r="E26" s="7">
        <f>IFERROR(__xludf.DUMMYFUNCTION("""COMPUTED_VALUE"""),276.6)</f>
        <v>276.6</v>
      </c>
      <c r="F26" s="7">
        <f>IFERROR(__xludf.DUMMYFUNCTION("""COMPUTED_VALUE"""),1.0299773E7)</f>
        <v>10299773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f>IFERROR(__xludf.DUMMYFUNCTION("""COMPUTED_VALUE"""),45587.64583333333)</f>
        <v>45587.64583</v>
      </c>
      <c r="B27" s="7">
        <f>IFERROR(__xludf.DUMMYFUNCTION("""COMPUTED_VALUE"""),278.0)</f>
        <v>278</v>
      </c>
      <c r="C27" s="7">
        <f>IFERROR(__xludf.DUMMYFUNCTION("""COMPUTED_VALUE"""),278.15)</f>
        <v>278.15</v>
      </c>
      <c r="D27" s="7">
        <f>IFERROR(__xludf.DUMMYFUNCTION("""COMPUTED_VALUE"""),270.0)</f>
        <v>270</v>
      </c>
      <c r="E27" s="7">
        <f>IFERROR(__xludf.DUMMYFUNCTION("""COMPUTED_VALUE"""),270.8)</f>
        <v>270.8</v>
      </c>
      <c r="F27" s="7">
        <f>IFERROR(__xludf.DUMMYFUNCTION("""COMPUTED_VALUE"""),1.0028511E7)</f>
        <v>10028511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f>IFERROR(__xludf.DUMMYFUNCTION("""COMPUTED_VALUE"""),45588.64583333333)</f>
        <v>45588.64583</v>
      </c>
      <c r="B28" s="7">
        <f>IFERROR(__xludf.DUMMYFUNCTION("""COMPUTED_VALUE"""),270.0)</f>
        <v>270</v>
      </c>
      <c r="C28" s="7">
        <f>IFERROR(__xludf.DUMMYFUNCTION("""COMPUTED_VALUE"""),274.4)</f>
        <v>274.4</v>
      </c>
      <c r="D28" s="7">
        <f>IFERROR(__xludf.DUMMYFUNCTION("""COMPUTED_VALUE"""),265.05)</f>
        <v>265.05</v>
      </c>
      <c r="E28" s="7">
        <f>IFERROR(__xludf.DUMMYFUNCTION("""COMPUTED_VALUE"""),270.85)</f>
        <v>270.85</v>
      </c>
      <c r="F28" s="7">
        <f>IFERROR(__xludf.DUMMYFUNCTION("""COMPUTED_VALUE"""),1.8823321E7)</f>
        <v>18823321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f>IFERROR(__xludf.DUMMYFUNCTION("""COMPUTED_VALUE"""),45589.64583333333)</f>
        <v>45589.64583</v>
      </c>
      <c r="B29" s="7">
        <f>IFERROR(__xludf.DUMMYFUNCTION("""COMPUTED_VALUE"""),271.9)</f>
        <v>271.9</v>
      </c>
      <c r="C29" s="7">
        <f>IFERROR(__xludf.DUMMYFUNCTION("""COMPUTED_VALUE"""),272.45)</f>
        <v>272.45</v>
      </c>
      <c r="D29" s="7">
        <f>IFERROR(__xludf.DUMMYFUNCTION("""COMPUTED_VALUE"""),268.35)</f>
        <v>268.35</v>
      </c>
      <c r="E29" s="7">
        <f>IFERROR(__xludf.DUMMYFUNCTION("""COMPUTED_VALUE"""),269.1)</f>
        <v>269.1</v>
      </c>
      <c r="F29" s="7">
        <f>IFERROR(__xludf.DUMMYFUNCTION("""COMPUTED_VALUE"""),7488521.0)</f>
        <v>7488521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f>IFERROR(__xludf.DUMMYFUNCTION("""COMPUTED_VALUE"""),45590.64583333333)</f>
        <v>45590.64583</v>
      </c>
      <c r="B30" s="7">
        <f>IFERROR(__xludf.DUMMYFUNCTION("""COMPUTED_VALUE"""),270.0)</f>
        <v>270</v>
      </c>
      <c r="C30" s="7">
        <f>IFERROR(__xludf.DUMMYFUNCTION("""COMPUTED_VALUE"""),270.3)</f>
        <v>270.3</v>
      </c>
      <c r="D30" s="7">
        <f>IFERROR(__xludf.DUMMYFUNCTION("""COMPUTED_VALUE"""),261.6)</f>
        <v>261.6</v>
      </c>
      <c r="E30" s="7">
        <f>IFERROR(__xludf.DUMMYFUNCTION("""COMPUTED_VALUE"""),264.05)</f>
        <v>264.05</v>
      </c>
      <c r="F30" s="7">
        <f>IFERROR(__xludf.DUMMYFUNCTION("""COMPUTED_VALUE"""),1.2961181E7)</f>
        <v>12961181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f>IFERROR(__xludf.DUMMYFUNCTION("""COMPUTED_VALUE"""),45593.64583333333)</f>
        <v>45593.64583</v>
      </c>
      <c r="B31" s="7">
        <f>IFERROR(__xludf.DUMMYFUNCTION("""COMPUTED_VALUE"""),260.65)</f>
        <v>260.65</v>
      </c>
      <c r="C31" s="7">
        <f>IFERROR(__xludf.DUMMYFUNCTION("""COMPUTED_VALUE"""),265.05)</f>
        <v>265.05</v>
      </c>
      <c r="D31" s="7">
        <f>IFERROR(__xludf.DUMMYFUNCTION("""COMPUTED_VALUE"""),255.3)</f>
        <v>255.3</v>
      </c>
      <c r="E31" s="7">
        <f>IFERROR(__xludf.DUMMYFUNCTION("""COMPUTED_VALUE"""),263.35)</f>
        <v>263.35</v>
      </c>
      <c r="F31" s="7">
        <f>IFERROR(__xludf.DUMMYFUNCTION("""COMPUTED_VALUE"""),1.3835091E7)</f>
        <v>13835091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f>IFERROR(__xludf.DUMMYFUNCTION("""COMPUTED_VALUE"""),45594.64583333333)</f>
        <v>45594.64583</v>
      </c>
      <c r="B32" s="7">
        <f>IFERROR(__xludf.DUMMYFUNCTION("""COMPUTED_VALUE"""),263.35)</f>
        <v>263.35</v>
      </c>
      <c r="C32" s="7">
        <f>IFERROR(__xludf.DUMMYFUNCTION("""COMPUTED_VALUE"""),265.55)</f>
        <v>265.55</v>
      </c>
      <c r="D32" s="7">
        <f>IFERROR(__xludf.DUMMYFUNCTION("""COMPUTED_VALUE"""),259.4)</f>
        <v>259.4</v>
      </c>
      <c r="E32" s="7">
        <f>IFERROR(__xludf.DUMMYFUNCTION("""COMPUTED_VALUE"""),265.0)</f>
        <v>265</v>
      </c>
      <c r="F32" s="7">
        <f>IFERROR(__xludf.DUMMYFUNCTION("""COMPUTED_VALUE"""),9122757.0)</f>
        <v>9122757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f>IFERROR(__xludf.DUMMYFUNCTION("""COMPUTED_VALUE"""),45595.64583333333)</f>
        <v>45595.64583</v>
      </c>
      <c r="B33" s="7">
        <f>IFERROR(__xludf.DUMMYFUNCTION("""COMPUTED_VALUE"""),265.0)</f>
        <v>265</v>
      </c>
      <c r="C33" s="7">
        <f>IFERROR(__xludf.DUMMYFUNCTION("""COMPUTED_VALUE"""),266.2)</f>
        <v>266.2</v>
      </c>
      <c r="D33" s="7">
        <f>IFERROR(__xludf.DUMMYFUNCTION("""COMPUTED_VALUE"""),261.05)</f>
        <v>261.05</v>
      </c>
      <c r="E33" s="7">
        <f>IFERROR(__xludf.DUMMYFUNCTION("""COMPUTED_VALUE"""),261.65)</f>
        <v>261.65</v>
      </c>
      <c r="F33" s="7">
        <f>IFERROR(__xludf.DUMMYFUNCTION("""COMPUTED_VALUE"""),1.1166643E7)</f>
        <v>11166643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f>IFERROR(__xludf.DUMMYFUNCTION("""COMPUTED_VALUE"""),45596.64583333333)</f>
        <v>45596.64583</v>
      </c>
      <c r="B34" s="7">
        <f>IFERROR(__xludf.DUMMYFUNCTION("""COMPUTED_VALUE"""),263.4)</f>
        <v>263.4</v>
      </c>
      <c r="C34" s="7">
        <f>IFERROR(__xludf.DUMMYFUNCTION("""COMPUTED_VALUE"""),268.3)</f>
        <v>268.3</v>
      </c>
      <c r="D34" s="7">
        <f>IFERROR(__xludf.DUMMYFUNCTION("""COMPUTED_VALUE"""),261.15)</f>
        <v>261.15</v>
      </c>
      <c r="E34" s="7">
        <f>IFERROR(__xludf.DUMMYFUNCTION("""COMPUTED_VALUE"""),266.15)</f>
        <v>266.15</v>
      </c>
      <c r="F34" s="7">
        <f>IFERROR(__xludf.DUMMYFUNCTION("""COMPUTED_VALUE"""),1.6173656E7)</f>
        <v>16173656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f>IFERROR(__xludf.DUMMYFUNCTION("""COMPUTED_VALUE"""),45600.64583333333)</f>
        <v>45600.64583</v>
      </c>
      <c r="B35" s="7">
        <f>IFERROR(__xludf.DUMMYFUNCTION("""COMPUTED_VALUE"""),274.0)</f>
        <v>274</v>
      </c>
      <c r="C35" s="7">
        <f>IFERROR(__xludf.DUMMYFUNCTION("""COMPUTED_VALUE"""),274.35)</f>
        <v>274.35</v>
      </c>
      <c r="D35" s="7">
        <f>IFERROR(__xludf.DUMMYFUNCTION("""COMPUTED_VALUE"""),260.15)</f>
        <v>260.15</v>
      </c>
      <c r="E35" s="7">
        <f>IFERROR(__xludf.DUMMYFUNCTION("""COMPUTED_VALUE"""),265.3)</f>
        <v>265.3</v>
      </c>
      <c r="F35" s="7">
        <f>IFERROR(__xludf.DUMMYFUNCTION("""COMPUTED_VALUE"""),1.4355959E7)</f>
        <v>14355959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f>IFERROR(__xludf.DUMMYFUNCTION("""COMPUTED_VALUE"""),45601.64583333333)</f>
        <v>45601.64583</v>
      </c>
      <c r="B36" s="7">
        <f>IFERROR(__xludf.DUMMYFUNCTION("""COMPUTED_VALUE"""),265.2)</f>
        <v>265.2</v>
      </c>
      <c r="C36" s="7">
        <f>IFERROR(__xludf.DUMMYFUNCTION("""COMPUTED_VALUE"""),268.6)</f>
        <v>268.6</v>
      </c>
      <c r="D36" s="7">
        <f>IFERROR(__xludf.DUMMYFUNCTION("""COMPUTED_VALUE"""),263.6)</f>
        <v>263.6</v>
      </c>
      <c r="E36" s="7">
        <f>IFERROR(__xludf.DUMMYFUNCTION("""COMPUTED_VALUE"""),267.4)</f>
        <v>267.4</v>
      </c>
      <c r="F36" s="7">
        <f>IFERROR(__xludf.DUMMYFUNCTION("""COMPUTED_VALUE"""),1.1676017E7)</f>
        <v>11676017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f>IFERROR(__xludf.DUMMYFUNCTION("""COMPUTED_VALUE"""),45602.64583333333)</f>
        <v>45602.64583</v>
      </c>
      <c r="B37" s="7">
        <f>IFERROR(__xludf.DUMMYFUNCTION("""COMPUTED_VALUE"""),267.7)</f>
        <v>267.7</v>
      </c>
      <c r="C37" s="7">
        <f>IFERROR(__xludf.DUMMYFUNCTION("""COMPUTED_VALUE"""),270.6)</f>
        <v>270.6</v>
      </c>
      <c r="D37" s="7">
        <f>IFERROR(__xludf.DUMMYFUNCTION("""COMPUTED_VALUE"""),264.4)</f>
        <v>264.4</v>
      </c>
      <c r="E37" s="7">
        <f>IFERROR(__xludf.DUMMYFUNCTION("""COMPUTED_VALUE"""),269.05)</f>
        <v>269.05</v>
      </c>
      <c r="F37" s="7">
        <f>IFERROR(__xludf.DUMMYFUNCTION("""COMPUTED_VALUE"""),1.9244545E7)</f>
        <v>19244545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f>IFERROR(__xludf.DUMMYFUNCTION("""COMPUTED_VALUE"""),45603.64583333333)</f>
        <v>45603.64583</v>
      </c>
      <c r="B38" s="7">
        <f>IFERROR(__xludf.DUMMYFUNCTION("""COMPUTED_VALUE"""),270.5)</f>
        <v>270.5</v>
      </c>
      <c r="C38" s="7">
        <f>IFERROR(__xludf.DUMMYFUNCTION("""COMPUTED_VALUE"""),270.5)</f>
        <v>270.5</v>
      </c>
      <c r="D38" s="7">
        <f>IFERROR(__xludf.DUMMYFUNCTION("""COMPUTED_VALUE"""),264.8)</f>
        <v>264.8</v>
      </c>
      <c r="E38" s="7">
        <f>IFERROR(__xludf.DUMMYFUNCTION("""COMPUTED_VALUE"""),265.2)</f>
        <v>265.2</v>
      </c>
      <c r="F38" s="7">
        <f>IFERROR(__xludf.DUMMYFUNCTION("""COMPUTED_VALUE"""),6766663.0)</f>
        <v>6766663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f>IFERROR(__xludf.DUMMYFUNCTION("""COMPUTED_VALUE"""),45604.64583333333)</f>
        <v>45604.64583</v>
      </c>
      <c r="B39" s="7">
        <f>IFERROR(__xludf.DUMMYFUNCTION("""COMPUTED_VALUE"""),265.95)</f>
        <v>265.95</v>
      </c>
      <c r="C39" s="7">
        <f>IFERROR(__xludf.DUMMYFUNCTION("""COMPUTED_VALUE"""),266.5)</f>
        <v>266.5</v>
      </c>
      <c r="D39" s="7">
        <f>IFERROR(__xludf.DUMMYFUNCTION("""COMPUTED_VALUE"""),259.65)</f>
        <v>259.65</v>
      </c>
      <c r="E39" s="7">
        <f>IFERROR(__xludf.DUMMYFUNCTION("""COMPUTED_VALUE"""),262.55)</f>
        <v>262.55</v>
      </c>
      <c r="F39" s="7">
        <f>IFERROR(__xludf.DUMMYFUNCTION("""COMPUTED_VALUE"""),7836093.0)</f>
        <v>7836093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f>IFERROR(__xludf.DUMMYFUNCTION("""COMPUTED_VALUE"""),45607.64583333333)</f>
        <v>45607.64583</v>
      </c>
      <c r="B40" s="7">
        <f>IFERROR(__xludf.DUMMYFUNCTION("""COMPUTED_VALUE"""),262.35)</f>
        <v>262.35</v>
      </c>
      <c r="C40" s="7">
        <f>IFERROR(__xludf.DUMMYFUNCTION("""COMPUTED_VALUE"""),262.35)</f>
        <v>262.35</v>
      </c>
      <c r="D40" s="7">
        <f>IFERROR(__xludf.DUMMYFUNCTION("""COMPUTED_VALUE"""),256.0)</f>
        <v>256</v>
      </c>
      <c r="E40" s="7">
        <f>IFERROR(__xludf.DUMMYFUNCTION("""COMPUTED_VALUE"""),256.9)</f>
        <v>256.9</v>
      </c>
      <c r="F40" s="7">
        <f>IFERROR(__xludf.DUMMYFUNCTION("""COMPUTED_VALUE"""),8450657.0)</f>
        <v>8450657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f>IFERROR(__xludf.DUMMYFUNCTION("""COMPUTED_VALUE"""),45608.64583333333)</f>
        <v>45608.64583</v>
      </c>
      <c r="B41" s="7">
        <f>IFERROR(__xludf.DUMMYFUNCTION("""COMPUTED_VALUE"""),260.85)</f>
        <v>260.85</v>
      </c>
      <c r="C41" s="7">
        <f>IFERROR(__xludf.DUMMYFUNCTION("""COMPUTED_VALUE"""),263.2)</f>
        <v>263.2</v>
      </c>
      <c r="D41" s="7">
        <f>IFERROR(__xludf.DUMMYFUNCTION("""COMPUTED_VALUE"""),255.4)</f>
        <v>255.4</v>
      </c>
      <c r="E41" s="7">
        <f>IFERROR(__xludf.DUMMYFUNCTION("""COMPUTED_VALUE"""),256.15)</f>
        <v>256.15</v>
      </c>
      <c r="F41" s="7">
        <f>IFERROR(__xludf.DUMMYFUNCTION("""COMPUTED_VALUE"""),2.24454E7)</f>
        <v>22445400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f>IFERROR(__xludf.DUMMYFUNCTION("""COMPUTED_VALUE"""),45609.64583333333)</f>
        <v>45609.64583</v>
      </c>
      <c r="B42" s="7">
        <f>IFERROR(__xludf.DUMMYFUNCTION("""COMPUTED_VALUE"""),256.15)</f>
        <v>256.15</v>
      </c>
      <c r="C42" s="7">
        <f>IFERROR(__xludf.DUMMYFUNCTION("""COMPUTED_VALUE"""),256.95)</f>
        <v>256.95</v>
      </c>
      <c r="D42" s="7">
        <f>IFERROR(__xludf.DUMMYFUNCTION("""COMPUTED_VALUE"""),249.0)</f>
        <v>249</v>
      </c>
      <c r="E42" s="7">
        <f>IFERROR(__xludf.DUMMYFUNCTION("""COMPUTED_VALUE"""),252.55)</f>
        <v>252.55</v>
      </c>
      <c r="F42" s="7">
        <f>IFERROR(__xludf.DUMMYFUNCTION("""COMPUTED_VALUE"""),1.7483332E7)</f>
        <v>17483332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f>IFERROR(__xludf.DUMMYFUNCTION("""COMPUTED_VALUE"""),45610.64583333333)</f>
        <v>45610.64583</v>
      </c>
      <c r="B43" s="7">
        <f>IFERROR(__xludf.DUMMYFUNCTION("""COMPUTED_VALUE"""),252.55)</f>
        <v>252.55</v>
      </c>
      <c r="C43" s="7">
        <f>IFERROR(__xludf.DUMMYFUNCTION("""COMPUTED_VALUE"""),254.3)</f>
        <v>254.3</v>
      </c>
      <c r="D43" s="7">
        <f>IFERROR(__xludf.DUMMYFUNCTION("""COMPUTED_VALUE"""),249.0)</f>
        <v>249</v>
      </c>
      <c r="E43" s="7">
        <f>IFERROR(__xludf.DUMMYFUNCTION("""COMPUTED_VALUE"""),250.8)</f>
        <v>250.8</v>
      </c>
      <c r="F43" s="7">
        <f>IFERROR(__xludf.DUMMYFUNCTION("""COMPUTED_VALUE"""),1.245454E7)</f>
        <v>12454540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f>IFERROR(__xludf.DUMMYFUNCTION("""COMPUTED_VALUE"""),45614.64583333333)</f>
        <v>45614.64583</v>
      </c>
      <c r="B44" s="7">
        <f>IFERROR(__xludf.DUMMYFUNCTION("""COMPUTED_VALUE"""),251.1)</f>
        <v>251.1</v>
      </c>
      <c r="C44" s="7">
        <f>IFERROR(__xludf.DUMMYFUNCTION("""COMPUTED_VALUE"""),252.1)</f>
        <v>252.1</v>
      </c>
      <c r="D44" s="7">
        <f>IFERROR(__xludf.DUMMYFUNCTION("""COMPUTED_VALUE"""),247.1)</f>
        <v>247.1</v>
      </c>
      <c r="E44" s="7">
        <f>IFERROR(__xludf.DUMMYFUNCTION("""COMPUTED_VALUE"""),250.65)</f>
        <v>250.65</v>
      </c>
      <c r="F44" s="7">
        <f>IFERROR(__xludf.DUMMYFUNCTION("""COMPUTED_VALUE"""),1.4636541E7)</f>
        <v>14636541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f>IFERROR(__xludf.DUMMYFUNCTION("""COMPUTED_VALUE"""),45615.64583333333)</f>
        <v>45615.64583</v>
      </c>
      <c r="B45" s="7">
        <f>IFERROR(__xludf.DUMMYFUNCTION("""COMPUTED_VALUE"""),250.0)</f>
        <v>250</v>
      </c>
      <c r="C45" s="7">
        <f>IFERROR(__xludf.DUMMYFUNCTION("""COMPUTED_VALUE"""),255.4)</f>
        <v>255.4</v>
      </c>
      <c r="D45" s="7">
        <f>IFERROR(__xludf.DUMMYFUNCTION("""COMPUTED_VALUE"""),247.1)</f>
        <v>247.1</v>
      </c>
      <c r="E45" s="7">
        <f>IFERROR(__xludf.DUMMYFUNCTION("""COMPUTED_VALUE"""),248.0)</f>
        <v>248</v>
      </c>
      <c r="F45" s="7">
        <f>IFERROR(__xludf.DUMMYFUNCTION("""COMPUTED_VALUE"""),1.7397559E7)</f>
        <v>17397559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f>IFERROR(__xludf.DUMMYFUNCTION("""COMPUTED_VALUE"""),45617.64583333333)</f>
        <v>45617.64583</v>
      </c>
      <c r="B46" s="7">
        <f>IFERROR(__xludf.DUMMYFUNCTION("""COMPUTED_VALUE"""),248.0)</f>
        <v>248</v>
      </c>
      <c r="C46" s="7">
        <f>IFERROR(__xludf.DUMMYFUNCTION("""COMPUTED_VALUE"""),248.0)</f>
        <v>248</v>
      </c>
      <c r="D46" s="7">
        <f>IFERROR(__xludf.DUMMYFUNCTION("""COMPUTED_VALUE"""),240.8)</f>
        <v>240.8</v>
      </c>
      <c r="E46" s="7">
        <f>IFERROR(__xludf.DUMMYFUNCTION("""COMPUTED_VALUE"""),242.15)</f>
        <v>242.15</v>
      </c>
      <c r="F46" s="7">
        <f>IFERROR(__xludf.DUMMYFUNCTION("""COMPUTED_VALUE"""),1.618944E7)</f>
        <v>16189440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f>IFERROR(__xludf.DUMMYFUNCTION("""COMPUTED_VALUE"""),45618.64583333333)</f>
        <v>45618.64583</v>
      </c>
      <c r="B47" s="7">
        <f>IFERROR(__xludf.DUMMYFUNCTION("""COMPUTED_VALUE"""),244.8)</f>
        <v>244.8</v>
      </c>
      <c r="C47" s="7">
        <f>IFERROR(__xludf.DUMMYFUNCTION("""COMPUTED_VALUE"""),246.95)</f>
        <v>246.95</v>
      </c>
      <c r="D47" s="7">
        <f>IFERROR(__xludf.DUMMYFUNCTION("""COMPUTED_VALUE"""),243.5)</f>
        <v>243.5</v>
      </c>
      <c r="E47" s="7">
        <f>IFERROR(__xludf.DUMMYFUNCTION("""COMPUTED_VALUE"""),245.6)</f>
        <v>245.6</v>
      </c>
      <c r="F47" s="7">
        <f>IFERROR(__xludf.DUMMYFUNCTION("""COMPUTED_VALUE"""),9637581.0)</f>
        <v>9637581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f>IFERROR(__xludf.DUMMYFUNCTION("""COMPUTED_VALUE"""),45621.64583333333)</f>
        <v>45621.64583</v>
      </c>
      <c r="B48" s="7">
        <f>IFERROR(__xludf.DUMMYFUNCTION("""COMPUTED_VALUE"""),248.5)</f>
        <v>248.5</v>
      </c>
      <c r="C48" s="7">
        <f>IFERROR(__xludf.DUMMYFUNCTION("""COMPUTED_VALUE"""),260.5)</f>
        <v>260.5</v>
      </c>
      <c r="D48" s="7">
        <f>IFERROR(__xludf.DUMMYFUNCTION("""COMPUTED_VALUE"""),247.95)</f>
        <v>247.95</v>
      </c>
      <c r="E48" s="7">
        <f>IFERROR(__xludf.DUMMYFUNCTION("""COMPUTED_VALUE"""),257.9)</f>
        <v>257.9</v>
      </c>
      <c r="F48" s="7">
        <f>IFERROR(__xludf.DUMMYFUNCTION("""COMPUTED_VALUE"""),3.1973671E7)</f>
        <v>31973671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f>IFERROR(__xludf.DUMMYFUNCTION("""COMPUTED_VALUE"""),45622.64583333333)</f>
        <v>45622.64583</v>
      </c>
      <c r="B49" s="7">
        <f>IFERROR(__xludf.DUMMYFUNCTION("""COMPUTED_VALUE"""),256.95)</f>
        <v>256.95</v>
      </c>
      <c r="C49" s="7">
        <f>IFERROR(__xludf.DUMMYFUNCTION("""COMPUTED_VALUE"""),258.25)</f>
        <v>258.25</v>
      </c>
      <c r="D49" s="7">
        <f>IFERROR(__xludf.DUMMYFUNCTION("""COMPUTED_VALUE"""),252.55)</f>
        <v>252.55</v>
      </c>
      <c r="E49" s="7">
        <f>IFERROR(__xludf.DUMMYFUNCTION("""COMPUTED_VALUE"""),254.25)</f>
        <v>254.25</v>
      </c>
      <c r="F49" s="7">
        <f>IFERROR(__xludf.DUMMYFUNCTION("""COMPUTED_VALUE"""),9242451.0)</f>
        <v>9242451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f>IFERROR(__xludf.DUMMYFUNCTION("""COMPUTED_VALUE"""),45623.64583333333)</f>
        <v>45623.64583</v>
      </c>
      <c r="B50" s="7">
        <f>IFERROR(__xludf.DUMMYFUNCTION("""COMPUTED_VALUE"""),255.0)</f>
        <v>255</v>
      </c>
      <c r="C50" s="7">
        <f>IFERROR(__xludf.DUMMYFUNCTION("""COMPUTED_VALUE"""),255.5)</f>
        <v>255.5</v>
      </c>
      <c r="D50" s="7">
        <f>IFERROR(__xludf.DUMMYFUNCTION("""COMPUTED_VALUE"""),250.55)</f>
        <v>250.55</v>
      </c>
      <c r="E50" s="7">
        <f>IFERROR(__xludf.DUMMYFUNCTION("""COMPUTED_VALUE"""),254.3)</f>
        <v>254.3</v>
      </c>
      <c r="F50" s="7">
        <f>IFERROR(__xludf.DUMMYFUNCTION("""COMPUTED_VALUE"""),1.168997E7)</f>
        <v>11689970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f>IFERROR(__xludf.DUMMYFUNCTION("""COMPUTED_VALUE"""),45624.64583333333)</f>
        <v>45624.64583</v>
      </c>
      <c r="B51" s="7">
        <f>IFERROR(__xludf.DUMMYFUNCTION("""COMPUTED_VALUE"""),255.0)</f>
        <v>255</v>
      </c>
      <c r="C51" s="7">
        <f>IFERROR(__xludf.DUMMYFUNCTION("""COMPUTED_VALUE"""),257.4)</f>
        <v>257.4</v>
      </c>
      <c r="D51" s="7">
        <f>IFERROR(__xludf.DUMMYFUNCTION("""COMPUTED_VALUE"""),251.2)</f>
        <v>251.2</v>
      </c>
      <c r="E51" s="7">
        <f>IFERROR(__xludf.DUMMYFUNCTION("""COMPUTED_VALUE"""),252.2)</f>
        <v>252.2</v>
      </c>
      <c r="F51" s="7">
        <f>IFERROR(__xludf.DUMMYFUNCTION("""COMPUTED_VALUE"""),1.4202863E7)</f>
        <v>14202863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f>IFERROR(__xludf.DUMMYFUNCTION("""COMPUTED_VALUE"""),45625.64583333333)</f>
        <v>45625.64583</v>
      </c>
      <c r="B52" s="7">
        <f>IFERROR(__xludf.DUMMYFUNCTION("""COMPUTED_VALUE"""),253.8)</f>
        <v>253.8</v>
      </c>
      <c r="C52" s="7">
        <f>IFERROR(__xludf.DUMMYFUNCTION("""COMPUTED_VALUE"""),258.65)</f>
        <v>258.65</v>
      </c>
      <c r="D52" s="7">
        <f>IFERROR(__xludf.DUMMYFUNCTION("""COMPUTED_VALUE"""),252.25)</f>
        <v>252.25</v>
      </c>
      <c r="E52" s="7">
        <f>IFERROR(__xludf.DUMMYFUNCTION("""COMPUTED_VALUE"""),256.7)</f>
        <v>256.7</v>
      </c>
      <c r="F52" s="7">
        <f>IFERROR(__xludf.DUMMYFUNCTION("""COMPUTED_VALUE"""),1.1476347E7)</f>
        <v>11476347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f>IFERROR(__xludf.DUMMYFUNCTION("""COMPUTED_VALUE"""),45628.64583333333)</f>
        <v>45628.64583</v>
      </c>
      <c r="B53" s="7">
        <f>IFERROR(__xludf.DUMMYFUNCTION("""COMPUTED_VALUE"""),255.5)</f>
        <v>255.5</v>
      </c>
      <c r="C53" s="7">
        <f>IFERROR(__xludf.DUMMYFUNCTION("""COMPUTED_VALUE"""),258.3)</f>
        <v>258.3</v>
      </c>
      <c r="D53" s="7">
        <f>IFERROR(__xludf.DUMMYFUNCTION("""COMPUTED_VALUE"""),252.7)</f>
        <v>252.7</v>
      </c>
      <c r="E53" s="7">
        <f>IFERROR(__xludf.DUMMYFUNCTION("""COMPUTED_VALUE"""),257.55)</f>
        <v>257.55</v>
      </c>
      <c r="F53" s="7">
        <f>IFERROR(__xludf.DUMMYFUNCTION("""COMPUTED_VALUE"""),1.3677959E7)</f>
        <v>13677959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f>IFERROR(__xludf.DUMMYFUNCTION("""COMPUTED_VALUE"""),45629.64583333333)</f>
        <v>45629.64583</v>
      </c>
      <c r="B54" s="7">
        <f>IFERROR(__xludf.DUMMYFUNCTION("""COMPUTED_VALUE"""),260.4)</f>
        <v>260.4</v>
      </c>
      <c r="C54" s="7">
        <f>IFERROR(__xludf.DUMMYFUNCTION("""COMPUTED_VALUE"""),264.7)</f>
        <v>264.7</v>
      </c>
      <c r="D54" s="7">
        <f>IFERROR(__xludf.DUMMYFUNCTION("""COMPUTED_VALUE"""),258.85)</f>
        <v>258.85</v>
      </c>
      <c r="E54" s="7">
        <f>IFERROR(__xludf.DUMMYFUNCTION("""COMPUTED_VALUE"""),262.35)</f>
        <v>262.35</v>
      </c>
      <c r="F54" s="7">
        <f>IFERROR(__xludf.DUMMYFUNCTION("""COMPUTED_VALUE"""),1.5345326E7)</f>
        <v>15345326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f>IFERROR(__xludf.DUMMYFUNCTION("""COMPUTED_VALUE"""),45630.64583333333)</f>
        <v>45630.64583</v>
      </c>
      <c r="B55" s="7">
        <f>IFERROR(__xludf.DUMMYFUNCTION("""COMPUTED_VALUE"""),263.85)</f>
        <v>263.85</v>
      </c>
      <c r="C55" s="7">
        <f>IFERROR(__xludf.DUMMYFUNCTION("""COMPUTED_VALUE"""),264.3)</f>
        <v>264.3</v>
      </c>
      <c r="D55" s="7">
        <f>IFERROR(__xludf.DUMMYFUNCTION("""COMPUTED_VALUE"""),260.0)</f>
        <v>260</v>
      </c>
      <c r="E55" s="7">
        <f>IFERROR(__xludf.DUMMYFUNCTION("""COMPUTED_VALUE"""),260.7)</f>
        <v>260.7</v>
      </c>
      <c r="F55" s="7">
        <f>IFERROR(__xludf.DUMMYFUNCTION("""COMPUTED_VALUE"""),1.0713838E7)</f>
        <v>10713838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f>IFERROR(__xludf.DUMMYFUNCTION("""COMPUTED_VALUE"""),45631.64583333333)</f>
        <v>45631.64583</v>
      </c>
      <c r="B56" s="7">
        <f>IFERROR(__xludf.DUMMYFUNCTION("""COMPUTED_VALUE"""),260.7)</f>
        <v>260.7</v>
      </c>
      <c r="C56" s="7">
        <f>IFERROR(__xludf.DUMMYFUNCTION("""COMPUTED_VALUE"""),263.25)</f>
        <v>263.25</v>
      </c>
      <c r="D56" s="7">
        <f>IFERROR(__xludf.DUMMYFUNCTION("""COMPUTED_VALUE"""),256.9)</f>
        <v>256.9</v>
      </c>
      <c r="E56" s="7">
        <f>IFERROR(__xludf.DUMMYFUNCTION("""COMPUTED_VALUE"""),261.3)</f>
        <v>261.3</v>
      </c>
      <c r="F56" s="7">
        <f>IFERROR(__xludf.DUMMYFUNCTION("""COMPUTED_VALUE"""),1.2896743E7)</f>
        <v>12896743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f>IFERROR(__xludf.DUMMYFUNCTION("""COMPUTED_VALUE"""),45632.64583333333)</f>
        <v>45632.64583</v>
      </c>
      <c r="B57" s="7">
        <f>IFERROR(__xludf.DUMMYFUNCTION("""COMPUTED_VALUE"""),260.8)</f>
        <v>260.8</v>
      </c>
      <c r="C57" s="7">
        <f>IFERROR(__xludf.DUMMYFUNCTION("""COMPUTED_VALUE"""),263.0)</f>
        <v>263</v>
      </c>
      <c r="D57" s="7">
        <f>IFERROR(__xludf.DUMMYFUNCTION("""COMPUTED_VALUE"""),259.55)</f>
        <v>259.55</v>
      </c>
      <c r="E57" s="7">
        <f>IFERROR(__xludf.DUMMYFUNCTION("""COMPUTED_VALUE"""),260.05)</f>
        <v>260.05</v>
      </c>
      <c r="F57" s="7">
        <f>IFERROR(__xludf.DUMMYFUNCTION("""COMPUTED_VALUE"""),8783386.0)</f>
        <v>8783386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f>IFERROR(__xludf.DUMMYFUNCTION("""COMPUTED_VALUE"""),45635.64583333333)</f>
        <v>45635.64583</v>
      </c>
      <c r="B58" s="7">
        <f>IFERROR(__xludf.DUMMYFUNCTION("""COMPUTED_VALUE"""),260.05)</f>
        <v>260.05</v>
      </c>
      <c r="C58" s="7">
        <f>IFERROR(__xludf.DUMMYFUNCTION("""COMPUTED_VALUE"""),261.35)</f>
        <v>261.35</v>
      </c>
      <c r="D58" s="7">
        <f>IFERROR(__xludf.DUMMYFUNCTION("""COMPUTED_VALUE"""),257.7)</f>
        <v>257.7</v>
      </c>
      <c r="E58" s="7">
        <f>IFERROR(__xludf.DUMMYFUNCTION("""COMPUTED_VALUE"""),258.9)</f>
        <v>258.9</v>
      </c>
      <c r="F58" s="7">
        <f>IFERROR(__xludf.DUMMYFUNCTION("""COMPUTED_VALUE"""),6800856.0)</f>
        <v>6800856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f>IFERROR(__xludf.DUMMYFUNCTION("""COMPUTED_VALUE"""),45636.64583333333)</f>
        <v>45636.64583</v>
      </c>
      <c r="B59" s="7">
        <f>IFERROR(__xludf.DUMMYFUNCTION("""COMPUTED_VALUE"""),257.65)</f>
        <v>257.65</v>
      </c>
      <c r="C59" s="7">
        <f>IFERROR(__xludf.DUMMYFUNCTION("""COMPUTED_VALUE"""),258.75)</f>
        <v>258.75</v>
      </c>
      <c r="D59" s="7">
        <f>IFERROR(__xludf.DUMMYFUNCTION("""COMPUTED_VALUE"""),254.5)</f>
        <v>254.5</v>
      </c>
      <c r="E59" s="7">
        <f>IFERROR(__xludf.DUMMYFUNCTION("""COMPUTED_VALUE"""),256.9)</f>
        <v>256.9</v>
      </c>
      <c r="F59" s="7">
        <f>IFERROR(__xludf.DUMMYFUNCTION("""COMPUTED_VALUE"""),1.1318782E7)</f>
        <v>11318782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f>IFERROR(__xludf.DUMMYFUNCTION("""COMPUTED_VALUE"""),45637.64583333333)</f>
        <v>45637.64583</v>
      </c>
      <c r="B60" s="7">
        <f>IFERROR(__xludf.DUMMYFUNCTION("""COMPUTED_VALUE"""),257.5)</f>
        <v>257.5</v>
      </c>
      <c r="C60" s="7">
        <f>IFERROR(__xludf.DUMMYFUNCTION("""COMPUTED_VALUE"""),258.7)</f>
        <v>258.7</v>
      </c>
      <c r="D60" s="7">
        <f>IFERROR(__xludf.DUMMYFUNCTION("""COMPUTED_VALUE"""),255.65)</f>
        <v>255.65</v>
      </c>
      <c r="E60" s="7">
        <f>IFERROR(__xludf.DUMMYFUNCTION("""COMPUTED_VALUE"""),256.6)</f>
        <v>256.6</v>
      </c>
      <c r="F60" s="7">
        <f>IFERROR(__xludf.DUMMYFUNCTION("""COMPUTED_VALUE"""),5353032.0)</f>
        <v>5353032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f>IFERROR(__xludf.DUMMYFUNCTION("""COMPUTED_VALUE"""),45638.64583333333)</f>
        <v>45638.64583</v>
      </c>
      <c r="B61" s="7">
        <f>IFERROR(__xludf.DUMMYFUNCTION("""COMPUTED_VALUE"""),258.0)</f>
        <v>258</v>
      </c>
      <c r="C61" s="7">
        <f>IFERROR(__xludf.DUMMYFUNCTION("""COMPUTED_VALUE"""),258.6)</f>
        <v>258.6</v>
      </c>
      <c r="D61" s="7">
        <f>IFERROR(__xludf.DUMMYFUNCTION("""COMPUTED_VALUE"""),253.6)</f>
        <v>253.6</v>
      </c>
      <c r="E61" s="7">
        <f>IFERROR(__xludf.DUMMYFUNCTION("""COMPUTED_VALUE"""),254.05)</f>
        <v>254.05</v>
      </c>
      <c r="F61" s="7">
        <f>IFERROR(__xludf.DUMMYFUNCTION("""COMPUTED_VALUE"""),7123877.0)</f>
        <v>7123877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f>IFERROR(__xludf.DUMMYFUNCTION("""COMPUTED_VALUE"""),45639.64583333333)</f>
        <v>45639.64583</v>
      </c>
      <c r="B62" s="7">
        <f>IFERROR(__xludf.DUMMYFUNCTION("""COMPUTED_VALUE"""),253.0)</f>
        <v>253</v>
      </c>
      <c r="C62" s="7">
        <f>IFERROR(__xludf.DUMMYFUNCTION("""COMPUTED_VALUE"""),256.8)</f>
        <v>256.8</v>
      </c>
      <c r="D62" s="7">
        <f>IFERROR(__xludf.DUMMYFUNCTION("""COMPUTED_VALUE"""),249.5)</f>
        <v>249.5</v>
      </c>
      <c r="E62" s="7">
        <f>IFERROR(__xludf.DUMMYFUNCTION("""COMPUTED_VALUE"""),254.25)</f>
        <v>254.25</v>
      </c>
      <c r="F62" s="7">
        <f>IFERROR(__xludf.DUMMYFUNCTION("""COMPUTED_VALUE"""),1.1143128E7)</f>
        <v>11143128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f>IFERROR(__xludf.DUMMYFUNCTION("""COMPUTED_VALUE"""),45642.64583333333)</f>
        <v>45642.64583</v>
      </c>
      <c r="B63" s="7">
        <f>IFERROR(__xludf.DUMMYFUNCTION("""COMPUTED_VALUE"""),254.0)</f>
        <v>254</v>
      </c>
      <c r="C63" s="7">
        <f>IFERROR(__xludf.DUMMYFUNCTION("""COMPUTED_VALUE"""),256.3)</f>
        <v>256.3</v>
      </c>
      <c r="D63" s="7">
        <f>IFERROR(__xludf.DUMMYFUNCTION("""COMPUTED_VALUE"""),251.2)</f>
        <v>251.2</v>
      </c>
      <c r="E63" s="7">
        <f>IFERROR(__xludf.DUMMYFUNCTION("""COMPUTED_VALUE"""),251.8)</f>
        <v>251.8</v>
      </c>
      <c r="F63" s="7">
        <f>IFERROR(__xludf.DUMMYFUNCTION("""COMPUTED_VALUE"""),7283872.0)</f>
        <v>7283872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f>IFERROR(__xludf.DUMMYFUNCTION("""COMPUTED_VALUE"""),45643.64583333333)</f>
        <v>45643.64583</v>
      </c>
      <c r="B64" s="7">
        <f>IFERROR(__xludf.DUMMYFUNCTION("""COMPUTED_VALUE"""),251.75)</f>
        <v>251.75</v>
      </c>
      <c r="C64" s="7">
        <f>IFERROR(__xludf.DUMMYFUNCTION("""COMPUTED_VALUE"""),252.45)</f>
        <v>252.45</v>
      </c>
      <c r="D64" s="7">
        <f>IFERROR(__xludf.DUMMYFUNCTION("""COMPUTED_VALUE"""),246.5)</f>
        <v>246.5</v>
      </c>
      <c r="E64" s="7">
        <f>IFERROR(__xludf.DUMMYFUNCTION("""COMPUTED_VALUE"""),247.4)</f>
        <v>247.4</v>
      </c>
      <c r="F64" s="7">
        <f>IFERROR(__xludf.DUMMYFUNCTION("""COMPUTED_VALUE"""),1.0066884E7)</f>
        <v>10066884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f>IFERROR(__xludf.DUMMYFUNCTION("""COMPUTED_VALUE"""),45644.64583333333)</f>
        <v>45644.64583</v>
      </c>
      <c r="B65" s="7">
        <f>IFERROR(__xludf.DUMMYFUNCTION("""COMPUTED_VALUE"""),247.4)</f>
        <v>247.4</v>
      </c>
      <c r="C65" s="7">
        <f>IFERROR(__xludf.DUMMYFUNCTION("""COMPUTED_VALUE"""),247.5)</f>
        <v>247.5</v>
      </c>
      <c r="D65" s="7">
        <f>IFERROR(__xludf.DUMMYFUNCTION("""COMPUTED_VALUE"""),243.4)</f>
        <v>243.4</v>
      </c>
      <c r="E65" s="7">
        <f>IFERROR(__xludf.DUMMYFUNCTION("""COMPUTED_VALUE"""),244.15)</f>
        <v>244.15</v>
      </c>
      <c r="F65" s="7">
        <f>IFERROR(__xludf.DUMMYFUNCTION("""COMPUTED_VALUE"""),8430930.0)</f>
        <v>8430930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f>IFERROR(__xludf.DUMMYFUNCTION("""COMPUTED_VALUE"""),45645.64583333333)</f>
        <v>45645.64583</v>
      </c>
      <c r="B66" s="7">
        <f>IFERROR(__xludf.DUMMYFUNCTION("""COMPUTED_VALUE"""),240.0)</f>
        <v>240</v>
      </c>
      <c r="C66" s="7">
        <f>IFERROR(__xludf.DUMMYFUNCTION("""COMPUTED_VALUE"""),243.95)</f>
        <v>243.95</v>
      </c>
      <c r="D66" s="7">
        <f>IFERROR(__xludf.DUMMYFUNCTION("""COMPUTED_VALUE"""),238.55)</f>
        <v>238.55</v>
      </c>
      <c r="E66" s="7">
        <f>IFERROR(__xludf.DUMMYFUNCTION("""COMPUTED_VALUE"""),241.85)</f>
        <v>241.85</v>
      </c>
      <c r="F66" s="7">
        <f>IFERROR(__xludf.DUMMYFUNCTION("""COMPUTED_VALUE"""),9518542.0)</f>
        <v>9518542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f>IFERROR(__xludf.DUMMYFUNCTION("""COMPUTED_VALUE"""),45646.64583333333)</f>
        <v>45646.64583</v>
      </c>
      <c r="B67" s="7">
        <f>IFERROR(__xludf.DUMMYFUNCTION("""COMPUTED_VALUE"""),241.5)</f>
        <v>241.5</v>
      </c>
      <c r="C67" s="7">
        <f>IFERROR(__xludf.DUMMYFUNCTION("""COMPUTED_VALUE"""),244.15)</f>
        <v>244.15</v>
      </c>
      <c r="D67" s="7">
        <f>IFERROR(__xludf.DUMMYFUNCTION("""COMPUTED_VALUE"""),235.3)</f>
        <v>235.3</v>
      </c>
      <c r="E67" s="7">
        <f>IFERROR(__xludf.DUMMYFUNCTION("""COMPUTED_VALUE"""),237.1)</f>
        <v>237.1</v>
      </c>
      <c r="F67" s="7">
        <f>IFERROR(__xludf.DUMMYFUNCTION("""COMPUTED_VALUE"""),1.5556528E7)</f>
        <v>15556528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f>IFERROR(__xludf.DUMMYFUNCTION("""COMPUTED_VALUE"""),45649.64583333333)</f>
        <v>45649.64583</v>
      </c>
      <c r="B68" s="7">
        <f>IFERROR(__xludf.DUMMYFUNCTION("""COMPUTED_VALUE"""),238.25)</f>
        <v>238.25</v>
      </c>
      <c r="C68" s="7">
        <f>IFERROR(__xludf.DUMMYFUNCTION("""COMPUTED_VALUE"""),242.3)</f>
        <v>242.3</v>
      </c>
      <c r="D68" s="7">
        <f>IFERROR(__xludf.DUMMYFUNCTION("""COMPUTED_VALUE"""),236.85)</f>
        <v>236.85</v>
      </c>
      <c r="E68" s="7">
        <f>IFERROR(__xludf.DUMMYFUNCTION("""COMPUTED_VALUE"""),240.85)</f>
        <v>240.85</v>
      </c>
      <c r="F68" s="7">
        <f>IFERROR(__xludf.DUMMYFUNCTION("""COMPUTED_VALUE"""),7722901.0)</f>
        <v>7722901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f>IFERROR(__xludf.DUMMYFUNCTION("""COMPUTED_VALUE"""),45650.64583333333)</f>
        <v>45650.64583</v>
      </c>
      <c r="B69" s="7">
        <f>IFERROR(__xludf.DUMMYFUNCTION("""COMPUTED_VALUE"""),241.0)</f>
        <v>241</v>
      </c>
      <c r="C69" s="7">
        <f>IFERROR(__xludf.DUMMYFUNCTION("""COMPUTED_VALUE"""),243.25)</f>
        <v>243.25</v>
      </c>
      <c r="D69" s="7">
        <f>IFERROR(__xludf.DUMMYFUNCTION("""COMPUTED_VALUE"""),238.6)</f>
        <v>238.6</v>
      </c>
      <c r="E69" s="7">
        <f>IFERROR(__xludf.DUMMYFUNCTION("""COMPUTED_VALUE"""),238.95)</f>
        <v>238.95</v>
      </c>
      <c r="F69" s="7">
        <f>IFERROR(__xludf.DUMMYFUNCTION("""COMPUTED_VALUE"""),3577400.0)</f>
        <v>3577400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f>IFERROR(__xludf.DUMMYFUNCTION("""COMPUTED_VALUE"""),45652.64583333333)</f>
        <v>45652.64583</v>
      </c>
      <c r="B70" s="7">
        <f>IFERROR(__xludf.DUMMYFUNCTION("""COMPUTED_VALUE"""),240.0)</f>
        <v>240</v>
      </c>
      <c r="C70" s="7">
        <f>IFERROR(__xludf.DUMMYFUNCTION("""COMPUTED_VALUE"""),242.0)</f>
        <v>242</v>
      </c>
      <c r="D70" s="7">
        <f>IFERROR(__xludf.DUMMYFUNCTION("""COMPUTED_VALUE"""),239.0)</f>
        <v>239</v>
      </c>
      <c r="E70" s="7">
        <f>IFERROR(__xludf.DUMMYFUNCTION("""COMPUTED_VALUE"""),240.25)</f>
        <v>240.25</v>
      </c>
      <c r="F70" s="7">
        <f>IFERROR(__xludf.DUMMYFUNCTION("""COMPUTED_VALUE"""),6330006.0)</f>
        <v>6330006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f>IFERROR(__xludf.DUMMYFUNCTION("""COMPUTED_VALUE"""),45653.64583333333)</f>
        <v>45653.64583</v>
      </c>
      <c r="B71" s="7">
        <f>IFERROR(__xludf.DUMMYFUNCTION("""COMPUTED_VALUE"""),240.0)</f>
        <v>240</v>
      </c>
      <c r="C71" s="7">
        <f>IFERROR(__xludf.DUMMYFUNCTION("""COMPUTED_VALUE"""),241.0)</f>
        <v>241</v>
      </c>
      <c r="D71" s="7">
        <f>IFERROR(__xludf.DUMMYFUNCTION("""COMPUTED_VALUE"""),236.3)</f>
        <v>236.3</v>
      </c>
      <c r="E71" s="7">
        <f>IFERROR(__xludf.DUMMYFUNCTION("""COMPUTED_VALUE"""),236.9)</f>
        <v>236.9</v>
      </c>
      <c r="F71" s="7">
        <f>IFERROR(__xludf.DUMMYFUNCTION("""COMPUTED_VALUE"""),6487888.0)</f>
        <v>6487888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f>IFERROR(__xludf.DUMMYFUNCTION("""COMPUTED_VALUE"""),45656.64583333333)</f>
        <v>45656.64583</v>
      </c>
      <c r="B72" s="7">
        <f>IFERROR(__xludf.DUMMYFUNCTION("""COMPUTED_VALUE"""),236.05)</f>
        <v>236.05</v>
      </c>
      <c r="C72" s="7">
        <f>IFERROR(__xludf.DUMMYFUNCTION("""COMPUTED_VALUE"""),237.0)</f>
        <v>237</v>
      </c>
      <c r="D72" s="7">
        <f>IFERROR(__xludf.DUMMYFUNCTION("""COMPUTED_VALUE"""),231.15)</f>
        <v>231.15</v>
      </c>
      <c r="E72" s="7">
        <f>IFERROR(__xludf.DUMMYFUNCTION("""COMPUTED_VALUE"""),232.65)</f>
        <v>232.65</v>
      </c>
      <c r="F72" s="7">
        <f>IFERROR(__xludf.DUMMYFUNCTION("""COMPUTED_VALUE"""),1.9401112E7)</f>
        <v>19401112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f>IFERROR(__xludf.DUMMYFUNCTION("""COMPUTED_VALUE"""),45657.64583333333)</f>
        <v>45657.64583</v>
      </c>
      <c r="B73" s="7">
        <f>IFERROR(__xludf.DUMMYFUNCTION("""COMPUTED_VALUE"""),232.65)</f>
        <v>232.65</v>
      </c>
      <c r="C73" s="7">
        <f>IFERROR(__xludf.DUMMYFUNCTION("""COMPUTED_VALUE"""),239.9)</f>
        <v>239.9</v>
      </c>
      <c r="D73" s="7">
        <f>IFERROR(__xludf.DUMMYFUNCTION("""COMPUTED_VALUE"""),232.35)</f>
        <v>232.35</v>
      </c>
      <c r="E73" s="7">
        <f>IFERROR(__xludf.DUMMYFUNCTION("""COMPUTED_VALUE"""),239.25)</f>
        <v>239.25</v>
      </c>
      <c r="F73" s="7">
        <f>IFERROR(__xludf.DUMMYFUNCTION("""COMPUTED_VALUE"""),1.2004845E7)</f>
        <v>12004845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f>IFERROR(__xludf.DUMMYFUNCTION("""COMPUTED_VALUE"""),45658.64583333333)</f>
        <v>45658.64583</v>
      </c>
      <c r="B74" s="7">
        <f>IFERROR(__xludf.DUMMYFUNCTION("""COMPUTED_VALUE"""),237.81)</f>
        <v>237.81</v>
      </c>
      <c r="C74" s="7">
        <f>IFERROR(__xludf.DUMMYFUNCTION("""COMPUTED_VALUE"""),239.24)</f>
        <v>239.24</v>
      </c>
      <c r="D74" s="7">
        <f>IFERROR(__xludf.DUMMYFUNCTION("""COMPUTED_VALUE"""),236.35)</f>
        <v>236.35</v>
      </c>
      <c r="E74" s="7">
        <f>IFERROR(__xludf.DUMMYFUNCTION("""COMPUTED_VALUE"""),236.95)</f>
        <v>236.95</v>
      </c>
      <c r="F74" s="7">
        <f>IFERROR(__xludf.DUMMYFUNCTION("""COMPUTED_VALUE"""),9418453.0)</f>
        <v>9418453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f>IFERROR(__xludf.DUMMYFUNCTION("""COMPUTED_VALUE"""),45659.64583333333)</f>
        <v>45659.64583</v>
      </c>
      <c r="B75" s="7">
        <f>IFERROR(__xludf.DUMMYFUNCTION("""COMPUTED_VALUE"""),237.05)</f>
        <v>237.05</v>
      </c>
      <c r="C75" s="7">
        <f>IFERROR(__xludf.DUMMYFUNCTION("""COMPUTED_VALUE"""),246.78)</f>
        <v>246.78</v>
      </c>
      <c r="D75" s="7">
        <f>IFERROR(__xludf.DUMMYFUNCTION("""COMPUTED_VALUE"""),237.0)</f>
        <v>237</v>
      </c>
      <c r="E75" s="7">
        <f>IFERROR(__xludf.DUMMYFUNCTION("""COMPUTED_VALUE"""),246.07)</f>
        <v>246.07</v>
      </c>
      <c r="F75" s="7">
        <f>IFERROR(__xludf.DUMMYFUNCTION("""COMPUTED_VALUE"""),1.974581E7)</f>
        <v>19745810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f>IFERROR(__xludf.DUMMYFUNCTION("""COMPUTED_VALUE"""),45660.64583333333)</f>
        <v>45660.64583</v>
      </c>
      <c r="B76" s="7">
        <f>IFERROR(__xludf.DUMMYFUNCTION("""COMPUTED_VALUE"""),248.45)</f>
        <v>248.45</v>
      </c>
      <c r="C76" s="7">
        <f>IFERROR(__xludf.DUMMYFUNCTION("""COMPUTED_VALUE"""),262.75)</f>
        <v>262.75</v>
      </c>
      <c r="D76" s="7">
        <f>IFERROR(__xludf.DUMMYFUNCTION("""COMPUTED_VALUE"""),247.99)</f>
        <v>247.99</v>
      </c>
      <c r="E76" s="7">
        <f>IFERROR(__xludf.DUMMYFUNCTION("""COMPUTED_VALUE"""),258.89)</f>
        <v>258.89</v>
      </c>
      <c r="F76" s="7">
        <f>IFERROR(__xludf.DUMMYFUNCTION("""COMPUTED_VALUE"""),4.976041E7)</f>
        <v>49760410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f>IFERROR(__xludf.DUMMYFUNCTION("""COMPUTED_VALUE"""),45663.64583333333)</f>
        <v>45663.64583</v>
      </c>
      <c r="B77" s="7">
        <f>IFERROR(__xludf.DUMMYFUNCTION("""COMPUTED_VALUE"""),259.11)</f>
        <v>259.11</v>
      </c>
      <c r="C77" s="7">
        <f>IFERROR(__xludf.DUMMYFUNCTION("""COMPUTED_VALUE"""),259.5)</f>
        <v>259.5</v>
      </c>
      <c r="D77" s="7">
        <f>IFERROR(__xludf.DUMMYFUNCTION("""COMPUTED_VALUE"""),251.45)</f>
        <v>251.45</v>
      </c>
      <c r="E77" s="7">
        <f>IFERROR(__xludf.DUMMYFUNCTION("""COMPUTED_VALUE"""),254.36)</f>
        <v>254.36</v>
      </c>
      <c r="F77" s="7">
        <f>IFERROR(__xludf.DUMMYFUNCTION("""COMPUTED_VALUE"""),1.9265884E7)</f>
        <v>19265884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f>IFERROR(__xludf.DUMMYFUNCTION("""COMPUTED_VALUE"""),45664.64583333333)</f>
        <v>45664.64583</v>
      </c>
      <c r="B78" s="7">
        <f>IFERROR(__xludf.DUMMYFUNCTION("""COMPUTED_VALUE"""),259.15)</f>
        <v>259.15</v>
      </c>
      <c r="C78" s="7">
        <f>IFERROR(__xludf.DUMMYFUNCTION("""COMPUTED_VALUE"""),267.4)</f>
        <v>267.4</v>
      </c>
      <c r="D78" s="7">
        <f>IFERROR(__xludf.DUMMYFUNCTION("""COMPUTED_VALUE"""),258.05)</f>
        <v>258.05</v>
      </c>
      <c r="E78" s="7">
        <f>IFERROR(__xludf.DUMMYFUNCTION("""COMPUTED_VALUE"""),263.49)</f>
        <v>263.49</v>
      </c>
      <c r="F78" s="7">
        <f>IFERROR(__xludf.DUMMYFUNCTION("""COMPUTED_VALUE"""),5.2956766E7)</f>
        <v>52956766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f>IFERROR(__xludf.DUMMYFUNCTION("""COMPUTED_VALUE"""),45665.64583333333)</f>
        <v>45665.64583</v>
      </c>
      <c r="B79" s="7">
        <f>IFERROR(__xludf.DUMMYFUNCTION("""COMPUTED_VALUE"""),266.45)</f>
        <v>266.45</v>
      </c>
      <c r="C79" s="7">
        <f>IFERROR(__xludf.DUMMYFUNCTION("""COMPUTED_VALUE"""),273.5)</f>
        <v>273.5</v>
      </c>
      <c r="D79" s="7">
        <f>IFERROR(__xludf.DUMMYFUNCTION("""COMPUTED_VALUE"""),265.75)</f>
        <v>265.75</v>
      </c>
      <c r="E79" s="7">
        <f>IFERROR(__xludf.DUMMYFUNCTION("""COMPUTED_VALUE"""),271.33)</f>
        <v>271.33</v>
      </c>
      <c r="F79" s="7">
        <f>IFERROR(__xludf.DUMMYFUNCTION("""COMPUTED_VALUE"""),4.2237794E7)</f>
        <v>42237794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f>IFERROR(__xludf.DUMMYFUNCTION("""COMPUTED_VALUE"""),45666.64583333333)</f>
        <v>45666.64583</v>
      </c>
      <c r="B80" s="7">
        <f>IFERROR(__xludf.DUMMYFUNCTION("""COMPUTED_VALUE"""),272.03)</f>
        <v>272.03</v>
      </c>
      <c r="C80" s="7">
        <f>IFERROR(__xludf.DUMMYFUNCTION("""COMPUTED_VALUE"""),272.59)</f>
        <v>272.59</v>
      </c>
      <c r="D80" s="7">
        <f>IFERROR(__xludf.DUMMYFUNCTION("""COMPUTED_VALUE"""),261.71)</f>
        <v>261.71</v>
      </c>
      <c r="E80" s="7">
        <f>IFERROR(__xludf.DUMMYFUNCTION("""COMPUTED_VALUE"""),263.18)</f>
        <v>263.18</v>
      </c>
      <c r="F80" s="7">
        <f>IFERROR(__xludf.DUMMYFUNCTION("""COMPUTED_VALUE"""),1.4706472E7)</f>
        <v>14706472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f>IFERROR(__xludf.DUMMYFUNCTION("""COMPUTED_VALUE"""),45667.64583333333)</f>
        <v>45667.64583</v>
      </c>
      <c r="B81" s="7">
        <f>IFERROR(__xludf.DUMMYFUNCTION("""COMPUTED_VALUE"""),264.0)</f>
        <v>264</v>
      </c>
      <c r="C81" s="7">
        <f>IFERROR(__xludf.DUMMYFUNCTION("""COMPUTED_VALUE"""),266.5)</f>
        <v>266.5</v>
      </c>
      <c r="D81" s="7">
        <f>IFERROR(__xludf.DUMMYFUNCTION("""COMPUTED_VALUE"""),258.47)</f>
        <v>258.47</v>
      </c>
      <c r="E81" s="7">
        <f>IFERROR(__xludf.DUMMYFUNCTION("""COMPUTED_VALUE"""),263.02)</f>
        <v>263.02</v>
      </c>
      <c r="F81" s="7">
        <f>IFERROR(__xludf.DUMMYFUNCTION("""COMPUTED_VALUE"""),1.3053552E7)</f>
        <v>13053552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f>IFERROR(__xludf.DUMMYFUNCTION("""COMPUTED_VALUE"""),45670.64583333333)</f>
        <v>45670.64583</v>
      </c>
      <c r="B82" s="7">
        <f>IFERROR(__xludf.DUMMYFUNCTION("""COMPUTED_VALUE"""),266.03)</f>
        <v>266.03</v>
      </c>
      <c r="C82" s="7">
        <f>IFERROR(__xludf.DUMMYFUNCTION("""COMPUTED_VALUE"""),268.6)</f>
        <v>268.6</v>
      </c>
      <c r="D82" s="7">
        <f>IFERROR(__xludf.DUMMYFUNCTION("""COMPUTED_VALUE"""),254.61)</f>
        <v>254.61</v>
      </c>
      <c r="E82" s="7">
        <f>IFERROR(__xludf.DUMMYFUNCTION("""COMPUTED_VALUE"""),255.73)</f>
        <v>255.73</v>
      </c>
      <c r="F82" s="7">
        <f>IFERROR(__xludf.DUMMYFUNCTION("""COMPUTED_VALUE"""),2.041637E7)</f>
        <v>20416370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f>IFERROR(__xludf.DUMMYFUNCTION("""COMPUTED_VALUE"""),45671.64583333333)</f>
        <v>45671.64583</v>
      </c>
      <c r="B83" s="7">
        <f>IFERROR(__xludf.DUMMYFUNCTION("""COMPUTED_VALUE"""),257.52)</f>
        <v>257.52</v>
      </c>
      <c r="C83" s="7">
        <f>IFERROR(__xludf.DUMMYFUNCTION("""COMPUTED_VALUE"""),262.0)</f>
        <v>262</v>
      </c>
      <c r="D83" s="7">
        <f>IFERROR(__xludf.DUMMYFUNCTION("""COMPUTED_VALUE"""),256.82)</f>
        <v>256.82</v>
      </c>
      <c r="E83" s="7">
        <f>IFERROR(__xludf.DUMMYFUNCTION("""COMPUTED_VALUE"""),260.37)</f>
        <v>260.37</v>
      </c>
      <c r="F83" s="7">
        <f>IFERROR(__xludf.DUMMYFUNCTION("""COMPUTED_VALUE"""),8470150.0)</f>
        <v>8470150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f>IFERROR(__xludf.DUMMYFUNCTION("""COMPUTED_VALUE"""),45672.64583333333)</f>
        <v>45672.64583</v>
      </c>
      <c r="B84" s="7">
        <f>IFERROR(__xludf.DUMMYFUNCTION("""COMPUTED_VALUE"""),260.9)</f>
        <v>260.9</v>
      </c>
      <c r="C84" s="7">
        <f>IFERROR(__xludf.DUMMYFUNCTION("""COMPUTED_VALUE"""),264.47)</f>
        <v>264.47</v>
      </c>
      <c r="D84" s="7">
        <f>IFERROR(__xludf.DUMMYFUNCTION("""COMPUTED_VALUE"""),257.69)</f>
        <v>257.69</v>
      </c>
      <c r="E84" s="7">
        <f>IFERROR(__xludf.DUMMYFUNCTION("""COMPUTED_VALUE"""),258.18)</f>
        <v>258.18</v>
      </c>
      <c r="F84" s="7">
        <f>IFERROR(__xludf.DUMMYFUNCTION("""COMPUTED_VALUE"""),9344731.0)</f>
        <v>9344731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f>IFERROR(__xludf.DUMMYFUNCTION("""COMPUTED_VALUE"""),45673.64583333333)</f>
        <v>45673.64583</v>
      </c>
      <c r="B85" s="7">
        <f>IFERROR(__xludf.DUMMYFUNCTION("""COMPUTED_VALUE"""),260.0)</f>
        <v>260</v>
      </c>
      <c r="C85" s="7">
        <f>IFERROR(__xludf.DUMMYFUNCTION("""COMPUTED_VALUE"""),265.63)</f>
        <v>265.63</v>
      </c>
      <c r="D85" s="7">
        <f>IFERROR(__xludf.DUMMYFUNCTION("""COMPUTED_VALUE"""),260.0)</f>
        <v>260</v>
      </c>
      <c r="E85" s="7">
        <f>IFERROR(__xludf.DUMMYFUNCTION("""COMPUTED_VALUE"""),263.18)</f>
        <v>263.18</v>
      </c>
      <c r="F85" s="7">
        <f>IFERROR(__xludf.DUMMYFUNCTION("""COMPUTED_VALUE"""),1.419545E7)</f>
        <v>14195450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f>IFERROR(__xludf.DUMMYFUNCTION("""COMPUTED_VALUE"""),45674.64583333333)</f>
        <v>45674.64583</v>
      </c>
      <c r="B86" s="7">
        <f>IFERROR(__xludf.DUMMYFUNCTION("""COMPUTED_VALUE"""),262.0)</f>
        <v>262</v>
      </c>
      <c r="C86" s="7">
        <f>IFERROR(__xludf.DUMMYFUNCTION("""COMPUTED_VALUE"""),267.0)</f>
        <v>267</v>
      </c>
      <c r="D86" s="7">
        <f>IFERROR(__xludf.DUMMYFUNCTION("""COMPUTED_VALUE"""),261.3)</f>
        <v>261.3</v>
      </c>
      <c r="E86" s="7">
        <f>IFERROR(__xludf.DUMMYFUNCTION("""COMPUTED_VALUE"""),266.57)</f>
        <v>266.57</v>
      </c>
      <c r="F86" s="7">
        <f>IFERROR(__xludf.DUMMYFUNCTION("""COMPUTED_VALUE"""),1.2148143E7)</f>
        <v>12148143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f>IFERROR(__xludf.DUMMYFUNCTION("""COMPUTED_VALUE"""),45677.64583333333)</f>
        <v>45677.64583</v>
      </c>
      <c r="B87" s="7">
        <f>IFERROR(__xludf.DUMMYFUNCTION("""COMPUTED_VALUE"""),268.1)</f>
        <v>268.1</v>
      </c>
      <c r="C87" s="7">
        <f>IFERROR(__xludf.DUMMYFUNCTION("""COMPUTED_VALUE"""),270.47)</f>
        <v>270.47</v>
      </c>
      <c r="D87" s="7">
        <f>IFERROR(__xludf.DUMMYFUNCTION("""COMPUTED_VALUE"""),265.01)</f>
        <v>265.01</v>
      </c>
      <c r="E87" s="7">
        <f>IFERROR(__xludf.DUMMYFUNCTION("""COMPUTED_VALUE"""),269.36)</f>
        <v>269.36</v>
      </c>
      <c r="F87" s="7">
        <f>IFERROR(__xludf.DUMMYFUNCTION("""COMPUTED_VALUE"""),9676264.0)</f>
        <v>9676264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f>IFERROR(__xludf.DUMMYFUNCTION("""COMPUTED_VALUE"""),45678.64583333333)</f>
        <v>45678.64583</v>
      </c>
      <c r="B88" s="7">
        <f>IFERROR(__xludf.DUMMYFUNCTION("""COMPUTED_VALUE"""),268.05)</f>
        <v>268.05</v>
      </c>
      <c r="C88" s="7">
        <f>IFERROR(__xludf.DUMMYFUNCTION("""COMPUTED_VALUE"""),269.35)</f>
        <v>269.35</v>
      </c>
      <c r="D88" s="7">
        <f>IFERROR(__xludf.DUMMYFUNCTION("""COMPUTED_VALUE"""),264.81)</f>
        <v>264.81</v>
      </c>
      <c r="E88" s="7">
        <f>IFERROR(__xludf.DUMMYFUNCTION("""COMPUTED_VALUE"""),265.8)</f>
        <v>265.8</v>
      </c>
      <c r="F88" s="7">
        <f>IFERROR(__xludf.DUMMYFUNCTION("""COMPUTED_VALUE"""),8989218.0)</f>
        <v>8989218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f>IFERROR(__xludf.DUMMYFUNCTION("""COMPUTED_VALUE"""),45679.64583333333)</f>
        <v>45679.64583</v>
      </c>
      <c r="B89" s="7">
        <f>IFERROR(__xludf.DUMMYFUNCTION("""COMPUTED_VALUE"""),266.0)</f>
        <v>266</v>
      </c>
      <c r="C89" s="7">
        <f>IFERROR(__xludf.DUMMYFUNCTION("""COMPUTED_VALUE"""),266.39)</f>
        <v>266.39</v>
      </c>
      <c r="D89" s="7">
        <f>IFERROR(__xludf.DUMMYFUNCTION("""COMPUTED_VALUE"""),261.71)</f>
        <v>261.71</v>
      </c>
      <c r="E89" s="7">
        <f>IFERROR(__xludf.DUMMYFUNCTION("""COMPUTED_VALUE"""),264.05)</f>
        <v>264.05</v>
      </c>
      <c r="F89" s="7">
        <f>IFERROR(__xludf.DUMMYFUNCTION("""COMPUTED_VALUE"""),7919682.0)</f>
        <v>7919682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f>IFERROR(__xludf.DUMMYFUNCTION("""COMPUTED_VALUE"""),45680.64583333333)</f>
        <v>45680.64583</v>
      </c>
      <c r="B90" s="7">
        <f>IFERROR(__xludf.DUMMYFUNCTION("""COMPUTED_VALUE"""),263.0)</f>
        <v>263</v>
      </c>
      <c r="C90" s="7">
        <f>IFERROR(__xludf.DUMMYFUNCTION("""COMPUTED_VALUE"""),263.83)</f>
        <v>263.83</v>
      </c>
      <c r="D90" s="7">
        <f>IFERROR(__xludf.DUMMYFUNCTION("""COMPUTED_VALUE"""),261.17)</f>
        <v>261.17</v>
      </c>
      <c r="E90" s="7">
        <f>IFERROR(__xludf.DUMMYFUNCTION("""COMPUTED_VALUE"""),263.05)</f>
        <v>263.05</v>
      </c>
      <c r="F90" s="7">
        <f>IFERROR(__xludf.DUMMYFUNCTION("""COMPUTED_VALUE"""),5026675.0)</f>
        <v>5026675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f>IFERROR(__xludf.DUMMYFUNCTION("""COMPUTED_VALUE"""),45681.64583333333)</f>
        <v>45681.64583</v>
      </c>
      <c r="B91" s="7">
        <f>IFERROR(__xludf.DUMMYFUNCTION("""COMPUTED_VALUE"""),262.99)</f>
        <v>262.99</v>
      </c>
      <c r="C91" s="7">
        <f>IFERROR(__xludf.DUMMYFUNCTION("""COMPUTED_VALUE"""),265.64)</f>
        <v>265.64</v>
      </c>
      <c r="D91" s="7">
        <f>IFERROR(__xludf.DUMMYFUNCTION("""COMPUTED_VALUE"""),255.75)</f>
        <v>255.75</v>
      </c>
      <c r="E91" s="7">
        <f>IFERROR(__xludf.DUMMYFUNCTION("""COMPUTED_VALUE"""),256.51)</f>
        <v>256.51</v>
      </c>
      <c r="F91" s="7">
        <f>IFERROR(__xludf.DUMMYFUNCTION("""COMPUTED_VALUE"""),6306281.0)</f>
        <v>6306281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f>IFERROR(__xludf.DUMMYFUNCTION("""COMPUTED_VALUE"""),45684.64583333333)</f>
        <v>45684.64583</v>
      </c>
      <c r="B92" s="7">
        <f>IFERROR(__xludf.DUMMYFUNCTION("""COMPUTED_VALUE"""),255.0)</f>
        <v>255</v>
      </c>
      <c r="C92" s="7">
        <f>IFERROR(__xludf.DUMMYFUNCTION("""COMPUTED_VALUE"""),256.44)</f>
        <v>256.44</v>
      </c>
      <c r="D92" s="7">
        <f>IFERROR(__xludf.DUMMYFUNCTION("""COMPUTED_VALUE"""),249.51)</f>
        <v>249.51</v>
      </c>
      <c r="E92" s="7">
        <f>IFERROR(__xludf.DUMMYFUNCTION("""COMPUTED_VALUE"""),250.78)</f>
        <v>250.78</v>
      </c>
      <c r="F92" s="7">
        <f>IFERROR(__xludf.DUMMYFUNCTION("""COMPUTED_VALUE"""),6944911.0)</f>
        <v>6944911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f>IFERROR(__xludf.DUMMYFUNCTION("""COMPUTED_VALUE"""),45685.64583333333)</f>
        <v>45685.64583</v>
      </c>
      <c r="B93" s="7">
        <f>IFERROR(__xludf.DUMMYFUNCTION("""COMPUTED_VALUE"""),250.0)</f>
        <v>250</v>
      </c>
      <c r="C93" s="7">
        <f>IFERROR(__xludf.DUMMYFUNCTION("""COMPUTED_VALUE"""),252.4)</f>
        <v>252.4</v>
      </c>
      <c r="D93" s="7">
        <f>IFERROR(__xludf.DUMMYFUNCTION("""COMPUTED_VALUE"""),246.71)</f>
        <v>246.71</v>
      </c>
      <c r="E93" s="7">
        <f>IFERROR(__xludf.DUMMYFUNCTION("""COMPUTED_VALUE"""),248.68)</f>
        <v>248.68</v>
      </c>
      <c r="F93" s="7">
        <f>IFERROR(__xludf.DUMMYFUNCTION("""COMPUTED_VALUE"""),8029472.0)</f>
        <v>8029472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f>IFERROR(__xludf.DUMMYFUNCTION("""COMPUTED_VALUE"""),45686.64583333333)</f>
        <v>45686.64583</v>
      </c>
      <c r="B94" s="7">
        <f>IFERROR(__xludf.DUMMYFUNCTION("""COMPUTED_VALUE"""),248.9)</f>
        <v>248.9</v>
      </c>
      <c r="C94" s="7">
        <f>IFERROR(__xludf.DUMMYFUNCTION("""COMPUTED_VALUE"""),252.0)</f>
        <v>252</v>
      </c>
      <c r="D94" s="7">
        <f>IFERROR(__xludf.DUMMYFUNCTION("""COMPUTED_VALUE"""),247.0)</f>
        <v>247</v>
      </c>
      <c r="E94" s="7">
        <f>IFERROR(__xludf.DUMMYFUNCTION("""COMPUTED_VALUE"""),251.4)</f>
        <v>251.4</v>
      </c>
      <c r="F94" s="7">
        <f>IFERROR(__xludf.DUMMYFUNCTION("""COMPUTED_VALUE"""),5651586.0)</f>
        <v>5651586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f>IFERROR(__xludf.DUMMYFUNCTION("""COMPUTED_VALUE"""),45687.64583333333)</f>
        <v>45687.64583</v>
      </c>
      <c r="B95" s="7">
        <f>IFERROR(__xludf.DUMMYFUNCTION("""COMPUTED_VALUE"""),252.0)</f>
        <v>252</v>
      </c>
      <c r="C95" s="7">
        <f>IFERROR(__xludf.DUMMYFUNCTION("""COMPUTED_VALUE"""),259.4)</f>
        <v>259.4</v>
      </c>
      <c r="D95" s="7">
        <f>IFERROR(__xludf.DUMMYFUNCTION("""COMPUTED_VALUE"""),250.94)</f>
        <v>250.94</v>
      </c>
      <c r="E95" s="7">
        <f>IFERROR(__xludf.DUMMYFUNCTION("""COMPUTED_VALUE"""),256.72)</f>
        <v>256.72</v>
      </c>
      <c r="F95" s="7">
        <f>IFERROR(__xludf.DUMMYFUNCTION("""COMPUTED_VALUE"""),1.2588155E7)</f>
        <v>12588155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f>IFERROR(__xludf.DUMMYFUNCTION("""COMPUTED_VALUE"""),45688.64583333333)</f>
        <v>45688.64583</v>
      </c>
      <c r="B96" s="7">
        <f>IFERROR(__xludf.DUMMYFUNCTION("""COMPUTED_VALUE"""),257.01)</f>
        <v>257.01</v>
      </c>
      <c r="C96" s="7">
        <f>IFERROR(__xludf.DUMMYFUNCTION("""COMPUTED_VALUE"""),263.49)</f>
        <v>263.49</v>
      </c>
      <c r="D96" s="7">
        <f>IFERROR(__xludf.DUMMYFUNCTION("""COMPUTED_VALUE"""),255.21)</f>
        <v>255.21</v>
      </c>
      <c r="E96" s="7">
        <f>IFERROR(__xludf.DUMMYFUNCTION("""COMPUTED_VALUE"""),262.61)</f>
        <v>262.61</v>
      </c>
      <c r="F96" s="7">
        <f>IFERROR(__xludf.DUMMYFUNCTION("""COMPUTED_VALUE"""),8850307.0)</f>
        <v>8850307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f>IFERROR(__xludf.DUMMYFUNCTION("""COMPUTED_VALUE"""),45691.64583333333)</f>
        <v>45691.64583</v>
      </c>
      <c r="B97" s="7">
        <f>IFERROR(__xludf.DUMMYFUNCTION("""COMPUTED_VALUE"""),255.6)</f>
        <v>255.6</v>
      </c>
      <c r="C97" s="7">
        <f>IFERROR(__xludf.DUMMYFUNCTION("""COMPUTED_VALUE"""),256.35)</f>
        <v>256.35</v>
      </c>
      <c r="D97" s="7">
        <f>IFERROR(__xludf.DUMMYFUNCTION("""COMPUTED_VALUE"""),244.85)</f>
        <v>244.85</v>
      </c>
      <c r="E97" s="7">
        <f>IFERROR(__xludf.DUMMYFUNCTION("""COMPUTED_VALUE"""),249.0)</f>
        <v>249</v>
      </c>
      <c r="F97" s="7">
        <f>IFERROR(__xludf.DUMMYFUNCTION("""COMPUTED_VALUE"""),2.5719512E7)</f>
        <v>25719512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f>IFERROR(__xludf.DUMMYFUNCTION("""COMPUTED_VALUE"""),45692.64583333333)</f>
        <v>45692.64583</v>
      </c>
      <c r="B98" s="7">
        <f>IFERROR(__xludf.DUMMYFUNCTION("""COMPUTED_VALUE"""),252.4)</f>
        <v>252.4</v>
      </c>
      <c r="C98" s="7">
        <f>IFERROR(__xludf.DUMMYFUNCTION("""COMPUTED_VALUE"""),257.5)</f>
        <v>257.5</v>
      </c>
      <c r="D98" s="7">
        <f>IFERROR(__xludf.DUMMYFUNCTION("""COMPUTED_VALUE"""),252.0)</f>
        <v>252</v>
      </c>
      <c r="E98" s="7">
        <f>IFERROR(__xludf.DUMMYFUNCTION("""COMPUTED_VALUE"""),254.1)</f>
        <v>254.1</v>
      </c>
      <c r="F98" s="7">
        <f>IFERROR(__xludf.DUMMYFUNCTION("""COMPUTED_VALUE"""),8402532.0)</f>
        <v>8402532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f>IFERROR(__xludf.DUMMYFUNCTION("""COMPUTED_VALUE"""),45693.64583333333)</f>
        <v>45693.64583</v>
      </c>
      <c r="B99" s="7">
        <f>IFERROR(__xludf.DUMMYFUNCTION("""COMPUTED_VALUE"""),259.0)</f>
        <v>259</v>
      </c>
      <c r="C99" s="7">
        <f>IFERROR(__xludf.DUMMYFUNCTION("""COMPUTED_VALUE"""),263.0)</f>
        <v>263</v>
      </c>
      <c r="D99" s="7">
        <f>IFERROR(__xludf.DUMMYFUNCTION("""COMPUTED_VALUE"""),257.75)</f>
        <v>257.75</v>
      </c>
      <c r="E99" s="7">
        <f>IFERROR(__xludf.DUMMYFUNCTION("""COMPUTED_VALUE"""),261.65)</f>
        <v>261.65</v>
      </c>
      <c r="F99" s="7">
        <f>IFERROR(__xludf.DUMMYFUNCTION("""COMPUTED_VALUE"""),1.1590755E7)</f>
        <v>11590755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f>IFERROR(__xludf.DUMMYFUNCTION("""COMPUTED_VALUE"""),45694.64583333333)</f>
        <v>45694.64583</v>
      </c>
      <c r="B100" s="7">
        <f>IFERROR(__xludf.DUMMYFUNCTION("""COMPUTED_VALUE"""),262.65)</f>
        <v>262.65</v>
      </c>
      <c r="C100" s="7">
        <f>IFERROR(__xludf.DUMMYFUNCTION("""COMPUTED_VALUE"""),262.95)</f>
        <v>262.95</v>
      </c>
      <c r="D100" s="7">
        <f>IFERROR(__xludf.DUMMYFUNCTION("""COMPUTED_VALUE"""),254.3)</f>
        <v>254.3</v>
      </c>
      <c r="E100" s="7">
        <f>IFERROR(__xludf.DUMMYFUNCTION("""COMPUTED_VALUE"""),256.15)</f>
        <v>256.15</v>
      </c>
      <c r="F100" s="7">
        <f>IFERROR(__xludf.DUMMYFUNCTION("""COMPUTED_VALUE"""),1.2327998E7)</f>
        <v>12327998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f>IFERROR(__xludf.DUMMYFUNCTION("""COMPUTED_VALUE"""),45695.64583333333)</f>
        <v>45695.64583</v>
      </c>
      <c r="B101" s="7">
        <f>IFERROR(__xludf.DUMMYFUNCTION("""COMPUTED_VALUE"""),252.95)</f>
        <v>252.95</v>
      </c>
      <c r="C101" s="7">
        <f>IFERROR(__xludf.DUMMYFUNCTION("""COMPUTED_VALUE"""),253.85)</f>
        <v>253.85</v>
      </c>
      <c r="D101" s="7">
        <f>IFERROR(__xludf.DUMMYFUNCTION("""COMPUTED_VALUE"""),247.5)</f>
        <v>247.5</v>
      </c>
      <c r="E101" s="7">
        <f>IFERROR(__xludf.DUMMYFUNCTION("""COMPUTED_VALUE"""),248.9)</f>
        <v>248.9</v>
      </c>
      <c r="F101" s="7">
        <f>IFERROR(__xludf.DUMMYFUNCTION("""COMPUTED_VALUE"""),1.0098454E7)</f>
        <v>10098454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f>IFERROR(__xludf.DUMMYFUNCTION("""COMPUTED_VALUE"""),45698.64583333333)</f>
        <v>45698.64583</v>
      </c>
      <c r="B102" s="7">
        <f>IFERROR(__xludf.DUMMYFUNCTION("""COMPUTED_VALUE"""),248.95)</f>
        <v>248.95</v>
      </c>
      <c r="C102" s="7">
        <f>IFERROR(__xludf.DUMMYFUNCTION("""COMPUTED_VALUE"""),249.6)</f>
        <v>249.6</v>
      </c>
      <c r="D102" s="7">
        <f>IFERROR(__xludf.DUMMYFUNCTION("""COMPUTED_VALUE"""),241.8)</f>
        <v>241.8</v>
      </c>
      <c r="E102" s="7">
        <f>IFERROR(__xludf.DUMMYFUNCTION("""COMPUTED_VALUE"""),242.45)</f>
        <v>242.45</v>
      </c>
      <c r="F102" s="7">
        <f>IFERROR(__xludf.DUMMYFUNCTION("""COMPUTED_VALUE"""),7582536.0)</f>
        <v>7582536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f>IFERROR(__xludf.DUMMYFUNCTION("""COMPUTED_VALUE"""),45699.64583333333)</f>
        <v>45699.64583</v>
      </c>
      <c r="B103" s="7">
        <f>IFERROR(__xludf.DUMMYFUNCTION("""COMPUTED_VALUE"""),242.45)</f>
        <v>242.45</v>
      </c>
      <c r="C103" s="7">
        <f>IFERROR(__xludf.DUMMYFUNCTION("""COMPUTED_VALUE"""),242.45)</f>
        <v>242.45</v>
      </c>
      <c r="D103" s="7">
        <f>IFERROR(__xludf.DUMMYFUNCTION("""COMPUTED_VALUE"""),236.8)</f>
        <v>236.8</v>
      </c>
      <c r="E103" s="7">
        <f>IFERROR(__xludf.DUMMYFUNCTION("""COMPUTED_VALUE"""),238.95)</f>
        <v>238.95</v>
      </c>
      <c r="F103" s="7">
        <f>IFERROR(__xludf.DUMMYFUNCTION("""COMPUTED_VALUE"""),6711630.0)</f>
        <v>6711630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f>IFERROR(__xludf.DUMMYFUNCTION("""COMPUTED_VALUE"""),45700.64583333333)</f>
        <v>45700.64583</v>
      </c>
      <c r="B104" s="7">
        <f>IFERROR(__xludf.DUMMYFUNCTION("""COMPUTED_VALUE"""),239.0)</f>
        <v>239</v>
      </c>
      <c r="C104" s="7">
        <f>IFERROR(__xludf.DUMMYFUNCTION("""COMPUTED_VALUE"""),241.25)</f>
        <v>241.25</v>
      </c>
      <c r="D104" s="7">
        <f>IFERROR(__xludf.DUMMYFUNCTION("""COMPUTED_VALUE"""),234.15)</f>
        <v>234.15</v>
      </c>
      <c r="E104" s="7">
        <f>IFERROR(__xludf.DUMMYFUNCTION("""COMPUTED_VALUE"""),237.4)</f>
        <v>237.4</v>
      </c>
      <c r="F104" s="7">
        <f>IFERROR(__xludf.DUMMYFUNCTION("""COMPUTED_VALUE"""),5985956.0)</f>
        <v>5985956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f>IFERROR(__xludf.DUMMYFUNCTION("""COMPUTED_VALUE"""),45701.64583333333)</f>
        <v>45701.64583</v>
      </c>
      <c r="B105" s="7">
        <f>IFERROR(__xludf.DUMMYFUNCTION("""COMPUTED_VALUE"""),238.5)</f>
        <v>238.5</v>
      </c>
      <c r="C105" s="7">
        <f>IFERROR(__xludf.DUMMYFUNCTION("""COMPUTED_VALUE"""),239.45)</f>
        <v>239.45</v>
      </c>
      <c r="D105" s="7">
        <f>IFERROR(__xludf.DUMMYFUNCTION("""COMPUTED_VALUE"""),234.2)</f>
        <v>234.2</v>
      </c>
      <c r="E105" s="7">
        <f>IFERROR(__xludf.DUMMYFUNCTION("""COMPUTED_VALUE"""),234.95)</f>
        <v>234.95</v>
      </c>
      <c r="F105" s="7">
        <f>IFERROR(__xludf.DUMMYFUNCTION("""COMPUTED_VALUE"""),1.007921E7)</f>
        <v>10079210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f>IFERROR(__xludf.DUMMYFUNCTION("""COMPUTED_VALUE"""),45702.64583333333)</f>
        <v>45702.64583</v>
      </c>
      <c r="B106" s="7">
        <f>IFERROR(__xludf.DUMMYFUNCTION("""COMPUTED_VALUE"""),235.0)</f>
        <v>235</v>
      </c>
      <c r="C106" s="7">
        <f>IFERROR(__xludf.DUMMYFUNCTION("""COMPUTED_VALUE"""),237.95)</f>
        <v>237.95</v>
      </c>
      <c r="D106" s="7">
        <f>IFERROR(__xludf.DUMMYFUNCTION("""COMPUTED_VALUE"""),226.75)</f>
        <v>226.75</v>
      </c>
      <c r="E106" s="7">
        <f>IFERROR(__xludf.DUMMYFUNCTION("""COMPUTED_VALUE"""),230.5)</f>
        <v>230.5</v>
      </c>
      <c r="F106" s="7">
        <f>IFERROR(__xludf.DUMMYFUNCTION("""COMPUTED_VALUE"""),8065352.0)</f>
        <v>8065352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f>IFERROR(__xludf.DUMMYFUNCTION("""COMPUTED_VALUE"""),45705.64583333333)</f>
        <v>45705.64583</v>
      </c>
      <c r="B107" s="7">
        <f>IFERROR(__xludf.DUMMYFUNCTION("""COMPUTED_VALUE"""),230.2)</f>
        <v>230.2</v>
      </c>
      <c r="C107" s="7">
        <f>IFERROR(__xludf.DUMMYFUNCTION("""COMPUTED_VALUE"""),234.3)</f>
        <v>234.3</v>
      </c>
      <c r="D107" s="7">
        <f>IFERROR(__xludf.DUMMYFUNCTION("""COMPUTED_VALUE"""),225.05)</f>
        <v>225.05</v>
      </c>
      <c r="E107" s="7">
        <f>IFERROR(__xludf.DUMMYFUNCTION("""COMPUTED_VALUE"""),233.65)</f>
        <v>233.65</v>
      </c>
      <c r="F107" s="7">
        <f>IFERROR(__xludf.DUMMYFUNCTION("""COMPUTED_VALUE"""),6692422.0)</f>
        <v>6692422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f>IFERROR(__xludf.DUMMYFUNCTION("""COMPUTED_VALUE"""),45706.64583333333)</f>
        <v>45706.64583</v>
      </c>
      <c r="B108" s="7">
        <f>IFERROR(__xludf.DUMMYFUNCTION("""COMPUTED_VALUE"""),232.2)</f>
        <v>232.2</v>
      </c>
      <c r="C108" s="7">
        <f>IFERROR(__xludf.DUMMYFUNCTION("""COMPUTED_VALUE"""),237.15)</f>
        <v>237.15</v>
      </c>
      <c r="D108" s="7">
        <f>IFERROR(__xludf.DUMMYFUNCTION("""COMPUTED_VALUE"""),229.55)</f>
        <v>229.55</v>
      </c>
      <c r="E108" s="7">
        <f>IFERROR(__xludf.DUMMYFUNCTION("""COMPUTED_VALUE"""),236.6)</f>
        <v>236.6</v>
      </c>
      <c r="F108" s="7">
        <f>IFERROR(__xludf.DUMMYFUNCTION("""COMPUTED_VALUE"""),6170974.0)</f>
        <v>6170974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f>IFERROR(__xludf.DUMMYFUNCTION("""COMPUTED_VALUE"""),45707.64583333333)</f>
        <v>45707.64583</v>
      </c>
      <c r="B109" s="7">
        <f>IFERROR(__xludf.DUMMYFUNCTION("""COMPUTED_VALUE"""),236.0)</f>
        <v>236</v>
      </c>
      <c r="C109" s="7">
        <f>IFERROR(__xludf.DUMMYFUNCTION("""COMPUTED_VALUE"""),238.8)</f>
        <v>238.8</v>
      </c>
      <c r="D109" s="7">
        <f>IFERROR(__xludf.DUMMYFUNCTION("""COMPUTED_VALUE"""),234.5)</f>
        <v>234.5</v>
      </c>
      <c r="E109" s="7">
        <f>IFERROR(__xludf.DUMMYFUNCTION("""COMPUTED_VALUE"""),238.3)</f>
        <v>238.3</v>
      </c>
      <c r="F109" s="7">
        <f>IFERROR(__xludf.DUMMYFUNCTION("""COMPUTED_VALUE"""),6168581.0)</f>
        <v>6168581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f>IFERROR(__xludf.DUMMYFUNCTION("""COMPUTED_VALUE"""),45708.64583333333)</f>
        <v>45708.64583</v>
      </c>
      <c r="B110" s="7">
        <f>IFERROR(__xludf.DUMMYFUNCTION("""COMPUTED_VALUE"""),236.8)</f>
        <v>236.8</v>
      </c>
      <c r="C110" s="7">
        <f>IFERROR(__xludf.DUMMYFUNCTION("""COMPUTED_VALUE"""),242.65)</f>
        <v>242.65</v>
      </c>
      <c r="D110" s="7">
        <f>IFERROR(__xludf.DUMMYFUNCTION("""COMPUTED_VALUE"""),236.5)</f>
        <v>236.5</v>
      </c>
      <c r="E110" s="7">
        <f>IFERROR(__xludf.DUMMYFUNCTION("""COMPUTED_VALUE"""),241.9)</f>
        <v>241.9</v>
      </c>
      <c r="F110" s="7">
        <f>IFERROR(__xludf.DUMMYFUNCTION("""COMPUTED_VALUE"""),8929816.0)</f>
        <v>8929816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f>IFERROR(__xludf.DUMMYFUNCTION("""COMPUTED_VALUE"""),45709.64583333333)</f>
        <v>45709.64583</v>
      </c>
      <c r="B111" s="7">
        <f>IFERROR(__xludf.DUMMYFUNCTION("""COMPUTED_VALUE"""),241.9)</f>
        <v>241.9</v>
      </c>
      <c r="C111" s="7">
        <f>IFERROR(__xludf.DUMMYFUNCTION("""COMPUTED_VALUE"""),243.05)</f>
        <v>243.05</v>
      </c>
      <c r="D111" s="7">
        <f>IFERROR(__xludf.DUMMYFUNCTION("""COMPUTED_VALUE"""),238.1)</f>
        <v>238.1</v>
      </c>
      <c r="E111" s="7">
        <f>IFERROR(__xludf.DUMMYFUNCTION("""COMPUTED_VALUE"""),239.9)</f>
        <v>239.9</v>
      </c>
      <c r="F111" s="7">
        <f>IFERROR(__xludf.DUMMYFUNCTION("""COMPUTED_VALUE"""),5697387.0)</f>
        <v>5697387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f>IFERROR(__xludf.DUMMYFUNCTION("""COMPUTED_VALUE"""),45712.64583333333)</f>
        <v>45712.64583</v>
      </c>
      <c r="B112" s="7">
        <f>IFERROR(__xludf.DUMMYFUNCTION("""COMPUTED_VALUE"""),236.3)</f>
        <v>236.3</v>
      </c>
      <c r="C112" s="7">
        <f>IFERROR(__xludf.DUMMYFUNCTION("""COMPUTED_VALUE"""),237.95)</f>
        <v>237.95</v>
      </c>
      <c r="D112" s="7">
        <f>IFERROR(__xludf.DUMMYFUNCTION("""COMPUTED_VALUE"""),234.0)</f>
        <v>234</v>
      </c>
      <c r="E112" s="7">
        <f>IFERROR(__xludf.DUMMYFUNCTION("""COMPUTED_VALUE"""),234.35)</f>
        <v>234.35</v>
      </c>
      <c r="F112" s="7">
        <f>IFERROR(__xludf.DUMMYFUNCTION("""COMPUTED_VALUE"""),6883143.0)</f>
        <v>6883143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f>IFERROR(__xludf.DUMMYFUNCTION("""COMPUTED_VALUE"""),45713.64583333333)</f>
        <v>45713.64583</v>
      </c>
      <c r="B113" s="7">
        <f>IFERROR(__xludf.DUMMYFUNCTION("""COMPUTED_VALUE"""),235.0)</f>
        <v>235</v>
      </c>
      <c r="C113" s="7">
        <f>IFERROR(__xludf.DUMMYFUNCTION("""COMPUTED_VALUE"""),236.7)</f>
        <v>236.7</v>
      </c>
      <c r="D113" s="7">
        <f>IFERROR(__xludf.DUMMYFUNCTION("""COMPUTED_VALUE"""),232.55)</f>
        <v>232.55</v>
      </c>
      <c r="E113" s="7">
        <f>IFERROR(__xludf.DUMMYFUNCTION("""COMPUTED_VALUE"""),233.0)</f>
        <v>233</v>
      </c>
      <c r="F113" s="7">
        <f>IFERROR(__xludf.DUMMYFUNCTION("""COMPUTED_VALUE"""),5519036.0)</f>
        <v>5519036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f>IFERROR(__xludf.DUMMYFUNCTION("""COMPUTED_VALUE"""),45715.64583333333)</f>
        <v>45715.64583</v>
      </c>
      <c r="B114" s="7">
        <f>IFERROR(__xludf.DUMMYFUNCTION("""COMPUTED_VALUE"""),233.5)</f>
        <v>233.5</v>
      </c>
      <c r="C114" s="7">
        <f>IFERROR(__xludf.DUMMYFUNCTION("""COMPUTED_VALUE"""),233.85)</f>
        <v>233.85</v>
      </c>
      <c r="D114" s="7">
        <f>IFERROR(__xludf.DUMMYFUNCTION("""COMPUTED_VALUE"""),228.5)</f>
        <v>228.5</v>
      </c>
      <c r="E114" s="7">
        <f>IFERROR(__xludf.DUMMYFUNCTION("""COMPUTED_VALUE"""),231.0)</f>
        <v>231</v>
      </c>
      <c r="F114" s="7">
        <f>IFERROR(__xludf.DUMMYFUNCTION("""COMPUTED_VALUE"""),9664032.0)</f>
        <v>9664032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f>IFERROR(__xludf.DUMMYFUNCTION("""COMPUTED_VALUE"""),45716.64583333333)</f>
        <v>45716.64583</v>
      </c>
      <c r="B115" s="7">
        <f>IFERROR(__xludf.DUMMYFUNCTION("""COMPUTED_VALUE"""),230.0)</f>
        <v>230</v>
      </c>
      <c r="C115" s="7">
        <f>IFERROR(__xludf.DUMMYFUNCTION("""COMPUTED_VALUE"""),230.5)</f>
        <v>230.5</v>
      </c>
      <c r="D115" s="7">
        <f>IFERROR(__xludf.DUMMYFUNCTION("""COMPUTED_VALUE"""),223.15)</f>
        <v>223.15</v>
      </c>
      <c r="E115" s="7">
        <f>IFERROR(__xludf.DUMMYFUNCTION("""COMPUTED_VALUE"""),225.25)</f>
        <v>225.25</v>
      </c>
      <c r="F115" s="7">
        <f>IFERROR(__xludf.DUMMYFUNCTION("""COMPUTED_VALUE"""),1.7237276E7)</f>
        <v>17237276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f>IFERROR(__xludf.DUMMYFUNCTION("""COMPUTED_VALUE"""),45719.64583333333)</f>
        <v>45719.64583</v>
      </c>
      <c r="B116" s="7">
        <f>IFERROR(__xludf.DUMMYFUNCTION("""COMPUTED_VALUE"""),224.75)</f>
        <v>224.75</v>
      </c>
      <c r="C116" s="7">
        <f>IFERROR(__xludf.DUMMYFUNCTION("""COMPUTED_VALUE"""),226.0)</f>
        <v>226</v>
      </c>
      <c r="D116" s="7">
        <f>IFERROR(__xludf.DUMMYFUNCTION("""COMPUTED_VALUE"""),218.36)</f>
        <v>218.36</v>
      </c>
      <c r="E116" s="7">
        <f>IFERROR(__xludf.DUMMYFUNCTION("""COMPUTED_VALUE"""),225.13)</f>
        <v>225.13</v>
      </c>
      <c r="F116" s="7">
        <f>IFERROR(__xludf.DUMMYFUNCTION("""COMPUTED_VALUE"""),1.1928529E7)</f>
        <v>11928529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f>IFERROR(__xludf.DUMMYFUNCTION("""COMPUTED_VALUE"""),45720.64583333333)</f>
        <v>45720.64583</v>
      </c>
      <c r="B117" s="7">
        <f>IFERROR(__xludf.DUMMYFUNCTION("""COMPUTED_VALUE"""),220.1)</f>
        <v>220.1</v>
      </c>
      <c r="C117" s="7">
        <f>IFERROR(__xludf.DUMMYFUNCTION("""COMPUTED_VALUE"""),227.75)</f>
        <v>227.75</v>
      </c>
      <c r="D117" s="7">
        <f>IFERROR(__xludf.DUMMYFUNCTION("""COMPUTED_VALUE"""),215.48)</f>
        <v>215.48</v>
      </c>
      <c r="E117" s="7">
        <f>IFERROR(__xludf.DUMMYFUNCTION("""COMPUTED_VALUE"""),226.76)</f>
        <v>226.76</v>
      </c>
      <c r="F117" s="7">
        <f>IFERROR(__xludf.DUMMYFUNCTION("""COMPUTED_VALUE"""),1.2428265E7)</f>
        <v>12428265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f>IFERROR(__xludf.DUMMYFUNCTION("""COMPUTED_VALUE"""),45721.64583333333)</f>
        <v>45721.64583</v>
      </c>
      <c r="B118" s="7">
        <f>IFERROR(__xludf.DUMMYFUNCTION("""COMPUTED_VALUE"""),227.12)</f>
        <v>227.12</v>
      </c>
      <c r="C118" s="7">
        <f>IFERROR(__xludf.DUMMYFUNCTION("""COMPUTED_VALUE"""),231.25)</f>
        <v>231.25</v>
      </c>
      <c r="D118" s="7">
        <f>IFERROR(__xludf.DUMMYFUNCTION("""COMPUTED_VALUE"""),226.76)</f>
        <v>226.76</v>
      </c>
      <c r="E118" s="7">
        <f>IFERROR(__xludf.DUMMYFUNCTION("""COMPUTED_VALUE"""),228.94)</f>
        <v>228.94</v>
      </c>
      <c r="F118" s="7">
        <f>IFERROR(__xludf.DUMMYFUNCTION("""COMPUTED_VALUE"""),7466729.0)</f>
        <v>7466729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f>IFERROR(__xludf.DUMMYFUNCTION("""COMPUTED_VALUE"""),45722.64583333333)</f>
        <v>45722.64583</v>
      </c>
      <c r="B119" s="7">
        <f>IFERROR(__xludf.DUMMYFUNCTION("""COMPUTED_VALUE"""),231.49)</f>
        <v>231.49</v>
      </c>
      <c r="C119" s="7">
        <f>IFERROR(__xludf.DUMMYFUNCTION("""COMPUTED_VALUE"""),233.57)</f>
        <v>233.57</v>
      </c>
      <c r="D119" s="7">
        <f>IFERROR(__xludf.DUMMYFUNCTION("""COMPUTED_VALUE"""),226.71)</f>
        <v>226.71</v>
      </c>
      <c r="E119" s="7">
        <f>IFERROR(__xludf.DUMMYFUNCTION("""COMPUTED_VALUE"""),232.6)</f>
        <v>232.6</v>
      </c>
      <c r="F119" s="7">
        <f>IFERROR(__xludf.DUMMYFUNCTION("""COMPUTED_VALUE"""),1.0439208E7)</f>
        <v>10439208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f>IFERROR(__xludf.DUMMYFUNCTION("""COMPUTED_VALUE"""),45723.64583333333)</f>
        <v>45723.64583</v>
      </c>
      <c r="B120" s="7">
        <f>IFERROR(__xludf.DUMMYFUNCTION("""COMPUTED_VALUE"""),232.6)</f>
        <v>232.6</v>
      </c>
      <c r="C120" s="7">
        <f>IFERROR(__xludf.DUMMYFUNCTION("""COMPUTED_VALUE"""),236.47)</f>
        <v>236.47</v>
      </c>
      <c r="D120" s="7">
        <f>IFERROR(__xludf.DUMMYFUNCTION("""COMPUTED_VALUE"""),231.17)</f>
        <v>231.17</v>
      </c>
      <c r="E120" s="7">
        <f>IFERROR(__xludf.DUMMYFUNCTION("""COMPUTED_VALUE"""),232.89)</f>
        <v>232.89</v>
      </c>
      <c r="F120" s="7">
        <f>IFERROR(__xludf.DUMMYFUNCTION("""COMPUTED_VALUE"""),9079049.0)</f>
        <v>9079049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f>IFERROR(__xludf.DUMMYFUNCTION("""COMPUTED_VALUE"""),45726.64583333333)</f>
        <v>45726.64583</v>
      </c>
      <c r="B121" s="7">
        <f>IFERROR(__xludf.DUMMYFUNCTION("""COMPUTED_VALUE"""),232.89)</f>
        <v>232.89</v>
      </c>
      <c r="C121" s="7">
        <f>IFERROR(__xludf.DUMMYFUNCTION("""COMPUTED_VALUE"""),235.0)</f>
        <v>235</v>
      </c>
      <c r="D121" s="7">
        <f>IFERROR(__xludf.DUMMYFUNCTION("""COMPUTED_VALUE"""),222.48)</f>
        <v>222.48</v>
      </c>
      <c r="E121" s="7">
        <f>IFERROR(__xludf.DUMMYFUNCTION("""COMPUTED_VALUE"""),223.19)</f>
        <v>223.19</v>
      </c>
      <c r="F121" s="7">
        <f>IFERROR(__xludf.DUMMYFUNCTION("""COMPUTED_VALUE"""),1.6489167E7)</f>
        <v>16489167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f>IFERROR(__xludf.DUMMYFUNCTION("""COMPUTED_VALUE"""),45727.64583333333)</f>
        <v>45727.64583</v>
      </c>
      <c r="B122" s="7">
        <f>IFERROR(__xludf.DUMMYFUNCTION("""COMPUTED_VALUE"""),220.9)</f>
        <v>220.9</v>
      </c>
      <c r="C122" s="7">
        <f>IFERROR(__xludf.DUMMYFUNCTION("""COMPUTED_VALUE"""),227.26)</f>
        <v>227.26</v>
      </c>
      <c r="D122" s="7">
        <f>IFERROR(__xludf.DUMMYFUNCTION("""COMPUTED_VALUE"""),220.1)</f>
        <v>220.1</v>
      </c>
      <c r="E122" s="7">
        <f>IFERROR(__xludf.DUMMYFUNCTION("""COMPUTED_VALUE"""),226.72)</f>
        <v>226.72</v>
      </c>
      <c r="F122" s="7">
        <f>IFERROR(__xludf.DUMMYFUNCTION("""COMPUTED_VALUE"""),1.0941588E7)</f>
        <v>10941588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f>IFERROR(__xludf.DUMMYFUNCTION("""COMPUTED_VALUE"""),45728.64583333333)</f>
        <v>45728.64583</v>
      </c>
      <c r="B123" s="7">
        <f>IFERROR(__xludf.DUMMYFUNCTION("""COMPUTED_VALUE"""),227.1)</f>
        <v>227.1</v>
      </c>
      <c r="C123" s="7">
        <f>IFERROR(__xludf.DUMMYFUNCTION("""COMPUTED_VALUE"""),228.84)</f>
        <v>228.84</v>
      </c>
      <c r="D123" s="7">
        <f>IFERROR(__xludf.DUMMYFUNCTION("""COMPUTED_VALUE"""),222.36)</f>
        <v>222.36</v>
      </c>
      <c r="E123" s="7">
        <f>IFERROR(__xludf.DUMMYFUNCTION("""COMPUTED_VALUE"""),224.4)</f>
        <v>224.4</v>
      </c>
      <c r="F123" s="7">
        <f>IFERROR(__xludf.DUMMYFUNCTION("""COMPUTED_VALUE"""),6994310.0)</f>
        <v>6994310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f>IFERROR(__xludf.DUMMYFUNCTION("""COMPUTED_VALUE"""),45729.64583333333)</f>
        <v>45729.64583</v>
      </c>
      <c r="B124" s="7">
        <f>IFERROR(__xludf.DUMMYFUNCTION("""COMPUTED_VALUE"""),228.15)</f>
        <v>228.15</v>
      </c>
      <c r="C124" s="7">
        <f>IFERROR(__xludf.DUMMYFUNCTION("""COMPUTED_VALUE"""),230.4)</f>
        <v>230.4</v>
      </c>
      <c r="D124" s="7">
        <f>IFERROR(__xludf.DUMMYFUNCTION("""COMPUTED_VALUE"""),224.87)</f>
        <v>224.87</v>
      </c>
      <c r="E124" s="7">
        <f>IFERROR(__xludf.DUMMYFUNCTION("""COMPUTED_VALUE"""),225.43)</f>
        <v>225.43</v>
      </c>
      <c r="F124" s="7">
        <f>IFERROR(__xludf.DUMMYFUNCTION("""COMPUTED_VALUE"""),1.6105085E7)</f>
        <v>16105085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f>IFERROR(__xludf.DUMMYFUNCTION("""COMPUTED_VALUE"""),45733.64583333333)</f>
        <v>45733.64583</v>
      </c>
      <c r="B125" s="7">
        <f>IFERROR(__xludf.DUMMYFUNCTION("""COMPUTED_VALUE"""),226.52)</f>
        <v>226.52</v>
      </c>
      <c r="C125" s="7">
        <f>IFERROR(__xludf.DUMMYFUNCTION("""COMPUTED_VALUE"""),230.45)</f>
        <v>230.45</v>
      </c>
      <c r="D125" s="7">
        <f>IFERROR(__xludf.DUMMYFUNCTION("""COMPUTED_VALUE"""),226.24)</f>
        <v>226.24</v>
      </c>
      <c r="E125" s="7">
        <f>IFERROR(__xludf.DUMMYFUNCTION("""COMPUTED_VALUE"""),229.74)</f>
        <v>229.74</v>
      </c>
      <c r="F125" s="7">
        <f>IFERROR(__xludf.DUMMYFUNCTION("""COMPUTED_VALUE"""),8789001.0)</f>
        <v>8789001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f>IFERROR(__xludf.DUMMYFUNCTION("""COMPUTED_VALUE"""),45734.64583333333)</f>
        <v>45734.64583</v>
      </c>
      <c r="B126" s="7">
        <f>IFERROR(__xludf.DUMMYFUNCTION("""COMPUTED_VALUE"""),230.84)</f>
        <v>230.84</v>
      </c>
      <c r="C126" s="7">
        <f>IFERROR(__xludf.DUMMYFUNCTION("""COMPUTED_VALUE"""),232.5)</f>
        <v>232.5</v>
      </c>
      <c r="D126" s="7">
        <f>IFERROR(__xludf.DUMMYFUNCTION("""COMPUTED_VALUE"""),228.52)</f>
        <v>228.52</v>
      </c>
      <c r="E126" s="7">
        <f>IFERROR(__xludf.DUMMYFUNCTION("""COMPUTED_VALUE"""),232.12)</f>
        <v>232.12</v>
      </c>
      <c r="F126" s="7">
        <f>IFERROR(__xludf.DUMMYFUNCTION("""COMPUTED_VALUE"""),9647391.0)</f>
        <v>9647391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f>IFERROR(__xludf.DUMMYFUNCTION("""COMPUTED_VALUE"""),45735.64583333333)</f>
        <v>45735.64583</v>
      </c>
      <c r="B127" s="7">
        <f>IFERROR(__xludf.DUMMYFUNCTION("""COMPUTED_VALUE"""),232.5)</f>
        <v>232.5</v>
      </c>
      <c r="C127" s="7">
        <f>IFERROR(__xludf.DUMMYFUNCTION("""COMPUTED_VALUE"""),235.14)</f>
        <v>235.14</v>
      </c>
      <c r="D127" s="7">
        <f>IFERROR(__xludf.DUMMYFUNCTION("""COMPUTED_VALUE"""),231.6)</f>
        <v>231.6</v>
      </c>
      <c r="E127" s="7">
        <f>IFERROR(__xludf.DUMMYFUNCTION("""COMPUTED_VALUE"""),232.57)</f>
        <v>232.57</v>
      </c>
      <c r="F127" s="7">
        <f>IFERROR(__xludf.DUMMYFUNCTION("""COMPUTED_VALUE"""),8626593.0)</f>
        <v>8626593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f>IFERROR(__xludf.DUMMYFUNCTION("""COMPUTED_VALUE"""),45736.64583333333)</f>
        <v>45736.64583</v>
      </c>
      <c r="B128" s="7">
        <f>IFERROR(__xludf.DUMMYFUNCTION("""COMPUTED_VALUE"""),233.48)</f>
        <v>233.48</v>
      </c>
      <c r="C128" s="7">
        <f>IFERROR(__xludf.DUMMYFUNCTION("""COMPUTED_VALUE"""),237.04)</f>
        <v>237.04</v>
      </c>
      <c r="D128" s="7">
        <f>IFERROR(__xludf.DUMMYFUNCTION("""COMPUTED_VALUE"""),232.01)</f>
        <v>232.01</v>
      </c>
      <c r="E128" s="7">
        <f>IFERROR(__xludf.DUMMYFUNCTION("""COMPUTED_VALUE"""),235.59)</f>
        <v>235.59</v>
      </c>
      <c r="F128" s="7">
        <f>IFERROR(__xludf.DUMMYFUNCTION("""COMPUTED_VALUE"""),1.8955995E7)</f>
        <v>18955995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f>IFERROR(__xludf.DUMMYFUNCTION("""COMPUTED_VALUE"""),45737.64583333333)</f>
        <v>45737.64583</v>
      </c>
      <c r="B129" s="7">
        <f>IFERROR(__xludf.DUMMYFUNCTION("""COMPUTED_VALUE"""),235.8)</f>
        <v>235.8</v>
      </c>
      <c r="C129" s="7">
        <f>IFERROR(__xludf.DUMMYFUNCTION("""COMPUTED_VALUE"""),248.0)</f>
        <v>248</v>
      </c>
      <c r="D129" s="7">
        <f>IFERROR(__xludf.DUMMYFUNCTION("""COMPUTED_VALUE"""),235.8)</f>
        <v>235.8</v>
      </c>
      <c r="E129" s="7">
        <f>IFERROR(__xludf.DUMMYFUNCTION("""COMPUTED_VALUE"""),242.42)</f>
        <v>242.42</v>
      </c>
      <c r="F129" s="7">
        <f>IFERROR(__xludf.DUMMYFUNCTION("""COMPUTED_VALUE"""),2.9285333E7)</f>
        <v>29285333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f>IFERROR(__xludf.DUMMYFUNCTION("""COMPUTED_VALUE"""),45740.64583333333)</f>
        <v>45740.64583</v>
      </c>
      <c r="B130" s="7">
        <f>IFERROR(__xludf.DUMMYFUNCTION("""COMPUTED_VALUE"""),244.19)</f>
        <v>244.19</v>
      </c>
      <c r="C130" s="7">
        <f>IFERROR(__xludf.DUMMYFUNCTION("""COMPUTED_VALUE"""),246.4)</f>
        <v>246.4</v>
      </c>
      <c r="D130" s="7">
        <f>IFERROR(__xludf.DUMMYFUNCTION("""COMPUTED_VALUE"""),242.75)</f>
        <v>242.75</v>
      </c>
      <c r="E130" s="7">
        <f>IFERROR(__xludf.DUMMYFUNCTION("""COMPUTED_VALUE"""),243.83)</f>
        <v>243.83</v>
      </c>
      <c r="F130" s="7">
        <f>IFERROR(__xludf.DUMMYFUNCTION("""COMPUTED_VALUE"""),1.0566066E7)</f>
        <v>10566066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f>IFERROR(__xludf.DUMMYFUNCTION("""COMPUTED_VALUE"""),45741.64583333333)</f>
        <v>45741.64583</v>
      </c>
      <c r="B131" s="7">
        <f>IFERROR(__xludf.DUMMYFUNCTION("""COMPUTED_VALUE"""),244.01)</f>
        <v>244.01</v>
      </c>
      <c r="C131" s="7">
        <f>IFERROR(__xludf.DUMMYFUNCTION("""COMPUTED_VALUE"""),245.37)</f>
        <v>245.37</v>
      </c>
      <c r="D131" s="7">
        <f>IFERROR(__xludf.DUMMYFUNCTION("""COMPUTED_VALUE"""),240.55)</f>
        <v>240.55</v>
      </c>
      <c r="E131" s="7">
        <f>IFERROR(__xludf.DUMMYFUNCTION("""COMPUTED_VALUE"""),242.25)</f>
        <v>242.25</v>
      </c>
      <c r="F131" s="7">
        <f>IFERROR(__xludf.DUMMYFUNCTION("""COMPUTED_VALUE"""),8915800.0)</f>
        <v>8915800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f>IFERROR(__xludf.DUMMYFUNCTION("""COMPUTED_VALUE"""),45742.64583333333)</f>
        <v>45742.64583</v>
      </c>
      <c r="B132" s="7">
        <f>IFERROR(__xludf.DUMMYFUNCTION("""COMPUTED_VALUE"""),243.35)</f>
        <v>243.35</v>
      </c>
      <c r="C132" s="7">
        <f>IFERROR(__xludf.DUMMYFUNCTION("""COMPUTED_VALUE"""),244.5)</f>
        <v>244.5</v>
      </c>
      <c r="D132" s="7">
        <f>IFERROR(__xludf.DUMMYFUNCTION("""COMPUTED_VALUE"""),239.37)</f>
        <v>239.37</v>
      </c>
      <c r="E132" s="7">
        <f>IFERROR(__xludf.DUMMYFUNCTION("""COMPUTED_VALUE"""),239.72)</f>
        <v>239.72</v>
      </c>
      <c r="F132" s="7">
        <f>IFERROR(__xludf.DUMMYFUNCTION("""COMPUTED_VALUE"""),7543985.0)</f>
        <v>7543985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f>IFERROR(__xludf.DUMMYFUNCTION("""COMPUTED_VALUE"""),45743.64583333333)</f>
        <v>45743.64583</v>
      </c>
      <c r="B133" s="7">
        <f>IFERROR(__xludf.DUMMYFUNCTION("""COMPUTED_VALUE"""),238.87)</f>
        <v>238.87</v>
      </c>
      <c r="C133" s="7">
        <f>IFERROR(__xludf.DUMMYFUNCTION("""COMPUTED_VALUE"""),243.4)</f>
        <v>243.4</v>
      </c>
      <c r="D133" s="7">
        <f>IFERROR(__xludf.DUMMYFUNCTION("""COMPUTED_VALUE"""),238.65)</f>
        <v>238.65</v>
      </c>
      <c r="E133" s="7">
        <f>IFERROR(__xludf.DUMMYFUNCTION("""COMPUTED_VALUE"""),242.17)</f>
        <v>242.17</v>
      </c>
      <c r="F133" s="7">
        <f>IFERROR(__xludf.DUMMYFUNCTION("""COMPUTED_VALUE"""),9935664.0)</f>
        <v>9935664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f>IFERROR(__xludf.DUMMYFUNCTION("""COMPUTED_VALUE"""),45744.64583333333)</f>
        <v>45744.64583</v>
      </c>
      <c r="B134" s="7">
        <f>IFERROR(__xludf.DUMMYFUNCTION("""COMPUTED_VALUE"""),243.44)</f>
        <v>243.44</v>
      </c>
      <c r="C134" s="7">
        <f>IFERROR(__xludf.DUMMYFUNCTION("""COMPUTED_VALUE"""),254.9)</f>
        <v>254.9</v>
      </c>
      <c r="D134" s="7">
        <f>IFERROR(__xludf.DUMMYFUNCTION("""COMPUTED_VALUE"""),243.26)</f>
        <v>243.26</v>
      </c>
      <c r="E134" s="7">
        <f>IFERROR(__xludf.DUMMYFUNCTION("""COMPUTED_VALUE"""),246.38)</f>
        <v>246.38</v>
      </c>
      <c r="F134" s="7">
        <f>IFERROR(__xludf.DUMMYFUNCTION("""COMPUTED_VALUE"""),3.2905564E7)</f>
        <v>32905564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f>IFERROR(__xludf.DUMMYFUNCTION("""COMPUTED_VALUE"""),45748.64583333333)</f>
        <v>45748.64583</v>
      </c>
      <c r="B135" s="7">
        <f>IFERROR(__xludf.DUMMYFUNCTION("""COMPUTED_VALUE"""),247.0)</f>
        <v>247</v>
      </c>
      <c r="C135" s="7">
        <f>IFERROR(__xludf.DUMMYFUNCTION("""COMPUTED_VALUE"""),252.2)</f>
        <v>252.2</v>
      </c>
      <c r="D135" s="7">
        <f>IFERROR(__xludf.DUMMYFUNCTION("""COMPUTED_VALUE"""),246.7)</f>
        <v>246.7</v>
      </c>
      <c r="E135" s="7">
        <f>IFERROR(__xludf.DUMMYFUNCTION("""COMPUTED_VALUE"""),248.07)</f>
        <v>248.07</v>
      </c>
      <c r="F135" s="7">
        <f>IFERROR(__xludf.DUMMYFUNCTION("""COMPUTED_VALUE"""),1.1258957E7)</f>
        <v>11258957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f>IFERROR(__xludf.DUMMYFUNCTION("""COMPUTED_VALUE"""),45749.64583333333)</f>
        <v>45749.64583</v>
      </c>
      <c r="B136" s="7">
        <f>IFERROR(__xludf.DUMMYFUNCTION("""COMPUTED_VALUE"""),250.05)</f>
        <v>250.05</v>
      </c>
      <c r="C136" s="7">
        <f>IFERROR(__xludf.DUMMYFUNCTION("""COMPUTED_VALUE"""),251.5)</f>
        <v>251.5</v>
      </c>
      <c r="D136" s="7">
        <f>IFERROR(__xludf.DUMMYFUNCTION("""COMPUTED_VALUE"""),248.0)</f>
        <v>248</v>
      </c>
      <c r="E136" s="7">
        <f>IFERROR(__xludf.DUMMYFUNCTION("""COMPUTED_VALUE"""),250.64)</f>
        <v>250.64</v>
      </c>
      <c r="F136" s="7">
        <f>IFERROR(__xludf.DUMMYFUNCTION("""COMPUTED_VALUE"""),1.5337906E7)</f>
        <v>15337906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f>IFERROR(__xludf.DUMMYFUNCTION("""COMPUTED_VALUE"""),45750.64583333333)</f>
        <v>45750.64583</v>
      </c>
      <c r="B137" s="7">
        <f>IFERROR(__xludf.DUMMYFUNCTION("""COMPUTED_VALUE"""),248.0)</f>
        <v>248</v>
      </c>
      <c r="C137" s="7">
        <f>IFERROR(__xludf.DUMMYFUNCTION("""COMPUTED_VALUE"""),249.62)</f>
        <v>249.62</v>
      </c>
      <c r="D137" s="7">
        <f>IFERROR(__xludf.DUMMYFUNCTION("""COMPUTED_VALUE"""),242.51)</f>
        <v>242.51</v>
      </c>
      <c r="E137" s="7">
        <f>IFERROR(__xludf.DUMMYFUNCTION("""COMPUTED_VALUE"""),243.31)</f>
        <v>243.31</v>
      </c>
      <c r="F137" s="7">
        <f>IFERROR(__xludf.DUMMYFUNCTION("""COMPUTED_VALUE"""),1.114137E7)</f>
        <v>11141370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f>IFERROR(__xludf.DUMMYFUNCTION("""COMPUTED_VALUE"""),45751.64583333333)</f>
        <v>45751.64583</v>
      </c>
      <c r="B138" s="7">
        <f>IFERROR(__xludf.DUMMYFUNCTION("""COMPUTED_VALUE"""),240.56)</f>
        <v>240.56</v>
      </c>
      <c r="C138" s="7">
        <f>IFERROR(__xludf.DUMMYFUNCTION("""COMPUTED_VALUE"""),241.21)</f>
        <v>241.21</v>
      </c>
      <c r="D138" s="7">
        <f>IFERROR(__xludf.DUMMYFUNCTION("""COMPUTED_VALUE"""),224.2)</f>
        <v>224.2</v>
      </c>
      <c r="E138" s="7">
        <f>IFERROR(__xludf.DUMMYFUNCTION("""COMPUTED_VALUE"""),226.01)</f>
        <v>226.01</v>
      </c>
      <c r="F138" s="7">
        <f>IFERROR(__xludf.DUMMYFUNCTION("""COMPUTED_VALUE"""),3.8336194E7)</f>
        <v>38336194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f>IFERROR(__xludf.DUMMYFUNCTION("""COMPUTED_VALUE"""),45754.64583333333)</f>
        <v>45754.64583</v>
      </c>
      <c r="B139" s="7">
        <f>IFERROR(__xludf.DUMMYFUNCTION("""COMPUTED_VALUE"""),208.0)</f>
        <v>208</v>
      </c>
      <c r="C139" s="7">
        <f>IFERROR(__xludf.DUMMYFUNCTION("""COMPUTED_VALUE"""),220.8)</f>
        <v>220.8</v>
      </c>
      <c r="D139" s="7">
        <f>IFERROR(__xludf.DUMMYFUNCTION("""COMPUTED_VALUE"""),205.0)</f>
        <v>205</v>
      </c>
      <c r="E139" s="7">
        <f>IFERROR(__xludf.DUMMYFUNCTION("""COMPUTED_VALUE"""),219.84)</f>
        <v>219.84</v>
      </c>
      <c r="F139" s="7">
        <f>IFERROR(__xludf.DUMMYFUNCTION("""COMPUTED_VALUE"""),2.7024128E7)</f>
        <v>27024128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f>IFERROR(__xludf.DUMMYFUNCTION("""COMPUTED_VALUE"""),45755.64583333333)</f>
        <v>45755.64583</v>
      </c>
      <c r="B140" s="7">
        <f>IFERROR(__xludf.DUMMYFUNCTION("""COMPUTED_VALUE"""),223.0)</f>
        <v>223</v>
      </c>
      <c r="C140" s="7">
        <f>IFERROR(__xludf.DUMMYFUNCTION("""COMPUTED_VALUE"""),227.24)</f>
        <v>227.24</v>
      </c>
      <c r="D140" s="7">
        <f>IFERROR(__xludf.DUMMYFUNCTION("""COMPUTED_VALUE"""),219.18)</f>
        <v>219.18</v>
      </c>
      <c r="E140" s="7">
        <f>IFERROR(__xludf.DUMMYFUNCTION("""COMPUTED_VALUE"""),226.66)</f>
        <v>226.66</v>
      </c>
      <c r="F140" s="7">
        <f>IFERROR(__xludf.DUMMYFUNCTION("""COMPUTED_VALUE"""),1.1309092E7)</f>
        <v>11309092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f>IFERROR(__xludf.DUMMYFUNCTION("""COMPUTED_VALUE"""),45756.64583333333)</f>
        <v>45756.64583</v>
      </c>
      <c r="B141" s="7">
        <f>IFERROR(__xludf.DUMMYFUNCTION("""COMPUTED_VALUE"""),222.0)</f>
        <v>222</v>
      </c>
      <c r="C141" s="7">
        <f>IFERROR(__xludf.DUMMYFUNCTION("""COMPUTED_VALUE"""),224.06)</f>
        <v>224.06</v>
      </c>
      <c r="D141" s="7">
        <f>IFERROR(__xludf.DUMMYFUNCTION("""COMPUTED_VALUE"""),220.26)</f>
        <v>220.26</v>
      </c>
      <c r="E141" s="7">
        <f>IFERROR(__xludf.DUMMYFUNCTION("""COMPUTED_VALUE"""),221.94)</f>
        <v>221.94</v>
      </c>
      <c r="F141" s="7">
        <f>IFERROR(__xludf.DUMMYFUNCTION("""COMPUTED_VALUE"""),1.6889575E7)</f>
        <v>16889575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f>IFERROR(__xludf.DUMMYFUNCTION("""COMPUTED_VALUE"""),45758.64583333333)</f>
        <v>45758.64583</v>
      </c>
      <c r="B142" s="7">
        <f>IFERROR(__xludf.DUMMYFUNCTION("""COMPUTED_VALUE"""),228.3)</f>
        <v>228.3</v>
      </c>
      <c r="C142" s="7">
        <f>IFERROR(__xludf.DUMMYFUNCTION("""COMPUTED_VALUE"""),231.4)</f>
        <v>231.4</v>
      </c>
      <c r="D142" s="7">
        <f>IFERROR(__xludf.DUMMYFUNCTION("""COMPUTED_VALUE"""),225.25)</f>
        <v>225.25</v>
      </c>
      <c r="E142" s="7">
        <f>IFERROR(__xludf.DUMMYFUNCTION("""COMPUTED_VALUE"""),230.37)</f>
        <v>230.37</v>
      </c>
      <c r="F142" s="7">
        <f>IFERROR(__xludf.DUMMYFUNCTION("""COMPUTED_VALUE"""),1.3886447E7)</f>
        <v>13886447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f>IFERROR(__xludf.DUMMYFUNCTION("""COMPUTED_VALUE"""),45762.64583333333)</f>
        <v>45762.64583</v>
      </c>
      <c r="B143" s="7">
        <f>IFERROR(__xludf.DUMMYFUNCTION("""COMPUTED_VALUE"""),234.0)</f>
        <v>234</v>
      </c>
      <c r="C143" s="7">
        <f>IFERROR(__xludf.DUMMYFUNCTION("""COMPUTED_VALUE"""),234.0)</f>
        <v>234</v>
      </c>
      <c r="D143" s="7">
        <f>IFERROR(__xludf.DUMMYFUNCTION("""COMPUTED_VALUE"""),230.1)</f>
        <v>230.1</v>
      </c>
      <c r="E143" s="7">
        <f>IFERROR(__xludf.DUMMYFUNCTION("""COMPUTED_VALUE"""),232.69)</f>
        <v>232.69</v>
      </c>
      <c r="F143" s="7">
        <f>IFERROR(__xludf.DUMMYFUNCTION("""COMPUTED_VALUE"""),1.2102239E7)</f>
        <v>12102239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f>IFERROR(__xludf.DUMMYFUNCTION("""COMPUTED_VALUE"""),45763.64583333333)</f>
        <v>45763.64583</v>
      </c>
      <c r="B144" s="7">
        <f>IFERROR(__xludf.DUMMYFUNCTION("""COMPUTED_VALUE"""),232.69)</f>
        <v>232.69</v>
      </c>
      <c r="C144" s="7">
        <f>IFERROR(__xludf.DUMMYFUNCTION("""COMPUTED_VALUE"""),242.0)</f>
        <v>242</v>
      </c>
      <c r="D144" s="7">
        <f>IFERROR(__xludf.DUMMYFUNCTION("""COMPUTED_VALUE"""),231.72)</f>
        <v>231.72</v>
      </c>
      <c r="E144" s="7">
        <f>IFERROR(__xludf.DUMMYFUNCTION("""COMPUTED_VALUE"""),241.22)</f>
        <v>241.22</v>
      </c>
      <c r="F144" s="7">
        <f>IFERROR(__xludf.DUMMYFUNCTION("""COMPUTED_VALUE"""),1.8748952E7)</f>
        <v>18748952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f>IFERROR(__xludf.DUMMYFUNCTION("""COMPUTED_VALUE"""),45764.64583333333)</f>
        <v>45764.64583</v>
      </c>
      <c r="B145" s="7">
        <f>IFERROR(__xludf.DUMMYFUNCTION("""COMPUTED_VALUE"""),241.0)</f>
        <v>241</v>
      </c>
      <c r="C145" s="7">
        <f>IFERROR(__xludf.DUMMYFUNCTION("""COMPUTED_VALUE"""),244.61)</f>
        <v>244.61</v>
      </c>
      <c r="D145" s="7">
        <f>IFERROR(__xludf.DUMMYFUNCTION("""COMPUTED_VALUE"""),239.26)</f>
        <v>239.26</v>
      </c>
      <c r="E145" s="7">
        <f>IFERROR(__xludf.DUMMYFUNCTION("""COMPUTED_VALUE"""),243.49)</f>
        <v>243.49</v>
      </c>
      <c r="F145" s="7">
        <f>IFERROR(__xludf.DUMMYFUNCTION("""COMPUTED_VALUE"""),1.2891813E7)</f>
        <v>12891813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f>IFERROR(__xludf.DUMMYFUNCTION("""COMPUTED_VALUE"""),45768.64583333333)</f>
        <v>45768.64583</v>
      </c>
      <c r="B146" s="7">
        <f>IFERROR(__xludf.DUMMYFUNCTION("""COMPUTED_VALUE"""),244.01)</f>
        <v>244.01</v>
      </c>
      <c r="C146" s="7">
        <f>IFERROR(__xludf.DUMMYFUNCTION("""COMPUTED_VALUE"""),250.55)</f>
        <v>250.55</v>
      </c>
      <c r="D146" s="7">
        <f>IFERROR(__xludf.DUMMYFUNCTION("""COMPUTED_VALUE"""),241.75)</f>
        <v>241.75</v>
      </c>
      <c r="E146" s="7">
        <f>IFERROR(__xludf.DUMMYFUNCTION("""COMPUTED_VALUE"""),249.78)</f>
        <v>249.78</v>
      </c>
      <c r="F146" s="7">
        <f>IFERROR(__xludf.DUMMYFUNCTION("""COMPUTED_VALUE"""),1.1698653E7)</f>
        <v>11698653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f>IFERROR(__xludf.DUMMYFUNCTION("""COMPUTED_VALUE"""),45769.64583333333)</f>
        <v>45769.64583</v>
      </c>
      <c r="B147" s="7">
        <f>IFERROR(__xludf.DUMMYFUNCTION("""COMPUTED_VALUE"""),248.97)</f>
        <v>248.97</v>
      </c>
      <c r="C147" s="7">
        <f>IFERROR(__xludf.DUMMYFUNCTION("""COMPUTED_VALUE"""),250.6)</f>
        <v>250.6</v>
      </c>
      <c r="D147" s="7">
        <f>IFERROR(__xludf.DUMMYFUNCTION("""COMPUTED_VALUE"""),247.26)</f>
        <v>247.26</v>
      </c>
      <c r="E147" s="7">
        <f>IFERROR(__xludf.DUMMYFUNCTION("""COMPUTED_VALUE"""),247.78)</f>
        <v>247.78</v>
      </c>
      <c r="F147" s="7">
        <f>IFERROR(__xludf.DUMMYFUNCTION("""COMPUTED_VALUE"""),9896443.0)</f>
        <v>9896443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f>IFERROR(__xludf.DUMMYFUNCTION("""COMPUTED_VALUE"""),45770.64583333333)</f>
        <v>45770.64583</v>
      </c>
      <c r="B148" s="7">
        <f>IFERROR(__xludf.DUMMYFUNCTION("""COMPUTED_VALUE"""),248.74)</f>
        <v>248.74</v>
      </c>
      <c r="C148" s="7">
        <f>IFERROR(__xludf.DUMMYFUNCTION("""COMPUTED_VALUE"""),252.75)</f>
        <v>252.75</v>
      </c>
      <c r="D148" s="7">
        <f>IFERROR(__xludf.DUMMYFUNCTION("""COMPUTED_VALUE"""),244.92)</f>
        <v>244.92</v>
      </c>
      <c r="E148" s="7">
        <f>IFERROR(__xludf.DUMMYFUNCTION("""COMPUTED_VALUE"""),252.17)</f>
        <v>252.17</v>
      </c>
      <c r="F148" s="7">
        <f>IFERROR(__xludf.DUMMYFUNCTION("""COMPUTED_VALUE"""),1.6555874E7)</f>
        <v>16555874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f>IFERROR(__xludf.DUMMYFUNCTION("""COMPUTED_VALUE"""),45771.64583333333)</f>
        <v>45771.64583</v>
      </c>
      <c r="B149" s="7">
        <f>IFERROR(__xludf.DUMMYFUNCTION("""COMPUTED_VALUE"""),250.0)</f>
        <v>250</v>
      </c>
      <c r="C149" s="7">
        <f>IFERROR(__xludf.DUMMYFUNCTION("""COMPUTED_VALUE"""),251.37)</f>
        <v>251.37</v>
      </c>
      <c r="D149" s="7">
        <f>IFERROR(__xludf.DUMMYFUNCTION("""COMPUTED_VALUE"""),248.0)</f>
        <v>248</v>
      </c>
      <c r="E149" s="7">
        <f>IFERROR(__xludf.DUMMYFUNCTION("""COMPUTED_VALUE"""),249.37)</f>
        <v>249.37</v>
      </c>
      <c r="F149" s="7">
        <f>IFERROR(__xludf.DUMMYFUNCTION("""COMPUTED_VALUE"""),6538518.0)</f>
        <v>6538518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f>IFERROR(__xludf.DUMMYFUNCTION("""COMPUTED_VALUE"""),45772.64583333333)</f>
        <v>45772.64583</v>
      </c>
      <c r="B150" s="7">
        <f>IFERROR(__xludf.DUMMYFUNCTION("""COMPUTED_VALUE"""),249.0)</f>
        <v>249</v>
      </c>
      <c r="C150" s="7">
        <f>IFERROR(__xludf.DUMMYFUNCTION("""COMPUTED_VALUE"""),250.68)</f>
        <v>250.68</v>
      </c>
      <c r="D150" s="7">
        <f>IFERROR(__xludf.DUMMYFUNCTION("""COMPUTED_VALUE"""),244.4)</f>
        <v>244.4</v>
      </c>
      <c r="E150" s="7">
        <f>IFERROR(__xludf.DUMMYFUNCTION("""COMPUTED_VALUE"""),246.33)</f>
        <v>246.33</v>
      </c>
      <c r="F150" s="7">
        <f>IFERROR(__xludf.DUMMYFUNCTION("""COMPUTED_VALUE"""),1.5616265E7)</f>
        <v>15616265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f>IFERROR(__xludf.DUMMYFUNCTION("""COMPUTED_VALUE"""),45775.64583333333)</f>
        <v>45775.64583</v>
      </c>
      <c r="B151" s="7">
        <f>IFERROR(__xludf.DUMMYFUNCTION("""COMPUTED_VALUE"""),246.0)</f>
        <v>246</v>
      </c>
      <c r="C151" s="7">
        <f>IFERROR(__xludf.DUMMYFUNCTION("""COMPUTED_VALUE"""),251.95)</f>
        <v>251.95</v>
      </c>
      <c r="D151" s="7">
        <f>IFERROR(__xludf.DUMMYFUNCTION("""COMPUTED_VALUE"""),244.38)</f>
        <v>244.38</v>
      </c>
      <c r="E151" s="7">
        <f>IFERROR(__xludf.DUMMYFUNCTION("""COMPUTED_VALUE"""),250.6)</f>
        <v>250.6</v>
      </c>
      <c r="F151" s="7">
        <f>IFERROR(__xludf.DUMMYFUNCTION("""COMPUTED_VALUE"""),7669983.0)</f>
        <v>7669983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f>IFERROR(__xludf.DUMMYFUNCTION("""COMPUTED_VALUE"""),45776.64583333333)</f>
        <v>45776.64583</v>
      </c>
      <c r="B152" s="7">
        <f>IFERROR(__xludf.DUMMYFUNCTION("""COMPUTED_VALUE"""),251.24)</f>
        <v>251.24</v>
      </c>
      <c r="C152" s="7">
        <f>IFERROR(__xludf.DUMMYFUNCTION("""COMPUTED_VALUE"""),252.1)</f>
        <v>252.1</v>
      </c>
      <c r="D152" s="7">
        <f>IFERROR(__xludf.DUMMYFUNCTION("""COMPUTED_VALUE"""),245.1)</f>
        <v>245.1</v>
      </c>
      <c r="E152" s="7">
        <f>IFERROR(__xludf.DUMMYFUNCTION("""COMPUTED_VALUE"""),245.68)</f>
        <v>245.68</v>
      </c>
      <c r="F152" s="7">
        <f>IFERROR(__xludf.DUMMYFUNCTION("""COMPUTED_VALUE"""),8030552.0)</f>
        <v>8030552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f>IFERROR(__xludf.DUMMYFUNCTION("""COMPUTED_VALUE"""),45777.64583333333)</f>
        <v>45777.64583</v>
      </c>
      <c r="B153" s="7">
        <f>IFERROR(__xludf.DUMMYFUNCTION("""COMPUTED_VALUE"""),245.5)</f>
        <v>245.5</v>
      </c>
      <c r="C153" s="7">
        <f>IFERROR(__xludf.DUMMYFUNCTION("""COMPUTED_VALUE"""),247.44)</f>
        <v>247.44</v>
      </c>
      <c r="D153" s="7">
        <f>IFERROR(__xludf.DUMMYFUNCTION("""COMPUTED_VALUE"""),242.22)</f>
        <v>242.22</v>
      </c>
      <c r="E153" s="7">
        <f>IFERROR(__xludf.DUMMYFUNCTION("""COMPUTED_VALUE"""),244.45)</f>
        <v>244.45</v>
      </c>
      <c r="F153" s="7">
        <f>IFERROR(__xludf.DUMMYFUNCTION("""COMPUTED_VALUE"""),9822483.0)</f>
        <v>9822483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f>IFERROR(__xludf.DUMMYFUNCTION("""COMPUTED_VALUE"""),45779.64583333333)</f>
        <v>45779.64583</v>
      </c>
      <c r="B154" s="7">
        <f>IFERROR(__xludf.DUMMYFUNCTION("""COMPUTED_VALUE"""),241.0)</f>
        <v>241</v>
      </c>
      <c r="C154" s="7">
        <f>IFERROR(__xludf.DUMMYFUNCTION("""COMPUTED_VALUE"""),246.27)</f>
        <v>246.27</v>
      </c>
      <c r="D154" s="7">
        <f>IFERROR(__xludf.DUMMYFUNCTION("""COMPUTED_VALUE"""),239.0)</f>
        <v>239</v>
      </c>
      <c r="E154" s="7">
        <f>IFERROR(__xludf.DUMMYFUNCTION("""COMPUTED_VALUE"""),243.42)</f>
        <v>243.42</v>
      </c>
      <c r="F154" s="7">
        <f>IFERROR(__xludf.DUMMYFUNCTION("""COMPUTED_VALUE"""),1.020319E7)</f>
        <v>10203190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f>IFERROR(__xludf.DUMMYFUNCTION("""COMPUTED_VALUE"""),45782.64583333333)</f>
        <v>45782.64583</v>
      </c>
      <c r="B155" s="7">
        <f>IFERROR(__xludf.DUMMYFUNCTION("""COMPUTED_VALUE"""),240.0)</f>
        <v>240</v>
      </c>
      <c r="C155" s="7">
        <f>IFERROR(__xludf.DUMMYFUNCTION("""COMPUTED_VALUE"""),241.15)</f>
        <v>241.15</v>
      </c>
      <c r="D155" s="7">
        <f>IFERROR(__xludf.DUMMYFUNCTION("""COMPUTED_VALUE"""),234.5)</f>
        <v>234.5</v>
      </c>
      <c r="E155" s="7">
        <f>IFERROR(__xludf.DUMMYFUNCTION("""COMPUTED_VALUE"""),239.2)</f>
        <v>239.2</v>
      </c>
      <c r="F155" s="7">
        <f>IFERROR(__xludf.DUMMYFUNCTION("""COMPUTED_VALUE"""),2.0086323E7)</f>
        <v>20086323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f>IFERROR(__xludf.DUMMYFUNCTION("""COMPUTED_VALUE"""),45783.64583333333)</f>
        <v>45783.64583</v>
      </c>
      <c r="B156" s="7">
        <f>IFERROR(__xludf.DUMMYFUNCTION("""COMPUTED_VALUE"""),241.13)</f>
        <v>241.13</v>
      </c>
      <c r="C156" s="7">
        <f>IFERROR(__xludf.DUMMYFUNCTION("""COMPUTED_VALUE"""),242.99)</f>
        <v>242.99</v>
      </c>
      <c r="D156" s="7">
        <f>IFERROR(__xludf.DUMMYFUNCTION("""COMPUTED_VALUE"""),236.0)</f>
        <v>236</v>
      </c>
      <c r="E156" s="7">
        <f>IFERROR(__xludf.DUMMYFUNCTION("""COMPUTED_VALUE"""),237.0)</f>
        <v>237</v>
      </c>
      <c r="F156" s="7">
        <f>IFERROR(__xludf.DUMMYFUNCTION("""COMPUTED_VALUE"""),1.1350559E7)</f>
        <v>11350559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f>IFERROR(__xludf.DUMMYFUNCTION("""COMPUTED_VALUE"""),45784.64583333333)</f>
        <v>45784.64583</v>
      </c>
      <c r="B157" s="7">
        <f>IFERROR(__xludf.DUMMYFUNCTION("""COMPUTED_VALUE"""),232.3)</f>
        <v>232.3</v>
      </c>
      <c r="C157" s="7">
        <f>IFERROR(__xludf.DUMMYFUNCTION("""COMPUTED_VALUE"""),240.09)</f>
        <v>240.09</v>
      </c>
      <c r="D157" s="7">
        <f>IFERROR(__xludf.DUMMYFUNCTION("""COMPUTED_VALUE"""),232.07)</f>
        <v>232.07</v>
      </c>
      <c r="E157" s="7">
        <f>IFERROR(__xludf.DUMMYFUNCTION("""COMPUTED_VALUE"""),238.67)</f>
        <v>238.67</v>
      </c>
      <c r="F157" s="7">
        <f>IFERROR(__xludf.DUMMYFUNCTION("""COMPUTED_VALUE"""),1.6689539E7)</f>
        <v>16689539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f>IFERROR(__xludf.DUMMYFUNCTION("""COMPUTED_VALUE"""),45785.64583333333)</f>
        <v>45785.64583</v>
      </c>
      <c r="B158" s="7">
        <f>IFERROR(__xludf.DUMMYFUNCTION("""COMPUTED_VALUE"""),237.66)</f>
        <v>237.66</v>
      </c>
      <c r="C158" s="7">
        <f>IFERROR(__xludf.DUMMYFUNCTION("""COMPUTED_VALUE"""),239.34)</f>
        <v>239.34</v>
      </c>
      <c r="D158" s="7">
        <f>IFERROR(__xludf.DUMMYFUNCTION("""COMPUTED_VALUE"""),231.4)</f>
        <v>231.4</v>
      </c>
      <c r="E158" s="7">
        <f>IFERROR(__xludf.DUMMYFUNCTION("""COMPUTED_VALUE"""),233.22)</f>
        <v>233.22</v>
      </c>
      <c r="F158" s="7">
        <f>IFERROR(__xludf.DUMMYFUNCTION("""COMPUTED_VALUE"""),1.5026122E7)</f>
        <v>15026122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f>IFERROR(__xludf.DUMMYFUNCTION("""COMPUTED_VALUE"""),45786.64583333333)</f>
        <v>45786.64583</v>
      </c>
      <c r="B159" s="7">
        <f>IFERROR(__xludf.DUMMYFUNCTION("""COMPUTED_VALUE"""),229.1)</f>
        <v>229.1</v>
      </c>
      <c r="C159" s="7">
        <f>IFERROR(__xludf.DUMMYFUNCTION("""COMPUTED_VALUE"""),235.3)</f>
        <v>235.3</v>
      </c>
      <c r="D159" s="7">
        <f>IFERROR(__xludf.DUMMYFUNCTION("""COMPUTED_VALUE"""),228.45)</f>
        <v>228.45</v>
      </c>
      <c r="E159" s="7">
        <f>IFERROR(__xludf.DUMMYFUNCTION("""COMPUTED_VALUE"""),234.96)</f>
        <v>234.96</v>
      </c>
      <c r="F159" s="7">
        <f>IFERROR(__xludf.DUMMYFUNCTION("""COMPUTED_VALUE"""),1.1184507E7)</f>
        <v>11184507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f>IFERROR(__xludf.DUMMYFUNCTION("""COMPUTED_VALUE"""),45789.64583333333)</f>
        <v>45789.64583</v>
      </c>
      <c r="B160" s="7">
        <f>IFERROR(__xludf.DUMMYFUNCTION("""COMPUTED_VALUE"""),239.0)</f>
        <v>239</v>
      </c>
      <c r="C160" s="7">
        <f>IFERROR(__xludf.DUMMYFUNCTION("""COMPUTED_VALUE"""),244.6)</f>
        <v>244.6</v>
      </c>
      <c r="D160" s="7">
        <f>IFERROR(__xludf.DUMMYFUNCTION("""COMPUTED_VALUE"""),238.11)</f>
        <v>238.11</v>
      </c>
      <c r="E160" s="7">
        <f>IFERROR(__xludf.DUMMYFUNCTION("""COMPUTED_VALUE"""),244.02)</f>
        <v>244.02</v>
      </c>
      <c r="F160" s="7">
        <f>IFERROR(__xludf.DUMMYFUNCTION("""COMPUTED_VALUE"""),1.1374237E7)</f>
        <v>11374237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f>IFERROR(__xludf.DUMMYFUNCTION("""COMPUTED_VALUE"""),45790.64583333333)</f>
        <v>45790.64583</v>
      </c>
      <c r="B161" s="7">
        <f>IFERROR(__xludf.DUMMYFUNCTION("""COMPUTED_VALUE"""),244.15)</f>
        <v>244.15</v>
      </c>
      <c r="C161" s="7">
        <f>IFERROR(__xludf.DUMMYFUNCTION("""COMPUTED_VALUE"""),245.29)</f>
        <v>245.29</v>
      </c>
      <c r="D161" s="7">
        <f>IFERROR(__xludf.DUMMYFUNCTION("""COMPUTED_VALUE"""),240.29)</f>
        <v>240.29</v>
      </c>
      <c r="E161" s="7">
        <f>IFERROR(__xludf.DUMMYFUNCTION("""COMPUTED_VALUE"""),241.16)</f>
        <v>241.16</v>
      </c>
      <c r="F161" s="7">
        <f>IFERROR(__xludf.DUMMYFUNCTION("""COMPUTED_VALUE"""),9336026.0)</f>
        <v>9336026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f>IFERROR(__xludf.DUMMYFUNCTION("""COMPUTED_VALUE"""),45791.64583333333)</f>
        <v>45791.64583</v>
      </c>
      <c r="B162" s="7">
        <f>IFERROR(__xludf.DUMMYFUNCTION("""COMPUTED_VALUE"""),241.16)</f>
        <v>241.16</v>
      </c>
      <c r="C162" s="7">
        <f>IFERROR(__xludf.DUMMYFUNCTION("""COMPUTED_VALUE"""),246.9)</f>
        <v>246.9</v>
      </c>
      <c r="D162" s="7">
        <f>IFERROR(__xludf.DUMMYFUNCTION("""COMPUTED_VALUE"""),241.16)</f>
        <v>241.16</v>
      </c>
      <c r="E162" s="7">
        <f>IFERROR(__xludf.DUMMYFUNCTION("""COMPUTED_VALUE"""),246.01)</f>
        <v>246.01</v>
      </c>
      <c r="F162" s="7">
        <f>IFERROR(__xludf.DUMMYFUNCTION("""COMPUTED_VALUE"""),8234859.0)</f>
        <v>8234859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f>IFERROR(__xludf.DUMMYFUNCTION("""COMPUTED_VALUE"""),45792.64583333333)</f>
        <v>45792.64583</v>
      </c>
      <c r="B163" s="7">
        <f>IFERROR(__xludf.DUMMYFUNCTION("""COMPUTED_VALUE"""),244.95)</f>
        <v>244.95</v>
      </c>
      <c r="C163" s="7">
        <f>IFERROR(__xludf.DUMMYFUNCTION("""COMPUTED_VALUE"""),248.92)</f>
        <v>248.92</v>
      </c>
      <c r="D163" s="7">
        <f>IFERROR(__xludf.DUMMYFUNCTION("""COMPUTED_VALUE"""),242.3)</f>
        <v>242.3</v>
      </c>
      <c r="E163" s="7">
        <f>IFERROR(__xludf.DUMMYFUNCTION("""COMPUTED_VALUE"""),247.61)</f>
        <v>247.61</v>
      </c>
      <c r="F163" s="7">
        <f>IFERROR(__xludf.DUMMYFUNCTION("""COMPUTED_VALUE"""),1.681275E7)</f>
        <v>16812750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f>IFERROR(__xludf.DUMMYFUNCTION("""COMPUTED_VALUE"""),45793.64583333333)</f>
        <v>45793.64583</v>
      </c>
      <c r="B164" s="7">
        <f>IFERROR(__xludf.DUMMYFUNCTION("""COMPUTED_VALUE"""),247.06)</f>
        <v>247.06</v>
      </c>
      <c r="C164" s="7">
        <f>IFERROR(__xludf.DUMMYFUNCTION("""COMPUTED_VALUE"""),249.39)</f>
        <v>249.39</v>
      </c>
      <c r="D164" s="7">
        <f>IFERROR(__xludf.DUMMYFUNCTION("""COMPUTED_VALUE"""),246.2)</f>
        <v>246.2</v>
      </c>
      <c r="E164" s="7">
        <f>IFERROR(__xludf.DUMMYFUNCTION("""COMPUTED_VALUE"""),247.27)</f>
        <v>247.27</v>
      </c>
      <c r="F164" s="7">
        <f>IFERROR(__xludf.DUMMYFUNCTION("""COMPUTED_VALUE"""),8030229.0)</f>
        <v>8030229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f>IFERROR(__xludf.DUMMYFUNCTION("""COMPUTED_VALUE"""),45796.64583333333)</f>
        <v>45796.64583</v>
      </c>
      <c r="B165" s="7">
        <f>IFERROR(__xludf.DUMMYFUNCTION("""COMPUTED_VALUE"""),248.0)</f>
        <v>248</v>
      </c>
      <c r="C165" s="7">
        <f>IFERROR(__xludf.DUMMYFUNCTION("""COMPUTED_VALUE"""),249.45)</f>
        <v>249.45</v>
      </c>
      <c r="D165" s="7">
        <f>IFERROR(__xludf.DUMMYFUNCTION("""COMPUTED_VALUE"""),244.91)</f>
        <v>244.91</v>
      </c>
      <c r="E165" s="7">
        <f>IFERROR(__xludf.DUMMYFUNCTION("""COMPUTED_VALUE"""),246.58)</f>
        <v>246.58</v>
      </c>
      <c r="F165" s="7">
        <f>IFERROR(__xludf.DUMMYFUNCTION("""COMPUTED_VALUE"""),8043270.0)</f>
        <v>8043270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f>IFERROR(__xludf.DUMMYFUNCTION("""COMPUTED_VALUE"""),45797.64583333333)</f>
        <v>45797.64583</v>
      </c>
      <c r="B166" s="7">
        <f>IFERROR(__xludf.DUMMYFUNCTION("""COMPUTED_VALUE"""),246.79)</f>
        <v>246.79</v>
      </c>
      <c r="C166" s="7">
        <f>IFERROR(__xludf.DUMMYFUNCTION("""COMPUTED_VALUE"""),252.7)</f>
        <v>252.7</v>
      </c>
      <c r="D166" s="7">
        <f>IFERROR(__xludf.DUMMYFUNCTION("""COMPUTED_VALUE"""),246.79)</f>
        <v>246.79</v>
      </c>
      <c r="E166" s="7">
        <f>IFERROR(__xludf.DUMMYFUNCTION("""COMPUTED_VALUE"""),249.26)</f>
        <v>249.26</v>
      </c>
      <c r="F166" s="7">
        <f>IFERROR(__xludf.DUMMYFUNCTION("""COMPUTED_VALUE"""),1.3183059E7)</f>
        <v>13183059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f>IFERROR(__xludf.DUMMYFUNCTION("""COMPUTED_VALUE"""),45798.64583333333)</f>
        <v>45798.64583</v>
      </c>
      <c r="B167" s="7">
        <f>IFERROR(__xludf.DUMMYFUNCTION("""COMPUTED_VALUE"""),251.5)</f>
        <v>251.5</v>
      </c>
      <c r="C167" s="7">
        <f>IFERROR(__xludf.DUMMYFUNCTION("""COMPUTED_VALUE"""),251.95)</f>
        <v>251.95</v>
      </c>
      <c r="D167" s="7">
        <f>IFERROR(__xludf.DUMMYFUNCTION("""COMPUTED_VALUE"""),247.76)</f>
        <v>247.76</v>
      </c>
      <c r="E167" s="7">
        <f>IFERROR(__xludf.DUMMYFUNCTION("""COMPUTED_VALUE"""),248.68)</f>
        <v>248.68</v>
      </c>
      <c r="F167" s="7">
        <f>IFERROR(__xludf.DUMMYFUNCTION("""COMPUTED_VALUE"""),7158307.0)</f>
        <v>7158307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f>IFERROR(__xludf.DUMMYFUNCTION("""COMPUTED_VALUE"""),45799.64583333333)</f>
        <v>45799.64583</v>
      </c>
      <c r="B168" s="7">
        <f>IFERROR(__xludf.DUMMYFUNCTION("""COMPUTED_VALUE"""),248.68)</f>
        <v>248.68</v>
      </c>
      <c r="C168" s="7">
        <f>IFERROR(__xludf.DUMMYFUNCTION("""COMPUTED_VALUE"""),250.48)</f>
        <v>250.48</v>
      </c>
      <c r="D168" s="7">
        <f>IFERROR(__xludf.DUMMYFUNCTION("""COMPUTED_VALUE"""),239.61)</f>
        <v>239.61</v>
      </c>
      <c r="E168" s="7">
        <f>IFERROR(__xludf.DUMMYFUNCTION("""COMPUTED_VALUE"""),241.67)</f>
        <v>241.67</v>
      </c>
      <c r="F168" s="7">
        <f>IFERROR(__xludf.DUMMYFUNCTION("""COMPUTED_VALUE"""),1.8502235E7)</f>
        <v>18502235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f>IFERROR(__xludf.DUMMYFUNCTION("""COMPUTED_VALUE"""),45800.64583333333)</f>
        <v>45800.64583</v>
      </c>
      <c r="B169" s="7">
        <f>IFERROR(__xludf.DUMMYFUNCTION("""COMPUTED_VALUE"""),242.5)</f>
        <v>242.5</v>
      </c>
      <c r="C169" s="7">
        <f>IFERROR(__xludf.DUMMYFUNCTION("""COMPUTED_VALUE"""),244.68)</f>
        <v>244.68</v>
      </c>
      <c r="D169" s="7">
        <f>IFERROR(__xludf.DUMMYFUNCTION("""COMPUTED_VALUE"""),240.15)</f>
        <v>240.15</v>
      </c>
      <c r="E169" s="7">
        <f>IFERROR(__xludf.DUMMYFUNCTION("""COMPUTED_VALUE"""),244.24)</f>
        <v>244.24</v>
      </c>
      <c r="F169" s="7">
        <f>IFERROR(__xludf.DUMMYFUNCTION("""COMPUTED_VALUE"""),8725218.0)</f>
        <v>8725218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f>IFERROR(__xludf.DUMMYFUNCTION("""COMPUTED_VALUE"""),45803.64583333333)</f>
        <v>45803.64583</v>
      </c>
      <c r="B170" s="7">
        <f>IFERROR(__xludf.DUMMYFUNCTION("""COMPUTED_VALUE"""),245.3)</f>
        <v>245.3</v>
      </c>
      <c r="C170" s="7">
        <f>IFERROR(__xludf.DUMMYFUNCTION("""COMPUTED_VALUE"""),247.13)</f>
        <v>247.13</v>
      </c>
      <c r="D170" s="7">
        <f>IFERROR(__xludf.DUMMYFUNCTION("""COMPUTED_VALUE"""),244.81)</f>
        <v>244.81</v>
      </c>
      <c r="E170" s="7">
        <f>IFERROR(__xludf.DUMMYFUNCTION("""COMPUTED_VALUE"""),245.94)</f>
        <v>245.94</v>
      </c>
      <c r="F170" s="7">
        <f>IFERROR(__xludf.DUMMYFUNCTION("""COMPUTED_VALUE"""),7159571.0)</f>
        <v>7159571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f>IFERROR(__xludf.DUMMYFUNCTION("""COMPUTED_VALUE"""),45804.64583333333)</f>
        <v>45804.64583</v>
      </c>
      <c r="B171" s="7">
        <f>IFERROR(__xludf.DUMMYFUNCTION("""COMPUTED_VALUE"""),246.85)</f>
        <v>246.85</v>
      </c>
      <c r="C171" s="7">
        <f>IFERROR(__xludf.DUMMYFUNCTION("""COMPUTED_VALUE"""),246.85)</f>
        <v>246.85</v>
      </c>
      <c r="D171" s="7">
        <f>IFERROR(__xludf.DUMMYFUNCTION("""COMPUTED_VALUE"""),242.92)</f>
        <v>242.92</v>
      </c>
      <c r="E171" s="7">
        <f>IFERROR(__xludf.DUMMYFUNCTION("""COMPUTED_VALUE"""),244.54)</f>
        <v>244.54</v>
      </c>
      <c r="F171" s="7">
        <f>IFERROR(__xludf.DUMMYFUNCTION("""COMPUTED_VALUE"""),9712093.0)</f>
        <v>9712093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f>IFERROR(__xludf.DUMMYFUNCTION("""COMPUTED_VALUE"""),45805.64583333333)</f>
        <v>45805.64583</v>
      </c>
      <c r="B172" s="7">
        <f>IFERROR(__xludf.DUMMYFUNCTION("""COMPUTED_VALUE"""),244.64)</f>
        <v>244.64</v>
      </c>
      <c r="C172" s="7">
        <f>IFERROR(__xludf.DUMMYFUNCTION("""COMPUTED_VALUE"""),245.34)</f>
        <v>245.34</v>
      </c>
      <c r="D172" s="7">
        <f>IFERROR(__xludf.DUMMYFUNCTION("""COMPUTED_VALUE"""),241.3)</f>
        <v>241.3</v>
      </c>
      <c r="E172" s="7">
        <f>IFERROR(__xludf.DUMMYFUNCTION("""COMPUTED_VALUE"""),242.67)</f>
        <v>242.67</v>
      </c>
      <c r="F172" s="7">
        <f>IFERROR(__xludf.DUMMYFUNCTION("""COMPUTED_VALUE"""),7385958.0)</f>
        <v>7385958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f>IFERROR(__xludf.DUMMYFUNCTION("""COMPUTED_VALUE"""),45806.64583333333)</f>
        <v>45806.64583</v>
      </c>
      <c r="B173" s="7">
        <f>IFERROR(__xludf.DUMMYFUNCTION("""COMPUTED_VALUE"""),243.6)</f>
        <v>243.6</v>
      </c>
      <c r="C173" s="7">
        <f>IFERROR(__xludf.DUMMYFUNCTION("""COMPUTED_VALUE"""),244.6)</f>
        <v>244.6</v>
      </c>
      <c r="D173" s="7">
        <f>IFERROR(__xludf.DUMMYFUNCTION("""COMPUTED_VALUE"""),241.35)</f>
        <v>241.35</v>
      </c>
      <c r="E173" s="7">
        <f>IFERROR(__xludf.DUMMYFUNCTION("""COMPUTED_VALUE"""),243.04)</f>
        <v>243.04</v>
      </c>
      <c r="F173" s="7">
        <f>IFERROR(__xludf.DUMMYFUNCTION("""COMPUTED_VALUE"""),1.2938112E7)</f>
        <v>12938112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f>IFERROR(__xludf.DUMMYFUNCTION("""COMPUTED_VALUE"""),45807.64583333333)</f>
        <v>45807.64583</v>
      </c>
      <c r="B174" s="7">
        <f>IFERROR(__xludf.DUMMYFUNCTION("""COMPUTED_VALUE"""),243.04)</f>
        <v>243.04</v>
      </c>
      <c r="C174" s="7">
        <f>IFERROR(__xludf.DUMMYFUNCTION("""COMPUTED_VALUE"""),245.19)</f>
        <v>245.19</v>
      </c>
      <c r="D174" s="7">
        <f>IFERROR(__xludf.DUMMYFUNCTION("""COMPUTED_VALUE"""),238.89)</f>
        <v>238.89</v>
      </c>
      <c r="E174" s="7">
        <f>IFERROR(__xludf.DUMMYFUNCTION("""COMPUTED_VALUE"""),239.4)</f>
        <v>239.4</v>
      </c>
      <c r="F174" s="7">
        <f>IFERROR(__xludf.DUMMYFUNCTION("""COMPUTED_VALUE"""),1.010884E7)</f>
        <v>10108840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f>IFERROR(__xludf.DUMMYFUNCTION("""COMPUTED_VALUE"""),45810.64583333333)</f>
        <v>45810.64583</v>
      </c>
      <c r="B175" s="7">
        <f>IFERROR(__xludf.DUMMYFUNCTION("""COMPUTED_VALUE"""),239.0)</f>
        <v>239</v>
      </c>
      <c r="C175" s="7">
        <f>IFERROR(__xludf.DUMMYFUNCTION("""COMPUTED_VALUE"""),240.09)</f>
        <v>240.09</v>
      </c>
      <c r="D175" s="7">
        <f>IFERROR(__xludf.DUMMYFUNCTION("""COMPUTED_VALUE"""),237.66)</f>
        <v>237.66</v>
      </c>
      <c r="E175" s="7">
        <f>IFERROR(__xludf.DUMMYFUNCTION("""COMPUTED_VALUE"""),238.31)</f>
        <v>238.31</v>
      </c>
      <c r="F175" s="7">
        <f>IFERROR(__xludf.DUMMYFUNCTION("""COMPUTED_VALUE"""),6278145.0)</f>
        <v>6278145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f>IFERROR(__xludf.DUMMYFUNCTION("""COMPUTED_VALUE"""),45811.64583333333)</f>
        <v>45811.64583</v>
      </c>
      <c r="B176" s="7">
        <f>IFERROR(__xludf.DUMMYFUNCTION("""COMPUTED_VALUE"""),240.5)</f>
        <v>240.5</v>
      </c>
      <c r="C176" s="7">
        <f>IFERROR(__xludf.DUMMYFUNCTION("""COMPUTED_VALUE"""),241.05)</f>
        <v>241.05</v>
      </c>
      <c r="D176" s="7">
        <f>IFERROR(__xludf.DUMMYFUNCTION("""COMPUTED_VALUE"""),236.6)</f>
        <v>236.6</v>
      </c>
      <c r="E176" s="7">
        <f>IFERROR(__xludf.DUMMYFUNCTION("""COMPUTED_VALUE"""),237.27)</f>
        <v>237.27</v>
      </c>
      <c r="F176" s="7">
        <f>IFERROR(__xludf.DUMMYFUNCTION("""COMPUTED_VALUE"""),9515918.0)</f>
        <v>9515918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f>IFERROR(__xludf.DUMMYFUNCTION("""COMPUTED_VALUE"""),45812.64583333333)</f>
        <v>45812.64583</v>
      </c>
      <c r="B177" s="7">
        <f>IFERROR(__xludf.DUMMYFUNCTION("""COMPUTED_VALUE"""),238.0)</f>
        <v>238</v>
      </c>
      <c r="C177" s="7">
        <f>IFERROR(__xludf.DUMMYFUNCTION("""COMPUTED_VALUE"""),238.5)</f>
        <v>238.5</v>
      </c>
      <c r="D177" s="7">
        <f>IFERROR(__xludf.DUMMYFUNCTION("""COMPUTED_VALUE"""),235.5)</f>
        <v>235.5</v>
      </c>
      <c r="E177" s="7">
        <f>IFERROR(__xludf.DUMMYFUNCTION("""COMPUTED_VALUE"""),238.05)</f>
        <v>238.05</v>
      </c>
      <c r="F177" s="7">
        <f>IFERROR(__xludf.DUMMYFUNCTION("""COMPUTED_VALUE"""),6733580.0)</f>
        <v>6733580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f>IFERROR(__xludf.DUMMYFUNCTION("""COMPUTED_VALUE"""),45813.64583333333)</f>
        <v>45813.64583</v>
      </c>
      <c r="B178" s="7">
        <f>IFERROR(__xludf.DUMMYFUNCTION("""COMPUTED_VALUE"""),238.05)</f>
        <v>238.05</v>
      </c>
      <c r="C178" s="7">
        <f>IFERROR(__xludf.DUMMYFUNCTION("""COMPUTED_VALUE"""),239.62)</f>
        <v>239.62</v>
      </c>
      <c r="D178" s="7">
        <f>IFERROR(__xludf.DUMMYFUNCTION("""COMPUTED_VALUE"""),236.22)</f>
        <v>236.22</v>
      </c>
      <c r="E178" s="7">
        <f>IFERROR(__xludf.DUMMYFUNCTION("""COMPUTED_VALUE"""),237.77)</f>
        <v>237.77</v>
      </c>
      <c r="F178" s="7">
        <f>IFERROR(__xludf.DUMMYFUNCTION("""COMPUTED_VALUE"""),8941808.0)</f>
        <v>8941808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f>IFERROR(__xludf.DUMMYFUNCTION("""COMPUTED_VALUE"""),45814.64583333333)</f>
        <v>45814.64583</v>
      </c>
      <c r="B179" s="7">
        <f>IFERROR(__xludf.DUMMYFUNCTION("""COMPUTED_VALUE"""),237.79)</f>
        <v>237.79</v>
      </c>
      <c r="C179" s="7">
        <f>IFERROR(__xludf.DUMMYFUNCTION("""COMPUTED_VALUE"""),240.47)</f>
        <v>240.47</v>
      </c>
      <c r="D179" s="7">
        <f>IFERROR(__xludf.DUMMYFUNCTION("""COMPUTED_VALUE"""),237.51)</f>
        <v>237.51</v>
      </c>
      <c r="E179" s="7">
        <f>IFERROR(__xludf.DUMMYFUNCTION("""COMPUTED_VALUE"""),240.06)</f>
        <v>240.06</v>
      </c>
      <c r="F179" s="7">
        <f>IFERROR(__xludf.DUMMYFUNCTION("""COMPUTED_VALUE"""),5985346.0)</f>
        <v>5985346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f>IFERROR(__xludf.DUMMYFUNCTION("""COMPUTED_VALUE"""),45817.64583333333)</f>
        <v>45817.64583</v>
      </c>
      <c r="B180" s="7">
        <f>IFERROR(__xludf.DUMMYFUNCTION("""COMPUTED_VALUE"""),241.78)</f>
        <v>241.78</v>
      </c>
      <c r="C180" s="7">
        <f>IFERROR(__xludf.DUMMYFUNCTION("""COMPUTED_VALUE"""),244.12)</f>
        <v>244.12</v>
      </c>
      <c r="D180" s="7">
        <f>IFERROR(__xludf.DUMMYFUNCTION("""COMPUTED_VALUE"""),240.5)</f>
        <v>240.5</v>
      </c>
      <c r="E180" s="7">
        <f>IFERROR(__xludf.DUMMYFUNCTION("""COMPUTED_VALUE"""),242.8)</f>
        <v>242.8</v>
      </c>
      <c r="F180" s="7">
        <f>IFERROR(__xludf.DUMMYFUNCTION("""COMPUTED_VALUE"""),7719525.0)</f>
        <v>7719525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f>IFERROR(__xludf.DUMMYFUNCTION("""COMPUTED_VALUE"""),45818.64583333333)</f>
        <v>45818.64583</v>
      </c>
      <c r="B181" s="7">
        <f>IFERROR(__xludf.DUMMYFUNCTION("""COMPUTED_VALUE"""),244.25)</f>
        <v>244.25</v>
      </c>
      <c r="C181" s="7">
        <f>IFERROR(__xludf.DUMMYFUNCTION("""COMPUTED_VALUE"""),245.0)</f>
        <v>245</v>
      </c>
      <c r="D181" s="7">
        <f>IFERROR(__xludf.DUMMYFUNCTION("""COMPUTED_VALUE"""),242.59)</f>
        <v>242.59</v>
      </c>
      <c r="E181" s="7">
        <f>IFERROR(__xludf.DUMMYFUNCTION("""COMPUTED_VALUE"""),244.68)</f>
        <v>244.68</v>
      </c>
      <c r="F181" s="7">
        <f>IFERROR(__xludf.DUMMYFUNCTION("""COMPUTED_VALUE"""),7659657.0)</f>
        <v>7659657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f>IFERROR(__xludf.DUMMYFUNCTION("""COMPUTED_VALUE"""),45819.64583333333)</f>
        <v>45819.64583</v>
      </c>
      <c r="B182" s="7">
        <f>IFERROR(__xludf.DUMMYFUNCTION("""COMPUTED_VALUE"""),244.5)</f>
        <v>244.5</v>
      </c>
      <c r="C182" s="7">
        <f>IFERROR(__xludf.DUMMYFUNCTION("""COMPUTED_VALUE"""),250.4)</f>
        <v>250.4</v>
      </c>
      <c r="D182" s="7">
        <f>IFERROR(__xludf.DUMMYFUNCTION("""COMPUTED_VALUE"""),243.55)</f>
        <v>243.55</v>
      </c>
      <c r="E182" s="7">
        <f>IFERROR(__xludf.DUMMYFUNCTION("""COMPUTED_VALUE"""),247.32)</f>
        <v>247.32</v>
      </c>
      <c r="F182" s="7">
        <f>IFERROR(__xludf.DUMMYFUNCTION("""COMPUTED_VALUE"""),2.0842417E7)</f>
        <v>20842417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f>IFERROR(__xludf.DUMMYFUNCTION("""COMPUTED_VALUE"""),45820.64583333333)</f>
        <v>45820.64583</v>
      </c>
      <c r="B183" s="7">
        <f>IFERROR(__xludf.DUMMYFUNCTION("""COMPUTED_VALUE"""),251.5)</f>
        <v>251.5</v>
      </c>
      <c r="C183" s="7">
        <f>IFERROR(__xludf.DUMMYFUNCTION("""COMPUTED_VALUE"""),255.2)</f>
        <v>255.2</v>
      </c>
      <c r="D183" s="7">
        <f>IFERROR(__xludf.DUMMYFUNCTION("""COMPUTED_VALUE"""),246.75)</f>
        <v>246.75</v>
      </c>
      <c r="E183" s="7">
        <f>IFERROR(__xludf.DUMMYFUNCTION("""COMPUTED_VALUE"""),247.88)</f>
        <v>247.88</v>
      </c>
      <c r="F183" s="7">
        <f>IFERROR(__xludf.DUMMYFUNCTION("""COMPUTED_VALUE"""),3.5613271E7)</f>
        <v>35613271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f>IFERROR(__xludf.DUMMYFUNCTION("""COMPUTED_VALUE"""),45821.64583333333)</f>
        <v>45821.64583</v>
      </c>
      <c r="B184" s="7">
        <f>IFERROR(__xludf.DUMMYFUNCTION("""COMPUTED_VALUE"""),255.55)</f>
        <v>255.55</v>
      </c>
      <c r="C184" s="7">
        <f>IFERROR(__xludf.DUMMYFUNCTION("""COMPUTED_VALUE"""),255.95)</f>
        <v>255.95</v>
      </c>
      <c r="D184" s="7">
        <f>IFERROR(__xludf.DUMMYFUNCTION("""COMPUTED_VALUE"""),249.12)</f>
        <v>249.12</v>
      </c>
      <c r="E184" s="7">
        <f>IFERROR(__xludf.DUMMYFUNCTION("""COMPUTED_VALUE"""),251.51)</f>
        <v>251.51</v>
      </c>
      <c r="F184" s="7">
        <f>IFERROR(__xludf.DUMMYFUNCTION("""COMPUTED_VALUE"""),3.9320377E7)</f>
        <v>39320377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f>IFERROR(__xludf.DUMMYFUNCTION("""COMPUTED_VALUE"""),45824.64583333333)</f>
        <v>45824.64583</v>
      </c>
      <c r="B185" s="7">
        <f>IFERROR(__xludf.DUMMYFUNCTION("""COMPUTED_VALUE"""),253.99)</f>
        <v>253.99</v>
      </c>
      <c r="C185" s="7">
        <f>IFERROR(__xludf.DUMMYFUNCTION("""COMPUTED_VALUE"""),257.5)</f>
        <v>257.5</v>
      </c>
      <c r="D185" s="7">
        <f>IFERROR(__xludf.DUMMYFUNCTION("""COMPUTED_VALUE"""),252.19)</f>
        <v>252.19</v>
      </c>
      <c r="E185" s="7">
        <f>IFERROR(__xludf.DUMMYFUNCTION("""COMPUTED_VALUE"""),256.79)</f>
        <v>256.79</v>
      </c>
      <c r="F185" s="7">
        <f>IFERROR(__xludf.DUMMYFUNCTION("""COMPUTED_VALUE"""),4.1444122E7)</f>
        <v>41444122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f>IFERROR(__xludf.DUMMYFUNCTION("""COMPUTED_VALUE"""),45825.64583333333)</f>
        <v>45825.64583</v>
      </c>
      <c r="B186" s="7">
        <f>IFERROR(__xludf.DUMMYFUNCTION("""COMPUTED_VALUE"""),256.94)</f>
        <v>256.94</v>
      </c>
      <c r="C186" s="7">
        <f>IFERROR(__xludf.DUMMYFUNCTION("""COMPUTED_VALUE"""),257.09)</f>
        <v>257.09</v>
      </c>
      <c r="D186" s="7">
        <f>IFERROR(__xludf.DUMMYFUNCTION("""COMPUTED_VALUE"""),251.55)</f>
        <v>251.55</v>
      </c>
      <c r="E186" s="7">
        <f>IFERROR(__xludf.DUMMYFUNCTION("""COMPUTED_VALUE"""),252.31)</f>
        <v>252.31</v>
      </c>
      <c r="F186" s="7">
        <f>IFERROR(__xludf.DUMMYFUNCTION("""COMPUTED_VALUE"""),1.8781097E7)</f>
        <v>18781097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f>IFERROR(__xludf.DUMMYFUNCTION("""COMPUTED_VALUE"""),45826.64583333333)</f>
        <v>45826.64583</v>
      </c>
      <c r="B187" s="7">
        <f>IFERROR(__xludf.DUMMYFUNCTION("""COMPUTED_VALUE"""),254.03)</f>
        <v>254.03</v>
      </c>
      <c r="C187" s="7">
        <f>IFERROR(__xludf.DUMMYFUNCTION("""COMPUTED_VALUE"""),255.89)</f>
        <v>255.89</v>
      </c>
      <c r="D187" s="7">
        <f>IFERROR(__xludf.DUMMYFUNCTION("""COMPUTED_VALUE"""),249.77)</f>
        <v>249.77</v>
      </c>
      <c r="E187" s="7">
        <f>IFERROR(__xludf.DUMMYFUNCTION("""COMPUTED_VALUE"""),250.36)</f>
        <v>250.36</v>
      </c>
      <c r="F187" s="7">
        <f>IFERROR(__xludf.DUMMYFUNCTION("""COMPUTED_VALUE"""),1.2691905E7)</f>
        <v>12691905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f>IFERROR(__xludf.DUMMYFUNCTION("""COMPUTED_VALUE"""),45827.64583333333)</f>
        <v>45827.64583</v>
      </c>
      <c r="B188" s="7">
        <f>IFERROR(__xludf.DUMMYFUNCTION("""COMPUTED_VALUE"""),250.5)</f>
        <v>250.5</v>
      </c>
      <c r="C188" s="7">
        <f>IFERROR(__xludf.DUMMYFUNCTION("""COMPUTED_VALUE"""),253.0)</f>
        <v>253</v>
      </c>
      <c r="D188" s="7">
        <f>IFERROR(__xludf.DUMMYFUNCTION("""COMPUTED_VALUE"""),248.2)</f>
        <v>248.2</v>
      </c>
      <c r="E188" s="7">
        <f>IFERROR(__xludf.DUMMYFUNCTION("""COMPUTED_VALUE"""),251.56)</f>
        <v>251.56</v>
      </c>
      <c r="F188" s="7">
        <f>IFERROR(__xludf.DUMMYFUNCTION("""COMPUTED_VALUE"""),1.0790997E7)</f>
        <v>10790997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f>IFERROR(__xludf.DUMMYFUNCTION("""COMPUTED_VALUE"""),45828.64583333333)</f>
        <v>45828.64583</v>
      </c>
      <c r="B189" s="7">
        <f>IFERROR(__xludf.DUMMYFUNCTION("""COMPUTED_VALUE"""),252.26)</f>
        <v>252.26</v>
      </c>
      <c r="C189" s="7">
        <f>IFERROR(__xludf.DUMMYFUNCTION("""COMPUTED_VALUE"""),253.25)</f>
        <v>253.25</v>
      </c>
      <c r="D189" s="7">
        <f>IFERROR(__xludf.DUMMYFUNCTION("""COMPUTED_VALUE"""),249.35)</f>
        <v>249.35</v>
      </c>
      <c r="E189" s="7">
        <f>IFERROR(__xludf.DUMMYFUNCTION("""COMPUTED_VALUE"""),251.89)</f>
        <v>251.89</v>
      </c>
      <c r="F189" s="7">
        <f>IFERROR(__xludf.DUMMYFUNCTION("""COMPUTED_VALUE"""),1.5907673E7)</f>
        <v>15907673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f>IFERROR(__xludf.DUMMYFUNCTION("""COMPUTED_VALUE"""),45831.64583333333)</f>
        <v>45831.64583</v>
      </c>
      <c r="B190" s="7">
        <f>IFERROR(__xludf.DUMMYFUNCTION("""COMPUTED_VALUE"""),253.01)</f>
        <v>253.01</v>
      </c>
      <c r="C190" s="7">
        <f>IFERROR(__xludf.DUMMYFUNCTION("""COMPUTED_VALUE"""),255.49)</f>
        <v>255.49</v>
      </c>
      <c r="D190" s="7">
        <f>IFERROR(__xludf.DUMMYFUNCTION("""COMPUTED_VALUE"""),250.33)</f>
        <v>250.33</v>
      </c>
      <c r="E190" s="7">
        <f>IFERROR(__xludf.DUMMYFUNCTION("""COMPUTED_VALUE"""),251.38)</f>
        <v>251.38</v>
      </c>
      <c r="F190" s="7">
        <f>IFERROR(__xludf.DUMMYFUNCTION("""COMPUTED_VALUE"""),1.6776881E7)</f>
        <v>16776881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f>IFERROR(__xludf.DUMMYFUNCTION("""COMPUTED_VALUE"""),45832.64583333333)</f>
        <v>45832.64583</v>
      </c>
      <c r="B191" s="7">
        <f>IFERROR(__xludf.DUMMYFUNCTION("""COMPUTED_VALUE"""),247.5)</f>
        <v>247.5</v>
      </c>
      <c r="C191" s="7">
        <f>IFERROR(__xludf.DUMMYFUNCTION("""COMPUTED_VALUE"""),248.0)</f>
        <v>248</v>
      </c>
      <c r="D191" s="7">
        <f>IFERROR(__xludf.DUMMYFUNCTION("""COMPUTED_VALUE"""),243.49)</f>
        <v>243.49</v>
      </c>
      <c r="E191" s="7">
        <f>IFERROR(__xludf.DUMMYFUNCTION("""COMPUTED_VALUE"""),243.92)</f>
        <v>243.92</v>
      </c>
      <c r="F191" s="7">
        <f>IFERROR(__xludf.DUMMYFUNCTION("""COMPUTED_VALUE"""),2.2215004E7)</f>
        <v>22215004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f>IFERROR(__xludf.DUMMYFUNCTION("""COMPUTED_VALUE"""),45833.64583333333)</f>
        <v>45833.64583</v>
      </c>
      <c r="B192" s="7">
        <f>IFERROR(__xludf.DUMMYFUNCTION("""COMPUTED_VALUE"""),244.0)</f>
        <v>244</v>
      </c>
      <c r="C192" s="7">
        <f>IFERROR(__xludf.DUMMYFUNCTION("""COMPUTED_VALUE"""),245.3)</f>
        <v>245.3</v>
      </c>
      <c r="D192" s="7">
        <f>IFERROR(__xludf.DUMMYFUNCTION("""COMPUTED_VALUE"""),241.5)</f>
        <v>241.5</v>
      </c>
      <c r="E192" s="7">
        <f>IFERROR(__xludf.DUMMYFUNCTION("""COMPUTED_VALUE"""),241.91)</f>
        <v>241.91</v>
      </c>
      <c r="F192" s="7">
        <f>IFERROR(__xludf.DUMMYFUNCTION("""COMPUTED_VALUE"""),1.3056178E7)</f>
        <v>13056178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f>IFERROR(__xludf.DUMMYFUNCTION("""COMPUTED_VALUE"""),45834.64583333333)</f>
        <v>45834.64583</v>
      </c>
      <c r="B193" s="7">
        <f>IFERROR(__xludf.DUMMYFUNCTION("""COMPUTED_VALUE"""),242.0)</f>
        <v>242</v>
      </c>
      <c r="C193" s="7">
        <f>IFERROR(__xludf.DUMMYFUNCTION("""COMPUTED_VALUE"""),245.37)</f>
        <v>245.37</v>
      </c>
      <c r="D193" s="7">
        <f>IFERROR(__xludf.DUMMYFUNCTION("""COMPUTED_VALUE"""),241.54)</f>
        <v>241.54</v>
      </c>
      <c r="E193" s="7">
        <f>IFERROR(__xludf.DUMMYFUNCTION("""COMPUTED_VALUE"""),244.73)</f>
        <v>244.73</v>
      </c>
      <c r="F193" s="7">
        <f>IFERROR(__xludf.DUMMYFUNCTION("""COMPUTED_VALUE"""),1.5769123E7)</f>
        <v>15769123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f>IFERROR(__xludf.DUMMYFUNCTION("""COMPUTED_VALUE"""),45835.64583333333)</f>
        <v>45835.64583</v>
      </c>
      <c r="B194" s="7">
        <f>IFERROR(__xludf.DUMMYFUNCTION("""COMPUTED_VALUE"""),245.01)</f>
        <v>245.01</v>
      </c>
      <c r="C194" s="7">
        <f>IFERROR(__xludf.DUMMYFUNCTION("""COMPUTED_VALUE"""),246.22)</f>
        <v>246.22</v>
      </c>
      <c r="D194" s="7">
        <f>IFERROR(__xludf.DUMMYFUNCTION("""COMPUTED_VALUE"""),242.0)</f>
        <v>242</v>
      </c>
      <c r="E194" s="7">
        <f>IFERROR(__xludf.DUMMYFUNCTION("""COMPUTED_VALUE"""),242.83)</f>
        <v>242.83</v>
      </c>
      <c r="F194" s="7">
        <f>IFERROR(__xludf.DUMMYFUNCTION("""COMPUTED_VALUE"""),2.169196E7)</f>
        <v>21691960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f>IFERROR(__xludf.DUMMYFUNCTION("""COMPUTED_VALUE"""),45838.64583333333)</f>
        <v>45838.64583</v>
      </c>
      <c r="B195" s="7">
        <f>IFERROR(__xludf.DUMMYFUNCTION("""COMPUTED_VALUE"""),244.0)</f>
        <v>244</v>
      </c>
      <c r="C195" s="7">
        <f>IFERROR(__xludf.DUMMYFUNCTION("""COMPUTED_VALUE"""),245.7)</f>
        <v>245.7</v>
      </c>
      <c r="D195" s="7">
        <f>IFERROR(__xludf.DUMMYFUNCTION("""COMPUTED_VALUE"""),243.0)</f>
        <v>243</v>
      </c>
      <c r="E195" s="7">
        <f>IFERROR(__xludf.DUMMYFUNCTION("""COMPUTED_VALUE"""),244.21)</f>
        <v>244.21</v>
      </c>
      <c r="F195" s="7">
        <f>IFERROR(__xludf.DUMMYFUNCTION("""COMPUTED_VALUE"""),8783448.0)</f>
        <v>8783448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f>IFERROR(__xludf.DUMMYFUNCTION("""COMPUTED_VALUE"""),45839.64583333333)</f>
        <v>45839.64583</v>
      </c>
      <c r="B196" s="7">
        <f>IFERROR(__xludf.DUMMYFUNCTION("""COMPUTED_VALUE"""),245.3)</f>
        <v>245.3</v>
      </c>
      <c r="C196" s="7">
        <f>IFERROR(__xludf.DUMMYFUNCTION("""COMPUTED_VALUE"""),245.3)</f>
        <v>245.3</v>
      </c>
      <c r="D196" s="7">
        <f>IFERROR(__xludf.DUMMYFUNCTION("""COMPUTED_VALUE"""),241.3)</f>
        <v>241.3</v>
      </c>
      <c r="E196" s="7">
        <f>IFERROR(__xludf.DUMMYFUNCTION("""COMPUTED_VALUE"""),243.37)</f>
        <v>243.37</v>
      </c>
      <c r="F196" s="7">
        <f>IFERROR(__xludf.DUMMYFUNCTION("""COMPUTED_VALUE"""),8470489.0)</f>
        <v>8470489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f>IFERROR(__xludf.DUMMYFUNCTION("""COMPUTED_VALUE"""),45840.64583333333)</f>
        <v>45840.64583</v>
      </c>
      <c r="B197" s="7">
        <f>IFERROR(__xludf.DUMMYFUNCTION("""COMPUTED_VALUE"""),242.9)</f>
        <v>242.9</v>
      </c>
      <c r="C197" s="7">
        <f>IFERROR(__xludf.DUMMYFUNCTION("""COMPUTED_VALUE"""),243.75)</f>
        <v>243.75</v>
      </c>
      <c r="D197" s="7">
        <f>IFERROR(__xludf.DUMMYFUNCTION("""COMPUTED_VALUE"""),240.2)</f>
        <v>240.2</v>
      </c>
      <c r="E197" s="7">
        <f>IFERROR(__xludf.DUMMYFUNCTION("""COMPUTED_VALUE"""),241.07)</f>
        <v>241.07</v>
      </c>
      <c r="F197" s="7">
        <f>IFERROR(__xludf.DUMMYFUNCTION("""COMPUTED_VALUE"""),1.0419419E7)</f>
        <v>10419419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f>IFERROR(__xludf.DUMMYFUNCTION("""COMPUTED_VALUE"""),45841.64583333333)</f>
        <v>45841.64583</v>
      </c>
      <c r="B198" s="7">
        <f>IFERROR(__xludf.DUMMYFUNCTION("""COMPUTED_VALUE"""),242.0)</f>
        <v>242</v>
      </c>
      <c r="C198" s="7">
        <f>IFERROR(__xludf.DUMMYFUNCTION("""COMPUTED_VALUE"""),246.2)</f>
        <v>246.2</v>
      </c>
      <c r="D198" s="7">
        <f>IFERROR(__xludf.DUMMYFUNCTION("""COMPUTED_VALUE"""),241.8)</f>
        <v>241.8</v>
      </c>
      <c r="E198" s="7">
        <f>IFERROR(__xludf.DUMMYFUNCTION("""COMPUTED_VALUE"""),244.05)</f>
        <v>244.05</v>
      </c>
      <c r="F198" s="7">
        <f>IFERROR(__xludf.DUMMYFUNCTION("""COMPUTED_VALUE"""),1.3891239E7)</f>
        <v>13891239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f>IFERROR(__xludf.DUMMYFUNCTION("""COMPUTED_VALUE"""),45842.64583333333)</f>
        <v>45842.64583</v>
      </c>
      <c r="B199" s="7">
        <f>IFERROR(__xludf.DUMMYFUNCTION("""COMPUTED_VALUE"""),245.2)</f>
        <v>245.2</v>
      </c>
      <c r="C199" s="7">
        <f>IFERROR(__xludf.DUMMYFUNCTION("""COMPUTED_VALUE"""),245.45)</f>
        <v>245.45</v>
      </c>
      <c r="D199" s="7">
        <f>IFERROR(__xludf.DUMMYFUNCTION("""COMPUTED_VALUE"""),242.51)</f>
        <v>242.51</v>
      </c>
      <c r="E199" s="7">
        <f>IFERROR(__xludf.DUMMYFUNCTION("""COMPUTED_VALUE"""),245.24)</f>
        <v>245.24</v>
      </c>
      <c r="F199" s="7">
        <f>IFERROR(__xludf.DUMMYFUNCTION("""COMPUTED_VALUE"""),7717259.0)</f>
        <v>7717259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f>IFERROR(__xludf.DUMMYFUNCTION("""COMPUTED_VALUE"""),45845.64583333333)</f>
        <v>45845.64583</v>
      </c>
      <c r="B200" s="7">
        <f>IFERROR(__xludf.DUMMYFUNCTION("""COMPUTED_VALUE"""),245.5)</f>
        <v>245.5</v>
      </c>
      <c r="C200" s="7">
        <f>IFERROR(__xludf.DUMMYFUNCTION("""COMPUTED_VALUE"""),245.5)</f>
        <v>245.5</v>
      </c>
      <c r="D200" s="7">
        <f>IFERROR(__xludf.DUMMYFUNCTION("""COMPUTED_VALUE"""),240.83)</f>
        <v>240.83</v>
      </c>
      <c r="E200" s="7">
        <f>IFERROR(__xludf.DUMMYFUNCTION("""COMPUTED_VALUE"""),241.52)</f>
        <v>241.52</v>
      </c>
      <c r="F200" s="7">
        <f>IFERROR(__xludf.DUMMYFUNCTION("""COMPUTED_VALUE"""),9222263.0)</f>
        <v>9222263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f>IFERROR(__xludf.DUMMYFUNCTION("""COMPUTED_VALUE"""),45846.64583333333)</f>
        <v>45846.64583</v>
      </c>
      <c r="B201" s="7">
        <f>IFERROR(__xludf.DUMMYFUNCTION("""COMPUTED_VALUE"""),242.41)</f>
        <v>242.41</v>
      </c>
      <c r="C201" s="7">
        <f>IFERROR(__xludf.DUMMYFUNCTION("""COMPUTED_VALUE"""),243.7)</f>
        <v>243.7</v>
      </c>
      <c r="D201" s="7">
        <f>IFERROR(__xludf.DUMMYFUNCTION("""COMPUTED_VALUE"""),240.65)</f>
        <v>240.65</v>
      </c>
      <c r="E201" s="7">
        <f>IFERROR(__xludf.DUMMYFUNCTION("""COMPUTED_VALUE"""),243.24)</f>
        <v>243.24</v>
      </c>
      <c r="F201" s="7">
        <f>IFERROR(__xludf.DUMMYFUNCTION("""COMPUTED_VALUE"""),7537067.0)</f>
        <v>7537067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f>IFERROR(__xludf.DUMMYFUNCTION("""COMPUTED_VALUE"""),45847.64583333333)</f>
        <v>45847.64583</v>
      </c>
      <c r="B202" s="7">
        <f>IFERROR(__xludf.DUMMYFUNCTION("""COMPUTED_VALUE"""),243.35)</f>
        <v>243.35</v>
      </c>
      <c r="C202" s="7">
        <f>IFERROR(__xludf.DUMMYFUNCTION("""COMPUTED_VALUE"""),244.59)</f>
        <v>244.59</v>
      </c>
      <c r="D202" s="7">
        <f>IFERROR(__xludf.DUMMYFUNCTION("""COMPUTED_VALUE"""),242.27)</f>
        <v>242.27</v>
      </c>
      <c r="E202" s="7">
        <f>IFERROR(__xludf.DUMMYFUNCTION("""COMPUTED_VALUE"""),243.35)</f>
        <v>243.35</v>
      </c>
      <c r="F202" s="7">
        <f>IFERROR(__xludf.DUMMYFUNCTION("""COMPUTED_VALUE"""),9590680.0)</f>
        <v>9590680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f>IFERROR(__xludf.DUMMYFUNCTION("""COMPUTED_VALUE"""),45848.64583333333)</f>
        <v>45848.64583</v>
      </c>
      <c r="B203" s="7">
        <f>IFERROR(__xludf.DUMMYFUNCTION("""COMPUTED_VALUE"""),243.51)</f>
        <v>243.51</v>
      </c>
      <c r="C203" s="7">
        <f>IFERROR(__xludf.DUMMYFUNCTION("""COMPUTED_VALUE"""),244.69)</f>
        <v>244.69</v>
      </c>
      <c r="D203" s="7">
        <f>IFERROR(__xludf.DUMMYFUNCTION("""COMPUTED_VALUE"""),242.33)</f>
        <v>242.33</v>
      </c>
      <c r="E203" s="7">
        <f>IFERROR(__xludf.DUMMYFUNCTION("""COMPUTED_VALUE"""),243.09)</f>
        <v>243.09</v>
      </c>
      <c r="F203" s="7">
        <f>IFERROR(__xludf.DUMMYFUNCTION("""COMPUTED_VALUE"""),8012201.0)</f>
        <v>8012201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f>IFERROR(__xludf.DUMMYFUNCTION("""COMPUTED_VALUE"""),45849.64583333333)</f>
        <v>45849.64583</v>
      </c>
      <c r="B204" s="7">
        <f>IFERROR(__xludf.DUMMYFUNCTION("""COMPUTED_VALUE"""),243.05)</f>
        <v>243.05</v>
      </c>
      <c r="C204" s="7">
        <f>IFERROR(__xludf.DUMMYFUNCTION("""COMPUTED_VALUE"""),243.09)</f>
        <v>243.09</v>
      </c>
      <c r="D204" s="7">
        <f>IFERROR(__xludf.DUMMYFUNCTION("""COMPUTED_VALUE"""),240.8)</f>
        <v>240.8</v>
      </c>
      <c r="E204" s="7">
        <f>IFERROR(__xludf.DUMMYFUNCTION("""COMPUTED_VALUE"""),241.76)</f>
        <v>241.76</v>
      </c>
      <c r="F204" s="7">
        <f>IFERROR(__xludf.DUMMYFUNCTION("""COMPUTED_VALUE"""),5608382.0)</f>
        <v>5608382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f>IFERROR(__xludf.DUMMYFUNCTION("""COMPUTED_VALUE"""),45852.64583333333)</f>
        <v>45852.64583</v>
      </c>
      <c r="B205" s="7">
        <f>IFERROR(__xludf.DUMMYFUNCTION("""COMPUTED_VALUE"""),242.9)</f>
        <v>242.9</v>
      </c>
      <c r="C205" s="7">
        <f>IFERROR(__xludf.DUMMYFUNCTION("""COMPUTED_VALUE"""),244.89)</f>
        <v>244.89</v>
      </c>
      <c r="D205" s="7">
        <f>IFERROR(__xludf.DUMMYFUNCTION("""COMPUTED_VALUE"""),241.14)</f>
        <v>241.14</v>
      </c>
      <c r="E205" s="7">
        <f>IFERROR(__xludf.DUMMYFUNCTION("""COMPUTED_VALUE"""),244.22)</f>
        <v>244.22</v>
      </c>
      <c r="F205" s="7">
        <f>IFERROR(__xludf.DUMMYFUNCTION("""COMPUTED_VALUE"""),7568906.0)</f>
        <v>7568906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f>IFERROR(__xludf.DUMMYFUNCTION("""COMPUTED_VALUE"""),45853.64583333333)</f>
        <v>45853.64583</v>
      </c>
      <c r="B206" s="7">
        <f>IFERROR(__xludf.DUMMYFUNCTION("""COMPUTED_VALUE"""),244.48)</f>
        <v>244.48</v>
      </c>
      <c r="C206" s="7">
        <f>IFERROR(__xludf.DUMMYFUNCTION("""COMPUTED_VALUE"""),245.37)</f>
        <v>245.37</v>
      </c>
      <c r="D206" s="7">
        <f>IFERROR(__xludf.DUMMYFUNCTION("""COMPUTED_VALUE"""),242.7)</f>
        <v>242.7</v>
      </c>
      <c r="E206" s="7">
        <f>IFERROR(__xludf.DUMMYFUNCTION("""COMPUTED_VALUE"""),243.67)</f>
        <v>243.67</v>
      </c>
      <c r="F206" s="7">
        <f>IFERROR(__xludf.DUMMYFUNCTION("""COMPUTED_VALUE"""),7843083.0)</f>
        <v>7843083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f>IFERROR(__xludf.DUMMYFUNCTION("""COMPUTED_VALUE"""),45854.64583333333)</f>
        <v>45854.64583</v>
      </c>
      <c r="B207" s="7">
        <f>IFERROR(__xludf.DUMMYFUNCTION("""COMPUTED_VALUE"""),244.0)</f>
        <v>244</v>
      </c>
      <c r="C207" s="7">
        <f>IFERROR(__xludf.DUMMYFUNCTION("""COMPUTED_VALUE"""),244.15)</f>
        <v>244.15</v>
      </c>
      <c r="D207" s="7">
        <f>IFERROR(__xludf.DUMMYFUNCTION("""COMPUTED_VALUE"""),242.3)</f>
        <v>242.3</v>
      </c>
      <c r="E207" s="7">
        <f>IFERROR(__xludf.DUMMYFUNCTION("""COMPUTED_VALUE"""),242.85)</f>
        <v>242.85</v>
      </c>
      <c r="F207" s="7">
        <f>IFERROR(__xludf.DUMMYFUNCTION("""COMPUTED_VALUE"""),5656962.0)</f>
        <v>5656962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f>IFERROR(__xludf.DUMMYFUNCTION("""COMPUTED_VALUE"""),45855.64583333333)</f>
        <v>45855.64583</v>
      </c>
      <c r="B208" s="7">
        <f>IFERROR(__xludf.DUMMYFUNCTION("""COMPUTED_VALUE"""),243.0)</f>
        <v>243</v>
      </c>
      <c r="C208" s="7">
        <f>IFERROR(__xludf.DUMMYFUNCTION("""COMPUTED_VALUE"""),244.56)</f>
        <v>244.56</v>
      </c>
      <c r="D208" s="7">
        <f>IFERROR(__xludf.DUMMYFUNCTION("""COMPUTED_VALUE"""),242.82)</f>
        <v>242.82</v>
      </c>
      <c r="E208" s="7">
        <f>IFERROR(__xludf.DUMMYFUNCTION("""COMPUTED_VALUE"""),243.87)</f>
        <v>243.87</v>
      </c>
      <c r="F208" s="7">
        <f>IFERROR(__xludf.DUMMYFUNCTION("""COMPUTED_VALUE"""),7006298.0)</f>
        <v>7006298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f>IFERROR(__xludf.DUMMYFUNCTION("""COMPUTED_VALUE"""),45856.64583333333)</f>
        <v>45856.64583</v>
      </c>
      <c r="B209" s="7">
        <f>IFERROR(__xludf.DUMMYFUNCTION("""COMPUTED_VALUE"""),244.74)</f>
        <v>244.74</v>
      </c>
      <c r="C209" s="7">
        <f>IFERROR(__xludf.DUMMYFUNCTION("""COMPUTED_VALUE"""),247.35)</f>
        <v>247.35</v>
      </c>
      <c r="D209" s="7">
        <f>IFERROR(__xludf.DUMMYFUNCTION("""COMPUTED_VALUE"""),243.46)</f>
        <v>243.46</v>
      </c>
      <c r="E209" s="7">
        <f>IFERROR(__xludf.DUMMYFUNCTION("""COMPUTED_VALUE"""),246.31)</f>
        <v>246.31</v>
      </c>
      <c r="F209" s="7">
        <f>IFERROR(__xludf.DUMMYFUNCTION("""COMPUTED_VALUE"""),1.0293817E7)</f>
        <v>10293817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f>IFERROR(__xludf.DUMMYFUNCTION("""COMPUTED_VALUE"""),45859.64583333333)</f>
        <v>45859.64583</v>
      </c>
      <c r="B210" s="7">
        <f>IFERROR(__xludf.DUMMYFUNCTION("""COMPUTED_VALUE"""),246.0)</f>
        <v>246</v>
      </c>
      <c r="C210" s="7">
        <f>IFERROR(__xludf.DUMMYFUNCTION("""COMPUTED_VALUE"""),246.3)</f>
        <v>246.3</v>
      </c>
      <c r="D210" s="7">
        <f>IFERROR(__xludf.DUMMYFUNCTION("""COMPUTED_VALUE"""),244.43)</f>
        <v>244.43</v>
      </c>
      <c r="E210" s="7">
        <f>IFERROR(__xludf.DUMMYFUNCTION("""COMPUTED_VALUE"""),245.04)</f>
        <v>245.04</v>
      </c>
      <c r="F210" s="7">
        <f>IFERROR(__xludf.DUMMYFUNCTION("""COMPUTED_VALUE"""),5424455.0)</f>
        <v>5424455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f>IFERROR(__xludf.DUMMYFUNCTION("""COMPUTED_VALUE"""),45860.64583333333)</f>
        <v>45860.64583</v>
      </c>
      <c r="B211" s="7">
        <f>IFERROR(__xludf.DUMMYFUNCTION("""COMPUTED_VALUE"""),245.04)</f>
        <v>245.04</v>
      </c>
      <c r="C211" s="7">
        <f>IFERROR(__xludf.DUMMYFUNCTION("""COMPUTED_VALUE"""),246.87)</f>
        <v>246.87</v>
      </c>
      <c r="D211" s="7">
        <f>IFERROR(__xludf.DUMMYFUNCTION("""COMPUTED_VALUE"""),244.07)</f>
        <v>244.07</v>
      </c>
      <c r="E211" s="7">
        <f>IFERROR(__xludf.DUMMYFUNCTION("""COMPUTED_VALUE"""),246.41)</f>
        <v>246.41</v>
      </c>
      <c r="F211" s="7">
        <f>IFERROR(__xludf.DUMMYFUNCTION("""COMPUTED_VALUE"""),5869862.0)</f>
        <v>5869862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f>IFERROR(__xludf.DUMMYFUNCTION("""COMPUTED_VALUE"""),45861.64583333333)</f>
        <v>45861.64583</v>
      </c>
      <c r="B212" s="7">
        <f>IFERROR(__xludf.DUMMYFUNCTION("""COMPUTED_VALUE"""),246.0)</f>
        <v>246</v>
      </c>
      <c r="C212" s="7">
        <f>IFERROR(__xludf.DUMMYFUNCTION("""COMPUTED_VALUE"""),247.2)</f>
        <v>247.2</v>
      </c>
      <c r="D212" s="7">
        <f>IFERROR(__xludf.DUMMYFUNCTION("""COMPUTED_VALUE"""),244.26)</f>
        <v>244.26</v>
      </c>
      <c r="E212" s="7">
        <f>IFERROR(__xludf.DUMMYFUNCTION("""COMPUTED_VALUE"""),245.55)</f>
        <v>245.55</v>
      </c>
      <c r="F212" s="7">
        <f>IFERROR(__xludf.DUMMYFUNCTION("""COMPUTED_VALUE"""),7357753.0)</f>
        <v>7357753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f>IFERROR(__xludf.DUMMYFUNCTION("""COMPUTED_VALUE"""),45862.64583333333)</f>
        <v>45862.64583</v>
      </c>
      <c r="B213" s="7">
        <f>IFERROR(__xludf.DUMMYFUNCTION("""COMPUTED_VALUE"""),245.56)</f>
        <v>245.56</v>
      </c>
      <c r="C213" s="7">
        <f>IFERROR(__xludf.DUMMYFUNCTION("""COMPUTED_VALUE"""),246.2)</f>
        <v>246.2</v>
      </c>
      <c r="D213" s="7">
        <f>IFERROR(__xludf.DUMMYFUNCTION("""COMPUTED_VALUE"""),243.76)</f>
        <v>243.76</v>
      </c>
      <c r="E213" s="7">
        <f>IFERROR(__xludf.DUMMYFUNCTION("""COMPUTED_VALUE"""),244.83)</f>
        <v>244.83</v>
      </c>
      <c r="F213" s="7">
        <f>IFERROR(__xludf.DUMMYFUNCTION("""COMPUTED_VALUE"""),4590999.0)</f>
        <v>4590999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f>IFERROR(__xludf.DUMMYFUNCTION("""COMPUTED_VALUE"""),45863.64583333333)</f>
        <v>45863.64583</v>
      </c>
      <c r="B214" s="7">
        <f>IFERROR(__xludf.DUMMYFUNCTION("""COMPUTED_VALUE"""),244.0)</f>
        <v>244</v>
      </c>
      <c r="C214" s="7">
        <f>IFERROR(__xludf.DUMMYFUNCTION("""COMPUTED_VALUE"""),244.8)</f>
        <v>244.8</v>
      </c>
      <c r="D214" s="7">
        <f>IFERROR(__xludf.DUMMYFUNCTION("""COMPUTED_VALUE"""),239.25)</f>
        <v>239.25</v>
      </c>
      <c r="E214" s="7">
        <f>IFERROR(__xludf.DUMMYFUNCTION("""COMPUTED_VALUE"""),240.29)</f>
        <v>240.29</v>
      </c>
      <c r="F214" s="7">
        <f>IFERROR(__xludf.DUMMYFUNCTION("""COMPUTED_VALUE"""),7427827.0)</f>
        <v>7427827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f>IFERROR(__xludf.DUMMYFUNCTION("""COMPUTED_VALUE"""),45866.64583333333)</f>
        <v>45866.64583</v>
      </c>
      <c r="B215" s="7">
        <f>IFERROR(__xludf.DUMMYFUNCTION("""COMPUTED_VALUE"""),240.29)</f>
        <v>240.29</v>
      </c>
      <c r="C215" s="7">
        <f>IFERROR(__xludf.DUMMYFUNCTION("""COMPUTED_VALUE"""),241.56)</f>
        <v>241.56</v>
      </c>
      <c r="D215" s="7">
        <f>IFERROR(__xludf.DUMMYFUNCTION("""COMPUTED_VALUE"""),237.8)</f>
        <v>237.8</v>
      </c>
      <c r="E215" s="7">
        <f>IFERROR(__xludf.DUMMYFUNCTION("""COMPUTED_VALUE"""),240.02)</f>
        <v>240.02</v>
      </c>
      <c r="F215" s="7">
        <f>IFERROR(__xludf.DUMMYFUNCTION("""COMPUTED_VALUE"""),6865890.0)</f>
        <v>6865890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f>IFERROR(__xludf.DUMMYFUNCTION("""COMPUTED_VALUE"""),45867.64583333333)</f>
        <v>45867.64583</v>
      </c>
      <c r="B216" s="7">
        <f>IFERROR(__xludf.DUMMYFUNCTION("""COMPUTED_VALUE"""),240.02)</f>
        <v>240.02</v>
      </c>
      <c r="C216" s="7">
        <f>IFERROR(__xludf.DUMMYFUNCTION("""COMPUTED_VALUE"""),242.51)</f>
        <v>242.51</v>
      </c>
      <c r="D216" s="7">
        <f>IFERROR(__xludf.DUMMYFUNCTION("""COMPUTED_VALUE"""),239.82)</f>
        <v>239.82</v>
      </c>
      <c r="E216" s="7">
        <f>IFERROR(__xludf.DUMMYFUNCTION("""COMPUTED_VALUE"""),241.44)</f>
        <v>241.44</v>
      </c>
      <c r="F216" s="7">
        <f>IFERROR(__xludf.DUMMYFUNCTION("""COMPUTED_VALUE"""),6157824.0)</f>
        <v>6157824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f>IFERROR(__xludf.DUMMYFUNCTION("""COMPUTED_VALUE"""),45868.64583333333)</f>
        <v>45868.64583</v>
      </c>
      <c r="B217" s="7">
        <f>IFERROR(__xludf.DUMMYFUNCTION("""COMPUTED_VALUE"""),242.54)</f>
        <v>242.54</v>
      </c>
      <c r="C217" s="7">
        <f>IFERROR(__xludf.DUMMYFUNCTION("""COMPUTED_VALUE"""),243.71)</f>
        <v>243.71</v>
      </c>
      <c r="D217" s="7">
        <f>IFERROR(__xludf.DUMMYFUNCTION("""COMPUTED_VALUE"""),240.1)</f>
        <v>240.1</v>
      </c>
      <c r="E217" s="7">
        <f>IFERROR(__xludf.DUMMYFUNCTION("""COMPUTED_VALUE"""),241.81)</f>
        <v>241.81</v>
      </c>
      <c r="F217" s="7">
        <f>IFERROR(__xludf.DUMMYFUNCTION("""COMPUTED_VALUE"""),8767763.0)</f>
        <v>8767763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f>IFERROR(__xludf.DUMMYFUNCTION("""COMPUTED_VALUE"""),45869.64583333333)</f>
        <v>45869.64583</v>
      </c>
      <c r="B218" s="7">
        <f>IFERROR(__xludf.DUMMYFUNCTION("""COMPUTED_VALUE"""),240.2)</f>
        <v>240.2</v>
      </c>
      <c r="C218" s="7">
        <f>IFERROR(__xludf.DUMMYFUNCTION("""COMPUTED_VALUE"""),242.81)</f>
        <v>242.81</v>
      </c>
      <c r="D218" s="7">
        <f>IFERROR(__xludf.DUMMYFUNCTION("""COMPUTED_VALUE"""),239.66)</f>
        <v>239.66</v>
      </c>
      <c r="E218" s="7">
        <f>IFERROR(__xludf.DUMMYFUNCTION("""COMPUTED_VALUE"""),241.0)</f>
        <v>241</v>
      </c>
      <c r="F218" s="7">
        <f>IFERROR(__xludf.DUMMYFUNCTION("""COMPUTED_VALUE"""),1.0254214E7)</f>
        <v>10254214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f>IFERROR(__xludf.DUMMYFUNCTION("""COMPUTED_VALUE"""),45870.64583333333)</f>
        <v>45870.64583</v>
      </c>
      <c r="B219" s="7">
        <f>IFERROR(__xludf.DUMMYFUNCTION("""COMPUTED_VALUE"""),240.1)</f>
        <v>240.1</v>
      </c>
      <c r="C219" s="7">
        <f>IFERROR(__xludf.DUMMYFUNCTION("""COMPUTED_VALUE"""),240.71)</f>
        <v>240.71</v>
      </c>
      <c r="D219" s="7">
        <f>IFERROR(__xludf.DUMMYFUNCTION("""COMPUTED_VALUE"""),234.05)</f>
        <v>234.05</v>
      </c>
      <c r="E219" s="7">
        <f>IFERROR(__xludf.DUMMYFUNCTION("""COMPUTED_VALUE"""),236.79)</f>
        <v>236.79</v>
      </c>
      <c r="F219" s="7">
        <f>IFERROR(__xludf.DUMMYFUNCTION("""COMPUTED_VALUE"""),1.2629251E7)</f>
        <v>12629251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f>IFERROR(__xludf.DUMMYFUNCTION("""COMPUTED_VALUE"""),45873.64583333333)</f>
        <v>45873.64583</v>
      </c>
      <c r="B220" s="7">
        <f>IFERROR(__xludf.DUMMYFUNCTION("""COMPUTED_VALUE"""),236.5)</f>
        <v>236.5</v>
      </c>
      <c r="C220" s="7">
        <f>IFERROR(__xludf.DUMMYFUNCTION("""COMPUTED_VALUE"""),238.39)</f>
        <v>238.39</v>
      </c>
      <c r="D220" s="7">
        <f>IFERROR(__xludf.DUMMYFUNCTION("""COMPUTED_VALUE"""),234.0)</f>
        <v>234</v>
      </c>
      <c r="E220" s="7">
        <f>IFERROR(__xludf.DUMMYFUNCTION("""COMPUTED_VALUE"""),234.83)</f>
        <v>234.83</v>
      </c>
      <c r="F220" s="7">
        <f>IFERROR(__xludf.DUMMYFUNCTION("""COMPUTED_VALUE"""),1.6174972E7)</f>
        <v>16174972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f>IFERROR(__xludf.DUMMYFUNCTION("""COMPUTED_VALUE"""),45874.64583333333)</f>
        <v>45874.64583</v>
      </c>
      <c r="B221" s="7">
        <f>IFERROR(__xludf.DUMMYFUNCTION("""COMPUTED_VALUE"""),235.5)</f>
        <v>235.5</v>
      </c>
      <c r="C221" s="7">
        <f>IFERROR(__xludf.DUMMYFUNCTION("""COMPUTED_VALUE"""),236.0)</f>
        <v>236</v>
      </c>
      <c r="D221" s="7">
        <f>IFERROR(__xludf.DUMMYFUNCTION("""COMPUTED_VALUE"""),233.05)</f>
        <v>233.05</v>
      </c>
      <c r="E221" s="7">
        <f>IFERROR(__xludf.DUMMYFUNCTION("""COMPUTED_VALUE"""),234.48)</f>
        <v>234.48</v>
      </c>
      <c r="F221" s="7">
        <f>IFERROR(__xludf.DUMMYFUNCTION("""COMPUTED_VALUE"""),9562689.0)</f>
        <v>9562689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f>IFERROR(__xludf.DUMMYFUNCTION("""COMPUTED_VALUE"""),45875.64583333333)</f>
        <v>45875.64583</v>
      </c>
      <c r="B222" s="7">
        <f>IFERROR(__xludf.DUMMYFUNCTION("""COMPUTED_VALUE"""),234.55)</f>
        <v>234.55</v>
      </c>
      <c r="C222" s="7">
        <f>IFERROR(__xludf.DUMMYFUNCTION("""COMPUTED_VALUE"""),235.37)</f>
        <v>235.37</v>
      </c>
      <c r="D222" s="7">
        <f>IFERROR(__xludf.DUMMYFUNCTION("""COMPUTED_VALUE"""),232.91)</f>
        <v>232.91</v>
      </c>
      <c r="E222" s="7">
        <f>IFERROR(__xludf.DUMMYFUNCTION("""COMPUTED_VALUE"""),233.77)</f>
        <v>233.77</v>
      </c>
      <c r="F222" s="7">
        <f>IFERROR(__xludf.DUMMYFUNCTION("""COMPUTED_VALUE"""),7568954.0)</f>
        <v>7568954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f>IFERROR(__xludf.DUMMYFUNCTION("""COMPUTED_VALUE"""),45876.64583333333)</f>
        <v>45876.64583</v>
      </c>
      <c r="B223" s="7">
        <f>IFERROR(__xludf.DUMMYFUNCTION("""COMPUTED_VALUE"""),233.15)</f>
        <v>233.15</v>
      </c>
      <c r="C223" s="7">
        <f>IFERROR(__xludf.DUMMYFUNCTION("""COMPUTED_VALUE"""),234.2)</f>
        <v>234.2</v>
      </c>
      <c r="D223" s="7">
        <f>IFERROR(__xludf.DUMMYFUNCTION("""COMPUTED_VALUE"""),231.31)</f>
        <v>231.31</v>
      </c>
      <c r="E223" s="7">
        <f>IFERROR(__xludf.DUMMYFUNCTION("""COMPUTED_VALUE"""),233.93)</f>
        <v>233.93</v>
      </c>
      <c r="F223" s="7">
        <f>IFERROR(__xludf.DUMMYFUNCTION("""COMPUTED_VALUE"""),5560413.0)</f>
        <v>5560413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f>IFERROR(__xludf.DUMMYFUNCTION("""COMPUTED_VALUE"""),45877.64583333333)</f>
        <v>45877.64583</v>
      </c>
      <c r="B224" s="7">
        <f>IFERROR(__xludf.DUMMYFUNCTION("""COMPUTED_VALUE"""),233.9)</f>
        <v>233.9</v>
      </c>
      <c r="C224" s="7">
        <f>IFERROR(__xludf.DUMMYFUNCTION("""COMPUTED_VALUE"""),235.12)</f>
        <v>235.12</v>
      </c>
      <c r="D224" s="7">
        <f>IFERROR(__xludf.DUMMYFUNCTION("""COMPUTED_VALUE"""),232.68)</f>
        <v>232.68</v>
      </c>
      <c r="E224" s="7">
        <f>IFERROR(__xludf.DUMMYFUNCTION("""COMPUTED_VALUE"""),233.44)</f>
        <v>233.44</v>
      </c>
      <c r="F224" s="7">
        <f>IFERROR(__xludf.DUMMYFUNCTION("""COMPUTED_VALUE"""),5249568.0)</f>
        <v>5249568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f>IFERROR(__xludf.DUMMYFUNCTION("""COMPUTED_VALUE"""),45880.64583333333)</f>
        <v>45880.64583</v>
      </c>
      <c r="B225" s="7">
        <f>IFERROR(__xludf.DUMMYFUNCTION("""COMPUTED_VALUE"""),233.44)</f>
        <v>233.44</v>
      </c>
      <c r="C225" s="7">
        <f>IFERROR(__xludf.DUMMYFUNCTION("""COMPUTED_VALUE"""),235.0)</f>
        <v>235</v>
      </c>
      <c r="D225" s="7">
        <f>IFERROR(__xludf.DUMMYFUNCTION("""COMPUTED_VALUE"""),231.58)</f>
        <v>231.58</v>
      </c>
      <c r="E225" s="7">
        <f>IFERROR(__xludf.DUMMYFUNCTION("""COMPUTED_VALUE"""),233.79)</f>
        <v>233.79</v>
      </c>
      <c r="F225" s="7">
        <f>IFERROR(__xludf.DUMMYFUNCTION("""COMPUTED_VALUE"""),4699743.0)</f>
        <v>4699743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f>IFERROR(__xludf.DUMMYFUNCTION("""COMPUTED_VALUE"""),45881.64583333333)</f>
        <v>45881.64583</v>
      </c>
      <c r="B226" s="7">
        <f>IFERROR(__xludf.DUMMYFUNCTION("""COMPUTED_VALUE"""),233.8)</f>
        <v>233.8</v>
      </c>
      <c r="C226" s="7">
        <f>IFERROR(__xludf.DUMMYFUNCTION("""COMPUTED_VALUE"""),236.36)</f>
        <v>236.36</v>
      </c>
      <c r="D226" s="7">
        <f>IFERROR(__xludf.DUMMYFUNCTION("""COMPUTED_VALUE"""),233.61)</f>
        <v>233.61</v>
      </c>
      <c r="E226" s="7">
        <f>IFERROR(__xludf.DUMMYFUNCTION("""COMPUTED_VALUE"""),235.52)</f>
        <v>235.52</v>
      </c>
      <c r="F226" s="7">
        <f>IFERROR(__xludf.DUMMYFUNCTION("""COMPUTED_VALUE"""),7036778.0)</f>
        <v>7036778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f>IFERROR(__xludf.DUMMYFUNCTION("""COMPUTED_VALUE"""),45882.64583333333)</f>
        <v>45882.64583</v>
      </c>
      <c r="B227" s="7">
        <f>IFERROR(__xludf.DUMMYFUNCTION("""COMPUTED_VALUE"""),237.74)</f>
        <v>237.74</v>
      </c>
      <c r="C227" s="7">
        <f>IFERROR(__xludf.DUMMYFUNCTION("""COMPUTED_VALUE"""),239.95)</f>
        <v>239.95</v>
      </c>
      <c r="D227" s="7">
        <f>IFERROR(__xludf.DUMMYFUNCTION("""COMPUTED_VALUE"""),236.3)</f>
        <v>236.3</v>
      </c>
      <c r="E227" s="7">
        <f>IFERROR(__xludf.DUMMYFUNCTION("""COMPUTED_VALUE"""),238.67)</f>
        <v>238.67</v>
      </c>
      <c r="F227" s="7">
        <f>IFERROR(__xludf.DUMMYFUNCTION("""COMPUTED_VALUE"""),8501906.0)</f>
        <v>8501906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f>IFERROR(__xludf.DUMMYFUNCTION("""COMPUTED_VALUE"""),45883.64583333333)</f>
        <v>45883.64583</v>
      </c>
      <c r="B228" s="7">
        <f>IFERROR(__xludf.DUMMYFUNCTION("""COMPUTED_VALUE"""),238.51)</f>
        <v>238.51</v>
      </c>
      <c r="C228" s="7">
        <f>IFERROR(__xludf.DUMMYFUNCTION("""COMPUTED_VALUE"""),238.67)</f>
        <v>238.67</v>
      </c>
      <c r="D228" s="7">
        <f>IFERROR(__xludf.DUMMYFUNCTION("""COMPUTED_VALUE"""),234.43)</f>
        <v>234.43</v>
      </c>
      <c r="E228" s="7">
        <f>IFERROR(__xludf.DUMMYFUNCTION("""COMPUTED_VALUE"""),236.94)</f>
        <v>236.94</v>
      </c>
      <c r="F228" s="7">
        <f>IFERROR(__xludf.DUMMYFUNCTION("""COMPUTED_VALUE"""),7258450.0)</f>
        <v>7258450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f>IFERROR(__xludf.DUMMYFUNCTION("""COMPUTED_VALUE"""),45887.64583333333)</f>
        <v>45887.64583</v>
      </c>
      <c r="B229" s="7">
        <f>IFERROR(__xludf.DUMMYFUNCTION("""COMPUTED_VALUE"""),237.25)</f>
        <v>237.25</v>
      </c>
      <c r="C229" s="7">
        <f>IFERROR(__xludf.DUMMYFUNCTION("""COMPUTED_VALUE"""),238.59)</f>
        <v>238.59</v>
      </c>
      <c r="D229" s="7">
        <f>IFERROR(__xludf.DUMMYFUNCTION("""COMPUTED_VALUE"""),235.5)</f>
        <v>235.5</v>
      </c>
      <c r="E229" s="7">
        <f>IFERROR(__xludf.DUMMYFUNCTION("""COMPUTED_VALUE"""),238.16)</f>
        <v>238.16</v>
      </c>
      <c r="F229" s="7">
        <f>IFERROR(__xludf.DUMMYFUNCTION("""COMPUTED_VALUE"""),8501972.0)</f>
        <v>8501972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f>IFERROR(__xludf.DUMMYFUNCTION("""COMPUTED_VALUE"""),45888.64583333333)</f>
        <v>45888.64583</v>
      </c>
      <c r="B230" s="7">
        <f>IFERROR(__xludf.DUMMYFUNCTION("""COMPUTED_VALUE"""),237.5)</f>
        <v>237.5</v>
      </c>
      <c r="C230" s="7">
        <f>IFERROR(__xludf.DUMMYFUNCTION("""COMPUTED_VALUE"""),238.54)</f>
        <v>238.54</v>
      </c>
      <c r="D230" s="7">
        <f>IFERROR(__xludf.DUMMYFUNCTION("""COMPUTED_VALUE"""),236.68)</f>
        <v>236.68</v>
      </c>
      <c r="E230" s="7">
        <f>IFERROR(__xludf.DUMMYFUNCTION("""COMPUTED_VALUE"""),237.94)</f>
        <v>237.94</v>
      </c>
      <c r="F230" s="7">
        <f>IFERROR(__xludf.DUMMYFUNCTION("""COMPUTED_VALUE"""),5538059.0)</f>
        <v>5538059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f>IFERROR(__xludf.DUMMYFUNCTION("""COMPUTED_VALUE"""),45889.64583333333)</f>
        <v>45889.64583</v>
      </c>
      <c r="B231" s="7">
        <f>IFERROR(__xludf.DUMMYFUNCTION("""COMPUTED_VALUE"""),237.0)</f>
        <v>237</v>
      </c>
      <c r="C231" s="7">
        <f>IFERROR(__xludf.DUMMYFUNCTION("""COMPUTED_VALUE"""),239.09)</f>
        <v>239.09</v>
      </c>
      <c r="D231" s="7">
        <f>IFERROR(__xludf.DUMMYFUNCTION("""COMPUTED_VALUE"""),237.0)</f>
        <v>237</v>
      </c>
      <c r="E231" s="7">
        <f>IFERROR(__xludf.DUMMYFUNCTION("""COMPUTED_VALUE"""),237.93)</f>
        <v>237.93</v>
      </c>
      <c r="F231" s="7">
        <f>IFERROR(__xludf.DUMMYFUNCTION("""COMPUTED_VALUE"""),7438061.0)</f>
        <v>7438061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f>IFERROR(__xludf.DUMMYFUNCTION("""COMPUTED_VALUE"""),45890.64583333333)</f>
        <v>45890.64583</v>
      </c>
      <c r="B232" s="7">
        <f>IFERROR(__xludf.DUMMYFUNCTION("""COMPUTED_VALUE"""),238.0)</f>
        <v>238</v>
      </c>
      <c r="C232" s="7">
        <f>IFERROR(__xludf.DUMMYFUNCTION("""COMPUTED_VALUE"""),240.99)</f>
        <v>240.99</v>
      </c>
      <c r="D232" s="7">
        <f>IFERROR(__xludf.DUMMYFUNCTION("""COMPUTED_VALUE"""),237.23)</f>
        <v>237.23</v>
      </c>
      <c r="E232" s="7">
        <f>IFERROR(__xludf.DUMMYFUNCTION("""COMPUTED_VALUE"""),238.29)</f>
        <v>238.29</v>
      </c>
      <c r="F232" s="7">
        <f>IFERROR(__xludf.DUMMYFUNCTION("""COMPUTED_VALUE"""),8111371.0)</f>
        <v>8111371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f>IFERROR(__xludf.DUMMYFUNCTION("""COMPUTED_VALUE"""),45891.64583333333)</f>
        <v>45891.64583</v>
      </c>
      <c r="B233" s="7">
        <f>IFERROR(__xludf.DUMMYFUNCTION("""COMPUTED_VALUE"""),238.0)</f>
        <v>238</v>
      </c>
      <c r="C233" s="7">
        <f>IFERROR(__xludf.DUMMYFUNCTION("""COMPUTED_VALUE"""),238.63)</f>
        <v>238.63</v>
      </c>
      <c r="D233" s="7">
        <f>IFERROR(__xludf.DUMMYFUNCTION("""COMPUTED_VALUE"""),235.89)</f>
        <v>235.89</v>
      </c>
      <c r="E233" s="7">
        <f>IFERROR(__xludf.DUMMYFUNCTION("""COMPUTED_VALUE"""),236.29)</f>
        <v>236.29</v>
      </c>
      <c r="F233" s="7">
        <f>IFERROR(__xludf.DUMMYFUNCTION("""COMPUTED_VALUE"""),5423818.0)</f>
        <v>5423818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f>IFERROR(__xludf.DUMMYFUNCTION("""COMPUTED_VALUE"""),45894.64583333333)</f>
        <v>45894.64583</v>
      </c>
      <c r="B234" s="7">
        <f>IFERROR(__xludf.DUMMYFUNCTION("""COMPUTED_VALUE"""),236.3)</f>
        <v>236.3</v>
      </c>
      <c r="C234" s="7">
        <f>IFERROR(__xludf.DUMMYFUNCTION("""COMPUTED_VALUE"""),237.49)</f>
        <v>237.49</v>
      </c>
      <c r="D234" s="7">
        <f>IFERROR(__xludf.DUMMYFUNCTION("""COMPUTED_VALUE"""),235.65)</f>
        <v>235.65</v>
      </c>
      <c r="E234" s="7">
        <f>IFERROR(__xludf.DUMMYFUNCTION("""COMPUTED_VALUE"""),236.76)</f>
        <v>236.76</v>
      </c>
      <c r="F234" s="7">
        <f>IFERROR(__xludf.DUMMYFUNCTION("""COMPUTED_VALUE"""),8854258.0)</f>
        <v>8854258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f>IFERROR(__xludf.DUMMYFUNCTION("""COMPUTED_VALUE"""),45895.64583333333)</f>
        <v>45895.64583</v>
      </c>
      <c r="B235" s="7">
        <f>IFERROR(__xludf.DUMMYFUNCTION("""COMPUTED_VALUE"""),236.66)</f>
        <v>236.66</v>
      </c>
      <c r="C235" s="7">
        <f>IFERROR(__xludf.DUMMYFUNCTION("""COMPUTED_VALUE"""),237.3)</f>
        <v>237.3</v>
      </c>
      <c r="D235" s="7">
        <f>IFERROR(__xludf.DUMMYFUNCTION("""COMPUTED_VALUE"""),233.8)</f>
        <v>233.8</v>
      </c>
      <c r="E235" s="7">
        <f>IFERROR(__xludf.DUMMYFUNCTION("""COMPUTED_VALUE"""),234.19)</f>
        <v>234.19</v>
      </c>
      <c r="F235" s="7">
        <f>IFERROR(__xludf.DUMMYFUNCTION("""COMPUTED_VALUE"""),1.4671897E7)</f>
        <v>14671897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f>IFERROR(__xludf.DUMMYFUNCTION("""COMPUTED_VALUE"""),45897.64583333333)</f>
        <v>45897.64583</v>
      </c>
      <c r="B236" s="7">
        <f>IFERROR(__xludf.DUMMYFUNCTION("""COMPUTED_VALUE"""),234.3)</f>
        <v>234.3</v>
      </c>
      <c r="C236" s="7">
        <f>IFERROR(__xludf.DUMMYFUNCTION("""COMPUTED_VALUE"""),235.28)</f>
        <v>235.28</v>
      </c>
      <c r="D236" s="7">
        <f>IFERROR(__xludf.DUMMYFUNCTION("""COMPUTED_VALUE"""),232.38)</f>
        <v>232.38</v>
      </c>
      <c r="E236" s="7">
        <f>IFERROR(__xludf.DUMMYFUNCTION("""COMPUTED_VALUE"""),233.39)</f>
        <v>233.39</v>
      </c>
      <c r="F236" s="7">
        <f>IFERROR(__xludf.DUMMYFUNCTION("""COMPUTED_VALUE"""),1.3870643E7)</f>
        <v>13870643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f>IFERROR(__xludf.DUMMYFUNCTION("""COMPUTED_VALUE"""),45898.64583333333)</f>
        <v>45898.64583</v>
      </c>
      <c r="B237" s="7">
        <f>IFERROR(__xludf.DUMMYFUNCTION("""COMPUTED_VALUE"""),233.39)</f>
        <v>233.39</v>
      </c>
      <c r="C237" s="7">
        <f>IFERROR(__xludf.DUMMYFUNCTION("""COMPUTED_VALUE"""),235.37)</f>
        <v>235.37</v>
      </c>
      <c r="D237" s="7">
        <f>IFERROR(__xludf.DUMMYFUNCTION("""COMPUTED_VALUE"""),231.33)</f>
        <v>231.33</v>
      </c>
      <c r="E237" s="7">
        <f>IFERROR(__xludf.DUMMYFUNCTION("""COMPUTED_VALUE"""),233.71)</f>
        <v>233.71</v>
      </c>
      <c r="F237" s="7">
        <f>IFERROR(__xludf.DUMMYFUNCTION("""COMPUTED_VALUE"""),9928988.0)</f>
        <v>9928988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f>IFERROR(__xludf.DUMMYFUNCTION("""COMPUTED_VALUE"""),45901.64583333333)</f>
        <v>45901.64583</v>
      </c>
      <c r="B238" s="7">
        <f>IFERROR(__xludf.DUMMYFUNCTION("""COMPUTED_VALUE"""),234.0)</f>
        <v>234</v>
      </c>
      <c r="C238" s="7">
        <f>IFERROR(__xludf.DUMMYFUNCTION("""COMPUTED_VALUE"""),239.19)</f>
        <v>239.19</v>
      </c>
      <c r="D238" s="7">
        <f>IFERROR(__xludf.DUMMYFUNCTION("""COMPUTED_VALUE"""),233.07)</f>
        <v>233.07</v>
      </c>
      <c r="E238" s="7">
        <f>IFERROR(__xludf.DUMMYFUNCTION("""COMPUTED_VALUE"""),238.72)</f>
        <v>238.72</v>
      </c>
      <c r="F238" s="7">
        <f>IFERROR(__xludf.DUMMYFUNCTION("""COMPUTED_VALUE"""),4366396.0)</f>
        <v>4366396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f>IFERROR(__xludf.DUMMYFUNCTION("""COMPUTED_VALUE"""),45902.64583333333)</f>
        <v>45902.64583</v>
      </c>
      <c r="B239" s="7">
        <f>IFERROR(__xludf.DUMMYFUNCTION("""COMPUTED_VALUE"""),238.75)</f>
        <v>238.75</v>
      </c>
      <c r="C239" s="7">
        <f>IFERROR(__xludf.DUMMYFUNCTION("""COMPUTED_VALUE"""),242.5)</f>
        <v>242.5</v>
      </c>
      <c r="D239" s="7">
        <f>IFERROR(__xludf.DUMMYFUNCTION("""COMPUTED_VALUE"""),237.4)</f>
        <v>237.4</v>
      </c>
      <c r="E239" s="7">
        <f>IFERROR(__xludf.DUMMYFUNCTION("""COMPUTED_VALUE"""),239.49)</f>
        <v>239.49</v>
      </c>
      <c r="F239" s="7">
        <f>IFERROR(__xludf.DUMMYFUNCTION("""COMPUTED_VALUE"""),5921193.0)</f>
        <v>5921193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f>IFERROR(__xludf.DUMMYFUNCTION("""COMPUTED_VALUE"""),45903.64583333333)</f>
        <v>45903.64583</v>
      </c>
      <c r="B240" s="7">
        <f>IFERROR(__xludf.DUMMYFUNCTION("""COMPUTED_VALUE"""),239.5)</f>
        <v>239.5</v>
      </c>
      <c r="C240" s="7">
        <f>IFERROR(__xludf.DUMMYFUNCTION("""COMPUTED_VALUE"""),241.94)</f>
        <v>241.94</v>
      </c>
      <c r="D240" s="7">
        <f>IFERROR(__xludf.DUMMYFUNCTION("""COMPUTED_VALUE"""),238.46)</f>
        <v>238.46</v>
      </c>
      <c r="E240" s="7">
        <f>IFERROR(__xludf.DUMMYFUNCTION("""COMPUTED_VALUE"""),239.07)</f>
        <v>239.07</v>
      </c>
      <c r="F240" s="7">
        <f>IFERROR(__xludf.DUMMYFUNCTION("""COMPUTED_VALUE"""),4364007.0)</f>
        <v>4364007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f>IFERROR(__xludf.DUMMYFUNCTION("""COMPUTED_VALUE"""),45904.64583333333)</f>
        <v>45904.64583</v>
      </c>
      <c r="B241" s="7">
        <f>IFERROR(__xludf.DUMMYFUNCTION("""COMPUTED_VALUE"""),239.07)</f>
        <v>239.07</v>
      </c>
      <c r="C241" s="7">
        <f>IFERROR(__xludf.DUMMYFUNCTION("""COMPUTED_VALUE"""),239.35)</f>
        <v>239.35</v>
      </c>
      <c r="D241" s="7">
        <f>IFERROR(__xludf.DUMMYFUNCTION("""COMPUTED_VALUE"""),235.43)</f>
        <v>235.43</v>
      </c>
      <c r="E241" s="7">
        <f>IFERROR(__xludf.DUMMYFUNCTION("""COMPUTED_VALUE"""),235.72)</f>
        <v>235.72</v>
      </c>
      <c r="F241" s="7">
        <f>IFERROR(__xludf.DUMMYFUNCTION("""COMPUTED_VALUE"""),8778730.0)</f>
        <v>8778730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f>IFERROR(__xludf.DUMMYFUNCTION("""COMPUTED_VALUE"""),45905.64583333333)</f>
        <v>45905.64583</v>
      </c>
      <c r="B242" s="7">
        <f>IFERROR(__xludf.DUMMYFUNCTION("""COMPUTED_VALUE"""),235.75)</f>
        <v>235.75</v>
      </c>
      <c r="C242" s="7">
        <f>IFERROR(__xludf.DUMMYFUNCTION("""COMPUTED_VALUE"""),237.16)</f>
        <v>237.16</v>
      </c>
      <c r="D242" s="7">
        <f>IFERROR(__xludf.DUMMYFUNCTION("""COMPUTED_VALUE"""),233.01)</f>
        <v>233.01</v>
      </c>
      <c r="E242" s="7">
        <f>IFERROR(__xludf.DUMMYFUNCTION("""COMPUTED_VALUE"""),234.13)</f>
        <v>234.13</v>
      </c>
      <c r="F242" s="7">
        <f>IFERROR(__xludf.DUMMYFUNCTION("""COMPUTED_VALUE"""),7210683.0)</f>
        <v>7210683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f>IFERROR(__xludf.DUMMYFUNCTION("""COMPUTED_VALUE"""),45908.64583333333)</f>
        <v>45908.64583</v>
      </c>
      <c r="B243" s="7">
        <f>IFERROR(__xludf.DUMMYFUNCTION("""COMPUTED_VALUE"""),234.13)</f>
        <v>234.13</v>
      </c>
      <c r="C243" s="7">
        <f>IFERROR(__xludf.DUMMYFUNCTION("""COMPUTED_VALUE"""),234.98)</f>
        <v>234.98</v>
      </c>
      <c r="D243" s="7">
        <f>IFERROR(__xludf.DUMMYFUNCTION("""COMPUTED_VALUE"""),232.06)</f>
        <v>232.06</v>
      </c>
      <c r="E243" s="7">
        <f>IFERROR(__xludf.DUMMYFUNCTION("""COMPUTED_VALUE"""),232.53)</f>
        <v>232.53</v>
      </c>
      <c r="F243" s="7">
        <f>IFERROR(__xludf.DUMMYFUNCTION("""COMPUTED_VALUE"""),8418326.0)</f>
        <v>8418326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f>IFERROR(__xludf.DUMMYFUNCTION("""COMPUTED_VALUE"""),45909.64583333333)</f>
        <v>45909.64583</v>
      </c>
      <c r="B244" s="7">
        <f>IFERROR(__xludf.DUMMYFUNCTION("""COMPUTED_VALUE"""),232.53)</f>
        <v>232.53</v>
      </c>
      <c r="C244" s="7">
        <f>IFERROR(__xludf.DUMMYFUNCTION("""COMPUTED_VALUE"""),234.59)</f>
        <v>234.59</v>
      </c>
      <c r="D244" s="7">
        <f>IFERROR(__xludf.DUMMYFUNCTION("""COMPUTED_VALUE"""),230.76)</f>
        <v>230.76</v>
      </c>
      <c r="E244" s="7">
        <f>IFERROR(__xludf.DUMMYFUNCTION("""COMPUTED_VALUE"""),231.33)</f>
        <v>231.33</v>
      </c>
      <c r="F244" s="7">
        <f>IFERROR(__xludf.DUMMYFUNCTION("""COMPUTED_VALUE"""),1.1665314E7)</f>
        <v>11665314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f>IFERROR(__xludf.DUMMYFUNCTION("""COMPUTED_VALUE"""),45910.64583333333)</f>
        <v>45910.64583</v>
      </c>
      <c r="B245" s="7">
        <f>IFERROR(__xludf.DUMMYFUNCTION("""COMPUTED_VALUE"""),233.0)</f>
        <v>233</v>
      </c>
      <c r="C245" s="7">
        <f>IFERROR(__xludf.DUMMYFUNCTION("""COMPUTED_VALUE"""),233.04)</f>
        <v>233.04</v>
      </c>
      <c r="D245" s="7">
        <f>IFERROR(__xludf.DUMMYFUNCTION("""COMPUTED_VALUE"""),231.0)</f>
        <v>231</v>
      </c>
      <c r="E245" s="7">
        <f>IFERROR(__xludf.DUMMYFUNCTION("""COMPUTED_VALUE"""),231.74)</f>
        <v>231.74</v>
      </c>
      <c r="F245" s="7">
        <f>IFERROR(__xludf.DUMMYFUNCTION("""COMPUTED_VALUE"""),1.1775053E7)</f>
        <v>11775053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f>IFERROR(__xludf.DUMMYFUNCTION("""COMPUTED_VALUE"""),45911.64583333333)</f>
        <v>45911.64583</v>
      </c>
      <c r="B246" s="7">
        <f>IFERROR(__xludf.DUMMYFUNCTION("""COMPUTED_VALUE"""),232.1)</f>
        <v>232.1</v>
      </c>
      <c r="C246" s="7">
        <f>IFERROR(__xludf.DUMMYFUNCTION("""COMPUTED_VALUE"""),235.22)</f>
        <v>235.22</v>
      </c>
      <c r="D246" s="7">
        <f>IFERROR(__xludf.DUMMYFUNCTION("""COMPUTED_VALUE"""),232.1)</f>
        <v>232.1</v>
      </c>
      <c r="E246" s="7">
        <f>IFERROR(__xludf.DUMMYFUNCTION("""COMPUTED_VALUE"""),233.76)</f>
        <v>233.76</v>
      </c>
      <c r="F246" s="7">
        <f>IFERROR(__xludf.DUMMYFUNCTION("""COMPUTED_VALUE"""),1.1047708E7)</f>
        <v>11047708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f>IFERROR(__xludf.DUMMYFUNCTION("""COMPUTED_VALUE"""),45912.64583333333)</f>
        <v>45912.64583</v>
      </c>
      <c r="B247" s="7">
        <f>IFERROR(__xludf.DUMMYFUNCTION("""COMPUTED_VALUE"""),234.51)</f>
        <v>234.51</v>
      </c>
      <c r="C247" s="7">
        <f>IFERROR(__xludf.DUMMYFUNCTION("""COMPUTED_VALUE"""),235.41)</f>
        <v>235.41</v>
      </c>
      <c r="D247" s="7">
        <f>IFERROR(__xludf.DUMMYFUNCTION("""COMPUTED_VALUE"""),232.7)</f>
        <v>232.7</v>
      </c>
      <c r="E247" s="7">
        <f>IFERROR(__xludf.DUMMYFUNCTION("""COMPUTED_VALUE"""),233.25)</f>
        <v>233.25</v>
      </c>
      <c r="F247" s="7">
        <f>IFERROR(__xludf.DUMMYFUNCTION("""COMPUTED_VALUE"""),6073522.0)</f>
        <v>6073522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f>IFERROR(__xludf.DUMMYFUNCTION("""COMPUTED_VALUE"""),45915.64583333333)</f>
        <v>45915.64583</v>
      </c>
      <c r="B248" s="7">
        <f>IFERROR(__xludf.DUMMYFUNCTION("""COMPUTED_VALUE"""),233.15)</f>
        <v>233.15</v>
      </c>
      <c r="C248" s="7">
        <f>IFERROR(__xludf.DUMMYFUNCTION("""COMPUTED_VALUE"""),234.19)</f>
        <v>234.19</v>
      </c>
      <c r="D248" s="7">
        <f>IFERROR(__xludf.DUMMYFUNCTION("""COMPUTED_VALUE"""),232.0)</f>
        <v>232</v>
      </c>
      <c r="E248" s="7">
        <f>IFERROR(__xludf.DUMMYFUNCTION("""COMPUTED_VALUE"""),232.26)</f>
        <v>232.26</v>
      </c>
      <c r="F248" s="7">
        <f>IFERROR(__xludf.DUMMYFUNCTION("""COMPUTED_VALUE"""),6153784.0)</f>
        <v>6153784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>
        <f>IFERROR(__xludf.DUMMYFUNCTION("""COMPUTED_VALUE"""),45916.64583333333)</f>
        <v>45916.64583</v>
      </c>
      <c r="B249" s="7">
        <f>IFERROR(__xludf.DUMMYFUNCTION("""COMPUTED_VALUE"""),232.48)</f>
        <v>232.48</v>
      </c>
      <c r="C249" s="7">
        <f>IFERROR(__xludf.DUMMYFUNCTION("""COMPUTED_VALUE"""),235.27)</f>
        <v>235.27</v>
      </c>
      <c r="D249" s="7">
        <f>IFERROR(__xludf.DUMMYFUNCTION("""COMPUTED_VALUE"""),232.42)</f>
        <v>232.42</v>
      </c>
      <c r="E249" s="7">
        <f>IFERROR(__xludf.DUMMYFUNCTION("""COMPUTED_VALUE"""),235.09)</f>
        <v>235.09</v>
      </c>
      <c r="F249" s="7">
        <f>IFERROR(__xludf.DUMMYFUNCTION("""COMPUTED_VALUE"""),7319845.0)</f>
        <v>7319845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IFERROR(__xludf.DUMMYFUNCTION("IFERROR(GOOGLEFINANCE(""NSE:NTPC"",""all"",EDATE(TODAY(),-12),TODAY(),""DAILY""))
"),"Date")</f>
        <v>Date</v>
      </c>
      <c r="B1" s="11" t="str">
        <f>IFERROR(__xludf.DUMMYFUNCTION("""COMPUTED_VALUE"""),"Open")</f>
        <v>Open</v>
      </c>
      <c r="C1" s="11" t="str">
        <f>IFERROR(__xludf.DUMMYFUNCTION("""COMPUTED_VALUE"""),"High")</f>
        <v>High</v>
      </c>
      <c r="D1" s="11" t="str">
        <f>IFERROR(__xludf.DUMMYFUNCTION("""COMPUTED_VALUE"""),"Low")</f>
        <v>Low</v>
      </c>
      <c r="E1" s="11" t="str">
        <f>IFERROR(__xludf.DUMMYFUNCTION("""COMPUTED_VALUE"""),"Close")</f>
        <v>Close</v>
      </c>
      <c r="F1" s="11" t="str">
        <f>IFERROR(__xludf.DUMMYFUNCTION("""COMPUTED_VALUE"""),"Volume")</f>
        <v>Volume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>
        <f>IFERROR(__xludf.DUMMYFUNCTION("""COMPUTED_VALUE"""),45551.64583333333)</f>
        <v>45551.64583</v>
      </c>
      <c r="B2" s="7">
        <f>IFERROR(__xludf.DUMMYFUNCTION("""COMPUTED_VALUE"""),402.45)</f>
        <v>402.45</v>
      </c>
      <c r="C2" s="7">
        <f>IFERROR(__xludf.DUMMYFUNCTION("""COMPUTED_VALUE"""),412.0)</f>
        <v>412</v>
      </c>
      <c r="D2" s="7">
        <f>IFERROR(__xludf.DUMMYFUNCTION("""COMPUTED_VALUE"""),402.0)</f>
        <v>402</v>
      </c>
      <c r="E2" s="7">
        <f>IFERROR(__xludf.DUMMYFUNCTION("""COMPUTED_VALUE"""),411.1)</f>
        <v>411.1</v>
      </c>
      <c r="F2" s="7">
        <f>IFERROR(__xludf.DUMMYFUNCTION("""COMPUTED_VALUE"""),1.1479712E7)</f>
        <v>11479712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f>IFERROR(__xludf.DUMMYFUNCTION("""COMPUTED_VALUE"""),45552.64583333333)</f>
        <v>45552.64583</v>
      </c>
      <c r="B3" s="7">
        <f>IFERROR(__xludf.DUMMYFUNCTION("""COMPUTED_VALUE"""),411.85)</f>
        <v>411.85</v>
      </c>
      <c r="C3" s="7">
        <f>IFERROR(__xludf.DUMMYFUNCTION("""COMPUTED_VALUE"""),417.65)</f>
        <v>417.65</v>
      </c>
      <c r="D3" s="7">
        <f>IFERROR(__xludf.DUMMYFUNCTION("""COMPUTED_VALUE"""),410.1)</f>
        <v>410.1</v>
      </c>
      <c r="E3" s="7">
        <f>IFERROR(__xludf.DUMMYFUNCTION("""COMPUTED_VALUE"""),416.3)</f>
        <v>416.3</v>
      </c>
      <c r="F3" s="7">
        <f>IFERROR(__xludf.DUMMYFUNCTION("""COMPUTED_VALUE"""),1.4432501E7)</f>
        <v>14432501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f>IFERROR(__xludf.DUMMYFUNCTION("""COMPUTED_VALUE"""),45553.64583333333)</f>
        <v>45553.64583</v>
      </c>
      <c r="B4" s="7">
        <f>IFERROR(__xludf.DUMMYFUNCTION("""COMPUTED_VALUE"""),418.5)</f>
        <v>418.5</v>
      </c>
      <c r="C4" s="7">
        <f>IFERROR(__xludf.DUMMYFUNCTION("""COMPUTED_VALUE"""),419.75)</f>
        <v>419.75</v>
      </c>
      <c r="D4" s="7">
        <f>IFERROR(__xludf.DUMMYFUNCTION("""COMPUTED_VALUE"""),413.0)</f>
        <v>413</v>
      </c>
      <c r="E4" s="7">
        <f>IFERROR(__xludf.DUMMYFUNCTION("""COMPUTED_VALUE"""),414.15)</f>
        <v>414.15</v>
      </c>
      <c r="F4" s="7">
        <f>IFERROR(__xludf.DUMMYFUNCTION("""COMPUTED_VALUE"""),1.030384E7)</f>
        <v>10303840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f>IFERROR(__xludf.DUMMYFUNCTION("""COMPUTED_VALUE"""),45554.64583333333)</f>
        <v>45554.64583</v>
      </c>
      <c r="B5" s="7">
        <f>IFERROR(__xludf.DUMMYFUNCTION("""COMPUTED_VALUE"""),424.0)</f>
        <v>424</v>
      </c>
      <c r="C5" s="7">
        <f>IFERROR(__xludf.DUMMYFUNCTION("""COMPUTED_VALUE"""),431.85)</f>
        <v>431.85</v>
      </c>
      <c r="D5" s="7">
        <f>IFERROR(__xludf.DUMMYFUNCTION("""COMPUTED_VALUE"""),420.55)</f>
        <v>420.55</v>
      </c>
      <c r="E5" s="7">
        <f>IFERROR(__xludf.DUMMYFUNCTION("""COMPUTED_VALUE"""),423.95)</f>
        <v>423.95</v>
      </c>
      <c r="F5" s="7">
        <f>IFERROR(__xludf.DUMMYFUNCTION("""COMPUTED_VALUE"""),5.9601773E7)</f>
        <v>59601773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f>IFERROR(__xludf.DUMMYFUNCTION("""COMPUTED_VALUE"""),45555.64583333333)</f>
        <v>45555.64583</v>
      </c>
      <c r="B6" s="7">
        <f>IFERROR(__xludf.DUMMYFUNCTION("""COMPUTED_VALUE"""),428.05)</f>
        <v>428.05</v>
      </c>
      <c r="C6" s="7">
        <f>IFERROR(__xludf.DUMMYFUNCTION("""COMPUTED_VALUE"""),429.85)</f>
        <v>429.85</v>
      </c>
      <c r="D6" s="7">
        <f>IFERROR(__xludf.DUMMYFUNCTION("""COMPUTED_VALUE"""),416.55)</f>
        <v>416.55</v>
      </c>
      <c r="E6" s="7">
        <f>IFERROR(__xludf.DUMMYFUNCTION("""COMPUTED_VALUE"""),423.95)</f>
        <v>423.95</v>
      </c>
      <c r="F6" s="7">
        <f>IFERROR(__xludf.DUMMYFUNCTION("""COMPUTED_VALUE"""),3.6084164E7)</f>
        <v>36084164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f>IFERROR(__xludf.DUMMYFUNCTION("""COMPUTED_VALUE"""),45558.64583333333)</f>
        <v>45558.64583</v>
      </c>
      <c r="B7" s="7">
        <f>IFERROR(__xludf.DUMMYFUNCTION("""COMPUTED_VALUE"""),427.5)</f>
        <v>427.5</v>
      </c>
      <c r="C7" s="7">
        <f>IFERROR(__xludf.DUMMYFUNCTION("""COMPUTED_VALUE"""),430.5)</f>
        <v>430.5</v>
      </c>
      <c r="D7" s="7">
        <f>IFERROR(__xludf.DUMMYFUNCTION("""COMPUTED_VALUE"""),425.0)</f>
        <v>425</v>
      </c>
      <c r="E7" s="7">
        <f>IFERROR(__xludf.DUMMYFUNCTION("""COMPUTED_VALUE"""),428.35)</f>
        <v>428.35</v>
      </c>
      <c r="F7" s="7">
        <f>IFERROR(__xludf.DUMMYFUNCTION("""COMPUTED_VALUE"""),1.4139629E7)</f>
        <v>14139629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f>IFERROR(__xludf.DUMMYFUNCTION("""COMPUTED_VALUE"""),45559.64583333333)</f>
        <v>45559.64583</v>
      </c>
      <c r="B8" s="7">
        <f>IFERROR(__xludf.DUMMYFUNCTION("""COMPUTED_VALUE"""),431.45)</f>
        <v>431.45</v>
      </c>
      <c r="C8" s="7">
        <f>IFERROR(__xludf.DUMMYFUNCTION("""COMPUTED_VALUE"""),431.45)</f>
        <v>431.45</v>
      </c>
      <c r="D8" s="7">
        <f>IFERROR(__xludf.DUMMYFUNCTION("""COMPUTED_VALUE"""),427.0)</f>
        <v>427</v>
      </c>
      <c r="E8" s="7">
        <f>IFERROR(__xludf.DUMMYFUNCTION("""COMPUTED_VALUE"""),428.1)</f>
        <v>428.1</v>
      </c>
      <c r="F8" s="7">
        <f>IFERROR(__xludf.DUMMYFUNCTION("""COMPUTED_VALUE"""),1.2539885E7)</f>
        <v>12539885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f>IFERROR(__xludf.DUMMYFUNCTION("""COMPUTED_VALUE"""),45560.64583333333)</f>
        <v>45560.64583</v>
      </c>
      <c r="B9" s="7">
        <f>IFERROR(__xludf.DUMMYFUNCTION("""COMPUTED_VALUE"""),428.1)</f>
        <v>428.1</v>
      </c>
      <c r="C9" s="7">
        <f>IFERROR(__xludf.DUMMYFUNCTION("""COMPUTED_VALUE"""),437.0)</f>
        <v>437</v>
      </c>
      <c r="D9" s="7">
        <f>IFERROR(__xludf.DUMMYFUNCTION("""COMPUTED_VALUE"""),425.65)</f>
        <v>425.65</v>
      </c>
      <c r="E9" s="7">
        <f>IFERROR(__xludf.DUMMYFUNCTION("""COMPUTED_VALUE"""),436.1)</f>
        <v>436.1</v>
      </c>
      <c r="F9" s="7">
        <f>IFERROR(__xludf.DUMMYFUNCTION("""COMPUTED_VALUE"""),1.9443168E7)</f>
        <v>19443168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f>IFERROR(__xludf.DUMMYFUNCTION("""COMPUTED_VALUE"""),45561.64583333333)</f>
        <v>45561.64583</v>
      </c>
      <c r="B10" s="7">
        <f>IFERROR(__xludf.DUMMYFUNCTION("""COMPUTED_VALUE"""),437.95)</f>
        <v>437.95</v>
      </c>
      <c r="C10" s="7">
        <f>IFERROR(__xludf.DUMMYFUNCTION("""COMPUTED_VALUE"""),437.95)</f>
        <v>437.95</v>
      </c>
      <c r="D10" s="7">
        <f>IFERROR(__xludf.DUMMYFUNCTION("""COMPUTED_VALUE"""),430.55)</f>
        <v>430.55</v>
      </c>
      <c r="E10" s="7">
        <f>IFERROR(__xludf.DUMMYFUNCTION("""COMPUTED_VALUE"""),434.6)</f>
        <v>434.6</v>
      </c>
      <c r="F10" s="7">
        <f>IFERROR(__xludf.DUMMYFUNCTION("""COMPUTED_VALUE"""),2.0041825E7)</f>
        <v>20041825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f>IFERROR(__xludf.DUMMYFUNCTION("""COMPUTED_VALUE"""),45562.64583333333)</f>
        <v>45562.64583</v>
      </c>
      <c r="B11" s="7">
        <f>IFERROR(__xludf.DUMMYFUNCTION("""COMPUTED_VALUE"""),436.0)</f>
        <v>436</v>
      </c>
      <c r="C11" s="7">
        <f>IFERROR(__xludf.DUMMYFUNCTION("""COMPUTED_VALUE"""),442.5)</f>
        <v>442.5</v>
      </c>
      <c r="D11" s="7">
        <f>IFERROR(__xludf.DUMMYFUNCTION("""COMPUTED_VALUE"""),433.5)</f>
        <v>433.5</v>
      </c>
      <c r="E11" s="7">
        <f>IFERROR(__xludf.DUMMYFUNCTION("""COMPUTED_VALUE"""),436.9)</f>
        <v>436.9</v>
      </c>
      <c r="F11" s="7">
        <f>IFERROR(__xludf.DUMMYFUNCTION("""COMPUTED_VALUE"""),5.3885913E7)</f>
        <v>53885913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f>IFERROR(__xludf.DUMMYFUNCTION("""COMPUTED_VALUE"""),45565.64583333333)</f>
        <v>45565.64583</v>
      </c>
      <c r="B12" s="7">
        <f>IFERROR(__xludf.DUMMYFUNCTION("""COMPUTED_VALUE"""),436.9)</f>
        <v>436.9</v>
      </c>
      <c r="C12" s="7">
        <f>IFERROR(__xludf.DUMMYFUNCTION("""COMPUTED_VALUE"""),448.45)</f>
        <v>448.45</v>
      </c>
      <c r="D12" s="7">
        <f>IFERROR(__xludf.DUMMYFUNCTION("""COMPUTED_VALUE"""),433.6)</f>
        <v>433.6</v>
      </c>
      <c r="E12" s="7">
        <f>IFERROR(__xludf.DUMMYFUNCTION("""COMPUTED_VALUE"""),443.2)</f>
        <v>443.2</v>
      </c>
      <c r="F12" s="7">
        <f>IFERROR(__xludf.DUMMYFUNCTION("""COMPUTED_VALUE"""),2.0903229E7)</f>
        <v>20903229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f>IFERROR(__xludf.DUMMYFUNCTION("""COMPUTED_VALUE"""),45566.64583333333)</f>
        <v>45566.64583</v>
      </c>
      <c r="B13" s="7">
        <f>IFERROR(__xludf.DUMMYFUNCTION("""COMPUTED_VALUE"""),446.0)</f>
        <v>446</v>
      </c>
      <c r="C13" s="7">
        <f>IFERROR(__xludf.DUMMYFUNCTION("""COMPUTED_VALUE"""),447.75)</f>
        <v>447.75</v>
      </c>
      <c r="D13" s="7">
        <f>IFERROR(__xludf.DUMMYFUNCTION("""COMPUTED_VALUE"""),438.8)</f>
        <v>438.8</v>
      </c>
      <c r="E13" s="7">
        <f>IFERROR(__xludf.DUMMYFUNCTION("""COMPUTED_VALUE"""),440.1)</f>
        <v>440.1</v>
      </c>
      <c r="F13" s="7">
        <f>IFERROR(__xludf.DUMMYFUNCTION("""COMPUTED_VALUE"""),1.5984996E7)</f>
        <v>15984996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f>IFERROR(__xludf.DUMMYFUNCTION("""COMPUTED_VALUE"""),45568.64583333333)</f>
        <v>45568.64583</v>
      </c>
      <c r="B14" s="7">
        <f>IFERROR(__xludf.DUMMYFUNCTION("""COMPUTED_VALUE"""),432.0)</f>
        <v>432</v>
      </c>
      <c r="C14" s="7">
        <f>IFERROR(__xludf.DUMMYFUNCTION("""COMPUTED_VALUE"""),442.5)</f>
        <v>442.5</v>
      </c>
      <c r="D14" s="7">
        <f>IFERROR(__xludf.DUMMYFUNCTION("""COMPUTED_VALUE"""),432.0)</f>
        <v>432</v>
      </c>
      <c r="E14" s="7">
        <f>IFERROR(__xludf.DUMMYFUNCTION("""COMPUTED_VALUE"""),435.35)</f>
        <v>435.35</v>
      </c>
      <c r="F14" s="7">
        <f>IFERROR(__xludf.DUMMYFUNCTION("""COMPUTED_VALUE"""),1.3563784E7)</f>
        <v>13563784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f>IFERROR(__xludf.DUMMYFUNCTION("""COMPUTED_VALUE"""),45569.64583333333)</f>
        <v>45569.64583</v>
      </c>
      <c r="B15" s="7">
        <f>IFERROR(__xludf.DUMMYFUNCTION("""COMPUTED_VALUE"""),432.9)</f>
        <v>432.9</v>
      </c>
      <c r="C15" s="7">
        <f>IFERROR(__xludf.DUMMYFUNCTION("""COMPUTED_VALUE"""),439.35)</f>
        <v>439.35</v>
      </c>
      <c r="D15" s="7">
        <f>IFERROR(__xludf.DUMMYFUNCTION("""COMPUTED_VALUE"""),426.3)</f>
        <v>426.3</v>
      </c>
      <c r="E15" s="7">
        <f>IFERROR(__xludf.DUMMYFUNCTION("""COMPUTED_VALUE"""),430.45)</f>
        <v>430.45</v>
      </c>
      <c r="F15" s="7">
        <f>IFERROR(__xludf.DUMMYFUNCTION("""COMPUTED_VALUE"""),1.8347292E7)</f>
        <v>18347292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f>IFERROR(__xludf.DUMMYFUNCTION("""COMPUTED_VALUE"""),45572.64583333333)</f>
        <v>45572.64583</v>
      </c>
      <c r="B16" s="7">
        <f>IFERROR(__xludf.DUMMYFUNCTION("""COMPUTED_VALUE"""),430.6)</f>
        <v>430.6</v>
      </c>
      <c r="C16" s="7">
        <f>IFERROR(__xludf.DUMMYFUNCTION("""COMPUTED_VALUE"""),433.0)</f>
        <v>433</v>
      </c>
      <c r="D16" s="7">
        <f>IFERROR(__xludf.DUMMYFUNCTION("""COMPUTED_VALUE"""),409.05)</f>
        <v>409.05</v>
      </c>
      <c r="E16" s="7">
        <f>IFERROR(__xludf.DUMMYFUNCTION("""COMPUTED_VALUE"""),415.45)</f>
        <v>415.45</v>
      </c>
      <c r="F16" s="7">
        <f>IFERROR(__xludf.DUMMYFUNCTION("""COMPUTED_VALUE"""),2.3431004E7)</f>
        <v>23431004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f>IFERROR(__xludf.DUMMYFUNCTION("""COMPUTED_VALUE"""),45573.64583333333)</f>
        <v>45573.64583</v>
      </c>
      <c r="B17" s="7">
        <f>IFERROR(__xludf.DUMMYFUNCTION("""COMPUTED_VALUE"""),414.0)</f>
        <v>414</v>
      </c>
      <c r="C17" s="7">
        <f>IFERROR(__xludf.DUMMYFUNCTION("""COMPUTED_VALUE"""),427.7)</f>
        <v>427.7</v>
      </c>
      <c r="D17" s="7">
        <f>IFERROR(__xludf.DUMMYFUNCTION("""COMPUTED_VALUE"""),411.3)</f>
        <v>411.3</v>
      </c>
      <c r="E17" s="7">
        <f>IFERROR(__xludf.DUMMYFUNCTION("""COMPUTED_VALUE"""),420.95)</f>
        <v>420.95</v>
      </c>
      <c r="F17" s="7">
        <f>IFERROR(__xludf.DUMMYFUNCTION("""COMPUTED_VALUE"""),1.8706355E7)</f>
        <v>18706355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f>IFERROR(__xludf.DUMMYFUNCTION("""COMPUTED_VALUE"""),45574.64583333333)</f>
        <v>45574.64583</v>
      </c>
      <c r="B18" s="7">
        <f>IFERROR(__xludf.DUMMYFUNCTION("""COMPUTED_VALUE"""),424.45)</f>
        <v>424.45</v>
      </c>
      <c r="C18" s="7">
        <f>IFERROR(__xludf.DUMMYFUNCTION("""COMPUTED_VALUE"""),424.75)</f>
        <v>424.75</v>
      </c>
      <c r="D18" s="7">
        <f>IFERROR(__xludf.DUMMYFUNCTION("""COMPUTED_VALUE"""),417.0)</f>
        <v>417</v>
      </c>
      <c r="E18" s="7">
        <f>IFERROR(__xludf.DUMMYFUNCTION("""COMPUTED_VALUE"""),418.45)</f>
        <v>418.45</v>
      </c>
      <c r="F18" s="7">
        <f>IFERROR(__xludf.DUMMYFUNCTION("""COMPUTED_VALUE"""),1.3916492E7)</f>
        <v>13916492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f>IFERROR(__xludf.DUMMYFUNCTION("""COMPUTED_VALUE"""),45575.64583333333)</f>
        <v>45575.64583</v>
      </c>
      <c r="B19" s="7">
        <f>IFERROR(__xludf.DUMMYFUNCTION("""COMPUTED_VALUE"""),420.7)</f>
        <v>420.7</v>
      </c>
      <c r="C19" s="7">
        <f>IFERROR(__xludf.DUMMYFUNCTION("""COMPUTED_VALUE"""),429.9)</f>
        <v>429.9</v>
      </c>
      <c r="D19" s="7">
        <f>IFERROR(__xludf.DUMMYFUNCTION("""COMPUTED_VALUE"""),420.5)</f>
        <v>420.5</v>
      </c>
      <c r="E19" s="7">
        <f>IFERROR(__xludf.DUMMYFUNCTION("""COMPUTED_VALUE"""),422.7)</f>
        <v>422.7</v>
      </c>
      <c r="F19" s="7">
        <f>IFERROR(__xludf.DUMMYFUNCTION("""COMPUTED_VALUE"""),1.5866037E7)</f>
        <v>15866037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f>IFERROR(__xludf.DUMMYFUNCTION("""COMPUTED_VALUE"""),45576.64583333333)</f>
        <v>45576.64583</v>
      </c>
      <c r="B20" s="7">
        <f>IFERROR(__xludf.DUMMYFUNCTION("""COMPUTED_VALUE"""),423.95)</f>
        <v>423.95</v>
      </c>
      <c r="C20" s="7">
        <f>IFERROR(__xludf.DUMMYFUNCTION("""COMPUTED_VALUE"""),426.65)</f>
        <v>426.65</v>
      </c>
      <c r="D20" s="7">
        <f>IFERROR(__xludf.DUMMYFUNCTION("""COMPUTED_VALUE"""),419.6)</f>
        <v>419.6</v>
      </c>
      <c r="E20" s="7">
        <f>IFERROR(__xludf.DUMMYFUNCTION("""COMPUTED_VALUE"""),422.5)</f>
        <v>422.5</v>
      </c>
      <c r="F20" s="7">
        <f>IFERROR(__xludf.DUMMYFUNCTION("""COMPUTED_VALUE"""),8639087.0)</f>
        <v>8639087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f>IFERROR(__xludf.DUMMYFUNCTION("""COMPUTED_VALUE"""),45579.64583333333)</f>
        <v>45579.64583</v>
      </c>
      <c r="B21" s="7">
        <f>IFERROR(__xludf.DUMMYFUNCTION("""COMPUTED_VALUE"""),424.6)</f>
        <v>424.6</v>
      </c>
      <c r="C21" s="7">
        <f>IFERROR(__xludf.DUMMYFUNCTION("""COMPUTED_VALUE"""),426.0)</f>
        <v>426</v>
      </c>
      <c r="D21" s="7">
        <f>IFERROR(__xludf.DUMMYFUNCTION("""COMPUTED_VALUE"""),420.0)</f>
        <v>420</v>
      </c>
      <c r="E21" s="7">
        <f>IFERROR(__xludf.DUMMYFUNCTION("""COMPUTED_VALUE"""),424.5)</f>
        <v>424.5</v>
      </c>
      <c r="F21" s="7">
        <f>IFERROR(__xludf.DUMMYFUNCTION("""COMPUTED_VALUE"""),8483177.0)</f>
        <v>8483177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f>IFERROR(__xludf.DUMMYFUNCTION("""COMPUTED_VALUE"""),45580.64583333333)</f>
        <v>45580.64583</v>
      </c>
      <c r="B22" s="7">
        <f>IFERROR(__xludf.DUMMYFUNCTION("""COMPUTED_VALUE"""),426.65)</f>
        <v>426.65</v>
      </c>
      <c r="C22" s="7">
        <f>IFERROR(__xludf.DUMMYFUNCTION("""COMPUTED_VALUE"""),427.2)</f>
        <v>427.2</v>
      </c>
      <c r="D22" s="7">
        <f>IFERROR(__xludf.DUMMYFUNCTION("""COMPUTED_VALUE"""),423.55)</f>
        <v>423.55</v>
      </c>
      <c r="E22" s="7">
        <f>IFERROR(__xludf.DUMMYFUNCTION("""COMPUTED_VALUE"""),426.6)</f>
        <v>426.6</v>
      </c>
      <c r="F22" s="7">
        <f>IFERROR(__xludf.DUMMYFUNCTION("""COMPUTED_VALUE"""),9365964.0)</f>
        <v>9365964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f>IFERROR(__xludf.DUMMYFUNCTION("""COMPUTED_VALUE"""),45581.64583333333)</f>
        <v>45581.64583</v>
      </c>
      <c r="B23" s="7">
        <f>IFERROR(__xludf.DUMMYFUNCTION("""COMPUTED_VALUE"""),425.3)</f>
        <v>425.3</v>
      </c>
      <c r="C23" s="7">
        <f>IFERROR(__xludf.DUMMYFUNCTION("""COMPUTED_VALUE"""),429.4)</f>
        <v>429.4</v>
      </c>
      <c r="D23" s="7">
        <f>IFERROR(__xludf.DUMMYFUNCTION("""COMPUTED_VALUE"""),421.25)</f>
        <v>421.25</v>
      </c>
      <c r="E23" s="7">
        <f>IFERROR(__xludf.DUMMYFUNCTION("""COMPUTED_VALUE"""),424.25)</f>
        <v>424.25</v>
      </c>
      <c r="F23" s="7">
        <f>IFERROR(__xludf.DUMMYFUNCTION("""COMPUTED_VALUE"""),6219440.0)</f>
        <v>6219440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f>IFERROR(__xludf.DUMMYFUNCTION("""COMPUTED_VALUE"""),45582.64583333333)</f>
        <v>45582.64583</v>
      </c>
      <c r="B24" s="7">
        <f>IFERROR(__xludf.DUMMYFUNCTION("""COMPUTED_VALUE"""),423.65)</f>
        <v>423.65</v>
      </c>
      <c r="C24" s="7">
        <f>IFERROR(__xludf.DUMMYFUNCTION("""COMPUTED_VALUE"""),425.6)</f>
        <v>425.6</v>
      </c>
      <c r="D24" s="7">
        <f>IFERROR(__xludf.DUMMYFUNCTION("""COMPUTED_VALUE"""),416.6)</f>
        <v>416.6</v>
      </c>
      <c r="E24" s="7">
        <f>IFERROR(__xludf.DUMMYFUNCTION("""COMPUTED_VALUE"""),417.75)</f>
        <v>417.75</v>
      </c>
      <c r="F24" s="7">
        <f>IFERROR(__xludf.DUMMYFUNCTION("""COMPUTED_VALUE"""),1.1968387E7)</f>
        <v>11968387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f>IFERROR(__xludf.DUMMYFUNCTION("""COMPUTED_VALUE"""),45583.64583333333)</f>
        <v>45583.64583</v>
      </c>
      <c r="B25" s="7">
        <f>IFERROR(__xludf.DUMMYFUNCTION("""COMPUTED_VALUE"""),417.7)</f>
        <v>417.7</v>
      </c>
      <c r="C25" s="7">
        <f>IFERROR(__xludf.DUMMYFUNCTION("""COMPUTED_VALUE"""),425.95)</f>
        <v>425.95</v>
      </c>
      <c r="D25" s="7">
        <f>IFERROR(__xludf.DUMMYFUNCTION("""COMPUTED_VALUE"""),414.45)</f>
        <v>414.45</v>
      </c>
      <c r="E25" s="7">
        <f>IFERROR(__xludf.DUMMYFUNCTION("""COMPUTED_VALUE"""),424.95)</f>
        <v>424.95</v>
      </c>
      <c r="F25" s="7">
        <f>IFERROR(__xludf.DUMMYFUNCTION("""COMPUTED_VALUE"""),8828971.0)</f>
        <v>8828971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f>IFERROR(__xludf.DUMMYFUNCTION("""COMPUTED_VALUE"""),45586.64583333333)</f>
        <v>45586.64583</v>
      </c>
      <c r="B26" s="7">
        <f>IFERROR(__xludf.DUMMYFUNCTION("""COMPUTED_VALUE"""),426.05)</f>
        <v>426.05</v>
      </c>
      <c r="C26" s="7">
        <f>IFERROR(__xludf.DUMMYFUNCTION("""COMPUTED_VALUE"""),428.75)</f>
        <v>428.75</v>
      </c>
      <c r="D26" s="7">
        <f>IFERROR(__xludf.DUMMYFUNCTION("""COMPUTED_VALUE"""),419.1)</f>
        <v>419.1</v>
      </c>
      <c r="E26" s="7">
        <f>IFERROR(__xludf.DUMMYFUNCTION("""COMPUTED_VALUE"""),425.0)</f>
        <v>425</v>
      </c>
      <c r="F26" s="7">
        <f>IFERROR(__xludf.DUMMYFUNCTION("""COMPUTED_VALUE"""),9139781.0)</f>
        <v>9139781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f>IFERROR(__xludf.DUMMYFUNCTION("""COMPUTED_VALUE"""),45587.64583333333)</f>
        <v>45587.64583</v>
      </c>
      <c r="B27" s="7">
        <f>IFERROR(__xludf.DUMMYFUNCTION("""COMPUTED_VALUE"""),422.85)</f>
        <v>422.85</v>
      </c>
      <c r="C27" s="7">
        <f>IFERROR(__xludf.DUMMYFUNCTION("""COMPUTED_VALUE"""),426.3)</f>
        <v>426.3</v>
      </c>
      <c r="D27" s="7">
        <f>IFERROR(__xludf.DUMMYFUNCTION("""COMPUTED_VALUE"""),413.45)</f>
        <v>413.45</v>
      </c>
      <c r="E27" s="7">
        <f>IFERROR(__xludf.DUMMYFUNCTION("""COMPUTED_VALUE"""),415.75)</f>
        <v>415.75</v>
      </c>
      <c r="F27" s="7">
        <f>IFERROR(__xludf.DUMMYFUNCTION("""COMPUTED_VALUE"""),1.4242323E7)</f>
        <v>14242323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f>IFERROR(__xludf.DUMMYFUNCTION("""COMPUTED_VALUE"""),45588.64583333333)</f>
        <v>45588.64583</v>
      </c>
      <c r="B28" s="7">
        <f>IFERROR(__xludf.DUMMYFUNCTION("""COMPUTED_VALUE"""),414.0)</f>
        <v>414</v>
      </c>
      <c r="C28" s="7">
        <f>IFERROR(__xludf.DUMMYFUNCTION("""COMPUTED_VALUE"""),414.75)</f>
        <v>414.75</v>
      </c>
      <c r="D28" s="7">
        <f>IFERROR(__xludf.DUMMYFUNCTION("""COMPUTED_VALUE"""),401.7)</f>
        <v>401.7</v>
      </c>
      <c r="E28" s="7">
        <f>IFERROR(__xludf.DUMMYFUNCTION("""COMPUTED_VALUE"""),408.3)</f>
        <v>408.3</v>
      </c>
      <c r="F28" s="7">
        <f>IFERROR(__xludf.DUMMYFUNCTION("""COMPUTED_VALUE"""),2.2522821E7)</f>
        <v>22522821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f>IFERROR(__xludf.DUMMYFUNCTION("""COMPUTED_VALUE"""),45589.64583333333)</f>
        <v>45589.64583</v>
      </c>
      <c r="B29" s="7">
        <f>IFERROR(__xludf.DUMMYFUNCTION("""COMPUTED_VALUE"""),409.25)</f>
        <v>409.25</v>
      </c>
      <c r="C29" s="7">
        <f>IFERROR(__xludf.DUMMYFUNCTION("""COMPUTED_VALUE"""),415.25)</f>
        <v>415.25</v>
      </c>
      <c r="D29" s="7">
        <f>IFERROR(__xludf.DUMMYFUNCTION("""COMPUTED_VALUE"""),406.8)</f>
        <v>406.8</v>
      </c>
      <c r="E29" s="7">
        <f>IFERROR(__xludf.DUMMYFUNCTION("""COMPUTED_VALUE"""),411.9)</f>
        <v>411.9</v>
      </c>
      <c r="F29" s="7">
        <f>IFERROR(__xludf.DUMMYFUNCTION("""COMPUTED_VALUE"""),9400171.0)</f>
        <v>9400171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f>IFERROR(__xludf.DUMMYFUNCTION("""COMPUTED_VALUE"""),45590.64583333333)</f>
        <v>45590.64583</v>
      </c>
      <c r="B30" s="7">
        <f>IFERROR(__xludf.DUMMYFUNCTION("""COMPUTED_VALUE"""),402.5)</f>
        <v>402.5</v>
      </c>
      <c r="C30" s="7">
        <f>IFERROR(__xludf.DUMMYFUNCTION("""COMPUTED_VALUE"""),407.5)</f>
        <v>407.5</v>
      </c>
      <c r="D30" s="7">
        <f>IFERROR(__xludf.DUMMYFUNCTION("""COMPUTED_VALUE"""),391.6)</f>
        <v>391.6</v>
      </c>
      <c r="E30" s="7">
        <f>IFERROR(__xludf.DUMMYFUNCTION("""COMPUTED_VALUE"""),398.9)</f>
        <v>398.9</v>
      </c>
      <c r="F30" s="7">
        <f>IFERROR(__xludf.DUMMYFUNCTION("""COMPUTED_VALUE"""),1.9642277E7)</f>
        <v>19642277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f>IFERROR(__xludf.DUMMYFUNCTION("""COMPUTED_VALUE"""),45593.64583333333)</f>
        <v>45593.64583</v>
      </c>
      <c r="B31" s="7">
        <f>IFERROR(__xludf.DUMMYFUNCTION("""COMPUTED_VALUE"""),398.9)</f>
        <v>398.9</v>
      </c>
      <c r="C31" s="7">
        <f>IFERROR(__xludf.DUMMYFUNCTION("""COMPUTED_VALUE"""),406.5)</f>
        <v>406.5</v>
      </c>
      <c r="D31" s="7">
        <f>IFERROR(__xludf.DUMMYFUNCTION("""COMPUTED_VALUE"""),397.8)</f>
        <v>397.8</v>
      </c>
      <c r="E31" s="7">
        <f>IFERROR(__xludf.DUMMYFUNCTION("""COMPUTED_VALUE"""),403.9)</f>
        <v>403.9</v>
      </c>
      <c r="F31" s="7">
        <f>IFERROR(__xludf.DUMMYFUNCTION("""COMPUTED_VALUE"""),1.1716022E7)</f>
        <v>11716022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f>IFERROR(__xludf.DUMMYFUNCTION("""COMPUTED_VALUE"""),45594.64583333333)</f>
        <v>45594.64583</v>
      </c>
      <c r="B32" s="7">
        <f>IFERROR(__xludf.DUMMYFUNCTION("""COMPUTED_VALUE"""),409.0)</f>
        <v>409</v>
      </c>
      <c r="C32" s="7">
        <f>IFERROR(__xludf.DUMMYFUNCTION("""COMPUTED_VALUE"""),414.3)</f>
        <v>414.3</v>
      </c>
      <c r="D32" s="7">
        <f>IFERROR(__xludf.DUMMYFUNCTION("""COMPUTED_VALUE"""),404.45)</f>
        <v>404.45</v>
      </c>
      <c r="E32" s="7">
        <f>IFERROR(__xludf.DUMMYFUNCTION("""COMPUTED_VALUE"""),412.15)</f>
        <v>412.15</v>
      </c>
      <c r="F32" s="7">
        <f>IFERROR(__xludf.DUMMYFUNCTION("""COMPUTED_VALUE"""),2.0284308E7)</f>
        <v>20284308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f>IFERROR(__xludf.DUMMYFUNCTION("""COMPUTED_VALUE"""),45595.64583333333)</f>
        <v>45595.64583</v>
      </c>
      <c r="B33" s="7">
        <f>IFERROR(__xludf.DUMMYFUNCTION("""COMPUTED_VALUE"""),414.15)</f>
        <v>414.15</v>
      </c>
      <c r="C33" s="7">
        <f>IFERROR(__xludf.DUMMYFUNCTION("""COMPUTED_VALUE"""),414.8)</f>
        <v>414.8</v>
      </c>
      <c r="D33" s="7">
        <f>IFERROR(__xludf.DUMMYFUNCTION("""COMPUTED_VALUE"""),405.8)</f>
        <v>405.8</v>
      </c>
      <c r="E33" s="7">
        <f>IFERROR(__xludf.DUMMYFUNCTION("""COMPUTED_VALUE"""),408.5)</f>
        <v>408.5</v>
      </c>
      <c r="F33" s="7">
        <f>IFERROR(__xludf.DUMMYFUNCTION("""COMPUTED_VALUE"""),1.2264297E7)</f>
        <v>12264297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f>IFERROR(__xludf.DUMMYFUNCTION("""COMPUTED_VALUE"""),45596.64583333333)</f>
        <v>45596.64583</v>
      </c>
      <c r="B34" s="7">
        <f>IFERROR(__xludf.DUMMYFUNCTION("""COMPUTED_VALUE"""),409.0)</f>
        <v>409</v>
      </c>
      <c r="C34" s="7">
        <f>IFERROR(__xludf.DUMMYFUNCTION("""COMPUTED_VALUE"""),410.65)</f>
        <v>410.65</v>
      </c>
      <c r="D34" s="7">
        <f>IFERROR(__xludf.DUMMYFUNCTION("""COMPUTED_VALUE"""),403.5)</f>
        <v>403.5</v>
      </c>
      <c r="E34" s="7">
        <f>IFERROR(__xludf.DUMMYFUNCTION("""COMPUTED_VALUE"""),408.15)</f>
        <v>408.15</v>
      </c>
      <c r="F34" s="7">
        <f>IFERROR(__xludf.DUMMYFUNCTION("""COMPUTED_VALUE"""),1.2204072E7)</f>
        <v>12204072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f>IFERROR(__xludf.DUMMYFUNCTION("""COMPUTED_VALUE"""),45600.64583333333)</f>
        <v>45600.64583</v>
      </c>
      <c r="B35" s="7">
        <f>IFERROR(__xludf.DUMMYFUNCTION("""COMPUTED_VALUE"""),413.85)</f>
        <v>413.85</v>
      </c>
      <c r="C35" s="7">
        <f>IFERROR(__xludf.DUMMYFUNCTION("""COMPUTED_VALUE"""),414.3)</f>
        <v>414.3</v>
      </c>
      <c r="D35" s="7">
        <f>IFERROR(__xludf.DUMMYFUNCTION("""COMPUTED_VALUE"""),393.7)</f>
        <v>393.7</v>
      </c>
      <c r="E35" s="7">
        <f>IFERROR(__xludf.DUMMYFUNCTION("""COMPUTED_VALUE"""),400.95)</f>
        <v>400.95</v>
      </c>
      <c r="F35" s="7">
        <f>IFERROR(__xludf.DUMMYFUNCTION("""COMPUTED_VALUE"""),1.3866505E7)</f>
        <v>13866505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f>IFERROR(__xludf.DUMMYFUNCTION("""COMPUTED_VALUE"""),45601.64583333333)</f>
        <v>45601.64583</v>
      </c>
      <c r="B36" s="7">
        <f>IFERROR(__xludf.DUMMYFUNCTION("""COMPUTED_VALUE"""),400.0)</f>
        <v>400</v>
      </c>
      <c r="C36" s="7">
        <f>IFERROR(__xludf.DUMMYFUNCTION("""COMPUTED_VALUE"""),404.1)</f>
        <v>404.1</v>
      </c>
      <c r="D36" s="7">
        <f>IFERROR(__xludf.DUMMYFUNCTION("""COMPUTED_VALUE"""),397.15)</f>
        <v>397.15</v>
      </c>
      <c r="E36" s="7">
        <f>IFERROR(__xludf.DUMMYFUNCTION("""COMPUTED_VALUE"""),403.1)</f>
        <v>403.1</v>
      </c>
      <c r="F36" s="7">
        <f>IFERROR(__xludf.DUMMYFUNCTION("""COMPUTED_VALUE"""),6665326.0)</f>
        <v>6665326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f>IFERROR(__xludf.DUMMYFUNCTION("""COMPUTED_VALUE"""),45602.64583333333)</f>
        <v>45602.64583</v>
      </c>
      <c r="B37" s="7">
        <f>IFERROR(__xludf.DUMMYFUNCTION("""COMPUTED_VALUE"""),406.7)</f>
        <v>406.7</v>
      </c>
      <c r="C37" s="7">
        <f>IFERROR(__xludf.DUMMYFUNCTION("""COMPUTED_VALUE"""),410.8)</f>
        <v>410.8</v>
      </c>
      <c r="D37" s="7">
        <f>IFERROR(__xludf.DUMMYFUNCTION("""COMPUTED_VALUE"""),403.15)</f>
        <v>403.15</v>
      </c>
      <c r="E37" s="7">
        <f>IFERROR(__xludf.DUMMYFUNCTION("""COMPUTED_VALUE"""),408.9)</f>
        <v>408.9</v>
      </c>
      <c r="F37" s="7">
        <f>IFERROR(__xludf.DUMMYFUNCTION("""COMPUTED_VALUE"""),9700643.0)</f>
        <v>9700643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f>IFERROR(__xludf.DUMMYFUNCTION("""COMPUTED_VALUE"""),45603.64583333333)</f>
        <v>45603.64583</v>
      </c>
      <c r="B38" s="7">
        <f>IFERROR(__xludf.DUMMYFUNCTION("""COMPUTED_VALUE"""),410.9)</f>
        <v>410.9</v>
      </c>
      <c r="C38" s="7">
        <f>IFERROR(__xludf.DUMMYFUNCTION("""COMPUTED_VALUE"""),410.9)</f>
        <v>410.9</v>
      </c>
      <c r="D38" s="7">
        <f>IFERROR(__xludf.DUMMYFUNCTION("""COMPUTED_VALUE"""),402.0)</f>
        <v>402</v>
      </c>
      <c r="E38" s="7">
        <f>IFERROR(__xludf.DUMMYFUNCTION("""COMPUTED_VALUE"""),403.8)</f>
        <v>403.8</v>
      </c>
      <c r="F38" s="7">
        <f>IFERROR(__xludf.DUMMYFUNCTION("""COMPUTED_VALUE"""),7589295.0)</f>
        <v>7589295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f>IFERROR(__xludf.DUMMYFUNCTION("""COMPUTED_VALUE"""),45604.64583333333)</f>
        <v>45604.64583</v>
      </c>
      <c r="B39" s="7">
        <f>IFERROR(__xludf.DUMMYFUNCTION("""COMPUTED_VALUE"""),403.15)</f>
        <v>403.15</v>
      </c>
      <c r="C39" s="7">
        <f>IFERROR(__xludf.DUMMYFUNCTION("""COMPUTED_VALUE"""),404.2)</f>
        <v>404.2</v>
      </c>
      <c r="D39" s="7">
        <f>IFERROR(__xludf.DUMMYFUNCTION("""COMPUTED_VALUE"""),395.55)</f>
        <v>395.55</v>
      </c>
      <c r="E39" s="7">
        <f>IFERROR(__xludf.DUMMYFUNCTION("""COMPUTED_VALUE"""),397.65)</f>
        <v>397.65</v>
      </c>
      <c r="F39" s="7">
        <f>IFERROR(__xludf.DUMMYFUNCTION("""COMPUTED_VALUE"""),7536509.0)</f>
        <v>7536509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f>IFERROR(__xludf.DUMMYFUNCTION("""COMPUTED_VALUE"""),45607.64583333333)</f>
        <v>45607.64583</v>
      </c>
      <c r="B40" s="7">
        <f>IFERROR(__xludf.DUMMYFUNCTION("""COMPUTED_VALUE"""),398.15)</f>
        <v>398.15</v>
      </c>
      <c r="C40" s="7">
        <f>IFERROR(__xludf.DUMMYFUNCTION("""COMPUTED_VALUE"""),400.9)</f>
        <v>400.9</v>
      </c>
      <c r="D40" s="7">
        <f>IFERROR(__xludf.DUMMYFUNCTION("""COMPUTED_VALUE"""),391.8)</f>
        <v>391.8</v>
      </c>
      <c r="E40" s="7">
        <f>IFERROR(__xludf.DUMMYFUNCTION("""COMPUTED_VALUE"""),392.55)</f>
        <v>392.55</v>
      </c>
      <c r="F40" s="7">
        <f>IFERROR(__xludf.DUMMYFUNCTION("""COMPUTED_VALUE"""),1.2243693E7)</f>
        <v>12243693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f>IFERROR(__xludf.DUMMYFUNCTION("""COMPUTED_VALUE"""),45608.64583333333)</f>
        <v>45608.64583</v>
      </c>
      <c r="B41" s="7">
        <f>IFERROR(__xludf.DUMMYFUNCTION("""COMPUTED_VALUE"""),393.15)</f>
        <v>393.15</v>
      </c>
      <c r="C41" s="7">
        <f>IFERROR(__xludf.DUMMYFUNCTION("""COMPUTED_VALUE"""),394.8)</f>
        <v>394.8</v>
      </c>
      <c r="D41" s="7">
        <f>IFERROR(__xludf.DUMMYFUNCTION("""COMPUTED_VALUE"""),379.05)</f>
        <v>379.05</v>
      </c>
      <c r="E41" s="7">
        <f>IFERROR(__xludf.DUMMYFUNCTION("""COMPUTED_VALUE"""),380.3)</f>
        <v>380.3</v>
      </c>
      <c r="F41" s="7">
        <f>IFERROR(__xludf.DUMMYFUNCTION("""COMPUTED_VALUE"""),1.0549517E7)</f>
        <v>10549517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f>IFERROR(__xludf.DUMMYFUNCTION("""COMPUTED_VALUE"""),45609.64583333333)</f>
        <v>45609.64583</v>
      </c>
      <c r="B42" s="7">
        <f>IFERROR(__xludf.DUMMYFUNCTION("""COMPUTED_VALUE"""),384.0)</f>
        <v>384</v>
      </c>
      <c r="C42" s="7">
        <f>IFERROR(__xludf.DUMMYFUNCTION("""COMPUTED_VALUE"""),387.6)</f>
        <v>387.6</v>
      </c>
      <c r="D42" s="7">
        <f>IFERROR(__xludf.DUMMYFUNCTION("""COMPUTED_VALUE"""),379.35)</f>
        <v>379.35</v>
      </c>
      <c r="E42" s="7">
        <f>IFERROR(__xludf.DUMMYFUNCTION("""COMPUTED_VALUE"""),381.35)</f>
        <v>381.35</v>
      </c>
      <c r="F42" s="7">
        <f>IFERROR(__xludf.DUMMYFUNCTION("""COMPUTED_VALUE"""),2.0602407E7)</f>
        <v>20602407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f>IFERROR(__xludf.DUMMYFUNCTION("""COMPUTED_VALUE"""),45610.64583333333)</f>
        <v>45610.64583</v>
      </c>
      <c r="B43" s="7">
        <f>IFERROR(__xludf.DUMMYFUNCTION("""COMPUTED_VALUE"""),380.05)</f>
        <v>380.05</v>
      </c>
      <c r="C43" s="7">
        <f>IFERROR(__xludf.DUMMYFUNCTION("""COMPUTED_VALUE"""),385.2)</f>
        <v>385.2</v>
      </c>
      <c r="D43" s="7">
        <f>IFERROR(__xludf.DUMMYFUNCTION("""COMPUTED_VALUE"""),371.35)</f>
        <v>371.35</v>
      </c>
      <c r="E43" s="7">
        <f>IFERROR(__xludf.DUMMYFUNCTION("""COMPUTED_VALUE"""),372.5)</f>
        <v>372.5</v>
      </c>
      <c r="F43" s="7">
        <f>IFERROR(__xludf.DUMMYFUNCTION("""COMPUTED_VALUE"""),1.5086601E7)</f>
        <v>15086601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f>IFERROR(__xludf.DUMMYFUNCTION("""COMPUTED_VALUE"""),45614.64583333333)</f>
        <v>45614.64583</v>
      </c>
      <c r="B44" s="7">
        <f>IFERROR(__xludf.DUMMYFUNCTION("""COMPUTED_VALUE"""),380.0)</f>
        <v>380</v>
      </c>
      <c r="C44" s="7">
        <f>IFERROR(__xludf.DUMMYFUNCTION("""COMPUTED_VALUE"""),380.0)</f>
        <v>380</v>
      </c>
      <c r="D44" s="7">
        <f>IFERROR(__xludf.DUMMYFUNCTION("""COMPUTED_VALUE"""),362.65)</f>
        <v>362.65</v>
      </c>
      <c r="E44" s="7">
        <f>IFERROR(__xludf.DUMMYFUNCTION("""COMPUTED_VALUE"""),366.7)</f>
        <v>366.7</v>
      </c>
      <c r="F44" s="7">
        <f>IFERROR(__xludf.DUMMYFUNCTION("""COMPUTED_VALUE"""),1.6383636E7)</f>
        <v>16383636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f>IFERROR(__xludf.DUMMYFUNCTION("""COMPUTED_VALUE"""),45615.64583333333)</f>
        <v>45615.64583</v>
      </c>
      <c r="B45" s="7">
        <f>IFERROR(__xludf.DUMMYFUNCTION("""COMPUTED_VALUE"""),368.0)</f>
        <v>368</v>
      </c>
      <c r="C45" s="7">
        <f>IFERROR(__xludf.DUMMYFUNCTION("""COMPUTED_VALUE"""),378.5)</f>
        <v>378.5</v>
      </c>
      <c r="D45" s="7">
        <f>IFERROR(__xludf.DUMMYFUNCTION("""COMPUTED_VALUE"""),365.05)</f>
        <v>365.05</v>
      </c>
      <c r="E45" s="7">
        <f>IFERROR(__xludf.DUMMYFUNCTION("""COMPUTED_VALUE"""),366.7)</f>
        <v>366.7</v>
      </c>
      <c r="F45" s="7">
        <f>IFERROR(__xludf.DUMMYFUNCTION("""COMPUTED_VALUE"""),1.7055094E7)</f>
        <v>17055094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f>IFERROR(__xludf.DUMMYFUNCTION("""COMPUTED_VALUE"""),45617.64583333333)</f>
        <v>45617.64583</v>
      </c>
      <c r="B46" s="7">
        <f>IFERROR(__xludf.DUMMYFUNCTION("""COMPUTED_VALUE"""),363.7)</f>
        <v>363.7</v>
      </c>
      <c r="C46" s="7">
        <f>IFERROR(__xludf.DUMMYFUNCTION("""COMPUTED_VALUE"""),364.35)</f>
        <v>364.35</v>
      </c>
      <c r="D46" s="7">
        <f>IFERROR(__xludf.DUMMYFUNCTION("""COMPUTED_VALUE"""),354.8)</f>
        <v>354.8</v>
      </c>
      <c r="E46" s="7">
        <f>IFERROR(__xludf.DUMMYFUNCTION("""COMPUTED_VALUE"""),356.15)</f>
        <v>356.15</v>
      </c>
      <c r="F46" s="7">
        <f>IFERROR(__xludf.DUMMYFUNCTION("""COMPUTED_VALUE"""),2.127615E7)</f>
        <v>21276150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f>IFERROR(__xludf.DUMMYFUNCTION("""COMPUTED_VALUE"""),45618.64583333333)</f>
        <v>45618.64583</v>
      </c>
      <c r="B47" s="7">
        <f>IFERROR(__xludf.DUMMYFUNCTION("""COMPUTED_VALUE"""),357.05)</f>
        <v>357.05</v>
      </c>
      <c r="C47" s="7">
        <f>IFERROR(__xludf.DUMMYFUNCTION("""COMPUTED_VALUE"""),367.1)</f>
        <v>367.1</v>
      </c>
      <c r="D47" s="7">
        <f>IFERROR(__xludf.DUMMYFUNCTION("""COMPUTED_VALUE"""),355.7)</f>
        <v>355.7</v>
      </c>
      <c r="E47" s="7">
        <f>IFERROR(__xludf.DUMMYFUNCTION("""COMPUTED_VALUE"""),365.45)</f>
        <v>365.45</v>
      </c>
      <c r="F47" s="7">
        <f>IFERROR(__xludf.DUMMYFUNCTION("""COMPUTED_VALUE"""),1.5949254E7)</f>
        <v>15949254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f>IFERROR(__xludf.DUMMYFUNCTION("""COMPUTED_VALUE"""),45621.64583333333)</f>
        <v>45621.64583</v>
      </c>
      <c r="B48" s="7">
        <f>IFERROR(__xludf.DUMMYFUNCTION("""COMPUTED_VALUE"""),374.0)</f>
        <v>374</v>
      </c>
      <c r="C48" s="7">
        <f>IFERROR(__xludf.DUMMYFUNCTION("""COMPUTED_VALUE"""),377.2)</f>
        <v>377.2</v>
      </c>
      <c r="D48" s="7">
        <f>IFERROR(__xludf.DUMMYFUNCTION("""COMPUTED_VALUE"""),367.5)</f>
        <v>367.5</v>
      </c>
      <c r="E48" s="7">
        <f>IFERROR(__xludf.DUMMYFUNCTION("""COMPUTED_VALUE"""),368.4)</f>
        <v>368.4</v>
      </c>
      <c r="F48" s="7">
        <f>IFERROR(__xludf.DUMMYFUNCTION("""COMPUTED_VALUE"""),1.8388844E7)</f>
        <v>18388844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f>IFERROR(__xludf.DUMMYFUNCTION("""COMPUTED_VALUE"""),45622.64583333333)</f>
        <v>45622.64583</v>
      </c>
      <c r="B49" s="7">
        <f>IFERROR(__xludf.DUMMYFUNCTION("""COMPUTED_VALUE"""),370.0)</f>
        <v>370</v>
      </c>
      <c r="C49" s="7">
        <f>IFERROR(__xludf.DUMMYFUNCTION("""COMPUTED_VALUE"""),370.4)</f>
        <v>370.4</v>
      </c>
      <c r="D49" s="7">
        <f>IFERROR(__xludf.DUMMYFUNCTION("""COMPUTED_VALUE"""),360.25)</f>
        <v>360.25</v>
      </c>
      <c r="E49" s="7">
        <f>IFERROR(__xludf.DUMMYFUNCTION("""COMPUTED_VALUE"""),361.65)</f>
        <v>361.65</v>
      </c>
      <c r="F49" s="7">
        <f>IFERROR(__xludf.DUMMYFUNCTION("""COMPUTED_VALUE"""),1.1222231E7)</f>
        <v>11222231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f>IFERROR(__xludf.DUMMYFUNCTION("""COMPUTED_VALUE"""),45623.64583333333)</f>
        <v>45623.64583</v>
      </c>
      <c r="B50" s="7">
        <f>IFERROR(__xludf.DUMMYFUNCTION("""COMPUTED_VALUE"""),363.8)</f>
        <v>363.8</v>
      </c>
      <c r="C50" s="7">
        <f>IFERROR(__xludf.DUMMYFUNCTION("""COMPUTED_VALUE"""),371.6)</f>
        <v>371.6</v>
      </c>
      <c r="D50" s="7">
        <f>IFERROR(__xludf.DUMMYFUNCTION("""COMPUTED_VALUE"""),361.35)</f>
        <v>361.35</v>
      </c>
      <c r="E50" s="7">
        <f>IFERROR(__xludf.DUMMYFUNCTION("""COMPUTED_VALUE"""),369.3)</f>
        <v>369.3</v>
      </c>
      <c r="F50" s="7">
        <f>IFERROR(__xludf.DUMMYFUNCTION("""COMPUTED_VALUE"""),1.4225274E7)</f>
        <v>14225274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f>IFERROR(__xludf.DUMMYFUNCTION("""COMPUTED_VALUE"""),45624.64583333333)</f>
        <v>45624.64583</v>
      </c>
      <c r="B51" s="7">
        <f>IFERROR(__xludf.DUMMYFUNCTION("""COMPUTED_VALUE"""),369.7)</f>
        <v>369.7</v>
      </c>
      <c r="C51" s="7">
        <f>IFERROR(__xludf.DUMMYFUNCTION("""COMPUTED_VALUE"""),371.85)</f>
        <v>371.85</v>
      </c>
      <c r="D51" s="7">
        <f>IFERROR(__xludf.DUMMYFUNCTION("""COMPUTED_VALUE"""),359.6)</f>
        <v>359.6</v>
      </c>
      <c r="E51" s="7">
        <f>IFERROR(__xludf.DUMMYFUNCTION("""COMPUTED_VALUE"""),362.05)</f>
        <v>362.05</v>
      </c>
      <c r="F51" s="7">
        <f>IFERROR(__xludf.DUMMYFUNCTION("""COMPUTED_VALUE"""),1.683786E7)</f>
        <v>16837860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f>IFERROR(__xludf.DUMMYFUNCTION("""COMPUTED_VALUE"""),45625.64583333333)</f>
        <v>45625.64583</v>
      </c>
      <c r="B52" s="7">
        <f>IFERROR(__xludf.DUMMYFUNCTION("""COMPUTED_VALUE"""),363.25)</f>
        <v>363.25</v>
      </c>
      <c r="C52" s="7">
        <f>IFERROR(__xludf.DUMMYFUNCTION("""COMPUTED_VALUE"""),365.4)</f>
        <v>365.4</v>
      </c>
      <c r="D52" s="7">
        <f>IFERROR(__xludf.DUMMYFUNCTION("""COMPUTED_VALUE"""),360.2)</f>
        <v>360.2</v>
      </c>
      <c r="E52" s="7">
        <f>IFERROR(__xludf.DUMMYFUNCTION("""COMPUTED_VALUE"""),363.65)</f>
        <v>363.65</v>
      </c>
      <c r="F52" s="7">
        <f>IFERROR(__xludf.DUMMYFUNCTION("""COMPUTED_VALUE"""),1.4280017E7)</f>
        <v>14280017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f>IFERROR(__xludf.DUMMYFUNCTION("""COMPUTED_VALUE"""),45628.64583333333)</f>
        <v>45628.64583</v>
      </c>
      <c r="B53" s="7">
        <f>IFERROR(__xludf.DUMMYFUNCTION("""COMPUTED_VALUE"""),363.65)</f>
        <v>363.65</v>
      </c>
      <c r="C53" s="7">
        <f>IFERROR(__xludf.DUMMYFUNCTION("""COMPUTED_VALUE"""),363.9)</f>
        <v>363.9</v>
      </c>
      <c r="D53" s="7">
        <f>IFERROR(__xludf.DUMMYFUNCTION("""COMPUTED_VALUE"""),357.0)</f>
        <v>357</v>
      </c>
      <c r="E53" s="7">
        <f>IFERROR(__xludf.DUMMYFUNCTION("""COMPUTED_VALUE"""),358.2)</f>
        <v>358.2</v>
      </c>
      <c r="F53" s="7">
        <f>IFERROR(__xludf.DUMMYFUNCTION("""COMPUTED_VALUE"""),1.251035E7)</f>
        <v>12510350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f>IFERROR(__xludf.DUMMYFUNCTION("""COMPUTED_VALUE"""),45629.64583333333)</f>
        <v>45629.64583</v>
      </c>
      <c r="B54" s="7">
        <f>IFERROR(__xludf.DUMMYFUNCTION("""COMPUTED_VALUE"""),359.0)</f>
        <v>359</v>
      </c>
      <c r="C54" s="7">
        <f>IFERROR(__xludf.DUMMYFUNCTION("""COMPUTED_VALUE"""),370.0)</f>
        <v>370</v>
      </c>
      <c r="D54" s="7">
        <f>IFERROR(__xludf.DUMMYFUNCTION("""COMPUTED_VALUE"""),358.2)</f>
        <v>358.2</v>
      </c>
      <c r="E54" s="7">
        <f>IFERROR(__xludf.DUMMYFUNCTION("""COMPUTED_VALUE"""),367.45)</f>
        <v>367.45</v>
      </c>
      <c r="F54" s="7">
        <f>IFERROR(__xludf.DUMMYFUNCTION("""COMPUTED_VALUE"""),1.420576E7)</f>
        <v>14205760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f>IFERROR(__xludf.DUMMYFUNCTION("""COMPUTED_VALUE"""),45630.64583333333)</f>
        <v>45630.64583</v>
      </c>
      <c r="B55" s="7">
        <f>IFERROR(__xludf.DUMMYFUNCTION("""COMPUTED_VALUE"""),368.95)</f>
        <v>368.95</v>
      </c>
      <c r="C55" s="7">
        <f>IFERROR(__xludf.DUMMYFUNCTION("""COMPUTED_VALUE"""),375.15)</f>
        <v>375.15</v>
      </c>
      <c r="D55" s="7">
        <f>IFERROR(__xludf.DUMMYFUNCTION("""COMPUTED_VALUE"""),368.0)</f>
        <v>368</v>
      </c>
      <c r="E55" s="7">
        <f>IFERROR(__xludf.DUMMYFUNCTION("""COMPUTED_VALUE"""),372.75)</f>
        <v>372.75</v>
      </c>
      <c r="F55" s="7">
        <f>IFERROR(__xludf.DUMMYFUNCTION("""COMPUTED_VALUE"""),2.2035954E7)</f>
        <v>22035954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f>IFERROR(__xludf.DUMMYFUNCTION("""COMPUTED_VALUE"""),45631.64583333333)</f>
        <v>45631.64583</v>
      </c>
      <c r="B56" s="7">
        <f>IFERROR(__xludf.DUMMYFUNCTION("""COMPUTED_VALUE"""),372.75)</f>
        <v>372.75</v>
      </c>
      <c r="C56" s="7">
        <f>IFERROR(__xludf.DUMMYFUNCTION("""COMPUTED_VALUE"""),373.95)</f>
        <v>373.95</v>
      </c>
      <c r="D56" s="7">
        <f>IFERROR(__xludf.DUMMYFUNCTION("""COMPUTED_VALUE"""),364.4)</f>
        <v>364.4</v>
      </c>
      <c r="E56" s="7">
        <f>IFERROR(__xludf.DUMMYFUNCTION("""COMPUTED_VALUE"""),369.15)</f>
        <v>369.15</v>
      </c>
      <c r="F56" s="7">
        <f>IFERROR(__xludf.DUMMYFUNCTION("""COMPUTED_VALUE"""),1.8758283E7)</f>
        <v>18758283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f>IFERROR(__xludf.DUMMYFUNCTION("""COMPUTED_VALUE"""),45632.64583333333)</f>
        <v>45632.64583</v>
      </c>
      <c r="B57" s="7">
        <f>IFERROR(__xludf.DUMMYFUNCTION("""COMPUTED_VALUE"""),369.45)</f>
        <v>369.45</v>
      </c>
      <c r="C57" s="7">
        <f>IFERROR(__xludf.DUMMYFUNCTION("""COMPUTED_VALUE"""),371.2)</f>
        <v>371.2</v>
      </c>
      <c r="D57" s="7">
        <f>IFERROR(__xludf.DUMMYFUNCTION("""COMPUTED_VALUE"""),368.05)</f>
        <v>368.05</v>
      </c>
      <c r="E57" s="7">
        <f>IFERROR(__xludf.DUMMYFUNCTION("""COMPUTED_VALUE"""),369.5)</f>
        <v>369.5</v>
      </c>
      <c r="F57" s="7">
        <f>IFERROR(__xludf.DUMMYFUNCTION("""COMPUTED_VALUE"""),9736086.0)</f>
        <v>9736086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f>IFERROR(__xludf.DUMMYFUNCTION("""COMPUTED_VALUE"""),45635.64583333333)</f>
        <v>45635.64583</v>
      </c>
      <c r="B58" s="7">
        <f>IFERROR(__xludf.DUMMYFUNCTION("""COMPUTED_VALUE"""),370.9)</f>
        <v>370.9</v>
      </c>
      <c r="C58" s="7">
        <f>IFERROR(__xludf.DUMMYFUNCTION("""COMPUTED_VALUE"""),373.3)</f>
        <v>373.3</v>
      </c>
      <c r="D58" s="7">
        <f>IFERROR(__xludf.DUMMYFUNCTION("""COMPUTED_VALUE"""),367.75)</f>
        <v>367.75</v>
      </c>
      <c r="E58" s="7">
        <f>IFERROR(__xludf.DUMMYFUNCTION("""COMPUTED_VALUE"""),369.85)</f>
        <v>369.85</v>
      </c>
      <c r="F58" s="7">
        <f>IFERROR(__xludf.DUMMYFUNCTION("""COMPUTED_VALUE"""),1.0878679E7)</f>
        <v>10878679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f>IFERROR(__xludf.DUMMYFUNCTION("""COMPUTED_VALUE"""),45636.64583333333)</f>
        <v>45636.64583</v>
      </c>
      <c r="B59" s="7">
        <f>IFERROR(__xludf.DUMMYFUNCTION("""COMPUTED_VALUE"""),369.0)</f>
        <v>369</v>
      </c>
      <c r="C59" s="7">
        <f>IFERROR(__xludf.DUMMYFUNCTION("""COMPUTED_VALUE"""),371.2)</f>
        <v>371.2</v>
      </c>
      <c r="D59" s="7">
        <f>IFERROR(__xludf.DUMMYFUNCTION("""COMPUTED_VALUE"""),366.4)</f>
        <v>366.4</v>
      </c>
      <c r="E59" s="7">
        <f>IFERROR(__xludf.DUMMYFUNCTION("""COMPUTED_VALUE"""),369.15)</f>
        <v>369.15</v>
      </c>
      <c r="F59" s="7">
        <f>IFERROR(__xludf.DUMMYFUNCTION("""COMPUTED_VALUE"""),7913822.0)</f>
        <v>7913822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f>IFERROR(__xludf.DUMMYFUNCTION("""COMPUTED_VALUE"""),45637.64583333333)</f>
        <v>45637.64583</v>
      </c>
      <c r="B60" s="7">
        <f>IFERROR(__xludf.DUMMYFUNCTION("""COMPUTED_VALUE"""),369.25)</f>
        <v>369.25</v>
      </c>
      <c r="C60" s="7">
        <f>IFERROR(__xludf.DUMMYFUNCTION("""COMPUTED_VALUE"""),370.75)</f>
        <v>370.75</v>
      </c>
      <c r="D60" s="7">
        <f>IFERROR(__xludf.DUMMYFUNCTION("""COMPUTED_VALUE"""),364.7)</f>
        <v>364.7</v>
      </c>
      <c r="E60" s="7">
        <f>IFERROR(__xludf.DUMMYFUNCTION("""COMPUTED_VALUE"""),365.5)</f>
        <v>365.5</v>
      </c>
      <c r="F60" s="7">
        <f>IFERROR(__xludf.DUMMYFUNCTION("""COMPUTED_VALUE"""),9998662.0)</f>
        <v>9998662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f>IFERROR(__xludf.DUMMYFUNCTION("""COMPUTED_VALUE"""),45638.64583333333)</f>
        <v>45638.64583</v>
      </c>
      <c r="B61" s="7">
        <f>IFERROR(__xludf.DUMMYFUNCTION("""COMPUTED_VALUE"""),366.0)</f>
        <v>366</v>
      </c>
      <c r="C61" s="7">
        <f>IFERROR(__xludf.DUMMYFUNCTION("""COMPUTED_VALUE"""),367.0)</f>
        <v>367</v>
      </c>
      <c r="D61" s="7">
        <f>IFERROR(__xludf.DUMMYFUNCTION("""COMPUTED_VALUE"""),353.0)</f>
        <v>353</v>
      </c>
      <c r="E61" s="7">
        <f>IFERROR(__xludf.DUMMYFUNCTION("""COMPUTED_VALUE"""),355.6)</f>
        <v>355.6</v>
      </c>
      <c r="F61" s="7">
        <f>IFERROR(__xludf.DUMMYFUNCTION("""COMPUTED_VALUE"""),2.2538216E7)</f>
        <v>22538216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f>IFERROR(__xludf.DUMMYFUNCTION("""COMPUTED_VALUE"""),45639.64583333333)</f>
        <v>45639.64583</v>
      </c>
      <c r="B62" s="7">
        <f>IFERROR(__xludf.DUMMYFUNCTION("""COMPUTED_VALUE"""),355.75)</f>
        <v>355.75</v>
      </c>
      <c r="C62" s="7">
        <f>IFERROR(__xludf.DUMMYFUNCTION("""COMPUTED_VALUE"""),358.3)</f>
        <v>358.3</v>
      </c>
      <c r="D62" s="7">
        <f>IFERROR(__xludf.DUMMYFUNCTION("""COMPUTED_VALUE"""),348.05)</f>
        <v>348.05</v>
      </c>
      <c r="E62" s="7">
        <f>IFERROR(__xludf.DUMMYFUNCTION("""COMPUTED_VALUE"""),357.15)</f>
        <v>357.15</v>
      </c>
      <c r="F62" s="7">
        <f>IFERROR(__xludf.DUMMYFUNCTION("""COMPUTED_VALUE"""),1.4269143E7)</f>
        <v>14269143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f>IFERROR(__xludf.DUMMYFUNCTION("""COMPUTED_VALUE"""),45642.64583333333)</f>
        <v>45642.64583</v>
      </c>
      <c r="B63" s="7">
        <f>IFERROR(__xludf.DUMMYFUNCTION("""COMPUTED_VALUE"""),357.15)</f>
        <v>357.15</v>
      </c>
      <c r="C63" s="7">
        <f>IFERROR(__xludf.DUMMYFUNCTION("""COMPUTED_VALUE"""),358.9)</f>
        <v>358.9</v>
      </c>
      <c r="D63" s="7">
        <f>IFERROR(__xludf.DUMMYFUNCTION("""COMPUTED_VALUE"""),351.7)</f>
        <v>351.7</v>
      </c>
      <c r="E63" s="7">
        <f>IFERROR(__xludf.DUMMYFUNCTION("""COMPUTED_VALUE"""),352.9)</f>
        <v>352.9</v>
      </c>
      <c r="F63" s="7">
        <f>IFERROR(__xludf.DUMMYFUNCTION("""COMPUTED_VALUE"""),1.2168143E7)</f>
        <v>12168143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f>IFERROR(__xludf.DUMMYFUNCTION("""COMPUTED_VALUE"""),45643.64583333333)</f>
        <v>45643.64583</v>
      </c>
      <c r="B64" s="7">
        <f>IFERROR(__xludf.DUMMYFUNCTION("""COMPUTED_VALUE"""),352.0)</f>
        <v>352</v>
      </c>
      <c r="C64" s="7">
        <f>IFERROR(__xludf.DUMMYFUNCTION("""COMPUTED_VALUE"""),353.85)</f>
        <v>353.85</v>
      </c>
      <c r="D64" s="7">
        <f>IFERROR(__xludf.DUMMYFUNCTION("""COMPUTED_VALUE"""),347.25)</f>
        <v>347.25</v>
      </c>
      <c r="E64" s="7">
        <f>IFERROR(__xludf.DUMMYFUNCTION("""COMPUTED_VALUE"""),349.05)</f>
        <v>349.05</v>
      </c>
      <c r="F64" s="7">
        <f>IFERROR(__xludf.DUMMYFUNCTION("""COMPUTED_VALUE"""),1.5646176E7)</f>
        <v>15646176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f>IFERROR(__xludf.DUMMYFUNCTION("""COMPUTED_VALUE"""),45644.64583333333)</f>
        <v>45644.64583</v>
      </c>
      <c r="B65" s="7">
        <f>IFERROR(__xludf.DUMMYFUNCTION("""COMPUTED_VALUE"""),349.55)</f>
        <v>349.55</v>
      </c>
      <c r="C65" s="7">
        <f>IFERROR(__xludf.DUMMYFUNCTION("""COMPUTED_VALUE"""),351.0)</f>
        <v>351</v>
      </c>
      <c r="D65" s="7">
        <f>IFERROR(__xludf.DUMMYFUNCTION("""COMPUTED_VALUE"""),340.0)</f>
        <v>340</v>
      </c>
      <c r="E65" s="7">
        <f>IFERROR(__xludf.DUMMYFUNCTION("""COMPUTED_VALUE"""),341.75)</f>
        <v>341.75</v>
      </c>
      <c r="F65" s="7">
        <f>IFERROR(__xludf.DUMMYFUNCTION("""COMPUTED_VALUE"""),1.4672392E7)</f>
        <v>14672392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f>IFERROR(__xludf.DUMMYFUNCTION("""COMPUTED_VALUE"""),45645.64583333333)</f>
        <v>45645.64583</v>
      </c>
      <c r="B66" s="7">
        <f>IFERROR(__xludf.DUMMYFUNCTION("""COMPUTED_VALUE"""),337.0)</f>
        <v>337</v>
      </c>
      <c r="C66" s="7">
        <f>IFERROR(__xludf.DUMMYFUNCTION("""COMPUTED_VALUE"""),340.6)</f>
        <v>340.6</v>
      </c>
      <c r="D66" s="7">
        <f>IFERROR(__xludf.DUMMYFUNCTION("""COMPUTED_VALUE"""),335.05)</f>
        <v>335.05</v>
      </c>
      <c r="E66" s="7">
        <f>IFERROR(__xludf.DUMMYFUNCTION("""COMPUTED_VALUE"""),337.4)</f>
        <v>337.4</v>
      </c>
      <c r="F66" s="7">
        <f>IFERROR(__xludf.DUMMYFUNCTION("""COMPUTED_VALUE"""),1.4513129E7)</f>
        <v>14513129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f>IFERROR(__xludf.DUMMYFUNCTION("""COMPUTED_VALUE"""),45646.64583333333)</f>
        <v>45646.64583</v>
      </c>
      <c r="B67" s="7">
        <f>IFERROR(__xludf.DUMMYFUNCTION("""COMPUTED_VALUE"""),337.8)</f>
        <v>337.8</v>
      </c>
      <c r="C67" s="7">
        <f>IFERROR(__xludf.DUMMYFUNCTION("""COMPUTED_VALUE"""),343.9)</f>
        <v>343.9</v>
      </c>
      <c r="D67" s="7">
        <f>IFERROR(__xludf.DUMMYFUNCTION("""COMPUTED_VALUE"""),331.0)</f>
        <v>331</v>
      </c>
      <c r="E67" s="7">
        <f>IFERROR(__xludf.DUMMYFUNCTION("""COMPUTED_VALUE"""),333.25)</f>
        <v>333.25</v>
      </c>
      <c r="F67" s="7">
        <f>IFERROR(__xludf.DUMMYFUNCTION("""COMPUTED_VALUE"""),2.0375797E7)</f>
        <v>20375797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f>IFERROR(__xludf.DUMMYFUNCTION("""COMPUTED_VALUE"""),45649.64583333333)</f>
        <v>45649.64583</v>
      </c>
      <c r="B68" s="7">
        <f>IFERROR(__xludf.DUMMYFUNCTION("""COMPUTED_VALUE"""),335.9)</f>
        <v>335.9</v>
      </c>
      <c r="C68" s="7">
        <f>IFERROR(__xludf.DUMMYFUNCTION("""COMPUTED_VALUE"""),338.25)</f>
        <v>338.25</v>
      </c>
      <c r="D68" s="7">
        <f>IFERROR(__xludf.DUMMYFUNCTION("""COMPUTED_VALUE"""),330.5)</f>
        <v>330.5</v>
      </c>
      <c r="E68" s="7">
        <f>IFERROR(__xludf.DUMMYFUNCTION("""COMPUTED_VALUE"""),333.65)</f>
        <v>333.65</v>
      </c>
      <c r="F68" s="7">
        <f>IFERROR(__xludf.DUMMYFUNCTION("""COMPUTED_VALUE"""),8884187.0)</f>
        <v>8884187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f>IFERROR(__xludf.DUMMYFUNCTION("""COMPUTED_VALUE"""),45650.64583333333)</f>
        <v>45650.64583</v>
      </c>
      <c r="B69" s="7">
        <f>IFERROR(__xludf.DUMMYFUNCTION("""COMPUTED_VALUE"""),335.1)</f>
        <v>335.1</v>
      </c>
      <c r="C69" s="7">
        <f>IFERROR(__xludf.DUMMYFUNCTION("""COMPUTED_VALUE"""),336.85)</f>
        <v>336.85</v>
      </c>
      <c r="D69" s="7">
        <f>IFERROR(__xludf.DUMMYFUNCTION("""COMPUTED_VALUE"""),331.75)</f>
        <v>331.75</v>
      </c>
      <c r="E69" s="7">
        <f>IFERROR(__xludf.DUMMYFUNCTION("""COMPUTED_VALUE"""),335.3)</f>
        <v>335.3</v>
      </c>
      <c r="F69" s="7">
        <f>IFERROR(__xludf.DUMMYFUNCTION("""COMPUTED_VALUE"""),7755462.0)</f>
        <v>7755462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f>IFERROR(__xludf.DUMMYFUNCTION("""COMPUTED_VALUE"""),45652.64583333333)</f>
        <v>45652.64583</v>
      </c>
      <c r="B70" s="7">
        <f>IFERROR(__xludf.DUMMYFUNCTION("""COMPUTED_VALUE"""),335.3)</f>
        <v>335.3</v>
      </c>
      <c r="C70" s="7">
        <f>IFERROR(__xludf.DUMMYFUNCTION("""COMPUTED_VALUE"""),337.4)</f>
        <v>337.4</v>
      </c>
      <c r="D70" s="7">
        <f>IFERROR(__xludf.DUMMYFUNCTION("""COMPUTED_VALUE"""),332.25)</f>
        <v>332.25</v>
      </c>
      <c r="E70" s="7">
        <f>IFERROR(__xludf.DUMMYFUNCTION("""COMPUTED_VALUE"""),334.65)</f>
        <v>334.65</v>
      </c>
      <c r="F70" s="7">
        <f>IFERROR(__xludf.DUMMYFUNCTION("""COMPUTED_VALUE"""),9030212.0)</f>
        <v>9030212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f>IFERROR(__xludf.DUMMYFUNCTION("""COMPUTED_VALUE"""),45653.64583333333)</f>
        <v>45653.64583</v>
      </c>
      <c r="B71" s="7">
        <f>IFERROR(__xludf.DUMMYFUNCTION("""COMPUTED_VALUE"""),336.65)</f>
        <v>336.65</v>
      </c>
      <c r="C71" s="7">
        <f>IFERROR(__xludf.DUMMYFUNCTION("""COMPUTED_VALUE"""),340.0)</f>
        <v>340</v>
      </c>
      <c r="D71" s="7">
        <f>IFERROR(__xludf.DUMMYFUNCTION("""COMPUTED_VALUE"""),334.2)</f>
        <v>334.2</v>
      </c>
      <c r="E71" s="7">
        <f>IFERROR(__xludf.DUMMYFUNCTION("""COMPUTED_VALUE"""),335.0)</f>
        <v>335</v>
      </c>
      <c r="F71" s="7">
        <f>IFERROR(__xludf.DUMMYFUNCTION("""COMPUTED_VALUE"""),9090597.0)</f>
        <v>9090597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f>IFERROR(__xludf.DUMMYFUNCTION("""COMPUTED_VALUE"""),45656.64583333333)</f>
        <v>45656.64583</v>
      </c>
      <c r="B72" s="7">
        <f>IFERROR(__xludf.DUMMYFUNCTION("""COMPUTED_VALUE"""),335.0)</f>
        <v>335</v>
      </c>
      <c r="C72" s="7">
        <f>IFERROR(__xludf.DUMMYFUNCTION("""COMPUTED_VALUE"""),336.8)</f>
        <v>336.8</v>
      </c>
      <c r="D72" s="7">
        <f>IFERROR(__xludf.DUMMYFUNCTION("""COMPUTED_VALUE"""),327.4)</f>
        <v>327.4</v>
      </c>
      <c r="E72" s="7">
        <f>IFERROR(__xludf.DUMMYFUNCTION("""COMPUTED_VALUE"""),331.4)</f>
        <v>331.4</v>
      </c>
      <c r="F72" s="7">
        <f>IFERROR(__xludf.DUMMYFUNCTION("""COMPUTED_VALUE"""),3.6657549E7)</f>
        <v>36657549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f>IFERROR(__xludf.DUMMYFUNCTION("""COMPUTED_VALUE"""),45657.64583333333)</f>
        <v>45657.64583</v>
      </c>
      <c r="B73" s="7">
        <f>IFERROR(__xludf.DUMMYFUNCTION("""COMPUTED_VALUE"""),330.1)</f>
        <v>330.1</v>
      </c>
      <c r="C73" s="7">
        <f>IFERROR(__xludf.DUMMYFUNCTION("""COMPUTED_VALUE"""),334.6)</f>
        <v>334.6</v>
      </c>
      <c r="D73" s="7">
        <f>IFERROR(__xludf.DUMMYFUNCTION("""COMPUTED_VALUE"""),326.2)</f>
        <v>326.2</v>
      </c>
      <c r="E73" s="7">
        <f>IFERROR(__xludf.DUMMYFUNCTION("""COMPUTED_VALUE"""),333.35)</f>
        <v>333.35</v>
      </c>
      <c r="F73" s="7">
        <f>IFERROR(__xludf.DUMMYFUNCTION("""COMPUTED_VALUE"""),8580998.0)</f>
        <v>8580998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f>IFERROR(__xludf.DUMMYFUNCTION("""COMPUTED_VALUE"""),45658.64583333333)</f>
        <v>45658.64583</v>
      </c>
      <c r="B74" s="7">
        <f>IFERROR(__xludf.DUMMYFUNCTION("""COMPUTED_VALUE"""),333.0)</f>
        <v>333</v>
      </c>
      <c r="C74" s="7">
        <f>IFERROR(__xludf.DUMMYFUNCTION("""COMPUTED_VALUE"""),334.65)</f>
        <v>334.65</v>
      </c>
      <c r="D74" s="7">
        <f>IFERROR(__xludf.DUMMYFUNCTION("""COMPUTED_VALUE"""),328.8)</f>
        <v>328.8</v>
      </c>
      <c r="E74" s="7">
        <f>IFERROR(__xludf.DUMMYFUNCTION("""COMPUTED_VALUE"""),333.65)</f>
        <v>333.65</v>
      </c>
      <c r="F74" s="7">
        <f>IFERROR(__xludf.DUMMYFUNCTION("""COMPUTED_VALUE"""),7843971.0)</f>
        <v>7843971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f>IFERROR(__xludf.DUMMYFUNCTION("""COMPUTED_VALUE"""),45659.64583333333)</f>
        <v>45659.64583</v>
      </c>
      <c r="B75" s="7">
        <f>IFERROR(__xludf.DUMMYFUNCTION("""COMPUTED_VALUE"""),333.65)</f>
        <v>333.65</v>
      </c>
      <c r="C75" s="7">
        <f>IFERROR(__xludf.DUMMYFUNCTION("""COMPUTED_VALUE"""),338.6)</f>
        <v>338.6</v>
      </c>
      <c r="D75" s="7">
        <f>IFERROR(__xludf.DUMMYFUNCTION("""COMPUTED_VALUE"""),330.0)</f>
        <v>330</v>
      </c>
      <c r="E75" s="7">
        <f>IFERROR(__xludf.DUMMYFUNCTION("""COMPUTED_VALUE"""),338.0)</f>
        <v>338</v>
      </c>
      <c r="F75" s="7">
        <f>IFERROR(__xludf.DUMMYFUNCTION("""COMPUTED_VALUE"""),1.6543382E7)</f>
        <v>16543382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f>IFERROR(__xludf.DUMMYFUNCTION("""COMPUTED_VALUE"""),45660.64583333333)</f>
        <v>45660.64583</v>
      </c>
      <c r="B76" s="7">
        <f>IFERROR(__xludf.DUMMYFUNCTION("""COMPUTED_VALUE"""),338.05)</f>
        <v>338.05</v>
      </c>
      <c r="C76" s="7">
        <f>IFERROR(__xludf.DUMMYFUNCTION("""COMPUTED_VALUE"""),344.5)</f>
        <v>344.5</v>
      </c>
      <c r="D76" s="7">
        <f>IFERROR(__xludf.DUMMYFUNCTION("""COMPUTED_VALUE"""),337.05)</f>
        <v>337.05</v>
      </c>
      <c r="E76" s="7">
        <f>IFERROR(__xludf.DUMMYFUNCTION("""COMPUTED_VALUE"""),339.85)</f>
        <v>339.85</v>
      </c>
      <c r="F76" s="7">
        <f>IFERROR(__xludf.DUMMYFUNCTION("""COMPUTED_VALUE"""),8689629.0)</f>
        <v>8689629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f>IFERROR(__xludf.DUMMYFUNCTION("""COMPUTED_VALUE"""),45663.64583333333)</f>
        <v>45663.64583</v>
      </c>
      <c r="B77" s="7">
        <f>IFERROR(__xludf.DUMMYFUNCTION("""COMPUTED_VALUE"""),341.7)</f>
        <v>341.7</v>
      </c>
      <c r="C77" s="7">
        <f>IFERROR(__xludf.DUMMYFUNCTION("""COMPUTED_VALUE"""),341.7)</f>
        <v>341.7</v>
      </c>
      <c r="D77" s="7">
        <f>IFERROR(__xludf.DUMMYFUNCTION("""COMPUTED_VALUE"""),326.45)</f>
        <v>326.45</v>
      </c>
      <c r="E77" s="7">
        <f>IFERROR(__xludf.DUMMYFUNCTION("""COMPUTED_VALUE"""),327.5)</f>
        <v>327.5</v>
      </c>
      <c r="F77" s="7">
        <f>IFERROR(__xludf.DUMMYFUNCTION("""COMPUTED_VALUE"""),1.0538077E7)</f>
        <v>10538077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f>IFERROR(__xludf.DUMMYFUNCTION("""COMPUTED_VALUE"""),45664.64583333333)</f>
        <v>45664.64583</v>
      </c>
      <c r="B78" s="7">
        <f>IFERROR(__xludf.DUMMYFUNCTION("""COMPUTED_VALUE"""),327.0)</f>
        <v>327</v>
      </c>
      <c r="C78" s="7">
        <f>IFERROR(__xludf.DUMMYFUNCTION("""COMPUTED_VALUE"""),330.35)</f>
        <v>330.35</v>
      </c>
      <c r="D78" s="7">
        <f>IFERROR(__xludf.DUMMYFUNCTION("""COMPUTED_VALUE"""),325.1)</f>
        <v>325.1</v>
      </c>
      <c r="E78" s="7">
        <f>IFERROR(__xludf.DUMMYFUNCTION("""COMPUTED_VALUE"""),328.6)</f>
        <v>328.6</v>
      </c>
      <c r="F78" s="7">
        <f>IFERROR(__xludf.DUMMYFUNCTION("""COMPUTED_VALUE"""),1.3891401E7)</f>
        <v>13891401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f>IFERROR(__xludf.DUMMYFUNCTION("""COMPUTED_VALUE"""),45665.64583333333)</f>
        <v>45665.64583</v>
      </c>
      <c r="B79" s="7">
        <f>IFERROR(__xludf.DUMMYFUNCTION("""COMPUTED_VALUE"""),330.5)</f>
        <v>330.5</v>
      </c>
      <c r="C79" s="7">
        <f>IFERROR(__xludf.DUMMYFUNCTION("""COMPUTED_VALUE"""),330.5)</f>
        <v>330.5</v>
      </c>
      <c r="D79" s="7">
        <f>IFERROR(__xludf.DUMMYFUNCTION("""COMPUTED_VALUE"""),321.85)</f>
        <v>321.85</v>
      </c>
      <c r="E79" s="7">
        <f>IFERROR(__xludf.DUMMYFUNCTION("""COMPUTED_VALUE"""),325.4)</f>
        <v>325.4</v>
      </c>
      <c r="F79" s="7">
        <f>IFERROR(__xludf.DUMMYFUNCTION("""COMPUTED_VALUE"""),8993608.0)</f>
        <v>8993608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f>IFERROR(__xludf.DUMMYFUNCTION("""COMPUTED_VALUE"""),45666.64583333333)</f>
        <v>45666.64583</v>
      </c>
      <c r="B80" s="7">
        <f>IFERROR(__xludf.DUMMYFUNCTION("""COMPUTED_VALUE"""),324.05)</f>
        <v>324.05</v>
      </c>
      <c r="C80" s="7">
        <f>IFERROR(__xludf.DUMMYFUNCTION("""COMPUTED_VALUE"""),325.95)</f>
        <v>325.95</v>
      </c>
      <c r="D80" s="7">
        <f>IFERROR(__xludf.DUMMYFUNCTION("""COMPUTED_VALUE"""),319.8)</f>
        <v>319.8</v>
      </c>
      <c r="E80" s="7">
        <f>IFERROR(__xludf.DUMMYFUNCTION("""COMPUTED_VALUE"""),320.35)</f>
        <v>320.35</v>
      </c>
      <c r="F80" s="7">
        <f>IFERROR(__xludf.DUMMYFUNCTION("""COMPUTED_VALUE"""),1.2403467E7)</f>
        <v>12403467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f>IFERROR(__xludf.DUMMYFUNCTION("""COMPUTED_VALUE"""),45667.64583333333)</f>
        <v>45667.64583</v>
      </c>
      <c r="B81" s="7">
        <f>IFERROR(__xludf.DUMMYFUNCTION("""COMPUTED_VALUE"""),320.35)</f>
        <v>320.35</v>
      </c>
      <c r="C81" s="7">
        <f>IFERROR(__xludf.DUMMYFUNCTION("""COMPUTED_VALUE"""),321.0)</f>
        <v>321</v>
      </c>
      <c r="D81" s="7">
        <f>IFERROR(__xludf.DUMMYFUNCTION("""COMPUTED_VALUE"""),307.6)</f>
        <v>307.6</v>
      </c>
      <c r="E81" s="7">
        <f>IFERROR(__xludf.DUMMYFUNCTION("""COMPUTED_VALUE"""),308.25)</f>
        <v>308.25</v>
      </c>
      <c r="F81" s="7">
        <f>IFERROR(__xludf.DUMMYFUNCTION("""COMPUTED_VALUE"""),1.5941143E7)</f>
        <v>15941143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f>IFERROR(__xludf.DUMMYFUNCTION("""COMPUTED_VALUE"""),45670.64583333333)</f>
        <v>45670.64583</v>
      </c>
      <c r="B82" s="7">
        <f>IFERROR(__xludf.DUMMYFUNCTION("""COMPUTED_VALUE"""),301.1)</f>
        <v>301.1</v>
      </c>
      <c r="C82" s="7">
        <f>IFERROR(__xludf.DUMMYFUNCTION("""COMPUTED_VALUE"""),309.95)</f>
        <v>309.95</v>
      </c>
      <c r="D82" s="7">
        <f>IFERROR(__xludf.DUMMYFUNCTION("""COMPUTED_VALUE"""),296.85)</f>
        <v>296.85</v>
      </c>
      <c r="E82" s="7">
        <f>IFERROR(__xludf.DUMMYFUNCTION("""COMPUTED_VALUE"""),298.2)</f>
        <v>298.2</v>
      </c>
      <c r="F82" s="7">
        <f>IFERROR(__xludf.DUMMYFUNCTION("""COMPUTED_VALUE"""),2.9630336E7)</f>
        <v>29630336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f>IFERROR(__xludf.DUMMYFUNCTION("""COMPUTED_VALUE"""),45671.64583333333)</f>
        <v>45671.64583</v>
      </c>
      <c r="B83" s="7">
        <f>IFERROR(__xludf.DUMMYFUNCTION("""COMPUTED_VALUE"""),300.45)</f>
        <v>300.45</v>
      </c>
      <c r="C83" s="7">
        <f>IFERROR(__xludf.DUMMYFUNCTION("""COMPUTED_VALUE"""),312.7)</f>
        <v>312.7</v>
      </c>
      <c r="D83" s="7">
        <f>IFERROR(__xludf.DUMMYFUNCTION("""COMPUTED_VALUE"""),300.2)</f>
        <v>300.2</v>
      </c>
      <c r="E83" s="7">
        <f>IFERROR(__xludf.DUMMYFUNCTION("""COMPUTED_VALUE"""),310.4)</f>
        <v>310.4</v>
      </c>
      <c r="F83" s="7">
        <f>IFERROR(__xludf.DUMMYFUNCTION("""COMPUTED_VALUE"""),2.2732888E7)</f>
        <v>22732888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f>IFERROR(__xludf.DUMMYFUNCTION("""COMPUTED_VALUE"""),45672.64583333333)</f>
        <v>45672.64583</v>
      </c>
      <c r="B84" s="7">
        <f>IFERROR(__xludf.DUMMYFUNCTION("""COMPUTED_VALUE"""),312.55)</f>
        <v>312.55</v>
      </c>
      <c r="C84" s="7">
        <f>IFERROR(__xludf.DUMMYFUNCTION("""COMPUTED_VALUE"""),324.3)</f>
        <v>324.3</v>
      </c>
      <c r="D84" s="7">
        <f>IFERROR(__xludf.DUMMYFUNCTION("""COMPUTED_VALUE"""),312.55)</f>
        <v>312.55</v>
      </c>
      <c r="E84" s="7">
        <f>IFERROR(__xludf.DUMMYFUNCTION("""COMPUTED_VALUE"""),321.35)</f>
        <v>321.35</v>
      </c>
      <c r="F84" s="7">
        <f>IFERROR(__xludf.DUMMYFUNCTION("""COMPUTED_VALUE"""),2.1894626E7)</f>
        <v>21894626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f>IFERROR(__xludf.DUMMYFUNCTION("""COMPUTED_VALUE"""),45673.64583333333)</f>
        <v>45673.64583</v>
      </c>
      <c r="B85" s="7">
        <f>IFERROR(__xludf.DUMMYFUNCTION("""COMPUTED_VALUE"""),324.7)</f>
        <v>324.7</v>
      </c>
      <c r="C85" s="7">
        <f>IFERROR(__xludf.DUMMYFUNCTION("""COMPUTED_VALUE"""),327.3)</f>
        <v>327.3</v>
      </c>
      <c r="D85" s="7">
        <f>IFERROR(__xludf.DUMMYFUNCTION("""COMPUTED_VALUE"""),321.65)</f>
        <v>321.65</v>
      </c>
      <c r="E85" s="7">
        <f>IFERROR(__xludf.DUMMYFUNCTION("""COMPUTED_VALUE"""),325.5)</f>
        <v>325.5</v>
      </c>
      <c r="F85" s="7">
        <f>IFERROR(__xludf.DUMMYFUNCTION("""COMPUTED_VALUE"""),1.4865186E7)</f>
        <v>14865186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f>IFERROR(__xludf.DUMMYFUNCTION("""COMPUTED_VALUE"""),45674.64583333333)</f>
        <v>45674.64583</v>
      </c>
      <c r="B86" s="7">
        <f>IFERROR(__xludf.DUMMYFUNCTION("""COMPUTED_VALUE"""),325.3)</f>
        <v>325.3</v>
      </c>
      <c r="C86" s="7">
        <f>IFERROR(__xludf.DUMMYFUNCTION("""COMPUTED_VALUE"""),329.0)</f>
        <v>329</v>
      </c>
      <c r="D86" s="7">
        <f>IFERROR(__xludf.DUMMYFUNCTION("""COMPUTED_VALUE"""),323.35)</f>
        <v>323.35</v>
      </c>
      <c r="E86" s="7">
        <f>IFERROR(__xludf.DUMMYFUNCTION("""COMPUTED_VALUE"""),326.15)</f>
        <v>326.15</v>
      </c>
      <c r="F86" s="7">
        <f>IFERROR(__xludf.DUMMYFUNCTION("""COMPUTED_VALUE"""),7129232.0)</f>
        <v>7129232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f>IFERROR(__xludf.DUMMYFUNCTION("""COMPUTED_VALUE"""),45677.64583333333)</f>
        <v>45677.64583</v>
      </c>
      <c r="B87" s="7">
        <f>IFERROR(__xludf.DUMMYFUNCTION("""COMPUTED_VALUE"""),326.2)</f>
        <v>326.2</v>
      </c>
      <c r="C87" s="7">
        <f>IFERROR(__xludf.DUMMYFUNCTION("""COMPUTED_VALUE"""),337.0)</f>
        <v>337</v>
      </c>
      <c r="D87" s="7">
        <f>IFERROR(__xludf.DUMMYFUNCTION("""COMPUTED_VALUE"""),324.55)</f>
        <v>324.55</v>
      </c>
      <c r="E87" s="7">
        <f>IFERROR(__xludf.DUMMYFUNCTION("""COMPUTED_VALUE"""),336.05)</f>
        <v>336.05</v>
      </c>
      <c r="F87" s="7">
        <f>IFERROR(__xludf.DUMMYFUNCTION("""COMPUTED_VALUE"""),1.799188E7)</f>
        <v>17991880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f>IFERROR(__xludf.DUMMYFUNCTION("""COMPUTED_VALUE"""),45678.64583333333)</f>
        <v>45678.64583</v>
      </c>
      <c r="B88" s="7">
        <f>IFERROR(__xludf.DUMMYFUNCTION("""COMPUTED_VALUE"""),337.8)</f>
        <v>337.8</v>
      </c>
      <c r="C88" s="7">
        <f>IFERROR(__xludf.DUMMYFUNCTION("""COMPUTED_VALUE"""),338.25)</f>
        <v>338.25</v>
      </c>
      <c r="D88" s="7">
        <f>IFERROR(__xludf.DUMMYFUNCTION("""COMPUTED_VALUE"""),323.8)</f>
        <v>323.8</v>
      </c>
      <c r="E88" s="7">
        <f>IFERROR(__xludf.DUMMYFUNCTION("""COMPUTED_VALUE"""),324.3)</f>
        <v>324.3</v>
      </c>
      <c r="F88" s="7">
        <f>IFERROR(__xludf.DUMMYFUNCTION("""COMPUTED_VALUE"""),1.277463E7)</f>
        <v>12774630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f>IFERROR(__xludf.DUMMYFUNCTION("""COMPUTED_VALUE"""),45679.64583333333)</f>
        <v>45679.64583</v>
      </c>
      <c r="B89" s="7">
        <f>IFERROR(__xludf.DUMMYFUNCTION("""COMPUTED_VALUE"""),327.0)</f>
        <v>327</v>
      </c>
      <c r="C89" s="7">
        <f>IFERROR(__xludf.DUMMYFUNCTION("""COMPUTED_VALUE"""),327.0)</f>
        <v>327</v>
      </c>
      <c r="D89" s="7">
        <f>IFERROR(__xludf.DUMMYFUNCTION("""COMPUTED_VALUE"""),317.35)</f>
        <v>317.35</v>
      </c>
      <c r="E89" s="7">
        <f>IFERROR(__xludf.DUMMYFUNCTION("""COMPUTED_VALUE"""),322.4)</f>
        <v>322.4</v>
      </c>
      <c r="F89" s="7">
        <f>IFERROR(__xludf.DUMMYFUNCTION("""COMPUTED_VALUE"""),1.1068145E7)</f>
        <v>11068145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f>IFERROR(__xludf.DUMMYFUNCTION("""COMPUTED_VALUE"""),45680.64583333333)</f>
        <v>45680.64583</v>
      </c>
      <c r="B90" s="7">
        <f>IFERROR(__xludf.DUMMYFUNCTION("""COMPUTED_VALUE"""),321.0)</f>
        <v>321</v>
      </c>
      <c r="C90" s="7">
        <f>IFERROR(__xludf.DUMMYFUNCTION("""COMPUTED_VALUE"""),325.1)</f>
        <v>325.1</v>
      </c>
      <c r="D90" s="7">
        <f>IFERROR(__xludf.DUMMYFUNCTION("""COMPUTED_VALUE"""),319.55)</f>
        <v>319.55</v>
      </c>
      <c r="E90" s="7">
        <f>IFERROR(__xludf.DUMMYFUNCTION("""COMPUTED_VALUE"""),323.65)</f>
        <v>323.65</v>
      </c>
      <c r="F90" s="7">
        <f>IFERROR(__xludf.DUMMYFUNCTION("""COMPUTED_VALUE"""),6477347.0)</f>
        <v>6477347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f>IFERROR(__xludf.DUMMYFUNCTION("""COMPUTED_VALUE"""),45681.64583333333)</f>
        <v>45681.64583</v>
      </c>
      <c r="B91" s="7">
        <f>IFERROR(__xludf.DUMMYFUNCTION("""COMPUTED_VALUE"""),324.8)</f>
        <v>324.8</v>
      </c>
      <c r="C91" s="7">
        <f>IFERROR(__xludf.DUMMYFUNCTION("""COMPUTED_VALUE"""),329.9)</f>
        <v>329.9</v>
      </c>
      <c r="D91" s="7">
        <f>IFERROR(__xludf.DUMMYFUNCTION("""COMPUTED_VALUE"""),322.1)</f>
        <v>322.1</v>
      </c>
      <c r="E91" s="7">
        <f>IFERROR(__xludf.DUMMYFUNCTION("""COMPUTED_VALUE"""),323.65)</f>
        <v>323.65</v>
      </c>
      <c r="F91" s="7">
        <f>IFERROR(__xludf.DUMMYFUNCTION("""COMPUTED_VALUE"""),7492600.0)</f>
        <v>7492600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f>IFERROR(__xludf.DUMMYFUNCTION("""COMPUTED_VALUE"""),45684.64583333333)</f>
        <v>45684.64583</v>
      </c>
      <c r="B92" s="7">
        <f>IFERROR(__xludf.DUMMYFUNCTION("""COMPUTED_VALUE"""),323.65)</f>
        <v>323.65</v>
      </c>
      <c r="C92" s="7">
        <f>IFERROR(__xludf.DUMMYFUNCTION("""COMPUTED_VALUE"""),325.05)</f>
        <v>325.05</v>
      </c>
      <c r="D92" s="7">
        <f>IFERROR(__xludf.DUMMYFUNCTION("""COMPUTED_VALUE"""),315.0)</f>
        <v>315</v>
      </c>
      <c r="E92" s="7">
        <f>IFERROR(__xludf.DUMMYFUNCTION("""COMPUTED_VALUE"""),322.2)</f>
        <v>322.2</v>
      </c>
      <c r="F92" s="7">
        <f>IFERROR(__xludf.DUMMYFUNCTION("""COMPUTED_VALUE"""),1.3803855E7)</f>
        <v>13803855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f>IFERROR(__xludf.DUMMYFUNCTION("""COMPUTED_VALUE"""),45685.64583333333)</f>
        <v>45685.64583</v>
      </c>
      <c r="B93" s="7">
        <f>IFERROR(__xludf.DUMMYFUNCTION("""COMPUTED_VALUE"""),322.5)</f>
        <v>322.5</v>
      </c>
      <c r="C93" s="7">
        <f>IFERROR(__xludf.DUMMYFUNCTION("""COMPUTED_VALUE"""),323.85)</f>
        <v>323.85</v>
      </c>
      <c r="D93" s="7">
        <f>IFERROR(__xludf.DUMMYFUNCTION("""COMPUTED_VALUE"""),308.15)</f>
        <v>308.15</v>
      </c>
      <c r="E93" s="7">
        <f>IFERROR(__xludf.DUMMYFUNCTION("""COMPUTED_VALUE"""),318.25)</f>
        <v>318.25</v>
      </c>
      <c r="F93" s="7">
        <f>IFERROR(__xludf.DUMMYFUNCTION("""COMPUTED_VALUE"""),2.2008929E7)</f>
        <v>22008929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f>IFERROR(__xludf.DUMMYFUNCTION("""COMPUTED_VALUE"""),45686.64583333333)</f>
        <v>45686.64583</v>
      </c>
      <c r="B94" s="7">
        <f>IFERROR(__xludf.DUMMYFUNCTION("""COMPUTED_VALUE"""),320.0)</f>
        <v>320</v>
      </c>
      <c r="C94" s="7">
        <f>IFERROR(__xludf.DUMMYFUNCTION("""COMPUTED_VALUE"""),322.9)</f>
        <v>322.9</v>
      </c>
      <c r="D94" s="7">
        <f>IFERROR(__xludf.DUMMYFUNCTION("""COMPUTED_VALUE"""),313.3)</f>
        <v>313.3</v>
      </c>
      <c r="E94" s="7">
        <f>IFERROR(__xludf.DUMMYFUNCTION("""COMPUTED_VALUE"""),321.25)</f>
        <v>321.25</v>
      </c>
      <c r="F94" s="7">
        <f>IFERROR(__xludf.DUMMYFUNCTION("""COMPUTED_VALUE"""),1.6056888E7)</f>
        <v>16056888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f>IFERROR(__xludf.DUMMYFUNCTION("""COMPUTED_VALUE"""),45687.64583333333)</f>
        <v>45687.64583</v>
      </c>
      <c r="B95" s="7">
        <f>IFERROR(__xludf.DUMMYFUNCTION("""COMPUTED_VALUE"""),322.25)</f>
        <v>322.25</v>
      </c>
      <c r="C95" s="7">
        <f>IFERROR(__xludf.DUMMYFUNCTION("""COMPUTED_VALUE"""),326.8)</f>
        <v>326.8</v>
      </c>
      <c r="D95" s="7">
        <f>IFERROR(__xludf.DUMMYFUNCTION("""COMPUTED_VALUE"""),321.15)</f>
        <v>321.15</v>
      </c>
      <c r="E95" s="7">
        <f>IFERROR(__xludf.DUMMYFUNCTION("""COMPUTED_VALUE"""),323.0)</f>
        <v>323</v>
      </c>
      <c r="F95" s="7">
        <f>IFERROR(__xludf.DUMMYFUNCTION("""COMPUTED_VALUE"""),1.037572E7)</f>
        <v>10375720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f>IFERROR(__xludf.DUMMYFUNCTION("""COMPUTED_VALUE"""),45688.64583333333)</f>
        <v>45688.64583</v>
      </c>
      <c r="B96" s="7">
        <f>IFERROR(__xludf.DUMMYFUNCTION("""COMPUTED_VALUE"""),322.45)</f>
        <v>322.45</v>
      </c>
      <c r="C96" s="7">
        <f>IFERROR(__xludf.DUMMYFUNCTION("""COMPUTED_VALUE"""),326.25)</f>
        <v>326.25</v>
      </c>
      <c r="D96" s="7">
        <f>IFERROR(__xludf.DUMMYFUNCTION("""COMPUTED_VALUE"""),317.55)</f>
        <v>317.55</v>
      </c>
      <c r="E96" s="7">
        <f>IFERROR(__xludf.DUMMYFUNCTION("""COMPUTED_VALUE"""),324.0)</f>
        <v>324</v>
      </c>
      <c r="F96" s="7">
        <f>IFERROR(__xludf.DUMMYFUNCTION("""COMPUTED_VALUE"""),1.3195557E7)</f>
        <v>13195557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f>IFERROR(__xludf.DUMMYFUNCTION("""COMPUTED_VALUE"""),45691.64583333333)</f>
        <v>45691.64583</v>
      </c>
      <c r="B97" s="7">
        <f>IFERROR(__xludf.DUMMYFUNCTION("""COMPUTED_VALUE"""),310.1)</f>
        <v>310.1</v>
      </c>
      <c r="C97" s="7">
        <f>IFERROR(__xludf.DUMMYFUNCTION("""COMPUTED_VALUE"""),314.05)</f>
        <v>314.05</v>
      </c>
      <c r="D97" s="7">
        <f>IFERROR(__xludf.DUMMYFUNCTION("""COMPUTED_VALUE"""),304.0)</f>
        <v>304</v>
      </c>
      <c r="E97" s="7">
        <f>IFERROR(__xludf.DUMMYFUNCTION("""COMPUTED_VALUE"""),311.25)</f>
        <v>311.25</v>
      </c>
      <c r="F97" s="7">
        <f>IFERROR(__xludf.DUMMYFUNCTION("""COMPUTED_VALUE"""),1.5881217E7)</f>
        <v>15881217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f>IFERROR(__xludf.DUMMYFUNCTION("""COMPUTED_VALUE"""),45692.64583333333)</f>
        <v>45692.64583</v>
      </c>
      <c r="B98" s="7">
        <f>IFERROR(__xludf.DUMMYFUNCTION("""COMPUTED_VALUE"""),314.85)</f>
        <v>314.85</v>
      </c>
      <c r="C98" s="7">
        <f>IFERROR(__xludf.DUMMYFUNCTION("""COMPUTED_VALUE"""),320.45)</f>
        <v>320.45</v>
      </c>
      <c r="D98" s="7">
        <f>IFERROR(__xludf.DUMMYFUNCTION("""COMPUTED_VALUE"""),310.3)</f>
        <v>310.3</v>
      </c>
      <c r="E98" s="7">
        <f>IFERROR(__xludf.DUMMYFUNCTION("""COMPUTED_VALUE"""),319.1)</f>
        <v>319.1</v>
      </c>
      <c r="F98" s="7">
        <f>IFERROR(__xludf.DUMMYFUNCTION("""COMPUTED_VALUE"""),1.2141064E7)</f>
        <v>12141064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f>IFERROR(__xludf.DUMMYFUNCTION("""COMPUTED_VALUE"""),45693.64583333333)</f>
        <v>45693.64583</v>
      </c>
      <c r="B99" s="7">
        <f>IFERROR(__xludf.DUMMYFUNCTION("""COMPUTED_VALUE"""),321.0)</f>
        <v>321</v>
      </c>
      <c r="C99" s="7">
        <f>IFERROR(__xludf.DUMMYFUNCTION("""COMPUTED_VALUE"""),323.05)</f>
        <v>323.05</v>
      </c>
      <c r="D99" s="7">
        <f>IFERROR(__xludf.DUMMYFUNCTION("""COMPUTED_VALUE"""),318.4)</f>
        <v>318.4</v>
      </c>
      <c r="E99" s="7">
        <f>IFERROR(__xludf.DUMMYFUNCTION("""COMPUTED_VALUE"""),319.6)</f>
        <v>319.6</v>
      </c>
      <c r="F99" s="7">
        <f>IFERROR(__xludf.DUMMYFUNCTION("""COMPUTED_VALUE"""),1.2226722E7)</f>
        <v>12226722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f>IFERROR(__xludf.DUMMYFUNCTION("""COMPUTED_VALUE"""),45694.64583333333)</f>
        <v>45694.64583</v>
      </c>
      <c r="B100" s="7">
        <f>IFERROR(__xludf.DUMMYFUNCTION("""COMPUTED_VALUE"""),322.6)</f>
        <v>322.6</v>
      </c>
      <c r="C100" s="7">
        <f>IFERROR(__xludf.DUMMYFUNCTION("""COMPUTED_VALUE"""),322.7)</f>
        <v>322.7</v>
      </c>
      <c r="D100" s="7">
        <f>IFERROR(__xludf.DUMMYFUNCTION("""COMPUTED_VALUE"""),311.4)</f>
        <v>311.4</v>
      </c>
      <c r="E100" s="7">
        <f>IFERROR(__xludf.DUMMYFUNCTION("""COMPUTED_VALUE"""),312.8)</f>
        <v>312.8</v>
      </c>
      <c r="F100" s="7">
        <f>IFERROR(__xludf.DUMMYFUNCTION("""COMPUTED_VALUE"""),1.3384442E7)</f>
        <v>13384442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f>IFERROR(__xludf.DUMMYFUNCTION("""COMPUTED_VALUE"""),45695.64583333333)</f>
        <v>45695.64583</v>
      </c>
      <c r="B101" s="7">
        <f>IFERROR(__xludf.DUMMYFUNCTION("""COMPUTED_VALUE"""),313.5)</f>
        <v>313.5</v>
      </c>
      <c r="C101" s="7">
        <f>IFERROR(__xludf.DUMMYFUNCTION("""COMPUTED_VALUE"""),319.25)</f>
        <v>319.25</v>
      </c>
      <c r="D101" s="7">
        <f>IFERROR(__xludf.DUMMYFUNCTION("""COMPUTED_VALUE"""),312.1)</f>
        <v>312.1</v>
      </c>
      <c r="E101" s="7">
        <f>IFERROR(__xludf.DUMMYFUNCTION("""COMPUTED_VALUE"""),316.95)</f>
        <v>316.95</v>
      </c>
      <c r="F101" s="7">
        <f>IFERROR(__xludf.DUMMYFUNCTION("""COMPUTED_VALUE"""),8937447.0)</f>
        <v>8937447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f>IFERROR(__xludf.DUMMYFUNCTION("""COMPUTED_VALUE"""),45698.64583333333)</f>
        <v>45698.64583</v>
      </c>
      <c r="B102" s="7">
        <f>IFERROR(__xludf.DUMMYFUNCTION("""COMPUTED_VALUE"""),316.5)</f>
        <v>316.5</v>
      </c>
      <c r="C102" s="7">
        <f>IFERROR(__xludf.DUMMYFUNCTION("""COMPUTED_VALUE"""),316.85)</f>
        <v>316.85</v>
      </c>
      <c r="D102" s="7">
        <f>IFERROR(__xludf.DUMMYFUNCTION("""COMPUTED_VALUE"""),309.0)</f>
        <v>309</v>
      </c>
      <c r="E102" s="7">
        <f>IFERROR(__xludf.DUMMYFUNCTION("""COMPUTED_VALUE"""),310.5)</f>
        <v>310.5</v>
      </c>
      <c r="F102" s="7">
        <f>IFERROR(__xludf.DUMMYFUNCTION("""COMPUTED_VALUE"""),6806132.0)</f>
        <v>6806132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f>IFERROR(__xludf.DUMMYFUNCTION("""COMPUTED_VALUE"""),45699.64583333333)</f>
        <v>45699.64583</v>
      </c>
      <c r="B103" s="7">
        <f>IFERROR(__xludf.DUMMYFUNCTION("""COMPUTED_VALUE"""),312.35)</f>
        <v>312.35</v>
      </c>
      <c r="C103" s="7">
        <f>IFERROR(__xludf.DUMMYFUNCTION("""COMPUTED_VALUE"""),312.35)</f>
        <v>312.35</v>
      </c>
      <c r="D103" s="7">
        <f>IFERROR(__xludf.DUMMYFUNCTION("""COMPUTED_VALUE"""),304.15)</f>
        <v>304.15</v>
      </c>
      <c r="E103" s="7">
        <f>IFERROR(__xludf.DUMMYFUNCTION("""COMPUTED_VALUE"""),305.6)</f>
        <v>305.6</v>
      </c>
      <c r="F103" s="7">
        <f>IFERROR(__xludf.DUMMYFUNCTION("""COMPUTED_VALUE"""),1.324183E7)</f>
        <v>13241830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f>IFERROR(__xludf.DUMMYFUNCTION("""COMPUTED_VALUE"""),45700.64583333333)</f>
        <v>45700.64583</v>
      </c>
      <c r="B104" s="7">
        <f>IFERROR(__xludf.DUMMYFUNCTION("""COMPUTED_VALUE"""),306.2)</f>
        <v>306.2</v>
      </c>
      <c r="C104" s="7">
        <f>IFERROR(__xludf.DUMMYFUNCTION("""COMPUTED_VALUE"""),307.5)</f>
        <v>307.5</v>
      </c>
      <c r="D104" s="7">
        <f>IFERROR(__xludf.DUMMYFUNCTION("""COMPUTED_VALUE"""),300.0)</f>
        <v>300</v>
      </c>
      <c r="E104" s="7">
        <f>IFERROR(__xludf.DUMMYFUNCTION("""COMPUTED_VALUE"""),306.25)</f>
        <v>306.25</v>
      </c>
      <c r="F104" s="7">
        <f>IFERROR(__xludf.DUMMYFUNCTION("""COMPUTED_VALUE"""),7616083.0)</f>
        <v>7616083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f>IFERROR(__xludf.DUMMYFUNCTION("""COMPUTED_VALUE"""),45701.64583333333)</f>
        <v>45701.64583</v>
      </c>
      <c r="B105" s="7">
        <f>IFERROR(__xludf.DUMMYFUNCTION("""COMPUTED_VALUE"""),306.15)</f>
        <v>306.15</v>
      </c>
      <c r="C105" s="7">
        <f>IFERROR(__xludf.DUMMYFUNCTION("""COMPUTED_VALUE"""),308.6)</f>
        <v>308.6</v>
      </c>
      <c r="D105" s="7">
        <f>IFERROR(__xludf.DUMMYFUNCTION("""COMPUTED_VALUE"""),303.1)</f>
        <v>303.1</v>
      </c>
      <c r="E105" s="7">
        <f>IFERROR(__xludf.DUMMYFUNCTION("""COMPUTED_VALUE"""),306.7)</f>
        <v>306.7</v>
      </c>
      <c r="F105" s="7">
        <f>IFERROR(__xludf.DUMMYFUNCTION("""COMPUTED_VALUE"""),9086906.0)</f>
        <v>9086906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f>IFERROR(__xludf.DUMMYFUNCTION("""COMPUTED_VALUE"""),45702.64583333333)</f>
        <v>45702.64583</v>
      </c>
      <c r="B106" s="7">
        <f>IFERROR(__xludf.DUMMYFUNCTION("""COMPUTED_VALUE"""),306.85)</f>
        <v>306.85</v>
      </c>
      <c r="C106" s="7">
        <f>IFERROR(__xludf.DUMMYFUNCTION("""COMPUTED_VALUE"""),308.25)</f>
        <v>308.25</v>
      </c>
      <c r="D106" s="7">
        <f>IFERROR(__xludf.DUMMYFUNCTION("""COMPUTED_VALUE"""),298.35)</f>
        <v>298.35</v>
      </c>
      <c r="E106" s="7">
        <f>IFERROR(__xludf.DUMMYFUNCTION("""COMPUTED_VALUE"""),300.35)</f>
        <v>300.35</v>
      </c>
      <c r="F106" s="7">
        <f>IFERROR(__xludf.DUMMYFUNCTION("""COMPUTED_VALUE"""),7446248.0)</f>
        <v>7446248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f>IFERROR(__xludf.DUMMYFUNCTION("""COMPUTED_VALUE"""),45705.64583333333)</f>
        <v>45705.64583</v>
      </c>
      <c r="B107" s="7">
        <f>IFERROR(__xludf.DUMMYFUNCTION("""COMPUTED_VALUE"""),297.5)</f>
        <v>297.5</v>
      </c>
      <c r="C107" s="7">
        <f>IFERROR(__xludf.DUMMYFUNCTION("""COMPUTED_VALUE"""),303.2)</f>
        <v>303.2</v>
      </c>
      <c r="D107" s="7">
        <f>IFERROR(__xludf.DUMMYFUNCTION("""COMPUTED_VALUE"""),292.8)</f>
        <v>292.8</v>
      </c>
      <c r="E107" s="7">
        <f>IFERROR(__xludf.DUMMYFUNCTION("""COMPUTED_VALUE"""),302.35)</f>
        <v>302.35</v>
      </c>
      <c r="F107" s="7">
        <f>IFERROR(__xludf.DUMMYFUNCTION("""COMPUTED_VALUE"""),6464173.0)</f>
        <v>6464173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f>IFERROR(__xludf.DUMMYFUNCTION("""COMPUTED_VALUE"""),45706.64583333333)</f>
        <v>45706.64583</v>
      </c>
      <c r="B108" s="7">
        <f>IFERROR(__xludf.DUMMYFUNCTION("""COMPUTED_VALUE"""),301.15)</f>
        <v>301.15</v>
      </c>
      <c r="C108" s="7">
        <f>IFERROR(__xludf.DUMMYFUNCTION("""COMPUTED_VALUE"""),312.4)</f>
        <v>312.4</v>
      </c>
      <c r="D108" s="7">
        <f>IFERROR(__xludf.DUMMYFUNCTION("""COMPUTED_VALUE"""),297.5)</f>
        <v>297.5</v>
      </c>
      <c r="E108" s="7">
        <f>IFERROR(__xludf.DUMMYFUNCTION("""COMPUTED_VALUE"""),311.2)</f>
        <v>311.2</v>
      </c>
      <c r="F108" s="7">
        <f>IFERROR(__xludf.DUMMYFUNCTION("""COMPUTED_VALUE"""),1.5793327E7)</f>
        <v>15793327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f>IFERROR(__xludf.DUMMYFUNCTION("""COMPUTED_VALUE"""),45707.64583333333)</f>
        <v>45707.64583</v>
      </c>
      <c r="B109" s="7">
        <f>IFERROR(__xludf.DUMMYFUNCTION("""COMPUTED_VALUE"""),311.2)</f>
        <v>311.2</v>
      </c>
      <c r="C109" s="7">
        <f>IFERROR(__xludf.DUMMYFUNCTION("""COMPUTED_VALUE"""),316.35)</f>
        <v>316.35</v>
      </c>
      <c r="D109" s="7">
        <f>IFERROR(__xludf.DUMMYFUNCTION("""COMPUTED_VALUE"""),310.6)</f>
        <v>310.6</v>
      </c>
      <c r="E109" s="7">
        <f>IFERROR(__xludf.DUMMYFUNCTION("""COMPUTED_VALUE"""),314.8)</f>
        <v>314.8</v>
      </c>
      <c r="F109" s="7">
        <f>IFERROR(__xludf.DUMMYFUNCTION("""COMPUTED_VALUE"""),1.3079903E7)</f>
        <v>13079903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f>IFERROR(__xludf.DUMMYFUNCTION("""COMPUTED_VALUE"""),45708.64583333333)</f>
        <v>45708.64583</v>
      </c>
      <c r="B110" s="7">
        <f>IFERROR(__xludf.DUMMYFUNCTION("""COMPUTED_VALUE"""),312.55)</f>
        <v>312.55</v>
      </c>
      <c r="C110" s="7">
        <f>IFERROR(__xludf.DUMMYFUNCTION("""COMPUTED_VALUE"""),327.15)</f>
        <v>327.15</v>
      </c>
      <c r="D110" s="7">
        <f>IFERROR(__xludf.DUMMYFUNCTION("""COMPUTED_VALUE"""),311.5)</f>
        <v>311.5</v>
      </c>
      <c r="E110" s="7">
        <f>IFERROR(__xludf.DUMMYFUNCTION("""COMPUTED_VALUE"""),325.15)</f>
        <v>325.15</v>
      </c>
      <c r="F110" s="7">
        <f>IFERROR(__xludf.DUMMYFUNCTION("""COMPUTED_VALUE"""),2.2888146E7)</f>
        <v>22888146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f>IFERROR(__xludf.DUMMYFUNCTION("""COMPUTED_VALUE"""),45709.64583333333)</f>
        <v>45709.64583</v>
      </c>
      <c r="B111" s="7">
        <f>IFERROR(__xludf.DUMMYFUNCTION("""COMPUTED_VALUE"""),323.3)</f>
        <v>323.3</v>
      </c>
      <c r="C111" s="7">
        <f>IFERROR(__xludf.DUMMYFUNCTION("""COMPUTED_VALUE"""),329.75)</f>
        <v>329.75</v>
      </c>
      <c r="D111" s="7">
        <f>IFERROR(__xludf.DUMMYFUNCTION("""COMPUTED_VALUE"""),321.55)</f>
        <v>321.55</v>
      </c>
      <c r="E111" s="7">
        <f>IFERROR(__xludf.DUMMYFUNCTION("""COMPUTED_VALUE"""),326.25)</f>
        <v>326.25</v>
      </c>
      <c r="F111" s="7">
        <f>IFERROR(__xludf.DUMMYFUNCTION("""COMPUTED_VALUE"""),1.0809296E7)</f>
        <v>10809296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f>IFERROR(__xludf.DUMMYFUNCTION("""COMPUTED_VALUE"""),45712.64583333333)</f>
        <v>45712.64583</v>
      </c>
      <c r="B112" s="7">
        <f>IFERROR(__xludf.DUMMYFUNCTION("""COMPUTED_VALUE"""),322.1)</f>
        <v>322.1</v>
      </c>
      <c r="C112" s="7">
        <f>IFERROR(__xludf.DUMMYFUNCTION("""COMPUTED_VALUE"""),325.4)</f>
        <v>325.4</v>
      </c>
      <c r="D112" s="7">
        <f>IFERROR(__xludf.DUMMYFUNCTION("""COMPUTED_VALUE"""),319.45)</f>
        <v>319.45</v>
      </c>
      <c r="E112" s="7">
        <f>IFERROR(__xludf.DUMMYFUNCTION("""COMPUTED_VALUE"""),320.1)</f>
        <v>320.1</v>
      </c>
      <c r="F112" s="7">
        <f>IFERROR(__xludf.DUMMYFUNCTION("""COMPUTED_VALUE"""),6034113.0)</f>
        <v>6034113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f>IFERROR(__xludf.DUMMYFUNCTION("""COMPUTED_VALUE"""),45713.64583333333)</f>
        <v>45713.64583</v>
      </c>
      <c r="B113" s="7">
        <f>IFERROR(__xludf.DUMMYFUNCTION("""COMPUTED_VALUE"""),320.1)</f>
        <v>320.1</v>
      </c>
      <c r="C113" s="7">
        <f>IFERROR(__xludf.DUMMYFUNCTION("""COMPUTED_VALUE"""),321.5)</f>
        <v>321.5</v>
      </c>
      <c r="D113" s="7">
        <f>IFERROR(__xludf.DUMMYFUNCTION("""COMPUTED_VALUE"""),315.75)</f>
        <v>315.75</v>
      </c>
      <c r="E113" s="7">
        <f>IFERROR(__xludf.DUMMYFUNCTION("""COMPUTED_VALUE"""),318.7)</f>
        <v>318.7</v>
      </c>
      <c r="F113" s="7">
        <f>IFERROR(__xludf.DUMMYFUNCTION("""COMPUTED_VALUE"""),1.0686112E7)</f>
        <v>10686112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f>IFERROR(__xludf.DUMMYFUNCTION("""COMPUTED_VALUE"""),45715.64583333333)</f>
        <v>45715.64583</v>
      </c>
      <c r="B114" s="7">
        <f>IFERROR(__xludf.DUMMYFUNCTION("""COMPUTED_VALUE"""),315.35)</f>
        <v>315.35</v>
      </c>
      <c r="C114" s="7">
        <f>IFERROR(__xludf.DUMMYFUNCTION("""COMPUTED_VALUE"""),319.3)</f>
        <v>319.3</v>
      </c>
      <c r="D114" s="7">
        <f>IFERROR(__xludf.DUMMYFUNCTION("""COMPUTED_VALUE"""),314.5)</f>
        <v>314.5</v>
      </c>
      <c r="E114" s="7">
        <f>IFERROR(__xludf.DUMMYFUNCTION("""COMPUTED_VALUE"""),315.7)</f>
        <v>315.7</v>
      </c>
      <c r="F114" s="7">
        <f>IFERROR(__xludf.DUMMYFUNCTION("""COMPUTED_VALUE"""),7302366.0)</f>
        <v>7302366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f>IFERROR(__xludf.DUMMYFUNCTION("""COMPUTED_VALUE"""),45716.64583333333)</f>
        <v>45716.64583</v>
      </c>
      <c r="B115" s="7">
        <f>IFERROR(__xludf.DUMMYFUNCTION("""COMPUTED_VALUE"""),314.0)</f>
        <v>314</v>
      </c>
      <c r="C115" s="7">
        <f>IFERROR(__xludf.DUMMYFUNCTION("""COMPUTED_VALUE"""),315.65)</f>
        <v>315.65</v>
      </c>
      <c r="D115" s="7">
        <f>IFERROR(__xludf.DUMMYFUNCTION("""COMPUTED_VALUE"""),306.55)</f>
        <v>306.55</v>
      </c>
      <c r="E115" s="7">
        <f>IFERROR(__xludf.DUMMYFUNCTION("""COMPUTED_VALUE"""),311.45)</f>
        <v>311.45</v>
      </c>
      <c r="F115" s="7">
        <f>IFERROR(__xludf.DUMMYFUNCTION("""COMPUTED_VALUE"""),2.112718E7)</f>
        <v>21127180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f>IFERROR(__xludf.DUMMYFUNCTION("""COMPUTED_VALUE"""),45719.64583333333)</f>
        <v>45719.64583</v>
      </c>
      <c r="B116" s="7">
        <f>IFERROR(__xludf.DUMMYFUNCTION("""COMPUTED_VALUE"""),311.3)</f>
        <v>311.3</v>
      </c>
      <c r="C116" s="7">
        <f>IFERROR(__xludf.DUMMYFUNCTION("""COMPUTED_VALUE"""),317.8)</f>
        <v>317.8</v>
      </c>
      <c r="D116" s="7">
        <f>IFERROR(__xludf.DUMMYFUNCTION("""COMPUTED_VALUE"""),307.7)</f>
        <v>307.7</v>
      </c>
      <c r="E116" s="7">
        <f>IFERROR(__xludf.DUMMYFUNCTION("""COMPUTED_VALUE"""),314.4)</f>
        <v>314.4</v>
      </c>
      <c r="F116" s="7">
        <f>IFERROR(__xludf.DUMMYFUNCTION("""COMPUTED_VALUE"""),9779703.0)</f>
        <v>9779703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f>IFERROR(__xludf.DUMMYFUNCTION("""COMPUTED_VALUE"""),45720.64583333333)</f>
        <v>45720.64583</v>
      </c>
      <c r="B117" s="7">
        <f>IFERROR(__xludf.DUMMYFUNCTION("""COMPUTED_VALUE"""),311.3)</f>
        <v>311.3</v>
      </c>
      <c r="C117" s="7">
        <f>IFERROR(__xludf.DUMMYFUNCTION("""COMPUTED_VALUE"""),314.9)</f>
        <v>314.9</v>
      </c>
      <c r="D117" s="7">
        <f>IFERROR(__xludf.DUMMYFUNCTION("""COMPUTED_VALUE"""),308.0)</f>
        <v>308</v>
      </c>
      <c r="E117" s="7">
        <f>IFERROR(__xludf.DUMMYFUNCTION("""COMPUTED_VALUE"""),313.75)</f>
        <v>313.75</v>
      </c>
      <c r="F117" s="7">
        <f>IFERROR(__xludf.DUMMYFUNCTION("""COMPUTED_VALUE"""),8734999.0)</f>
        <v>8734999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f>IFERROR(__xludf.DUMMYFUNCTION("""COMPUTED_VALUE"""),45721.64583333333)</f>
        <v>45721.64583</v>
      </c>
      <c r="B118" s="7">
        <f>IFERROR(__xludf.DUMMYFUNCTION("""COMPUTED_VALUE"""),313.55)</f>
        <v>313.55</v>
      </c>
      <c r="C118" s="7">
        <f>IFERROR(__xludf.DUMMYFUNCTION("""COMPUTED_VALUE"""),327.3)</f>
        <v>327.3</v>
      </c>
      <c r="D118" s="7">
        <f>IFERROR(__xludf.DUMMYFUNCTION("""COMPUTED_VALUE"""),313.5)</f>
        <v>313.5</v>
      </c>
      <c r="E118" s="7">
        <f>IFERROR(__xludf.DUMMYFUNCTION("""COMPUTED_VALUE"""),326.2)</f>
        <v>326.2</v>
      </c>
      <c r="F118" s="7">
        <f>IFERROR(__xludf.DUMMYFUNCTION("""COMPUTED_VALUE"""),1.0493615E7)</f>
        <v>10493615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f>IFERROR(__xludf.DUMMYFUNCTION("""COMPUTED_VALUE"""),45722.64583333333)</f>
        <v>45722.64583</v>
      </c>
      <c r="B119" s="7">
        <f>IFERROR(__xludf.DUMMYFUNCTION("""COMPUTED_VALUE"""),329.0)</f>
        <v>329</v>
      </c>
      <c r="C119" s="7">
        <f>IFERROR(__xludf.DUMMYFUNCTION("""COMPUTED_VALUE"""),338.8)</f>
        <v>338.8</v>
      </c>
      <c r="D119" s="7">
        <f>IFERROR(__xludf.DUMMYFUNCTION("""COMPUTED_VALUE"""),323.2)</f>
        <v>323.2</v>
      </c>
      <c r="E119" s="7">
        <f>IFERROR(__xludf.DUMMYFUNCTION("""COMPUTED_VALUE"""),337.9)</f>
        <v>337.9</v>
      </c>
      <c r="F119" s="7">
        <f>IFERROR(__xludf.DUMMYFUNCTION("""COMPUTED_VALUE"""),2.6294903E7)</f>
        <v>26294903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f>IFERROR(__xludf.DUMMYFUNCTION("""COMPUTED_VALUE"""),45723.64583333333)</f>
        <v>45723.64583</v>
      </c>
      <c r="B120" s="7">
        <f>IFERROR(__xludf.DUMMYFUNCTION("""COMPUTED_VALUE"""),335.85)</f>
        <v>335.85</v>
      </c>
      <c r="C120" s="7">
        <f>IFERROR(__xludf.DUMMYFUNCTION("""COMPUTED_VALUE"""),338.75)</f>
        <v>338.75</v>
      </c>
      <c r="D120" s="7">
        <f>IFERROR(__xludf.DUMMYFUNCTION("""COMPUTED_VALUE"""),328.7)</f>
        <v>328.7</v>
      </c>
      <c r="E120" s="7">
        <f>IFERROR(__xludf.DUMMYFUNCTION("""COMPUTED_VALUE"""),329.55)</f>
        <v>329.55</v>
      </c>
      <c r="F120" s="7">
        <f>IFERROR(__xludf.DUMMYFUNCTION("""COMPUTED_VALUE"""),8992315.0)</f>
        <v>8992315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f>IFERROR(__xludf.DUMMYFUNCTION("""COMPUTED_VALUE"""),45726.64583333333)</f>
        <v>45726.64583</v>
      </c>
      <c r="B121" s="7">
        <f>IFERROR(__xludf.DUMMYFUNCTION("""COMPUTED_VALUE"""),329.45)</f>
        <v>329.45</v>
      </c>
      <c r="C121" s="7">
        <f>IFERROR(__xludf.DUMMYFUNCTION("""COMPUTED_VALUE"""),334.95)</f>
        <v>334.95</v>
      </c>
      <c r="D121" s="7">
        <f>IFERROR(__xludf.DUMMYFUNCTION("""COMPUTED_VALUE"""),326.3)</f>
        <v>326.3</v>
      </c>
      <c r="E121" s="7">
        <f>IFERROR(__xludf.DUMMYFUNCTION("""COMPUTED_VALUE"""),329.4)</f>
        <v>329.4</v>
      </c>
      <c r="F121" s="7">
        <f>IFERROR(__xludf.DUMMYFUNCTION("""COMPUTED_VALUE"""),1.1383132E7)</f>
        <v>11383132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f>IFERROR(__xludf.DUMMYFUNCTION("""COMPUTED_VALUE"""),45727.64583333333)</f>
        <v>45727.64583</v>
      </c>
      <c r="B122" s="7">
        <f>IFERROR(__xludf.DUMMYFUNCTION("""COMPUTED_VALUE"""),327.0)</f>
        <v>327</v>
      </c>
      <c r="C122" s="7">
        <f>IFERROR(__xludf.DUMMYFUNCTION("""COMPUTED_VALUE"""),333.25)</f>
        <v>333.25</v>
      </c>
      <c r="D122" s="7">
        <f>IFERROR(__xludf.DUMMYFUNCTION("""COMPUTED_VALUE"""),323.7)</f>
        <v>323.7</v>
      </c>
      <c r="E122" s="7">
        <f>IFERROR(__xludf.DUMMYFUNCTION("""COMPUTED_VALUE"""),330.3)</f>
        <v>330.3</v>
      </c>
      <c r="F122" s="7">
        <f>IFERROR(__xludf.DUMMYFUNCTION("""COMPUTED_VALUE"""),1.0299324E7)</f>
        <v>10299324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f>IFERROR(__xludf.DUMMYFUNCTION("""COMPUTED_VALUE"""),45728.64583333333)</f>
        <v>45728.64583</v>
      </c>
      <c r="B123" s="7">
        <f>IFERROR(__xludf.DUMMYFUNCTION("""COMPUTED_VALUE"""),331.0)</f>
        <v>331</v>
      </c>
      <c r="C123" s="7">
        <f>IFERROR(__xludf.DUMMYFUNCTION("""COMPUTED_VALUE"""),334.8)</f>
        <v>334.8</v>
      </c>
      <c r="D123" s="7">
        <f>IFERROR(__xludf.DUMMYFUNCTION("""COMPUTED_VALUE"""),326.4)</f>
        <v>326.4</v>
      </c>
      <c r="E123" s="7">
        <f>IFERROR(__xludf.DUMMYFUNCTION("""COMPUTED_VALUE"""),330.15)</f>
        <v>330.15</v>
      </c>
      <c r="F123" s="7">
        <f>IFERROR(__xludf.DUMMYFUNCTION("""COMPUTED_VALUE"""),6984859.0)</f>
        <v>6984859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f>IFERROR(__xludf.DUMMYFUNCTION("""COMPUTED_VALUE"""),45729.64583333333)</f>
        <v>45729.64583</v>
      </c>
      <c r="B124" s="7">
        <f>IFERROR(__xludf.DUMMYFUNCTION("""COMPUTED_VALUE"""),332.0)</f>
        <v>332</v>
      </c>
      <c r="C124" s="7">
        <f>IFERROR(__xludf.DUMMYFUNCTION("""COMPUTED_VALUE"""),334.55)</f>
        <v>334.55</v>
      </c>
      <c r="D124" s="7">
        <f>IFERROR(__xludf.DUMMYFUNCTION("""COMPUTED_VALUE"""),328.45)</f>
        <v>328.45</v>
      </c>
      <c r="E124" s="7">
        <f>IFERROR(__xludf.DUMMYFUNCTION("""COMPUTED_VALUE"""),331.9)</f>
        <v>331.9</v>
      </c>
      <c r="F124" s="7">
        <f>IFERROR(__xludf.DUMMYFUNCTION("""COMPUTED_VALUE"""),8965150.0)</f>
        <v>8965150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f>IFERROR(__xludf.DUMMYFUNCTION("""COMPUTED_VALUE"""),45733.64583333333)</f>
        <v>45733.64583</v>
      </c>
      <c r="B125" s="7">
        <f>IFERROR(__xludf.DUMMYFUNCTION("""COMPUTED_VALUE"""),332.95)</f>
        <v>332.95</v>
      </c>
      <c r="C125" s="7">
        <f>IFERROR(__xludf.DUMMYFUNCTION("""COMPUTED_VALUE"""),334.5)</f>
        <v>334.5</v>
      </c>
      <c r="D125" s="7">
        <f>IFERROR(__xludf.DUMMYFUNCTION("""COMPUTED_VALUE"""),330.5)</f>
        <v>330.5</v>
      </c>
      <c r="E125" s="7">
        <f>IFERROR(__xludf.DUMMYFUNCTION("""COMPUTED_VALUE"""),331.65)</f>
        <v>331.65</v>
      </c>
      <c r="F125" s="7">
        <f>IFERROR(__xludf.DUMMYFUNCTION("""COMPUTED_VALUE"""),4353562.0)</f>
        <v>4353562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f>IFERROR(__xludf.DUMMYFUNCTION("""COMPUTED_VALUE"""),45734.64583333333)</f>
        <v>45734.64583</v>
      </c>
      <c r="B126" s="7">
        <f>IFERROR(__xludf.DUMMYFUNCTION("""COMPUTED_VALUE"""),333.3)</f>
        <v>333.3</v>
      </c>
      <c r="C126" s="7">
        <f>IFERROR(__xludf.DUMMYFUNCTION("""COMPUTED_VALUE"""),337.9)</f>
        <v>337.9</v>
      </c>
      <c r="D126" s="7">
        <f>IFERROR(__xludf.DUMMYFUNCTION("""COMPUTED_VALUE"""),331.35)</f>
        <v>331.35</v>
      </c>
      <c r="E126" s="7">
        <f>IFERROR(__xludf.DUMMYFUNCTION("""COMPUTED_VALUE"""),337.35)</f>
        <v>337.35</v>
      </c>
      <c r="F126" s="7">
        <f>IFERROR(__xludf.DUMMYFUNCTION("""COMPUTED_VALUE"""),8580255.0)</f>
        <v>8580255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f>IFERROR(__xludf.DUMMYFUNCTION("""COMPUTED_VALUE"""),45735.64583333333)</f>
        <v>45735.64583</v>
      </c>
      <c r="B127" s="7">
        <f>IFERROR(__xludf.DUMMYFUNCTION("""COMPUTED_VALUE"""),339.0)</f>
        <v>339</v>
      </c>
      <c r="C127" s="7">
        <f>IFERROR(__xludf.DUMMYFUNCTION("""COMPUTED_VALUE"""),343.9)</f>
        <v>343.9</v>
      </c>
      <c r="D127" s="7">
        <f>IFERROR(__xludf.DUMMYFUNCTION("""COMPUTED_VALUE"""),336.35)</f>
        <v>336.35</v>
      </c>
      <c r="E127" s="7">
        <f>IFERROR(__xludf.DUMMYFUNCTION("""COMPUTED_VALUE"""),341.3)</f>
        <v>341.3</v>
      </c>
      <c r="F127" s="7">
        <f>IFERROR(__xludf.DUMMYFUNCTION("""COMPUTED_VALUE"""),3.0582397E7)</f>
        <v>30582397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f>IFERROR(__xludf.DUMMYFUNCTION("""COMPUTED_VALUE"""),45736.64583333333)</f>
        <v>45736.64583</v>
      </c>
      <c r="B128" s="7">
        <f>IFERROR(__xludf.DUMMYFUNCTION("""COMPUTED_VALUE"""),344.7)</f>
        <v>344.7</v>
      </c>
      <c r="C128" s="7">
        <f>IFERROR(__xludf.DUMMYFUNCTION("""COMPUTED_VALUE"""),344.7)</f>
        <v>344.7</v>
      </c>
      <c r="D128" s="7">
        <f>IFERROR(__xludf.DUMMYFUNCTION("""COMPUTED_VALUE"""),340.3)</f>
        <v>340.3</v>
      </c>
      <c r="E128" s="7">
        <f>IFERROR(__xludf.DUMMYFUNCTION("""COMPUTED_VALUE"""),341.75)</f>
        <v>341.75</v>
      </c>
      <c r="F128" s="7">
        <f>IFERROR(__xludf.DUMMYFUNCTION("""COMPUTED_VALUE"""),1.5002119E7)</f>
        <v>15002119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f>IFERROR(__xludf.DUMMYFUNCTION("""COMPUTED_VALUE"""),45737.64583333333)</f>
        <v>45737.64583</v>
      </c>
      <c r="B129" s="7">
        <f>IFERROR(__xludf.DUMMYFUNCTION("""COMPUTED_VALUE"""),342.0)</f>
        <v>342</v>
      </c>
      <c r="C129" s="7">
        <f>IFERROR(__xludf.DUMMYFUNCTION("""COMPUTED_VALUE"""),353.85)</f>
        <v>353.85</v>
      </c>
      <c r="D129" s="7">
        <f>IFERROR(__xludf.DUMMYFUNCTION("""COMPUTED_VALUE"""),341.75)</f>
        <v>341.75</v>
      </c>
      <c r="E129" s="7">
        <f>IFERROR(__xludf.DUMMYFUNCTION("""COMPUTED_VALUE"""),351.3)</f>
        <v>351.3</v>
      </c>
      <c r="F129" s="7">
        <f>IFERROR(__xludf.DUMMYFUNCTION("""COMPUTED_VALUE"""),3.6406837E7)</f>
        <v>36406837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f>IFERROR(__xludf.DUMMYFUNCTION("""COMPUTED_VALUE"""),45740.64583333333)</f>
        <v>45740.64583</v>
      </c>
      <c r="B130" s="7">
        <f>IFERROR(__xludf.DUMMYFUNCTION("""COMPUTED_VALUE"""),357.0)</f>
        <v>357</v>
      </c>
      <c r="C130" s="7">
        <f>IFERROR(__xludf.DUMMYFUNCTION("""COMPUTED_VALUE"""),368.0)</f>
        <v>368</v>
      </c>
      <c r="D130" s="7">
        <f>IFERROR(__xludf.DUMMYFUNCTION("""COMPUTED_VALUE"""),353.65)</f>
        <v>353.65</v>
      </c>
      <c r="E130" s="7">
        <f>IFERROR(__xludf.DUMMYFUNCTION("""COMPUTED_VALUE"""),366.95)</f>
        <v>366.95</v>
      </c>
      <c r="F130" s="7">
        <f>IFERROR(__xludf.DUMMYFUNCTION("""COMPUTED_VALUE"""),2.4588471E7)</f>
        <v>24588471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f>IFERROR(__xludf.DUMMYFUNCTION("""COMPUTED_VALUE"""),45741.64583333333)</f>
        <v>45741.64583</v>
      </c>
      <c r="B131" s="7">
        <f>IFERROR(__xludf.DUMMYFUNCTION("""COMPUTED_VALUE"""),369.0)</f>
        <v>369</v>
      </c>
      <c r="C131" s="7">
        <f>IFERROR(__xludf.DUMMYFUNCTION("""COMPUTED_VALUE"""),371.45)</f>
        <v>371.45</v>
      </c>
      <c r="D131" s="7">
        <f>IFERROR(__xludf.DUMMYFUNCTION("""COMPUTED_VALUE"""),364.15)</f>
        <v>364.15</v>
      </c>
      <c r="E131" s="7">
        <f>IFERROR(__xludf.DUMMYFUNCTION("""COMPUTED_VALUE"""),366.95)</f>
        <v>366.95</v>
      </c>
      <c r="F131" s="7">
        <f>IFERROR(__xludf.DUMMYFUNCTION("""COMPUTED_VALUE"""),2.3189083E7)</f>
        <v>23189083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f>IFERROR(__xludf.DUMMYFUNCTION("""COMPUTED_VALUE"""),45742.64583333333)</f>
        <v>45742.64583</v>
      </c>
      <c r="B132" s="7">
        <f>IFERROR(__xludf.DUMMYFUNCTION("""COMPUTED_VALUE"""),366.95)</f>
        <v>366.95</v>
      </c>
      <c r="C132" s="7">
        <f>IFERROR(__xludf.DUMMYFUNCTION("""COMPUTED_VALUE"""),369.0)</f>
        <v>369</v>
      </c>
      <c r="D132" s="7">
        <f>IFERROR(__xludf.DUMMYFUNCTION("""COMPUTED_VALUE"""),353.3)</f>
        <v>353.3</v>
      </c>
      <c r="E132" s="7">
        <f>IFERROR(__xludf.DUMMYFUNCTION("""COMPUTED_VALUE"""),354.65)</f>
        <v>354.65</v>
      </c>
      <c r="F132" s="7">
        <f>IFERROR(__xludf.DUMMYFUNCTION("""COMPUTED_VALUE"""),1.8668095E7)</f>
        <v>18668095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f>IFERROR(__xludf.DUMMYFUNCTION("""COMPUTED_VALUE"""),45743.64583333333)</f>
        <v>45743.64583</v>
      </c>
      <c r="B133" s="7">
        <f>IFERROR(__xludf.DUMMYFUNCTION("""COMPUTED_VALUE"""),353.9)</f>
        <v>353.9</v>
      </c>
      <c r="C133" s="7">
        <f>IFERROR(__xludf.DUMMYFUNCTION("""COMPUTED_VALUE"""),364.45)</f>
        <v>364.45</v>
      </c>
      <c r="D133" s="7">
        <f>IFERROR(__xludf.DUMMYFUNCTION("""COMPUTED_VALUE"""),351.0)</f>
        <v>351</v>
      </c>
      <c r="E133" s="7">
        <f>IFERROR(__xludf.DUMMYFUNCTION("""COMPUTED_VALUE"""),360.65)</f>
        <v>360.65</v>
      </c>
      <c r="F133" s="7">
        <f>IFERROR(__xludf.DUMMYFUNCTION("""COMPUTED_VALUE"""),3.7930538E7)</f>
        <v>37930538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f>IFERROR(__xludf.DUMMYFUNCTION("""COMPUTED_VALUE"""),45744.64583333333)</f>
        <v>45744.64583</v>
      </c>
      <c r="B134" s="7">
        <f>IFERROR(__xludf.DUMMYFUNCTION("""COMPUTED_VALUE"""),362.0)</f>
        <v>362</v>
      </c>
      <c r="C134" s="7">
        <f>IFERROR(__xludf.DUMMYFUNCTION("""COMPUTED_VALUE"""),364.3)</f>
        <v>364.3</v>
      </c>
      <c r="D134" s="7">
        <f>IFERROR(__xludf.DUMMYFUNCTION("""COMPUTED_VALUE"""),356.45)</f>
        <v>356.45</v>
      </c>
      <c r="E134" s="7">
        <f>IFERROR(__xludf.DUMMYFUNCTION("""COMPUTED_VALUE"""),357.6)</f>
        <v>357.6</v>
      </c>
      <c r="F134" s="7">
        <f>IFERROR(__xludf.DUMMYFUNCTION("""COMPUTED_VALUE"""),1.1327077E7)</f>
        <v>11327077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f>IFERROR(__xludf.DUMMYFUNCTION("""COMPUTED_VALUE"""),45748.64583333333)</f>
        <v>45748.64583</v>
      </c>
      <c r="B135" s="7">
        <f>IFERROR(__xludf.DUMMYFUNCTION("""COMPUTED_VALUE"""),352.35)</f>
        <v>352.35</v>
      </c>
      <c r="C135" s="7">
        <f>IFERROR(__xludf.DUMMYFUNCTION("""COMPUTED_VALUE"""),362.9)</f>
        <v>362.9</v>
      </c>
      <c r="D135" s="7">
        <f>IFERROR(__xludf.DUMMYFUNCTION("""COMPUTED_VALUE"""),350.85)</f>
        <v>350.85</v>
      </c>
      <c r="E135" s="7">
        <f>IFERROR(__xludf.DUMMYFUNCTION("""COMPUTED_VALUE"""),352.15)</f>
        <v>352.15</v>
      </c>
      <c r="F135" s="7">
        <f>IFERROR(__xludf.DUMMYFUNCTION("""COMPUTED_VALUE"""),1.873632E7)</f>
        <v>18736320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f>IFERROR(__xludf.DUMMYFUNCTION("""COMPUTED_VALUE"""),45749.64583333333)</f>
        <v>45749.64583</v>
      </c>
      <c r="B136" s="7">
        <f>IFERROR(__xludf.DUMMYFUNCTION("""COMPUTED_VALUE"""),352.15)</f>
        <v>352.15</v>
      </c>
      <c r="C136" s="7">
        <f>IFERROR(__xludf.DUMMYFUNCTION("""COMPUTED_VALUE"""),353.45)</f>
        <v>353.45</v>
      </c>
      <c r="D136" s="7">
        <f>IFERROR(__xludf.DUMMYFUNCTION("""COMPUTED_VALUE"""),347.05)</f>
        <v>347.05</v>
      </c>
      <c r="E136" s="7">
        <f>IFERROR(__xludf.DUMMYFUNCTION("""COMPUTED_VALUE"""),351.75)</f>
        <v>351.75</v>
      </c>
      <c r="F136" s="7">
        <f>IFERROR(__xludf.DUMMYFUNCTION("""COMPUTED_VALUE"""),1.3593404E7)</f>
        <v>13593404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f>IFERROR(__xludf.DUMMYFUNCTION("""COMPUTED_VALUE"""),45750.64583333333)</f>
        <v>45750.64583</v>
      </c>
      <c r="B137" s="7">
        <f>IFERROR(__xludf.DUMMYFUNCTION("""COMPUTED_VALUE"""),351.75)</f>
        <v>351.75</v>
      </c>
      <c r="C137" s="7">
        <f>IFERROR(__xludf.DUMMYFUNCTION("""COMPUTED_VALUE"""),361.35)</f>
        <v>361.35</v>
      </c>
      <c r="D137" s="7">
        <f>IFERROR(__xludf.DUMMYFUNCTION("""COMPUTED_VALUE"""),351.75)</f>
        <v>351.75</v>
      </c>
      <c r="E137" s="7">
        <f>IFERROR(__xludf.DUMMYFUNCTION("""COMPUTED_VALUE"""),358.9)</f>
        <v>358.9</v>
      </c>
      <c r="F137" s="7">
        <f>IFERROR(__xludf.DUMMYFUNCTION("""COMPUTED_VALUE"""),1.031741E7)</f>
        <v>10317410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f>IFERROR(__xludf.DUMMYFUNCTION("""COMPUTED_VALUE"""),45751.64583333333)</f>
        <v>45751.64583</v>
      </c>
      <c r="B138" s="7">
        <f>IFERROR(__xludf.DUMMYFUNCTION("""COMPUTED_VALUE"""),358.85)</f>
        <v>358.85</v>
      </c>
      <c r="C138" s="7">
        <f>IFERROR(__xludf.DUMMYFUNCTION("""COMPUTED_VALUE"""),358.85)</f>
        <v>358.85</v>
      </c>
      <c r="D138" s="7">
        <f>IFERROR(__xludf.DUMMYFUNCTION("""COMPUTED_VALUE"""),348.55)</f>
        <v>348.55</v>
      </c>
      <c r="E138" s="7">
        <f>IFERROR(__xludf.DUMMYFUNCTION("""COMPUTED_VALUE"""),350.4)</f>
        <v>350.4</v>
      </c>
      <c r="F138" s="7">
        <f>IFERROR(__xludf.DUMMYFUNCTION("""COMPUTED_VALUE"""),1.0872963E7)</f>
        <v>10872963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f>IFERROR(__xludf.DUMMYFUNCTION("""COMPUTED_VALUE"""),45754.64583333333)</f>
        <v>45754.64583</v>
      </c>
      <c r="B139" s="7">
        <f>IFERROR(__xludf.DUMMYFUNCTION("""COMPUTED_VALUE"""),328.0)</f>
        <v>328</v>
      </c>
      <c r="C139" s="7">
        <f>IFERROR(__xludf.DUMMYFUNCTION("""COMPUTED_VALUE"""),351.4)</f>
        <v>351.4</v>
      </c>
      <c r="D139" s="7">
        <f>IFERROR(__xludf.DUMMYFUNCTION("""COMPUTED_VALUE"""),324.0)</f>
        <v>324</v>
      </c>
      <c r="E139" s="7">
        <f>IFERROR(__xludf.DUMMYFUNCTION("""COMPUTED_VALUE"""),349.8)</f>
        <v>349.8</v>
      </c>
      <c r="F139" s="7">
        <f>IFERROR(__xludf.DUMMYFUNCTION("""COMPUTED_VALUE"""),1.8025165E7)</f>
        <v>18025165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f>IFERROR(__xludf.DUMMYFUNCTION("""COMPUTED_VALUE"""),45755.64583333333)</f>
        <v>45755.64583</v>
      </c>
      <c r="B140" s="7">
        <f>IFERROR(__xludf.DUMMYFUNCTION("""COMPUTED_VALUE"""),356.85)</f>
        <v>356.85</v>
      </c>
      <c r="C140" s="7">
        <f>IFERROR(__xludf.DUMMYFUNCTION("""COMPUTED_VALUE"""),358.25)</f>
        <v>358.25</v>
      </c>
      <c r="D140" s="7">
        <f>IFERROR(__xludf.DUMMYFUNCTION("""COMPUTED_VALUE"""),350.0)</f>
        <v>350</v>
      </c>
      <c r="E140" s="7">
        <f>IFERROR(__xludf.DUMMYFUNCTION("""COMPUTED_VALUE"""),352.95)</f>
        <v>352.95</v>
      </c>
      <c r="F140" s="7">
        <f>IFERROR(__xludf.DUMMYFUNCTION("""COMPUTED_VALUE"""),1.7506712E7)</f>
        <v>17506712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f>IFERROR(__xludf.DUMMYFUNCTION("""COMPUTED_VALUE"""),45756.64583333333)</f>
        <v>45756.64583</v>
      </c>
      <c r="B141" s="7">
        <f>IFERROR(__xludf.DUMMYFUNCTION("""COMPUTED_VALUE"""),354.0)</f>
        <v>354</v>
      </c>
      <c r="C141" s="7">
        <f>IFERROR(__xludf.DUMMYFUNCTION("""COMPUTED_VALUE"""),354.8)</f>
        <v>354.8</v>
      </c>
      <c r="D141" s="7">
        <f>IFERROR(__xludf.DUMMYFUNCTION("""COMPUTED_VALUE"""),348.2)</f>
        <v>348.2</v>
      </c>
      <c r="E141" s="7">
        <f>IFERROR(__xludf.DUMMYFUNCTION("""COMPUTED_VALUE"""),349.35)</f>
        <v>349.35</v>
      </c>
      <c r="F141" s="7">
        <f>IFERROR(__xludf.DUMMYFUNCTION("""COMPUTED_VALUE"""),7462119.0)</f>
        <v>7462119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f>IFERROR(__xludf.DUMMYFUNCTION("""COMPUTED_VALUE"""),45758.64583333333)</f>
        <v>45758.64583</v>
      </c>
      <c r="B142" s="7">
        <f>IFERROR(__xludf.DUMMYFUNCTION("""COMPUTED_VALUE"""),351.0)</f>
        <v>351</v>
      </c>
      <c r="C142" s="7">
        <f>IFERROR(__xludf.DUMMYFUNCTION("""COMPUTED_VALUE"""),361.5)</f>
        <v>361.5</v>
      </c>
      <c r="D142" s="7">
        <f>IFERROR(__xludf.DUMMYFUNCTION("""COMPUTED_VALUE"""),351.0)</f>
        <v>351</v>
      </c>
      <c r="E142" s="7">
        <f>IFERROR(__xludf.DUMMYFUNCTION("""COMPUTED_VALUE"""),360.1)</f>
        <v>360.1</v>
      </c>
      <c r="F142" s="7">
        <f>IFERROR(__xludf.DUMMYFUNCTION("""COMPUTED_VALUE"""),1.1246077E7)</f>
        <v>11246077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f>IFERROR(__xludf.DUMMYFUNCTION("""COMPUTED_VALUE"""),45762.64583333333)</f>
        <v>45762.64583</v>
      </c>
      <c r="B143" s="7">
        <f>IFERROR(__xludf.DUMMYFUNCTION("""COMPUTED_VALUE"""),367.0)</f>
        <v>367</v>
      </c>
      <c r="C143" s="7">
        <f>IFERROR(__xludf.DUMMYFUNCTION("""COMPUTED_VALUE"""),368.45)</f>
        <v>368.45</v>
      </c>
      <c r="D143" s="7">
        <f>IFERROR(__xludf.DUMMYFUNCTION("""COMPUTED_VALUE"""),361.55)</f>
        <v>361.55</v>
      </c>
      <c r="E143" s="7">
        <f>IFERROR(__xludf.DUMMYFUNCTION("""COMPUTED_VALUE"""),362.5)</f>
        <v>362.5</v>
      </c>
      <c r="F143" s="7">
        <f>IFERROR(__xludf.DUMMYFUNCTION("""COMPUTED_VALUE"""),1.7497327E7)</f>
        <v>17497327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f>IFERROR(__xludf.DUMMYFUNCTION("""COMPUTED_VALUE"""),45763.64583333333)</f>
        <v>45763.64583</v>
      </c>
      <c r="B144" s="7">
        <f>IFERROR(__xludf.DUMMYFUNCTION("""COMPUTED_VALUE"""),362.5)</f>
        <v>362.5</v>
      </c>
      <c r="C144" s="7">
        <f>IFERROR(__xludf.DUMMYFUNCTION("""COMPUTED_VALUE"""),363.0)</f>
        <v>363</v>
      </c>
      <c r="D144" s="7">
        <f>IFERROR(__xludf.DUMMYFUNCTION("""COMPUTED_VALUE"""),357.9)</f>
        <v>357.9</v>
      </c>
      <c r="E144" s="7">
        <f>IFERROR(__xludf.DUMMYFUNCTION("""COMPUTED_VALUE"""),359.3)</f>
        <v>359.3</v>
      </c>
      <c r="F144" s="7">
        <f>IFERROR(__xludf.DUMMYFUNCTION("""COMPUTED_VALUE"""),1.1541484E7)</f>
        <v>11541484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f>IFERROR(__xludf.DUMMYFUNCTION("""COMPUTED_VALUE"""),45764.64583333333)</f>
        <v>45764.64583</v>
      </c>
      <c r="B145" s="7">
        <f>IFERROR(__xludf.DUMMYFUNCTION("""COMPUTED_VALUE"""),359.25)</f>
        <v>359.25</v>
      </c>
      <c r="C145" s="7">
        <f>IFERROR(__xludf.DUMMYFUNCTION("""COMPUTED_VALUE"""),365.45)</f>
        <v>365.45</v>
      </c>
      <c r="D145" s="7">
        <f>IFERROR(__xludf.DUMMYFUNCTION("""COMPUTED_VALUE"""),357.25)</f>
        <v>357.25</v>
      </c>
      <c r="E145" s="7">
        <f>IFERROR(__xludf.DUMMYFUNCTION("""COMPUTED_VALUE"""),364.0)</f>
        <v>364</v>
      </c>
      <c r="F145" s="7">
        <f>IFERROR(__xludf.DUMMYFUNCTION("""COMPUTED_VALUE"""),1.2288196E7)</f>
        <v>12288196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f>IFERROR(__xludf.DUMMYFUNCTION("""COMPUTED_VALUE"""),45768.64583333333)</f>
        <v>45768.64583</v>
      </c>
      <c r="B146" s="7">
        <f>IFERROR(__xludf.DUMMYFUNCTION("""COMPUTED_VALUE"""),365.8)</f>
        <v>365.8</v>
      </c>
      <c r="C146" s="7">
        <f>IFERROR(__xludf.DUMMYFUNCTION("""COMPUTED_VALUE"""),368.2)</f>
        <v>368.2</v>
      </c>
      <c r="D146" s="7">
        <f>IFERROR(__xludf.DUMMYFUNCTION("""COMPUTED_VALUE"""),361.8)</f>
        <v>361.8</v>
      </c>
      <c r="E146" s="7">
        <f>IFERROR(__xludf.DUMMYFUNCTION("""COMPUTED_VALUE"""),364.55)</f>
        <v>364.55</v>
      </c>
      <c r="F146" s="7">
        <f>IFERROR(__xludf.DUMMYFUNCTION("""COMPUTED_VALUE"""),7375594.0)</f>
        <v>7375594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f>IFERROR(__xludf.DUMMYFUNCTION("""COMPUTED_VALUE"""),45769.64583333333)</f>
        <v>45769.64583</v>
      </c>
      <c r="B147" s="7">
        <f>IFERROR(__xludf.DUMMYFUNCTION("""COMPUTED_VALUE"""),367.05)</f>
        <v>367.05</v>
      </c>
      <c r="C147" s="7">
        <f>IFERROR(__xludf.DUMMYFUNCTION("""COMPUTED_VALUE"""),367.05)</f>
        <v>367.05</v>
      </c>
      <c r="D147" s="7">
        <f>IFERROR(__xludf.DUMMYFUNCTION("""COMPUTED_VALUE"""),359.7)</f>
        <v>359.7</v>
      </c>
      <c r="E147" s="7">
        <f>IFERROR(__xludf.DUMMYFUNCTION("""COMPUTED_VALUE"""),360.25)</f>
        <v>360.25</v>
      </c>
      <c r="F147" s="7">
        <f>IFERROR(__xludf.DUMMYFUNCTION("""COMPUTED_VALUE"""),1.2077119E7)</f>
        <v>12077119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f>IFERROR(__xludf.DUMMYFUNCTION("""COMPUTED_VALUE"""),45770.64583333333)</f>
        <v>45770.64583</v>
      </c>
      <c r="B148" s="7">
        <f>IFERROR(__xludf.DUMMYFUNCTION("""COMPUTED_VALUE"""),362.95)</f>
        <v>362.95</v>
      </c>
      <c r="C148" s="7">
        <f>IFERROR(__xludf.DUMMYFUNCTION("""COMPUTED_VALUE"""),364.25)</f>
        <v>364.25</v>
      </c>
      <c r="D148" s="7">
        <f>IFERROR(__xludf.DUMMYFUNCTION("""COMPUTED_VALUE"""),357.9)</f>
        <v>357.9</v>
      </c>
      <c r="E148" s="7">
        <f>IFERROR(__xludf.DUMMYFUNCTION("""COMPUTED_VALUE"""),363.8)</f>
        <v>363.8</v>
      </c>
      <c r="F148" s="7">
        <f>IFERROR(__xludf.DUMMYFUNCTION("""COMPUTED_VALUE"""),9719205.0)</f>
        <v>9719205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f>IFERROR(__xludf.DUMMYFUNCTION("""COMPUTED_VALUE"""),45771.64583333333)</f>
        <v>45771.64583</v>
      </c>
      <c r="B149" s="7">
        <f>IFERROR(__xludf.DUMMYFUNCTION("""COMPUTED_VALUE"""),363.75)</f>
        <v>363.75</v>
      </c>
      <c r="C149" s="7">
        <f>IFERROR(__xludf.DUMMYFUNCTION("""COMPUTED_VALUE"""),366.45)</f>
        <v>366.45</v>
      </c>
      <c r="D149" s="7">
        <f>IFERROR(__xludf.DUMMYFUNCTION("""COMPUTED_VALUE"""),361.6)</f>
        <v>361.6</v>
      </c>
      <c r="E149" s="7">
        <f>IFERROR(__xludf.DUMMYFUNCTION("""COMPUTED_VALUE"""),363.2)</f>
        <v>363.2</v>
      </c>
      <c r="F149" s="7">
        <f>IFERROR(__xludf.DUMMYFUNCTION("""COMPUTED_VALUE"""),7491123.0)</f>
        <v>7491123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f>IFERROR(__xludf.DUMMYFUNCTION("""COMPUTED_VALUE"""),45772.64583333333)</f>
        <v>45772.64583</v>
      </c>
      <c r="B150" s="7">
        <f>IFERROR(__xludf.DUMMYFUNCTION("""COMPUTED_VALUE"""),363.2)</f>
        <v>363.2</v>
      </c>
      <c r="C150" s="7">
        <f>IFERROR(__xludf.DUMMYFUNCTION("""COMPUTED_VALUE"""),365.8)</f>
        <v>365.8</v>
      </c>
      <c r="D150" s="7">
        <f>IFERROR(__xludf.DUMMYFUNCTION("""COMPUTED_VALUE"""),351.1)</f>
        <v>351.1</v>
      </c>
      <c r="E150" s="7">
        <f>IFERROR(__xludf.DUMMYFUNCTION("""COMPUTED_VALUE"""),356.45)</f>
        <v>356.45</v>
      </c>
      <c r="F150" s="7">
        <f>IFERROR(__xludf.DUMMYFUNCTION("""COMPUTED_VALUE"""),9785640.0)</f>
        <v>9785640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f>IFERROR(__xludf.DUMMYFUNCTION("""COMPUTED_VALUE"""),45775.64583333333)</f>
        <v>45775.64583</v>
      </c>
      <c r="B151" s="7">
        <f>IFERROR(__xludf.DUMMYFUNCTION("""COMPUTED_VALUE"""),353.7)</f>
        <v>353.7</v>
      </c>
      <c r="C151" s="7">
        <f>IFERROR(__xludf.DUMMYFUNCTION("""COMPUTED_VALUE"""),362.9)</f>
        <v>362.9</v>
      </c>
      <c r="D151" s="7">
        <f>IFERROR(__xludf.DUMMYFUNCTION("""COMPUTED_VALUE"""),353.7)</f>
        <v>353.7</v>
      </c>
      <c r="E151" s="7">
        <f>IFERROR(__xludf.DUMMYFUNCTION("""COMPUTED_VALUE"""),361.5)</f>
        <v>361.5</v>
      </c>
      <c r="F151" s="7">
        <f>IFERROR(__xludf.DUMMYFUNCTION("""COMPUTED_VALUE"""),5315840.0)</f>
        <v>5315840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f>IFERROR(__xludf.DUMMYFUNCTION("""COMPUTED_VALUE"""),45776.64583333333)</f>
        <v>45776.64583</v>
      </c>
      <c r="B152" s="7">
        <f>IFERROR(__xludf.DUMMYFUNCTION("""COMPUTED_VALUE"""),364.0)</f>
        <v>364</v>
      </c>
      <c r="C152" s="7">
        <f>IFERROR(__xludf.DUMMYFUNCTION("""COMPUTED_VALUE"""),364.35)</f>
        <v>364.35</v>
      </c>
      <c r="D152" s="7">
        <f>IFERROR(__xludf.DUMMYFUNCTION("""COMPUTED_VALUE"""),354.1)</f>
        <v>354.1</v>
      </c>
      <c r="E152" s="7">
        <f>IFERROR(__xludf.DUMMYFUNCTION("""COMPUTED_VALUE"""),356.95)</f>
        <v>356.95</v>
      </c>
      <c r="F152" s="7">
        <f>IFERROR(__xludf.DUMMYFUNCTION("""COMPUTED_VALUE"""),9472828.0)</f>
        <v>9472828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f>IFERROR(__xludf.DUMMYFUNCTION("""COMPUTED_VALUE"""),45777.64583333333)</f>
        <v>45777.64583</v>
      </c>
      <c r="B153" s="7">
        <f>IFERROR(__xludf.DUMMYFUNCTION("""COMPUTED_VALUE"""),357.0)</f>
        <v>357</v>
      </c>
      <c r="C153" s="7">
        <f>IFERROR(__xludf.DUMMYFUNCTION("""COMPUTED_VALUE"""),361.0)</f>
        <v>361</v>
      </c>
      <c r="D153" s="7">
        <f>IFERROR(__xludf.DUMMYFUNCTION("""COMPUTED_VALUE"""),352.0)</f>
        <v>352</v>
      </c>
      <c r="E153" s="7">
        <f>IFERROR(__xludf.DUMMYFUNCTION("""COMPUTED_VALUE"""),354.55)</f>
        <v>354.55</v>
      </c>
      <c r="F153" s="7">
        <f>IFERROR(__xludf.DUMMYFUNCTION("""COMPUTED_VALUE"""),1.6739088E7)</f>
        <v>16739088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f>IFERROR(__xludf.DUMMYFUNCTION("""COMPUTED_VALUE"""),45779.64583333333)</f>
        <v>45779.64583</v>
      </c>
      <c r="B154" s="7">
        <f>IFERROR(__xludf.DUMMYFUNCTION("""COMPUTED_VALUE"""),354.55)</f>
        <v>354.55</v>
      </c>
      <c r="C154" s="7">
        <f>IFERROR(__xludf.DUMMYFUNCTION("""COMPUTED_VALUE"""),358.0)</f>
        <v>358</v>
      </c>
      <c r="D154" s="7">
        <f>IFERROR(__xludf.DUMMYFUNCTION("""COMPUTED_VALUE"""),347.6)</f>
        <v>347.6</v>
      </c>
      <c r="E154" s="7">
        <f>IFERROR(__xludf.DUMMYFUNCTION("""COMPUTED_VALUE"""),348.45)</f>
        <v>348.45</v>
      </c>
      <c r="F154" s="7">
        <f>IFERROR(__xludf.DUMMYFUNCTION("""COMPUTED_VALUE"""),8221620.0)</f>
        <v>8221620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f>IFERROR(__xludf.DUMMYFUNCTION("""COMPUTED_VALUE"""),45782.64583333333)</f>
        <v>45782.64583</v>
      </c>
      <c r="B155" s="7">
        <f>IFERROR(__xludf.DUMMYFUNCTION("""COMPUTED_VALUE"""),351.0)</f>
        <v>351</v>
      </c>
      <c r="C155" s="7">
        <f>IFERROR(__xludf.DUMMYFUNCTION("""COMPUTED_VALUE"""),352.0)</f>
        <v>352</v>
      </c>
      <c r="D155" s="7">
        <f>IFERROR(__xludf.DUMMYFUNCTION("""COMPUTED_VALUE"""),345.55)</f>
        <v>345.55</v>
      </c>
      <c r="E155" s="7">
        <f>IFERROR(__xludf.DUMMYFUNCTION("""COMPUTED_VALUE"""),348.6)</f>
        <v>348.6</v>
      </c>
      <c r="F155" s="7">
        <f>IFERROR(__xludf.DUMMYFUNCTION("""COMPUTED_VALUE"""),9492646.0)</f>
        <v>9492646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f>IFERROR(__xludf.DUMMYFUNCTION("""COMPUTED_VALUE"""),45783.64583333333)</f>
        <v>45783.64583</v>
      </c>
      <c r="B156" s="7">
        <f>IFERROR(__xludf.DUMMYFUNCTION("""COMPUTED_VALUE"""),349.0)</f>
        <v>349</v>
      </c>
      <c r="C156" s="7">
        <f>IFERROR(__xludf.DUMMYFUNCTION("""COMPUTED_VALUE"""),349.5)</f>
        <v>349.5</v>
      </c>
      <c r="D156" s="7">
        <f>IFERROR(__xludf.DUMMYFUNCTION("""COMPUTED_VALUE"""),340.0)</f>
        <v>340</v>
      </c>
      <c r="E156" s="7">
        <f>IFERROR(__xludf.DUMMYFUNCTION("""COMPUTED_VALUE"""),341.8)</f>
        <v>341.8</v>
      </c>
      <c r="F156" s="7">
        <f>IFERROR(__xludf.DUMMYFUNCTION("""COMPUTED_VALUE"""),8904223.0)</f>
        <v>8904223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f>IFERROR(__xludf.DUMMYFUNCTION("""COMPUTED_VALUE"""),45784.64583333333)</f>
        <v>45784.64583</v>
      </c>
      <c r="B157" s="7">
        <f>IFERROR(__xludf.DUMMYFUNCTION("""COMPUTED_VALUE"""),338.0)</f>
        <v>338</v>
      </c>
      <c r="C157" s="7">
        <f>IFERROR(__xludf.DUMMYFUNCTION("""COMPUTED_VALUE"""),343.7)</f>
        <v>343.7</v>
      </c>
      <c r="D157" s="7">
        <f>IFERROR(__xludf.DUMMYFUNCTION("""COMPUTED_VALUE"""),337.0)</f>
        <v>337</v>
      </c>
      <c r="E157" s="7">
        <f>IFERROR(__xludf.DUMMYFUNCTION("""COMPUTED_VALUE"""),342.05)</f>
        <v>342.05</v>
      </c>
      <c r="F157" s="7">
        <f>IFERROR(__xludf.DUMMYFUNCTION("""COMPUTED_VALUE"""),8465490.0)</f>
        <v>8465490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f>IFERROR(__xludf.DUMMYFUNCTION("""COMPUTED_VALUE"""),45785.64583333333)</f>
        <v>45785.64583</v>
      </c>
      <c r="B158" s="7">
        <f>IFERROR(__xludf.DUMMYFUNCTION("""COMPUTED_VALUE"""),341.05)</f>
        <v>341.05</v>
      </c>
      <c r="C158" s="7">
        <f>IFERROR(__xludf.DUMMYFUNCTION("""COMPUTED_VALUE"""),343.1)</f>
        <v>343.1</v>
      </c>
      <c r="D158" s="7">
        <f>IFERROR(__xludf.DUMMYFUNCTION("""COMPUTED_VALUE"""),338.4)</f>
        <v>338.4</v>
      </c>
      <c r="E158" s="7">
        <f>IFERROR(__xludf.DUMMYFUNCTION("""COMPUTED_VALUE"""),340.0)</f>
        <v>340</v>
      </c>
      <c r="F158" s="7">
        <f>IFERROR(__xludf.DUMMYFUNCTION("""COMPUTED_VALUE"""),1.4286109E7)</f>
        <v>14286109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f>IFERROR(__xludf.DUMMYFUNCTION("""COMPUTED_VALUE"""),45786.64583333333)</f>
        <v>45786.64583</v>
      </c>
      <c r="B159" s="7">
        <f>IFERROR(__xludf.DUMMYFUNCTION("""COMPUTED_VALUE"""),334.2)</f>
        <v>334.2</v>
      </c>
      <c r="C159" s="7">
        <f>IFERROR(__xludf.DUMMYFUNCTION("""COMPUTED_VALUE"""),338.75)</f>
        <v>338.75</v>
      </c>
      <c r="D159" s="7">
        <f>IFERROR(__xludf.DUMMYFUNCTION("""COMPUTED_VALUE"""),330.6)</f>
        <v>330.6</v>
      </c>
      <c r="E159" s="7">
        <f>IFERROR(__xludf.DUMMYFUNCTION("""COMPUTED_VALUE"""),334.75)</f>
        <v>334.75</v>
      </c>
      <c r="F159" s="7">
        <f>IFERROR(__xludf.DUMMYFUNCTION("""COMPUTED_VALUE"""),1.1322011E7)</f>
        <v>11322011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f>IFERROR(__xludf.DUMMYFUNCTION("""COMPUTED_VALUE"""),45789.64583333333)</f>
        <v>45789.64583</v>
      </c>
      <c r="B160" s="7">
        <f>IFERROR(__xludf.DUMMYFUNCTION("""COMPUTED_VALUE"""),340.4)</f>
        <v>340.4</v>
      </c>
      <c r="C160" s="7">
        <f>IFERROR(__xludf.DUMMYFUNCTION("""COMPUTED_VALUE"""),349.2)</f>
        <v>349.2</v>
      </c>
      <c r="D160" s="7">
        <f>IFERROR(__xludf.DUMMYFUNCTION("""COMPUTED_VALUE"""),338.1)</f>
        <v>338.1</v>
      </c>
      <c r="E160" s="7">
        <f>IFERROR(__xludf.DUMMYFUNCTION("""COMPUTED_VALUE"""),348.55)</f>
        <v>348.55</v>
      </c>
      <c r="F160" s="7">
        <f>IFERROR(__xludf.DUMMYFUNCTION("""COMPUTED_VALUE"""),7978210.0)</f>
        <v>7978210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f>IFERROR(__xludf.DUMMYFUNCTION("""COMPUTED_VALUE"""),45790.64583333333)</f>
        <v>45790.64583</v>
      </c>
      <c r="B161" s="7">
        <f>IFERROR(__xludf.DUMMYFUNCTION("""COMPUTED_VALUE"""),348.6)</f>
        <v>348.6</v>
      </c>
      <c r="C161" s="7">
        <f>IFERROR(__xludf.DUMMYFUNCTION("""COMPUTED_VALUE"""),349.8)</f>
        <v>349.8</v>
      </c>
      <c r="D161" s="7">
        <f>IFERROR(__xludf.DUMMYFUNCTION("""COMPUTED_VALUE"""),340.5)</f>
        <v>340.5</v>
      </c>
      <c r="E161" s="7">
        <f>IFERROR(__xludf.DUMMYFUNCTION("""COMPUTED_VALUE"""),341.5)</f>
        <v>341.5</v>
      </c>
      <c r="F161" s="7">
        <f>IFERROR(__xludf.DUMMYFUNCTION("""COMPUTED_VALUE"""),1.473898E7)</f>
        <v>14738980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f>IFERROR(__xludf.DUMMYFUNCTION("""COMPUTED_VALUE"""),45791.64583333333)</f>
        <v>45791.64583</v>
      </c>
      <c r="B162" s="7">
        <f>IFERROR(__xludf.DUMMYFUNCTION("""COMPUTED_VALUE"""),342.45)</f>
        <v>342.45</v>
      </c>
      <c r="C162" s="7">
        <f>IFERROR(__xludf.DUMMYFUNCTION("""COMPUTED_VALUE"""),343.85)</f>
        <v>343.85</v>
      </c>
      <c r="D162" s="7">
        <f>IFERROR(__xludf.DUMMYFUNCTION("""COMPUTED_VALUE"""),337.75)</f>
        <v>337.75</v>
      </c>
      <c r="E162" s="7">
        <f>IFERROR(__xludf.DUMMYFUNCTION("""COMPUTED_VALUE"""),338.55)</f>
        <v>338.55</v>
      </c>
      <c r="F162" s="7">
        <f>IFERROR(__xludf.DUMMYFUNCTION("""COMPUTED_VALUE"""),2.2485535E7)</f>
        <v>22485535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f>IFERROR(__xludf.DUMMYFUNCTION("""COMPUTED_VALUE"""),45792.64583333333)</f>
        <v>45792.64583</v>
      </c>
      <c r="B163" s="7">
        <f>IFERROR(__xludf.DUMMYFUNCTION("""COMPUTED_VALUE"""),339.5)</f>
        <v>339.5</v>
      </c>
      <c r="C163" s="7">
        <f>IFERROR(__xludf.DUMMYFUNCTION("""COMPUTED_VALUE"""),343.75)</f>
        <v>343.75</v>
      </c>
      <c r="D163" s="7">
        <f>IFERROR(__xludf.DUMMYFUNCTION("""COMPUTED_VALUE"""),332.65)</f>
        <v>332.65</v>
      </c>
      <c r="E163" s="7">
        <f>IFERROR(__xludf.DUMMYFUNCTION("""COMPUTED_VALUE"""),341.95)</f>
        <v>341.95</v>
      </c>
      <c r="F163" s="7">
        <f>IFERROR(__xludf.DUMMYFUNCTION("""COMPUTED_VALUE"""),4.3307763E7)</f>
        <v>43307763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f>IFERROR(__xludf.DUMMYFUNCTION("""COMPUTED_VALUE"""),45793.64583333333)</f>
        <v>45793.64583</v>
      </c>
      <c r="B164" s="7">
        <f>IFERROR(__xludf.DUMMYFUNCTION("""COMPUTED_VALUE"""),343.0)</f>
        <v>343</v>
      </c>
      <c r="C164" s="7">
        <f>IFERROR(__xludf.DUMMYFUNCTION("""COMPUTED_VALUE"""),347.6)</f>
        <v>347.6</v>
      </c>
      <c r="D164" s="7">
        <f>IFERROR(__xludf.DUMMYFUNCTION("""COMPUTED_VALUE"""),342.0)</f>
        <v>342</v>
      </c>
      <c r="E164" s="7">
        <f>IFERROR(__xludf.DUMMYFUNCTION("""COMPUTED_VALUE"""),343.1)</f>
        <v>343.1</v>
      </c>
      <c r="F164" s="7">
        <f>IFERROR(__xludf.DUMMYFUNCTION("""COMPUTED_VALUE"""),6920351.0)</f>
        <v>6920351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f>IFERROR(__xludf.DUMMYFUNCTION("""COMPUTED_VALUE"""),45796.64583333333)</f>
        <v>45796.64583</v>
      </c>
      <c r="B165" s="7">
        <f>IFERROR(__xludf.DUMMYFUNCTION("""COMPUTED_VALUE"""),343.1)</f>
        <v>343.1</v>
      </c>
      <c r="C165" s="7">
        <f>IFERROR(__xludf.DUMMYFUNCTION("""COMPUTED_VALUE"""),347.7)</f>
        <v>347.7</v>
      </c>
      <c r="D165" s="7">
        <f>IFERROR(__xludf.DUMMYFUNCTION("""COMPUTED_VALUE"""),342.4)</f>
        <v>342.4</v>
      </c>
      <c r="E165" s="7">
        <f>IFERROR(__xludf.DUMMYFUNCTION("""COMPUTED_VALUE"""),345.15)</f>
        <v>345.15</v>
      </c>
      <c r="F165" s="7">
        <f>IFERROR(__xludf.DUMMYFUNCTION("""COMPUTED_VALUE"""),6218209.0)</f>
        <v>6218209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f>IFERROR(__xludf.DUMMYFUNCTION("""COMPUTED_VALUE"""),45797.64583333333)</f>
        <v>45797.64583</v>
      </c>
      <c r="B166" s="7">
        <f>IFERROR(__xludf.DUMMYFUNCTION("""COMPUTED_VALUE"""),346.9)</f>
        <v>346.9</v>
      </c>
      <c r="C166" s="7">
        <f>IFERROR(__xludf.DUMMYFUNCTION("""COMPUTED_VALUE"""),349.7)</f>
        <v>349.7</v>
      </c>
      <c r="D166" s="7">
        <f>IFERROR(__xludf.DUMMYFUNCTION("""COMPUTED_VALUE"""),341.55)</f>
        <v>341.55</v>
      </c>
      <c r="E166" s="7">
        <f>IFERROR(__xludf.DUMMYFUNCTION("""COMPUTED_VALUE"""),342.6)</f>
        <v>342.6</v>
      </c>
      <c r="F166" s="7">
        <f>IFERROR(__xludf.DUMMYFUNCTION("""COMPUTED_VALUE"""),9986143.0)</f>
        <v>9986143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f>IFERROR(__xludf.DUMMYFUNCTION("""COMPUTED_VALUE"""),45798.64583333333)</f>
        <v>45798.64583</v>
      </c>
      <c r="B167" s="7">
        <f>IFERROR(__xludf.DUMMYFUNCTION("""COMPUTED_VALUE"""),342.55)</f>
        <v>342.55</v>
      </c>
      <c r="C167" s="7">
        <f>IFERROR(__xludf.DUMMYFUNCTION("""COMPUTED_VALUE"""),347.4)</f>
        <v>347.4</v>
      </c>
      <c r="D167" s="7">
        <f>IFERROR(__xludf.DUMMYFUNCTION("""COMPUTED_VALUE"""),339.85)</f>
        <v>339.85</v>
      </c>
      <c r="E167" s="7">
        <f>IFERROR(__xludf.DUMMYFUNCTION("""COMPUTED_VALUE"""),346.15)</f>
        <v>346.15</v>
      </c>
      <c r="F167" s="7">
        <f>IFERROR(__xludf.DUMMYFUNCTION("""COMPUTED_VALUE"""),5930972.0)</f>
        <v>5930972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f>IFERROR(__xludf.DUMMYFUNCTION("""COMPUTED_VALUE"""),45799.64583333333)</f>
        <v>45799.64583</v>
      </c>
      <c r="B168" s="7">
        <f>IFERROR(__xludf.DUMMYFUNCTION("""COMPUTED_VALUE"""),346.15)</f>
        <v>346.15</v>
      </c>
      <c r="C168" s="7">
        <f>IFERROR(__xludf.DUMMYFUNCTION("""COMPUTED_VALUE"""),347.0)</f>
        <v>347</v>
      </c>
      <c r="D168" s="7">
        <f>IFERROR(__xludf.DUMMYFUNCTION("""COMPUTED_VALUE"""),338.25)</f>
        <v>338.25</v>
      </c>
      <c r="E168" s="7">
        <f>IFERROR(__xludf.DUMMYFUNCTION("""COMPUTED_VALUE"""),341.4)</f>
        <v>341.4</v>
      </c>
      <c r="F168" s="7">
        <f>IFERROR(__xludf.DUMMYFUNCTION("""COMPUTED_VALUE"""),8717514.0)</f>
        <v>8717514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f>IFERROR(__xludf.DUMMYFUNCTION("""COMPUTED_VALUE"""),45800.64583333333)</f>
        <v>45800.64583</v>
      </c>
      <c r="B169" s="7">
        <f>IFERROR(__xludf.DUMMYFUNCTION("""COMPUTED_VALUE"""),342.0)</f>
        <v>342</v>
      </c>
      <c r="C169" s="7">
        <f>IFERROR(__xludf.DUMMYFUNCTION("""COMPUTED_VALUE"""),344.95)</f>
        <v>344.95</v>
      </c>
      <c r="D169" s="7">
        <f>IFERROR(__xludf.DUMMYFUNCTION("""COMPUTED_VALUE"""),340.15)</f>
        <v>340.15</v>
      </c>
      <c r="E169" s="7">
        <f>IFERROR(__xludf.DUMMYFUNCTION("""COMPUTED_VALUE"""),344.6)</f>
        <v>344.6</v>
      </c>
      <c r="F169" s="7">
        <f>IFERROR(__xludf.DUMMYFUNCTION("""COMPUTED_VALUE"""),4045937.0)</f>
        <v>4045937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f>IFERROR(__xludf.DUMMYFUNCTION("""COMPUTED_VALUE"""),45803.64583333333)</f>
        <v>45803.64583</v>
      </c>
      <c r="B170" s="7">
        <f>IFERROR(__xludf.DUMMYFUNCTION("""COMPUTED_VALUE"""),351.0)</f>
        <v>351</v>
      </c>
      <c r="C170" s="7">
        <f>IFERROR(__xludf.DUMMYFUNCTION("""COMPUTED_VALUE"""),351.2)</f>
        <v>351.2</v>
      </c>
      <c r="D170" s="7">
        <f>IFERROR(__xludf.DUMMYFUNCTION("""COMPUTED_VALUE"""),342.55)</f>
        <v>342.55</v>
      </c>
      <c r="E170" s="7">
        <f>IFERROR(__xludf.DUMMYFUNCTION("""COMPUTED_VALUE"""),343.5)</f>
        <v>343.5</v>
      </c>
      <c r="F170" s="7">
        <f>IFERROR(__xludf.DUMMYFUNCTION("""COMPUTED_VALUE"""),1.6655082E7)</f>
        <v>16655082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f>IFERROR(__xludf.DUMMYFUNCTION("""COMPUTED_VALUE"""),45804.64583333333)</f>
        <v>45804.64583</v>
      </c>
      <c r="B171" s="7">
        <f>IFERROR(__xludf.DUMMYFUNCTION("""COMPUTED_VALUE"""),344.0)</f>
        <v>344</v>
      </c>
      <c r="C171" s="7">
        <f>IFERROR(__xludf.DUMMYFUNCTION("""COMPUTED_VALUE"""),344.5)</f>
        <v>344.5</v>
      </c>
      <c r="D171" s="7">
        <f>IFERROR(__xludf.DUMMYFUNCTION("""COMPUTED_VALUE"""),336.8)</f>
        <v>336.8</v>
      </c>
      <c r="E171" s="7">
        <f>IFERROR(__xludf.DUMMYFUNCTION("""COMPUTED_VALUE"""),338.55)</f>
        <v>338.55</v>
      </c>
      <c r="F171" s="7">
        <f>IFERROR(__xludf.DUMMYFUNCTION("""COMPUTED_VALUE"""),2.493733E7)</f>
        <v>24937330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f>IFERROR(__xludf.DUMMYFUNCTION("""COMPUTED_VALUE"""),45805.64583333333)</f>
        <v>45805.64583</v>
      </c>
      <c r="B172" s="7">
        <f>IFERROR(__xludf.DUMMYFUNCTION("""COMPUTED_VALUE"""),338.6)</f>
        <v>338.6</v>
      </c>
      <c r="C172" s="7">
        <f>IFERROR(__xludf.DUMMYFUNCTION("""COMPUTED_VALUE"""),340.7)</f>
        <v>340.7</v>
      </c>
      <c r="D172" s="7">
        <f>IFERROR(__xludf.DUMMYFUNCTION("""COMPUTED_VALUE"""),337.1)</f>
        <v>337.1</v>
      </c>
      <c r="E172" s="7">
        <f>IFERROR(__xludf.DUMMYFUNCTION("""COMPUTED_VALUE"""),340.05)</f>
        <v>340.05</v>
      </c>
      <c r="F172" s="7">
        <f>IFERROR(__xludf.DUMMYFUNCTION("""COMPUTED_VALUE"""),1.0985957E7)</f>
        <v>10985957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f>IFERROR(__xludf.DUMMYFUNCTION("""COMPUTED_VALUE"""),45806.64583333333)</f>
        <v>45806.64583</v>
      </c>
      <c r="B173" s="7">
        <f>IFERROR(__xludf.DUMMYFUNCTION("""COMPUTED_VALUE"""),341.0)</f>
        <v>341</v>
      </c>
      <c r="C173" s="7">
        <f>IFERROR(__xludf.DUMMYFUNCTION("""COMPUTED_VALUE"""),342.25)</f>
        <v>342.25</v>
      </c>
      <c r="D173" s="7">
        <f>IFERROR(__xludf.DUMMYFUNCTION("""COMPUTED_VALUE"""),338.05)</f>
        <v>338.05</v>
      </c>
      <c r="E173" s="7">
        <f>IFERROR(__xludf.DUMMYFUNCTION("""COMPUTED_VALUE"""),339.35)</f>
        <v>339.35</v>
      </c>
      <c r="F173" s="7">
        <f>IFERROR(__xludf.DUMMYFUNCTION("""COMPUTED_VALUE"""),1.5884093E7)</f>
        <v>15884093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f>IFERROR(__xludf.DUMMYFUNCTION("""COMPUTED_VALUE"""),45807.64583333333)</f>
        <v>45807.64583</v>
      </c>
      <c r="B174" s="7">
        <f>IFERROR(__xludf.DUMMYFUNCTION("""COMPUTED_VALUE"""),337.5)</f>
        <v>337.5</v>
      </c>
      <c r="C174" s="7">
        <f>IFERROR(__xludf.DUMMYFUNCTION("""COMPUTED_VALUE"""),340.75)</f>
        <v>340.75</v>
      </c>
      <c r="D174" s="7">
        <f>IFERROR(__xludf.DUMMYFUNCTION("""COMPUTED_VALUE"""),332.85)</f>
        <v>332.85</v>
      </c>
      <c r="E174" s="7">
        <f>IFERROR(__xludf.DUMMYFUNCTION("""COMPUTED_VALUE"""),333.9)</f>
        <v>333.9</v>
      </c>
      <c r="F174" s="7">
        <f>IFERROR(__xludf.DUMMYFUNCTION("""COMPUTED_VALUE"""),1.914301E7)</f>
        <v>19143010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f>IFERROR(__xludf.DUMMYFUNCTION("""COMPUTED_VALUE"""),45810.64583333333)</f>
        <v>45810.64583</v>
      </c>
      <c r="B175" s="7">
        <f>IFERROR(__xludf.DUMMYFUNCTION("""COMPUTED_VALUE"""),333.9)</f>
        <v>333.9</v>
      </c>
      <c r="C175" s="7">
        <f>IFERROR(__xludf.DUMMYFUNCTION("""COMPUTED_VALUE"""),334.8)</f>
        <v>334.8</v>
      </c>
      <c r="D175" s="7">
        <f>IFERROR(__xludf.DUMMYFUNCTION("""COMPUTED_VALUE"""),330.3)</f>
        <v>330.3</v>
      </c>
      <c r="E175" s="7">
        <f>IFERROR(__xludf.DUMMYFUNCTION("""COMPUTED_VALUE"""),332.55)</f>
        <v>332.55</v>
      </c>
      <c r="F175" s="7">
        <f>IFERROR(__xludf.DUMMYFUNCTION("""COMPUTED_VALUE"""),2.9479727E7)</f>
        <v>29479727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f>IFERROR(__xludf.DUMMYFUNCTION("""COMPUTED_VALUE"""),45811.64583333333)</f>
        <v>45811.64583</v>
      </c>
      <c r="B176" s="7">
        <f>IFERROR(__xludf.DUMMYFUNCTION("""COMPUTED_VALUE"""),333.0)</f>
        <v>333</v>
      </c>
      <c r="C176" s="7">
        <f>IFERROR(__xludf.DUMMYFUNCTION("""COMPUTED_VALUE"""),334.75)</f>
        <v>334.75</v>
      </c>
      <c r="D176" s="7">
        <f>IFERROR(__xludf.DUMMYFUNCTION("""COMPUTED_VALUE"""),327.0)</f>
        <v>327</v>
      </c>
      <c r="E176" s="7">
        <f>IFERROR(__xludf.DUMMYFUNCTION("""COMPUTED_VALUE"""),328.25)</f>
        <v>328.25</v>
      </c>
      <c r="F176" s="7">
        <f>IFERROR(__xludf.DUMMYFUNCTION("""COMPUTED_VALUE"""),1.4081719E7)</f>
        <v>14081719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f>IFERROR(__xludf.DUMMYFUNCTION("""COMPUTED_VALUE"""),45812.64583333333)</f>
        <v>45812.64583</v>
      </c>
      <c r="B177" s="7">
        <f>IFERROR(__xludf.DUMMYFUNCTION("""COMPUTED_VALUE"""),329.0)</f>
        <v>329</v>
      </c>
      <c r="C177" s="7">
        <f>IFERROR(__xludf.DUMMYFUNCTION("""COMPUTED_VALUE"""),329.95)</f>
        <v>329.95</v>
      </c>
      <c r="D177" s="7">
        <f>IFERROR(__xludf.DUMMYFUNCTION("""COMPUTED_VALUE"""),324.85)</f>
        <v>324.85</v>
      </c>
      <c r="E177" s="7">
        <f>IFERROR(__xludf.DUMMYFUNCTION("""COMPUTED_VALUE"""),329.25)</f>
        <v>329.25</v>
      </c>
      <c r="F177" s="7">
        <f>IFERROR(__xludf.DUMMYFUNCTION("""COMPUTED_VALUE"""),1.5654279E7)</f>
        <v>15654279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f>IFERROR(__xludf.DUMMYFUNCTION("""COMPUTED_VALUE"""),45813.64583333333)</f>
        <v>45813.64583</v>
      </c>
      <c r="B178" s="7">
        <f>IFERROR(__xludf.DUMMYFUNCTION("""COMPUTED_VALUE"""),329.2)</f>
        <v>329.2</v>
      </c>
      <c r="C178" s="7">
        <f>IFERROR(__xludf.DUMMYFUNCTION("""COMPUTED_VALUE"""),331.6)</f>
        <v>331.6</v>
      </c>
      <c r="D178" s="7">
        <f>IFERROR(__xludf.DUMMYFUNCTION("""COMPUTED_VALUE"""),327.6)</f>
        <v>327.6</v>
      </c>
      <c r="E178" s="7">
        <f>IFERROR(__xludf.DUMMYFUNCTION("""COMPUTED_VALUE"""),328.65)</f>
        <v>328.65</v>
      </c>
      <c r="F178" s="7">
        <f>IFERROR(__xludf.DUMMYFUNCTION("""COMPUTED_VALUE"""),1.627036E7)</f>
        <v>16270360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f>IFERROR(__xludf.DUMMYFUNCTION("""COMPUTED_VALUE"""),45814.64583333333)</f>
        <v>45814.64583</v>
      </c>
      <c r="B179" s="7">
        <f>IFERROR(__xludf.DUMMYFUNCTION("""COMPUTED_VALUE"""),329.65)</f>
        <v>329.65</v>
      </c>
      <c r="C179" s="7">
        <f>IFERROR(__xludf.DUMMYFUNCTION("""COMPUTED_VALUE"""),333.5)</f>
        <v>333.5</v>
      </c>
      <c r="D179" s="7">
        <f>IFERROR(__xludf.DUMMYFUNCTION("""COMPUTED_VALUE"""),329.05)</f>
        <v>329.05</v>
      </c>
      <c r="E179" s="7">
        <f>IFERROR(__xludf.DUMMYFUNCTION("""COMPUTED_VALUE"""),332.85)</f>
        <v>332.85</v>
      </c>
      <c r="F179" s="7">
        <f>IFERROR(__xludf.DUMMYFUNCTION("""COMPUTED_VALUE"""),1.1402511E7)</f>
        <v>11402511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f>IFERROR(__xludf.DUMMYFUNCTION("""COMPUTED_VALUE"""),45817.64583333333)</f>
        <v>45817.64583</v>
      </c>
      <c r="B180" s="7">
        <f>IFERROR(__xludf.DUMMYFUNCTION("""COMPUTED_VALUE"""),333.9)</f>
        <v>333.9</v>
      </c>
      <c r="C180" s="7">
        <f>IFERROR(__xludf.DUMMYFUNCTION("""COMPUTED_VALUE"""),337.55)</f>
        <v>337.55</v>
      </c>
      <c r="D180" s="7">
        <f>IFERROR(__xludf.DUMMYFUNCTION("""COMPUTED_VALUE"""),332.75)</f>
        <v>332.75</v>
      </c>
      <c r="E180" s="7">
        <f>IFERROR(__xludf.DUMMYFUNCTION("""COMPUTED_VALUE"""),337.1)</f>
        <v>337.1</v>
      </c>
      <c r="F180" s="7">
        <f>IFERROR(__xludf.DUMMYFUNCTION("""COMPUTED_VALUE"""),1.9416373E7)</f>
        <v>19416373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f>IFERROR(__xludf.DUMMYFUNCTION("""COMPUTED_VALUE"""),45818.64583333333)</f>
        <v>45818.64583</v>
      </c>
      <c r="B181" s="7">
        <f>IFERROR(__xludf.DUMMYFUNCTION("""COMPUTED_VALUE"""),338.8)</f>
        <v>338.8</v>
      </c>
      <c r="C181" s="7">
        <f>IFERROR(__xludf.DUMMYFUNCTION("""COMPUTED_VALUE"""),340.9)</f>
        <v>340.9</v>
      </c>
      <c r="D181" s="7">
        <f>IFERROR(__xludf.DUMMYFUNCTION("""COMPUTED_VALUE"""),336.8)</f>
        <v>336.8</v>
      </c>
      <c r="E181" s="7">
        <f>IFERROR(__xludf.DUMMYFUNCTION("""COMPUTED_VALUE"""),339.2)</f>
        <v>339.2</v>
      </c>
      <c r="F181" s="7">
        <f>IFERROR(__xludf.DUMMYFUNCTION("""COMPUTED_VALUE"""),1.2061248E7)</f>
        <v>12061248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f>IFERROR(__xludf.DUMMYFUNCTION("""COMPUTED_VALUE"""),45819.64583333333)</f>
        <v>45819.64583</v>
      </c>
      <c r="B182" s="7">
        <f>IFERROR(__xludf.DUMMYFUNCTION("""COMPUTED_VALUE"""),341.0)</f>
        <v>341</v>
      </c>
      <c r="C182" s="7">
        <f>IFERROR(__xludf.DUMMYFUNCTION("""COMPUTED_VALUE"""),342.6)</f>
        <v>342.6</v>
      </c>
      <c r="D182" s="7">
        <f>IFERROR(__xludf.DUMMYFUNCTION("""COMPUTED_VALUE"""),337.45)</f>
        <v>337.45</v>
      </c>
      <c r="E182" s="7">
        <f>IFERROR(__xludf.DUMMYFUNCTION("""COMPUTED_VALUE"""),338.1)</f>
        <v>338.1</v>
      </c>
      <c r="F182" s="7">
        <f>IFERROR(__xludf.DUMMYFUNCTION("""COMPUTED_VALUE"""),1.0807496E7)</f>
        <v>10807496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f>IFERROR(__xludf.DUMMYFUNCTION("""COMPUTED_VALUE"""),45820.64583333333)</f>
        <v>45820.64583</v>
      </c>
      <c r="B183" s="7">
        <f>IFERROR(__xludf.DUMMYFUNCTION("""COMPUTED_VALUE"""),338.15)</f>
        <v>338.15</v>
      </c>
      <c r="C183" s="7">
        <f>IFERROR(__xludf.DUMMYFUNCTION("""COMPUTED_VALUE"""),341.65)</f>
        <v>341.65</v>
      </c>
      <c r="D183" s="7">
        <f>IFERROR(__xludf.DUMMYFUNCTION("""COMPUTED_VALUE"""),332.65)</f>
        <v>332.65</v>
      </c>
      <c r="E183" s="7">
        <f>IFERROR(__xludf.DUMMYFUNCTION("""COMPUTED_VALUE"""),333.7)</f>
        <v>333.7</v>
      </c>
      <c r="F183" s="7">
        <f>IFERROR(__xludf.DUMMYFUNCTION("""COMPUTED_VALUE"""),1.1881618E7)</f>
        <v>11881618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f>IFERROR(__xludf.DUMMYFUNCTION("""COMPUTED_VALUE"""),45821.64583333333)</f>
        <v>45821.64583</v>
      </c>
      <c r="B184" s="7">
        <f>IFERROR(__xludf.DUMMYFUNCTION("""COMPUTED_VALUE"""),326.8)</f>
        <v>326.8</v>
      </c>
      <c r="C184" s="7">
        <f>IFERROR(__xludf.DUMMYFUNCTION("""COMPUTED_VALUE"""),332.9)</f>
        <v>332.9</v>
      </c>
      <c r="D184" s="7">
        <f>IFERROR(__xludf.DUMMYFUNCTION("""COMPUTED_VALUE"""),326.6)</f>
        <v>326.6</v>
      </c>
      <c r="E184" s="7">
        <f>IFERROR(__xludf.DUMMYFUNCTION("""COMPUTED_VALUE"""),331.95)</f>
        <v>331.95</v>
      </c>
      <c r="F184" s="7">
        <f>IFERROR(__xludf.DUMMYFUNCTION("""COMPUTED_VALUE"""),1.1711773E7)</f>
        <v>11711773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f>IFERROR(__xludf.DUMMYFUNCTION("""COMPUTED_VALUE"""),45824.64583333333)</f>
        <v>45824.64583</v>
      </c>
      <c r="B185" s="7">
        <f>IFERROR(__xludf.DUMMYFUNCTION("""COMPUTED_VALUE"""),332.0)</f>
        <v>332</v>
      </c>
      <c r="C185" s="7">
        <f>IFERROR(__xludf.DUMMYFUNCTION("""COMPUTED_VALUE"""),334.65)</f>
        <v>334.65</v>
      </c>
      <c r="D185" s="7">
        <f>IFERROR(__xludf.DUMMYFUNCTION("""COMPUTED_VALUE"""),330.6)</f>
        <v>330.6</v>
      </c>
      <c r="E185" s="7">
        <f>IFERROR(__xludf.DUMMYFUNCTION("""COMPUTED_VALUE"""),333.7)</f>
        <v>333.7</v>
      </c>
      <c r="F185" s="7">
        <f>IFERROR(__xludf.DUMMYFUNCTION("""COMPUTED_VALUE"""),8065112.0)</f>
        <v>8065112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f>IFERROR(__xludf.DUMMYFUNCTION("""COMPUTED_VALUE"""),45825.64583333333)</f>
        <v>45825.64583</v>
      </c>
      <c r="B186" s="7">
        <f>IFERROR(__xludf.DUMMYFUNCTION("""COMPUTED_VALUE"""),334.0)</f>
        <v>334</v>
      </c>
      <c r="C186" s="7">
        <f>IFERROR(__xludf.DUMMYFUNCTION("""COMPUTED_VALUE"""),336.9)</f>
        <v>336.9</v>
      </c>
      <c r="D186" s="7">
        <f>IFERROR(__xludf.DUMMYFUNCTION("""COMPUTED_VALUE"""),333.1)</f>
        <v>333.1</v>
      </c>
      <c r="E186" s="7">
        <f>IFERROR(__xludf.DUMMYFUNCTION("""COMPUTED_VALUE"""),335.2)</f>
        <v>335.2</v>
      </c>
      <c r="F186" s="7">
        <f>IFERROR(__xludf.DUMMYFUNCTION("""COMPUTED_VALUE"""),6796992.0)</f>
        <v>6796992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f>IFERROR(__xludf.DUMMYFUNCTION("""COMPUTED_VALUE"""),45826.64583333333)</f>
        <v>45826.64583</v>
      </c>
      <c r="B187" s="7">
        <f>IFERROR(__xludf.DUMMYFUNCTION("""COMPUTED_VALUE"""),335.2)</f>
        <v>335.2</v>
      </c>
      <c r="C187" s="7">
        <f>IFERROR(__xludf.DUMMYFUNCTION("""COMPUTED_VALUE"""),335.9)</f>
        <v>335.9</v>
      </c>
      <c r="D187" s="7">
        <f>IFERROR(__xludf.DUMMYFUNCTION("""COMPUTED_VALUE"""),330.75)</f>
        <v>330.75</v>
      </c>
      <c r="E187" s="7">
        <f>IFERROR(__xludf.DUMMYFUNCTION("""COMPUTED_VALUE"""),332.4)</f>
        <v>332.4</v>
      </c>
      <c r="F187" s="7">
        <f>IFERROR(__xludf.DUMMYFUNCTION("""COMPUTED_VALUE"""),1.7835507E7)</f>
        <v>17835507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f>IFERROR(__xludf.DUMMYFUNCTION("""COMPUTED_VALUE"""),45827.64583333333)</f>
        <v>45827.64583</v>
      </c>
      <c r="B188" s="7">
        <f>IFERROR(__xludf.DUMMYFUNCTION("""COMPUTED_VALUE"""),332.4)</f>
        <v>332.4</v>
      </c>
      <c r="C188" s="7">
        <f>IFERROR(__xludf.DUMMYFUNCTION("""COMPUTED_VALUE"""),333.15)</f>
        <v>333.15</v>
      </c>
      <c r="D188" s="7">
        <f>IFERROR(__xludf.DUMMYFUNCTION("""COMPUTED_VALUE"""),328.55)</f>
        <v>328.55</v>
      </c>
      <c r="E188" s="7">
        <f>IFERROR(__xludf.DUMMYFUNCTION("""COMPUTED_VALUE"""),330.05)</f>
        <v>330.05</v>
      </c>
      <c r="F188" s="7">
        <f>IFERROR(__xludf.DUMMYFUNCTION("""COMPUTED_VALUE"""),1.1610604E7)</f>
        <v>11610604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f>IFERROR(__xludf.DUMMYFUNCTION("""COMPUTED_VALUE"""),45828.64583333333)</f>
        <v>45828.64583</v>
      </c>
      <c r="B189" s="7">
        <f>IFERROR(__xludf.DUMMYFUNCTION("""COMPUTED_VALUE"""),330.0)</f>
        <v>330</v>
      </c>
      <c r="C189" s="7">
        <f>IFERROR(__xludf.DUMMYFUNCTION("""COMPUTED_VALUE"""),336.0)</f>
        <v>336</v>
      </c>
      <c r="D189" s="7">
        <f>IFERROR(__xludf.DUMMYFUNCTION("""COMPUTED_VALUE"""),329.7)</f>
        <v>329.7</v>
      </c>
      <c r="E189" s="7">
        <f>IFERROR(__xludf.DUMMYFUNCTION("""COMPUTED_VALUE"""),335.2)</f>
        <v>335.2</v>
      </c>
      <c r="F189" s="7">
        <f>IFERROR(__xludf.DUMMYFUNCTION("""COMPUTED_VALUE"""),1.6592862E7)</f>
        <v>16592862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f>IFERROR(__xludf.DUMMYFUNCTION("""COMPUTED_VALUE"""),45831.64583333333)</f>
        <v>45831.64583</v>
      </c>
      <c r="B190" s="7">
        <f>IFERROR(__xludf.DUMMYFUNCTION("""COMPUTED_VALUE"""),333.7)</f>
        <v>333.7</v>
      </c>
      <c r="C190" s="7">
        <f>IFERROR(__xludf.DUMMYFUNCTION("""COMPUTED_VALUE"""),335.7)</f>
        <v>335.7</v>
      </c>
      <c r="D190" s="7">
        <f>IFERROR(__xludf.DUMMYFUNCTION("""COMPUTED_VALUE"""),330.35)</f>
        <v>330.35</v>
      </c>
      <c r="E190" s="7">
        <f>IFERROR(__xludf.DUMMYFUNCTION("""COMPUTED_VALUE"""),332.6)</f>
        <v>332.6</v>
      </c>
      <c r="F190" s="7">
        <f>IFERROR(__xludf.DUMMYFUNCTION("""COMPUTED_VALUE"""),8277787.0)</f>
        <v>8277787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f>IFERROR(__xludf.DUMMYFUNCTION("""COMPUTED_VALUE"""),45832.64583333333)</f>
        <v>45832.64583</v>
      </c>
      <c r="B191" s="7">
        <f>IFERROR(__xludf.DUMMYFUNCTION("""COMPUTED_VALUE"""),331.0)</f>
        <v>331</v>
      </c>
      <c r="C191" s="7">
        <f>IFERROR(__xludf.DUMMYFUNCTION("""COMPUTED_VALUE"""),331.7)</f>
        <v>331.7</v>
      </c>
      <c r="D191" s="7">
        <f>IFERROR(__xludf.DUMMYFUNCTION("""COMPUTED_VALUE"""),321.35)</f>
        <v>321.35</v>
      </c>
      <c r="E191" s="7">
        <f>IFERROR(__xludf.DUMMYFUNCTION("""COMPUTED_VALUE"""),329.95)</f>
        <v>329.95</v>
      </c>
      <c r="F191" s="7">
        <f>IFERROR(__xludf.DUMMYFUNCTION("""COMPUTED_VALUE"""),1.00814893E8)</f>
        <v>100814893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f>IFERROR(__xludf.DUMMYFUNCTION("""COMPUTED_VALUE"""),45833.64583333333)</f>
        <v>45833.64583</v>
      </c>
      <c r="B192" s="7">
        <f>IFERROR(__xludf.DUMMYFUNCTION("""COMPUTED_VALUE"""),331.5)</f>
        <v>331.5</v>
      </c>
      <c r="C192" s="7">
        <f>IFERROR(__xludf.DUMMYFUNCTION("""COMPUTED_VALUE"""),333.7)</f>
        <v>333.7</v>
      </c>
      <c r="D192" s="7">
        <f>IFERROR(__xludf.DUMMYFUNCTION("""COMPUTED_VALUE"""),329.4)</f>
        <v>329.4</v>
      </c>
      <c r="E192" s="7">
        <f>IFERROR(__xludf.DUMMYFUNCTION("""COMPUTED_VALUE"""),330.85)</f>
        <v>330.85</v>
      </c>
      <c r="F192" s="7">
        <f>IFERROR(__xludf.DUMMYFUNCTION("""COMPUTED_VALUE"""),1.7963666E7)</f>
        <v>17963666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f>IFERROR(__xludf.DUMMYFUNCTION("""COMPUTED_VALUE"""),45834.64583333333)</f>
        <v>45834.64583</v>
      </c>
      <c r="B193" s="7">
        <f>IFERROR(__xludf.DUMMYFUNCTION("""COMPUTED_VALUE"""),332.4)</f>
        <v>332.4</v>
      </c>
      <c r="C193" s="7">
        <f>IFERROR(__xludf.DUMMYFUNCTION("""COMPUTED_VALUE"""),337.8)</f>
        <v>337.8</v>
      </c>
      <c r="D193" s="7">
        <f>IFERROR(__xludf.DUMMYFUNCTION("""COMPUTED_VALUE"""),331.3)</f>
        <v>331.3</v>
      </c>
      <c r="E193" s="7">
        <f>IFERROR(__xludf.DUMMYFUNCTION("""COMPUTED_VALUE"""),337.15)</f>
        <v>337.15</v>
      </c>
      <c r="F193" s="7">
        <f>IFERROR(__xludf.DUMMYFUNCTION("""COMPUTED_VALUE"""),1.3754087E7)</f>
        <v>13754087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f>IFERROR(__xludf.DUMMYFUNCTION("""COMPUTED_VALUE"""),45835.64583333333)</f>
        <v>45835.64583</v>
      </c>
      <c r="B194" s="7">
        <f>IFERROR(__xludf.DUMMYFUNCTION("""COMPUTED_VALUE"""),338.95)</f>
        <v>338.95</v>
      </c>
      <c r="C194" s="7">
        <f>IFERROR(__xludf.DUMMYFUNCTION("""COMPUTED_VALUE"""),341.3)</f>
        <v>341.3</v>
      </c>
      <c r="D194" s="7">
        <f>IFERROR(__xludf.DUMMYFUNCTION("""COMPUTED_VALUE"""),334.45)</f>
        <v>334.45</v>
      </c>
      <c r="E194" s="7">
        <f>IFERROR(__xludf.DUMMYFUNCTION("""COMPUTED_VALUE"""),338.3)</f>
        <v>338.3</v>
      </c>
      <c r="F194" s="7">
        <f>IFERROR(__xludf.DUMMYFUNCTION("""COMPUTED_VALUE"""),5.0845169E7)</f>
        <v>50845169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f>IFERROR(__xludf.DUMMYFUNCTION("""COMPUTED_VALUE"""),45838.64583333333)</f>
        <v>45838.64583</v>
      </c>
      <c r="B195" s="7">
        <f>IFERROR(__xludf.DUMMYFUNCTION("""COMPUTED_VALUE"""),335.75)</f>
        <v>335.75</v>
      </c>
      <c r="C195" s="7">
        <f>IFERROR(__xludf.DUMMYFUNCTION("""COMPUTED_VALUE"""),337.25)</f>
        <v>337.25</v>
      </c>
      <c r="D195" s="7">
        <f>IFERROR(__xludf.DUMMYFUNCTION("""COMPUTED_VALUE"""),333.65)</f>
        <v>333.65</v>
      </c>
      <c r="E195" s="7">
        <f>IFERROR(__xludf.DUMMYFUNCTION("""COMPUTED_VALUE"""),334.9)</f>
        <v>334.9</v>
      </c>
      <c r="F195" s="7">
        <f>IFERROR(__xludf.DUMMYFUNCTION("""COMPUTED_VALUE"""),1.185889E7)</f>
        <v>11858890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f>IFERROR(__xludf.DUMMYFUNCTION("""COMPUTED_VALUE"""),45839.64583333333)</f>
        <v>45839.64583</v>
      </c>
      <c r="B196" s="7">
        <f>IFERROR(__xludf.DUMMYFUNCTION("""COMPUTED_VALUE"""),335.25)</f>
        <v>335.25</v>
      </c>
      <c r="C196" s="7">
        <f>IFERROR(__xludf.DUMMYFUNCTION("""COMPUTED_VALUE"""),335.25)</f>
        <v>335.25</v>
      </c>
      <c r="D196" s="7">
        <f>IFERROR(__xludf.DUMMYFUNCTION("""COMPUTED_VALUE"""),332.15)</f>
        <v>332.15</v>
      </c>
      <c r="E196" s="7">
        <f>IFERROR(__xludf.DUMMYFUNCTION("""COMPUTED_VALUE"""),332.6)</f>
        <v>332.6</v>
      </c>
      <c r="F196" s="7">
        <f>IFERROR(__xludf.DUMMYFUNCTION("""COMPUTED_VALUE"""),8903292.0)</f>
        <v>8903292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f>IFERROR(__xludf.DUMMYFUNCTION("""COMPUTED_VALUE"""),45840.64583333333)</f>
        <v>45840.64583</v>
      </c>
      <c r="B197" s="7">
        <f>IFERROR(__xludf.DUMMYFUNCTION("""COMPUTED_VALUE"""),332.65)</f>
        <v>332.65</v>
      </c>
      <c r="C197" s="7">
        <f>IFERROR(__xludf.DUMMYFUNCTION("""COMPUTED_VALUE"""),335.65)</f>
        <v>335.65</v>
      </c>
      <c r="D197" s="7">
        <f>IFERROR(__xludf.DUMMYFUNCTION("""COMPUTED_VALUE"""),331.3)</f>
        <v>331.3</v>
      </c>
      <c r="E197" s="7">
        <f>IFERROR(__xludf.DUMMYFUNCTION("""COMPUTED_VALUE"""),333.75)</f>
        <v>333.75</v>
      </c>
      <c r="F197" s="7">
        <f>IFERROR(__xludf.DUMMYFUNCTION("""COMPUTED_VALUE"""),1.132688E7)</f>
        <v>11326880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f>IFERROR(__xludf.DUMMYFUNCTION("""COMPUTED_VALUE"""),45841.64583333333)</f>
        <v>45841.64583</v>
      </c>
      <c r="B198" s="7">
        <f>IFERROR(__xludf.DUMMYFUNCTION("""COMPUTED_VALUE"""),334.6)</f>
        <v>334.6</v>
      </c>
      <c r="C198" s="7">
        <f>IFERROR(__xludf.DUMMYFUNCTION("""COMPUTED_VALUE"""),336.35)</f>
        <v>336.35</v>
      </c>
      <c r="D198" s="7">
        <f>IFERROR(__xludf.DUMMYFUNCTION("""COMPUTED_VALUE"""),331.0)</f>
        <v>331</v>
      </c>
      <c r="E198" s="7">
        <f>IFERROR(__xludf.DUMMYFUNCTION("""COMPUTED_VALUE"""),334.6)</f>
        <v>334.6</v>
      </c>
      <c r="F198" s="7">
        <f>IFERROR(__xludf.DUMMYFUNCTION("""COMPUTED_VALUE"""),1.5786429E7)</f>
        <v>15786429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f>IFERROR(__xludf.DUMMYFUNCTION("""COMPUTED_VALUE"""),45842.64583333333)</f>
        <v>45842.64583</v>
      </c>
      <c r="B199" s="7">
        <f>IFERROR(__xludf.DUMMYFUNCTION("""COMPUTED_VALUE"""),335.7)</f>
        <v>335.7</v>
      </c>
      <c r="C199" s="7">
        <f>IFERROR(__xludf.DUMMYFUNCTION("""COMPUTED_VALUE"""),336.0)</f>
        <v>336</v>
      </c>
      <c r="D199" s="7">
        <f>IFERROR(__xludf.DUMMYFUNCTION("""COMPUTED_VALUE"""),332.25)</f>
        <v>332.25</v>
      </c>
      <c r="E199" s="7">
        <f>IFERROR(__xludf.DUMMYFUNCTION("""COMPUTED_VALUE"""),335.5)</f>
        <v>335.5</v>
      </c>
      <c r="F199" s="7">
        <f>IFERROR(__xludf.DUMMYFUNCTION("""COMPUTED_VALUE"""),5899185.0)</f>
        <v>5899185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f>IFERROR(__xludf.DUMMYFUNCTION("""COMPUTED_VALUE"""),45845.64583333333)</f>
        <v>45845.64583</v>
      </c>
      <c r="B200" s="7">
        <f>IFERROR(__xludf.DUMMYFUNCTION("""COMPUTED_VALUE"""),335.5)</f>
        <v>335.5</v>
      </c>
      <c r="C200" s="7">
        <f>IFERROR(__xludf.DUMMYFUNCTION("""COMPUTED_VALUE"""),339.0)</f>
        <v>339</v>
      </c>
      <c r="D200" s="7">
        <f>IFERROR(__xludf.DUMMYFUNCTION("""COMPUTED_VALUE"""),333.75)</f>
        <v>333.75</v>
      </c>
      <c r="E200" s="7">
        <f>IFERROR(__xludf.DUMMYFUNCTION("""COMPUTED_VALUE"""),337.45)</f>
        <v>337.45</v>
      </c>
      <c r="F200" s="7">
        <f>IFERROR(__xludf.DUMMYFUNCTION("""COMPUTED_VALUE"""),9454556.0)</f>
        <v>9454556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f>IFERROR(__xludf.DUMMYFUNCTION("""COMPUTED_VALUE"""),45846.64583333333)</f>
        <v>45846.64583</v>
      </c>
      <c r="B201" s="7">
        <f>IFERROR(__xludf.DUMMYFUNCTION("""COMPUTED_VALUE"""),338.2)</f>
        <v>338.2</v>
      </c>
      <c r="C201" s="7">
        <f>IFERROR(__xludf.DUMMYFUNCTION("""COMPUTED_VALUE"""),343.9)</f>
        <v>343.9</v>
      </c>
      <c r="D201" s="7">
        <f>IFERROR(__xludf.DUMMYFUNCTION("""COMPUTED_VALUE"""),337.0)</f>
        <v>337</v>
      </c>
      <c r="E201" s="7">
        <f>IFERROR(__xludf.DUMMYFUNCTION("""COMPUTED_VALUE"""),343.2)</f>
        <v>343.2</v>
      </c>
      <c r="F201" s="7">
        <f>IFERROR(__xludf.DUMMYFUNCTION("""COMPUTED_VALUE"""),1.2092302E7)</f>
        <v>12092302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f>IFERROR(__xludf.DUMMYFUNCTION("""COMPUTED_VALUE"""),45847.64583333333)</f>
        <v>45847.64583</v>
      </c>
      <c r="B202" s="7">
        <f>IFERROR(__xludf.DUMMYFUNCTION("""COMPUTED_VALUE"""),343.25)</f>
        <v>343.25</v>
      </c>
      <c r="C202" s="7">
        <f>IFERROR(__xludf.DUMMYFUNCTION("""COMPUTED_VALUE"""),345.6)</f>
        <v>345.6</v>
      </c>
      <c r="D202" s="7">
        <f>IFERROR(__xludf.DUMMYFUNCTION("""COMPUTED_VALUE"""),342.8)</f>
        <v>342.8</v>
      </c>
      <c r="E202" s="7">
        <f>IFERROR(__xludf.DUMMYFUNCTION("""COMPUTED_VALUE"""),344.0)</f>
        <v>344</v>
      </c>
      <c r="F202" s="7">
        <f>IFERROR(__xludf.DUMMYFUNCTION("""COMPUTED_VALUE"""),9079872.0)</f>
        <v>9079872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f>IFERROR(__xludf.DUMMYFUNCTION("""COMPUTED_VALUE"""),45848.64583333333)</f>
        <v>45848.64583</v>
      </c>
      <c r="B203" s="7">
        <f>IFERROR(__xludf.DUMMYFUNCTION("""COMPUTED_VALUE"""),344.0)</f>
        <v>344</v>
      </c>
      <c r="C203" s="7">
        <f>IFERROR(__xludf.DUMMYFUNCTION("""COMPUTED_VALUE"""),345.0)</f>
        <v>345</v>
      </c>
      <c r="D203" s="7">
        <f>IFERROR(__xludf.DUMMYFUNCTION("""COMPUTED_VALUE"""),341.2)</f>
        <v>341.2</v>
      </c>
      <c r="E203" s="7">
        <f>IFERROR(__xludf.DUMMYFUNCTION("""COMPUTED_VALUE"""),341.45)</f>
        <v>341.45</v>
      </c>
      <c r="F203" s="7">
        <f>IFERROR(__xludf.DUMMYFUNCTION("""COMPUTED_VALUE"""),6426072.0)</f>
        <v>6426072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f>IFERROR(__xludf.DUMMYFUNCTION("""COMPUTED_VALUE"""),45849.64583333333)</f>
        <v>45849.64583</v>
      </c>
      <c r="B204" s="7">
        <f>IFERROR(__xludf.DUMMYFUNCTION("""COMPUTED_VALUE"""),340.5)</f>
        <v>340.5</v>
      </c>
      <c r="C204" s="7">
        <f>IFERROR(__xludf.DUMMYFUNCTION("""COMPUTED_VALUE"""),344.0)</f>
        <v>344</v>
      </c>
      <c r="D204" s="7">
        <f>IFERROR(__xludf.DUMMYFUNCTION("""COMPUTED_VALUE"""),339.5)</f>
        <v>339.5</v>
      </c>
      <c r="E204" s="7">
        <f>IFERROR(__xludf.DUMMYFUNCTION("""COMPUTED_VALUE"""),342.7)</f>
        <v>342.7</v>
      </c>
      <c r="F204" s="7">
        <f>IFERROR(__xludf.DUMMYFUNCTION("""COMPUTED_VALUE"""),1.7234194E7)</f>
        <v>17234194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f>IFERROR(__xludf.DUMMYFUNCTION("""COMPUTED_VALUE"""),45852.64583333333)</f>
        <v>45852.64583</v>
      </c>
      <c r="B205" s="7">
        <f>IFERROR(__xludf.DUMMYFUNCTION("""COMPUTED_VALUE"""),343.05)</f>
        <v>343.05</v>
      </c>
      <c r="C205" s="7">
        <f>IFERROR(__xludf.DUMMYFUNCTION("""COMPUTED_VALUE"""),345.0)</f>
        <v>345</v>
      </c>
      <c r="D205" s="7">
        <f>IFERROR(__xludf.DUMMYFUNCTION("""COMPUTED_VALUE"""),339.95)</f>
        <v>339.95</v>
      </c>
      <c r="E205" s="7">
        <f>IFERROR(__xludf.DUMMYFUNCTION("""COMPUTED_VALUE"""),342.1)</f>
        <v>342.1</v>
      </c>
      <c r="F205" s="7">
        <f>IFERROR(__xludf.DUMMYFUNCTION("""COMPUTED_VALUE"""),1.1516965E7)</f>
        <v>11516965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f>IFERROR(__xludf.DUMMYFUNCTION("""COMPUTED_VALUE"""),45853.64583333333)</f>
        <v>45853.64583</v>
      </c>
      <c r="B206" s="7">
        <f>IFERROR(__xludf.DUMMYFUNCTION("""COMPUTED_VALUE"""),343.15)</f>
        <v>343.15</v>
      </c>
      <c r="C206" s="7">
        <f>IFERROR(__xludf.DUMMYFUNCTION("""COMPUTED_VALUE"""),344.1)</f>
        <v>344.1</v>
      </c>
      <c r="D206" s="7">
        <f>IFERROR(__xludf.DUMMYFUNCTION("""COMPUTED_VALUE"""),340.95)</f>
        <v>340.95</v>
      </c>
      <c r="E206" s="7">
        <f>IFERROR(__xludf.DUMMYFUNCTION("""COMPUTED_VALUE"""),342.0)</f>
        <v>342</v>
      </c>
      <c r="F206" s="7">
        <f>IFERROR(__xludf.DUMMYFUNCTION("""COMPUTED_VALUE"""),8450777.0)</f>
        <v>8450777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f>IFERROR(__xludf.DUMMYFUNCTION("""COMPUTED_VALUE"""),45854.64583333333)</f>
        <v>45854.64583</v>
      </c>
      <c r="B207" s="7">
        <f>IFERROR(__xludf.DUMMYFUNCTION("""COMPUTED_VALUE"""),342.0)</f>
        <v>342</v>
      </c>
      <c r="C207" s="7">
        <f>IFERROR(__xludf.DUMMYFUNCTION("""COMPUTED_VALUE"""),343.8)</f>
        <v>343.8</v>
      </c>
      <c r="D207" s="7">
        <f>IFERROR(__xludf.DUMMYFUNCTION("""COMPUTED_VALUE"""),340.8)</f>
        <v>340.8</v>
      </c>
      <c r="E207" s="7">
        <f>IFERROR(__xludf.DUMMYFUNCTION("""COMPUTED_VALUE"""),342.45)</f>
        <v>342.45</v>
      </c>
      <c r="F207" s="7">
        <f>IFERROR(__xludf.DUMMYFUNCTION("""COMPUTED_VALUE"""),6001484.0)</f>
        <v>6001484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f>IFERROR(__xludf.DUMMYFUNCTION("""COMPUTED_VALUE"""),45855.64583333333)</f>
        <v>45855.64583</v>
      </c>
      <c r="B208" s="7">
        <f>IFERROR(__xludf.DUMMYFUNCTION("""COMPUTED_VALUE"""),344.2)</f>
        <v>344.2</v>
      </c>
      <c r="C208" s="7">
        <f>IFERROR(__xludf.DUMMYFUNCTION("""COMPUTED_VALUE"""),344.5)</f>
        <v>344.5</v>
      </c>
      <c r="D208" s="7">
        <f>IFERROR(__xludf.DUMMYFUNCTION("""COMPUTED_VALUE"""),342.0)</f>
        <v>342</v>
      </c>
      <c r="E208" s="7">
        <f>IFERROR(__xludf.DUMMYFUNCTION("""COMPUTED_VALUE"""),342.65)</f>
        <v>342.65</v>
      </c>
      <c r="F208" s="7">
        <f>IFERROR(__xludf.DUMMYFUNCTION("""COMPUTED_VALUE"""),7562006.0)</f>
        <v>7562006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f>IFERROR(__xludf.DUMMYFUNCTION("""COMPUTED_VALUE"""),45856.64583333333)</f>
        <v>45856.64583</v>
      </c>
      <c r="B209" s="7">
        <f>IFERROR(__xludf.DUMMYFUNCTION("""COMPUTED_VALUE"""),343.0)</f>
        <v>343</v>
      </c>
      <c r="C209" s="7">
        <f>IFERROR(__xludf.DUMMYFUNCTION("""COMPUTED_VALUE"""),343.9)</f>
        <v>343.9</v>
      </c>
      <c r="D209" s="7">
        <f>IFERROR(__xludf.DUMMYFUNCTION("""COMPUTED_VALUE"""),340.65)</f>
        <v>340.65</v>
      </c>
      <c r="E209" s="7">
        <f>IFERROR(__xludf.DUMMYFUNCTION("""COMPUTED_VALUE"""),342.1)</f>
        <v>342.1</v>
      </c>
      <c r="F209" s="7">
        <f>IFERROR(__xludf.DUMMYFUNCTION("""COMPUTED_VALUE"""),6370338.0)</f>
        <v>6370338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f>IFERROR(__xludf.DUMMYFUNCTION("""COMPUTED_VALUE"""),45859.64583333333)</f>
        <v>45859.64583</v>
      </c>
      <c r="B210" s="7">
        <f>IFERROR(__xludf.DUMMYFUNCTION("""COMPUTED_VALUE"""),342.1)</f>
        <v>342.1</v>
      </c>
      <c r="C210" s="7">
        <f>IFERROR(__xludf.DUMMYFUNCTION("""COMPUTED_VALUE"""),342.8)</f>
        <v>342.8</v>
      </c>
      <c r="D210" s="7">
        <f>IFERROR(__xludf.DUMMYFUNCTION("""COMPUTED_VALUE"""),339.3)</f>
        <v>339.3</v>
      </c>
      <c r="E210" s="7">
        <f>IFERROR(__xludf.DUMMYFUNCTION("""COMPUTED_VALUE"""),341.55)</f>
        <v>341.55</v>
      </c>
      <c r="F210" s="7">
        <f>IFERROR(__xludf.DUMMYFUNCTION("""COMPUTED_VALUE"""),4463318.0)</f>
        <v>4463318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f>IFERROR(__xludf.DUMMYFUNCTION("""COMPUTED_VALUE"""),45860.64583333333)</f>
        <v>45860.64583</v>
      </c>
      <c r="B211" s="7">
        <f>IFERROR(__xludf.DUMMYFUNCTION("""COMPUTED_VALUE"""),341.55)</f>
        <v>341.55</v>
      </c>
      <c r="C211" s="7">
        <f>IFERROR(__xludf.DUMMYFUNCTION("""COMPUTED_VALUE"""),342.6)</f>
        <v>342.6</v>
      </c>
      <c r="D211" s="7">
        <f>IFERROR(__xludf.DUMMYFUNCTION("""COMPUTED_VALUE"""),340.05)</f>
        <v>340.05</v>
      </c>
      <c r="E211" s="7">
        <f>IFERROR(__xludf.DUMMYFUNCTION("""COMPUTED_VALUE"""),340.85)</f>
        <v>340.85</v>
      </c>
      <c r="F211" s="7">
        <f>IFERROR(__xludf.DUMMYFUNCTION("""COMPUTED_VALUE"""),4728372.0)</f>
        <v>4728372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f>IFERROR(__xludf.DUMMYFUNCTION("""COMPUTED_VALUE"""),45861.64583333333)</f>
        <v>45861.64583</v>
      </c>
      <c r="B212" s="7">
        <f>IFERROR(__xludf.DUMMYFUNCTION("""COMPUTED_VALUE"""),341.8)</f>
        <v>341.8</v>
      </c>
      <c r="C212" s="7">
        <f>IFERROR(__xludf.DUMMYFUNCTION("""COMPUTED_VALUE"""),344.0)</f>
        <v>344</v>
      </c>
      <c r="D212" s="7">
        <f>IFERROR(__xludf.DUMMYFUNCTION("""COMPUTED_VALUE"""),340.95)</f>
        <v>340.95</v>
      </c>
      <c r="E212" s="7">
        <f>IFERROR(__xludf.DUMMYFUNCTION("""COMPUTED_VALUE"""),343.05)</f>
        <v>343.05</v>
      </c>
      <c r="F212" s="7">
        <f>IFERROR(__xludf.DUMMYFUNCTION("""COMPUTED_VALUE"""),5058422.0)</f>
        <v>5058422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f>IFERROR(__xludf.DUMMYFUNCTION("""COMPUTED_VALUE"""),45862.64583333333)</f>
        <v>45862.64583</v>
      </c>
      <c r="B213" s="7">
        <f>IFERROR(__xludf.DUMMYFUNCTION("""COMPUTED_VALUE"""),343.6)</f>
        <v>343.6</v>
      </c>
      <c r="C213" s="7">
        <f>IFERROR(__xludf.DUMMYFUNCTION("""COMPUTED_VALUE"""),343.6)</f>
        <v>343.6</v>
      </c>
      <c r="D213" s="7">
        <f>IFERROR(__xludf.DUMMYFUNCTION("""COMPUTED_VALUE"""),336.5)</f>
        <v>336.5</v>
      </c>
      <c r="E213" s="7">
        <f>IFERROR(__xludf.DUMMYFUNCTION("""COMPUTED_VALUE"""),338.9)</f>
        <v>338.9</v>
      </c>
      <c r="F213" s="7">
        <f>IFERROR(__xludf.DUMMYFUNCTION("""COMPUTED_VALUE"""),9098453.0)</f>
        <v>9098453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f>IFERROR(__xludf.DUMMYFUNCTION("""COMPUTED_VALUE"""),45863.64583333333)</f>
        <v>45863.64583</v>
      </c>
      <c r="B214" s="7">
        <f>IFERROR(__xludf.DUMMYFUNCTION("""COMPUTED_VALUE"""),338.9)</f>
        <v>338.9</v>
      </c>
      <c r="C214" s="7">
        <f>IFERROR(__xludf.DUMMYFUNCTION("""COMPUTED_VALUE"""),339.9)</f>
        <v>339.9</v>
      </c>
      <c r="D214" s="7">
        <f>IFERROR(__xludf.DUMMYFUNCTION("""COMPUTED_VALUE"""),332.55)</f>
        <v>332.55</v>
      </c>
      <c r="E214" s="7">
        <f>IFERROR(__xludf.DUMMYFUNCTION("""COMPUTED_VALUE"""),333.2)</f>
        <v>333.2</v>
      </c>
      <c r="F214" s="7">
        <f>IFERROR(__xludf.DUMMYFUNCTION("""COMPUTED_VALUE"""),7790739.0)</f>
        <v>7790739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f>IFERROR(__xludf.DUMMYFUNCTION("""COMPUTED_VALUE"""),45866.64583333333)</f>
        <v>45866.64583</v>
      </c>
      <c r="B215" s="7">
        <f>IFERROR(__xludf.DUMMYFUNCTION("""COMPUTED_VALUE"""),333.45)</f>
        <v>333.45</v>
      </c>
      <c r="C215" s="7">
        <f>IFERROR(__xludf.DUMMYFUNCTION("""COMPUTED_VALUE"""),336.6)</f>
        <v>336.6</v>
      </c>
      <c r="D215" s="7">
        <f>IFERROR(__xludf.DUMMYFUNCTION("""COMPUTED_VALUE"""),330.35)</f>
        <v>330.35</v>
      </c>
      <c r="E215" s="7">
        <f>IFERROR(__xludf.DUMMYFUNCTION("""COMPUTED_VALUE"""),332.95)</f>
        <v>332.95</v>
      </c>
      <c r="F215" s="7">
        <f>IFERROR(__xludf.DUMMYFUNCTION("""COMPUTED_VALUE"""),4605823.0)</f>
        <v>4605823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f>IFERROR(__xludf.DUMMYFUNCTION("""COMPUTED_VALUE"""),45867.64583333333)</f>
        <v>45867.64583</v>
      </c>
      <c r="B216" s="7">
        <f>IFERROR(__xludf.DUMMYFUNCTION("""COMPUTED_VALUE"""),332.0)</f>
        <v>332</v>
      </c>
      <c r="C216" s="7">
        <f>IFERROR(__xludf.DUMMYFUNCTION("""COMPUTED_VALUE"""),335.5)</f>
        <v>335.5</v>
      </c>
      <c r="D216" s="7">
        <f>IFERROR(__xludf.DUMMYFUNCTION("""COMPUTED_VALUE"""),328.5)</f>
        <v>328.5</v>
      </c>
      <c r="E216" s="7">
        <f>IFERROR(__xludf.DUMMYFUNCTION("""COMPUTED_VALUE"""),334.6)</f>
        <v>334.6</v>
      </c>
      <c r="F216" s="7">
        <f>IFERROR(__xludf.DUMMYFUNCTION("""COMPUTED_VALUE"""),7551356.0)</f>
        <v>7551356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f>IFERROR(__xludf.DUMMYFUNCTION("""COMPUTED_VALUE"""),45868.64583333333)</f>
        <v>45868.64583</v>
      </c>
      <c r="B217" s="7">
        <f>IFERROR(__xludf.DUMMYFUNCTION("""COMPUTED_VALUE"""),335.0)</f>
        <v>335</v>
      </c>
      <c r="C217" s="7">
        <f>IFERROR(__xludf.DUMMYFUNCTION("""COMPUTED_VALUE"""),342.3)</f>
        <v>342.3</v>
      </c>
      <c r="D217" s="7">
        <f>IFERROR(__xludf.DUMMYFUNCTION("""COMPUTED_VALUE"""),332.5)</f>
        <v>332.5</v>
      </c>
      <c r="E217" s="7">
        <f>IFERROR(__xludf.DUMMYFUNCTION("""COMPUTED_VALUE"""),338.8)</f>
        <v>338.8</v>
      </c>
      <c r="F217" s="7">
        <f>IFERROR(__xludf.DUMMYFUNCTION("""COMPUTED_VALUE"""),1.2537358E7)</f>
        <v>12537358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f>IFERROR(__xludf.DUMMYFUNCTION("""COMPUTED_VALUE"""),45869.64583333333)</f>
        <v>45869.64583</v>
      </c>
      <c r="B218" s="7">
        <f>IFERROR(__xludf.DUMMYFUNCTION("""COMPUTED_VALUE"""),336.05)</f>
        <v>336.05</v>
      </c>
      <c r="C218" s="7">
        <f>IFERROR(__xludf.DUMMYFUNCTION("""COMPUTED_VALUE"""),340.1)</f>
        <v>340.1</v>
      </c>
      <c r="D218" s="7">
        <f>IFERROR(__xludf.DUMMYFUNCTION("""COMPUTED_VALUE"""),333.0)</f>
        <v>333</v>
      </c>
      <c r="E218" s="7">
        <f>IFERROR(__xludf.DUMMYFUNCTION("""COMPUTED_VALUE"""),334.25)</f>
        <v>334.25</v>
      </c>
      <c r="F218" s="7">
        <f>IFERROR(__xludf.DUMMYFUNCTION("""COMPUTED_VALUE"""),8935384.0)</f>
        <v>8935384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f>IFERROR(__xludf.DUMMYFUNCTION("""COMPUTED_VALUE"""),45870.64583333333)</f>
        <v>45870.64583</v>
      </c>
      <c r="B219" s="7">
        <f>IFERROR(__xludf.DUMMYFUNCTION("""COMPUTED_VALUE"""),333.0)</f>
        <v>333</v>
      </c>
      <c r="C219" s="7">
        <f>IFERROR(__xludf.DUMMYFUNCTION("""COMPUTED_VALUE"""),334.75)</f>
        <v>334.75</v>
      </c>
      <c r="D219" s="7">
        <f>IFERROR(__xludf.DUMMYFUNCTION("""COMPUTED_VALUE"""),330.2)</f>
        <v>330.2</v>
      </c>
      <c r="E219" s="7">
        <f>IFERROR(__xludf.DUMMYFUNCTION("""COMPUTED_VALUE"""),330.9)</f>
        <v>330.9</v>
      </c>
      <c r="F219" s="7">
        <f>IFERROR(__xludf.DUMMYFUNCTION("""COMPUTED_VALUE"""),7107542.0)</f>
        <v>7107542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f>IFERROR(__xludf.DUMMYFUNCTION("""COMPUTED_VALUE"""),45873.64583333333)</f>
        <v>45873.64583</v>
      </c>
      <c r="B220" s="7">
        <f>IFERROR(__xludf.DUMMYFUNCTION("""COMPUTED_VALUE"""),330.9)</f>
        <v>330.9</v>
      </c>
      <c r="C220" s="7">
        <f>IFERROR(__xludf.DUMMYFUNCTION("""COMPUTED_VALUE"""),333.3)</f>
        <v>333.3</v>
      </c>
      <c r="D220" s="7">
        <f>IFERROR(__xludf.DUMMYFUNCTION("""COMPUTED_VALUE"""),327.2)</f>
        <v>327.2</v>
      </c>
      <c r="E220" s="7">
        <f>IFERROR(__xludf.DUMMYFUNCTION("""COMPUTED_VALUE"""),332.0)</f>
        <v>332</v>
      </c>
      <c r="F220" s="7">
        <f>IFERROR(__xludf.DUMMYFUNCTION("""COMPUTED_VALUE"""),8193399.0)</f>
        <v>8193399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f>IFERROR(__xludf.DUMMYFUNCTION("""COMPUTED_VALUE"""),45874.64583333333)</f>
        <v>45874.64583</v>
      </c>
      <c r="B221" s="7">
        <f>IFERROR(__xludf.DUMMYFUNCTION("""COMPUTED_VALUE"""),332.45)</f>
        <v>332.45</v>
      </c>
      <c r="C221" s="7">
        <f>IFERROR(__xludf.DUMMYFUNCTION("""COMPUTED_VALUE"""),334.35)</f>
        <v>334.35</v>
      </c>
      <c r="D221" s="7">
        <f>IFERROR(__xludf.DUMMYFUNCTION("""COMPUTED_VALUE"""),331.3)</f>
        <v>331.3</v>
      </c>
      <c r="E221" s="7">
        <f>IFERROR(__xludf.DUMMYFUNCTION("""COMPUTED_VALUE"""),333.6)</f>
        <v>333.6</v>
      </c>
      <c r="F221" s="7">
        <f>IFERROR(__xludf.DUMMYFUNCTION("""COMPUTED_VALUE"""),9855535.0)</f>
        <v>9855535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f>IFERROR(__xludf.DUMMYFUNCTION("""COMPUTED_VALUE"""),45875.64583333333)</f>
        <v>45875.64583</v>
      </c>
      <c r="B222" s="7">
        <f>IFERROR(__xludf.DUMMYFUNCTION("""COMPUTED_VALUE"""),333.6)</f>
        <v>333.6</v>
      </c>
      <c r="C222" s="7">
        <f>IFERROR(__xludf.DUMMYFUNCTION("""COMPUTED_VALUE"""),335.4)</f>
        <v>335.4</v>
      </c>
      <c r="D222" s="7">
        <f>IFERROR(__xludf.DUMMYFUNCTION("""COMPUTED_VALUE"""),331.6)</f>
        <v>331.6</v>
      </c>
      <c r="E222" s="7">
        <f>IFERROR(__xludf.DUMMYFUNCTION("""COMPUTED_VALUE"""),332.1)</f>
        <v>332.1</v>
      </c>
      <c r="F222" s="7">
        <f>IFERROR(__xludf.DUMMYFUNCTION("""COMPUTED_VALUE"""),1.3872826E7)</f>
        <v>13872826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f>IFERROR(__xludf.DUMMYFUNCTION("""COMPUTED_VALUE"""),45876.64583333333)</f>
        <v>45876.64583</v>
      </c>
      <c r="B223" s="7">
        <f>IFERROR(__xludf.DUMMYFUNCTION("""COMPUTED_VALUE"""),332.1)</f>
        <v>332.1</v>
      </c>
      <c r="C223" s="7">
        <f>IFERROR(__xludf.DUMMYFUNCTION("""COMPUTED_VALUE"""),332.45)</f>
        <v>332.45</v>
      </c>
      <c r="D223" s="7">
        <f>IFERROR(__xludf.DUMMYFUNCTION("""COMPUTED_VALUE"""),328.65)</f>
        <v>328.65</v>
      </c>
      <c r="E223" s="7">
        <f>IFERROR(__xludf.DUMMYFUNCTION("""COMPUTED_VALUE"""),329.75)</f>
        <v>329.75</v>
      </c>
      <c r="F223" s="7">
        <f>IFERROR(__xludf.DUMMYFUNCTION("""COMPUTED_VALUE"""),8731389.0)</f>
        <v>8731389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f>IFERROR(__xludf.DUMMYFUNCTION("""COMPUTED_VALUE"""),45877.64583333333)</f>
        <v>45877.64583</v>
      </c>
      <c r="B224" s="7">
        <f>IFERROR(__xludf.DUMMYFUNCTION("""COMPUTED_VALUE"""),330.0)</f>
        <v>330</v>
      </c>
      <c r="C224" s="7">
        <f>IFERROR(__xludf.DUMMYFUNCTION("""COMPUTED_VALUE"""),337.5)</f>
        <v>337.5</v>
      </c>
      <c r="D224" s="7">
        <f>IFERROR(__xludf.DUMMYFUNCTION("""COMPUTED_VALUE"""),329.65)</f>
        <v>329.65</v>
      </c>
      <c r="E224" s="7">
        <f>IFERROR(__xludf.DUMMYFUNCTION("""COMPUTED_VALUE"""),334.75)</f>
        <v>334.75</v>
      </c>
      <c r="F224" s="7">
        <f>IFERROR(__xludf.DUMMYFUNCTION("""COMPUTED_VALUE"""),1.1247218E7)</f>
        <v>11247218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f>IFERROR(__xludf.DUMMYFUNCTION("""COMPUTED_VALUE"""),45880.64583333333)</f>
        <v>45880.64583</v>
      </c>
      <c r="B225" s="7">
        <f>IFERROR(__xludf.DUMMYFUNCTION("""COMPUTED_VALUE"""),335.0)</f>
        <v>335</v>
      </c>
      <c r="C225" s="7">
        <f>IFERROR(__xludf.DUMMYFUNCTION("""COMPUTED_VALUE"""),339.1)</f>
        <v>339.1</v>
      </c>
      <c r="D225" s="7">
        <f>IFERROR(__xludf.DUMMYFUNCTION("""COMPUTED_VALUE"""),333.95)</f>
        <v>333.95</v>
      </c>
      <c r="E225" s="7">
        <f>IFERROR(__xludf.DUMMYFUNCTION("""COMPUTED_VALUE"""),336.15)</f>
        <v>336.15</v>
      </c>
      <c r="F225" s="7">
        <f>IFERROR(__xludf.DUMMYFUNCTION("""COMPUTED_VALUE"""),1.199328E7)</f>
        <v>11993280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f>IFERROR(__xludf.DUMMYFUNCTION("""COMPUTED_VALUE"""),45881.64583333333)</f>
        <v>45881.64583</v>
      </c>
      <c r="B226" s="7">
        <f>IFERROR(__xludf.DUMMYFUNCTION("""COMPUTED_VALUE"""),336.25)</f>
        <v>336.25</v>
      </c>
      <c r="C226" s="7">
        <f>IFERROR(__xludf.DUMMYFUNCTION("""COMPUTED_VALUE"""),341.85)</f>
        <v>341.85</v>
      </c>
      <c r="D226" s="7">
        <f>IFERROR(__xludf.DUMMYFUNCTION("""COMPUTED_VALUE"""),335.75)</f>
        <v>335.75</v>
      </c>
      <c r="E226" s="7">
        <f>IFERROR(__xludf.DUMMYFUNCTION("""COMPUTED_VALUE"""),340.1)</f>
        <v>340.1</v>
      </c>
      <c r="F226" s="7">
        <f>IFERROR(__xludf.DUMMYFUNCTION("""COMPUTED_VALUE"""),7221182.0)</f>
        <v>7221182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f>IFERROR(__xludf.DUMMYFUNCTION("""COMPUTED_VALUE"""),45882.64583333333)</f>
        <v>45882.64583</v>
      </c>
      <c r="B227" s="7">
        <f>IFERROR(__xludf.DUMMYFUNCTION("""COMPUTED_VALUE"""),340.3)</f>
        <v>340.3</v>
      </c>
      <c r="C227" s="7">
        <f>IFERROR(__xludf.DUMMYFUNCTION("""COMPUTED_VALUE"""),343.0)</f>
        <v>343</v>
      </c>
      <c r="D227" s="7">
        <f>IFERROR(__xludf.DUMMYFUNCTION("""COMPUTED_VALUE"""),339.15)</f>
        <v>339.15</v>
      </c>
      <c r="E227" s="7">
        <f>IFERROR(__xludf.DUMMYFUNCTION("""COMPUTED_VALUE"""),339.95)</f>
        <v>339.95</v>
      </c>
      <c r="F227" s="7">
        <f>IFERROR(__xludf.DUMMYFUNCTION("""COMPUTED_VALUE"""),5417151.0)</f>
        <v>5417151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f>IFERROR(__xludf.DUMMYFUNCTION("""COMPUTED_VALUE"""),45883.64583333333)</f>
        <v>45883.64583</v>
      </c>
      <c r="B228" s="7">
        <f>IFERROR(__xludf.DUMMYFUNCTION("""COMPUTED_VALUE"""),339.95)</f>
        <v>339.95</v>
      </c>
      <c r="C228" s="7">
        <f>IFERROR(__xludf.DUMMYFUNCTION("""COMPUTED_VALUE"""),340.45)</f>
        <v>340.45</v>
      </c>
      <c r="D228" s="7">
        <f>IFERROR(__xludf.DUMMYFUNCTION("""COMPUTED_VALUE"""),336.3)</f>
        <v>336.3</v>
      </c>
      <c r="E228" s="7">
        <f>IFERROR(__xludf.DUMMYFUNCTION("""COMPUTED_VALUE"""),339.35)</f>
        <v>339.35</v>
      </c>
      <c r="F228" s="7">
        <f>IFERROR(__xludf.DUMMYFUNCTION("""COMPUTED_VALUE"""),5689423.0)</f>
        <v>5689423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f>IFERROR(__xludf.DUMMYFUNCTION("""COMPUTED_VALUE"""),45887.64583333333)</f>
        <v>45887.64583</v>
      </c>
      <c r="B229" s="7">
        <f>IFERROR(__xludf.DUMMYFUNCTION("""COMPUTED_VALUE"""),341.45)</f>
        <v>341.45</v>
      </c>
      <c r="C229" s="7">
        <f>IFERROR(__xludf.DUMMYFUNCTION("""COMPUTED_VALUE"""),341.8)</f>
        <v>341.8</v>
      </c>
      <c r="D229" s="7">
        <f>IFERROR(__xludf.DUMMYFUNCTION("""COMPUTED_VALUE"""),335.45)</f>
        <v>335.45</v>
      </c>
      <c r="E229" s="7">
        <f>IFERROR(__xludf.DUMMYFUNCTION("""COMPUTED_VALUE"""),336.05)</f>
        <v>336.05</v>
      </c>
      <c r="F229" s="7">
        <f>IFERROR(__xludf.DUMMYFUNCTION("""COMPUTED_VALUE"""),6511340.0)</f>
        <v>6511340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f>IFERROR(__xludf.DUMMYFUNCTION("""COMPUTED_VALUE"""),45888.64583333333)</f>
        <v>45888.64583</v>
      </c>
      <c r="B230" s="7">
        <f>IFERROR(__xludf.DUMMYFUNCTION("""COMPUTED_VALUE"""),338.9)</f>
        <v>338.9</v>
      </c>
      <c r="C230" s="7">
        <f>IFERROR(__xludf.DUMMYFUNCTION("""COMPUTED_VALUE"""),340.65)</f>
        <v>340.65</v>
      </c>
      <c r="D230" s="7">
        <f>IFERROR(__xludf.DUMMYFUNCTION("""COMPUTED_VALUE"""),334.15)</f>
        <v>334.15</v>
      </c>
      <c r="E230" s="7">
        <f>IFERROR(__xludf.DUMMYFUNCTION("""COMPUTED_VALUE"""),335.05)</f>
        <v>335.05</v>
      </c>
      <c r="F230" s="7">
        <f>IFERROR(__xludf.DUMMYFUNCTION("""COMPUTED_VALUE"""),1.0316115E7)</f>
        <v>10316115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f>IFERROR(__xludf.DUMMYFUNCTION("""COMPUTED_VALUE"""),45889.64583333333)</f>
        <v>45889.64583</v>
      </c>
      <c r="B231" s="7">
        <f>IFERROR(__xludf.DUMMYFUNCTION("""COMPUTED_VALUE"""),337.8)</f>
        <v>337.8</v>
      </c>
      <c r="C231" s="7">
        <f>IFERROR(__xludf.DUMMYFUNCTION("""COMPUTED_VALUE"""),343.4)</f>
        <v>343.4</v>
      </c>
      <c r="D231" s="7">
        <f>IFERROR(__xludf.DUMMYFUNCTION("""COMPUTED_VALUE"""),336.5)</f>
        <v>336.5</v>
      </c>
      <c r="E231" s="7">
        <f>IFERROR(__xludf.DUMMYFUNCTION("""COMPUTED_VALUE"""),342.0)</f>
        <v>342</v>
      </c>
      <c r="F231" s="7">
        <f>IFERROR(__xludf.DUMMYFUNCTION("""COMPUTED_VALUE"""),1.0824544E7)</f>
        <v>10824544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f>IFERROR(__xludf.DUMMYFUNCTION("""COMPUTED_VALUE"""),45890.64583333333)</f>
        <v>45890.64583</v>
      </c>
      <c r="B232" s="7">
        <f>IFERROR(__xludf.DUMMYFUNCTION("""COMPUTED_VALUE"""),342.35)</f>
        <v>342.35</v>
      </c>
      <c r="C232" s="7">
        <f>IFERROR(__xludf.DUMMYFUNCTION("""COMPUTED_VALUE"""),344.35)</f>
        <v>344.35</v>
      </c>
      <c r="D232" s="7">
        <f>IFERROR(__xludf.DUMMYFUNCTION("""COMPUTED_VALUE"""),336.9)</f>
        <v>336.9</v>
      </c>
      <c r="E232" s="7">
        <f>IFERROR(__xludf.DUMMYFUNCTION("""COMPUTED_VALUE"""),338.8)</f>
        <v>338.8</v>
      </c>
      <c r="F232" s="7">
        <f>IFERROR(__xludf.DUMMYFUNCTION("""COMPUTED_VALUE"""),1.1135121E7)</f>
        <v>11135121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f>IFERROR(__xludf.DUMMYFUNCTION("""COMPUTED_VALUE"""),45891.64583333333)</f>
        <v>45891.64583</v>
      </c>
      <c r="B233" s="7">
        <f>IFERROR(__xludf.DUMMYFUNCTION("""COMPUTED_VALUE"""),338.5)</f>
        <v>338.5</v>
      </c>
      <c r="C233" s="7">
        <f>IFERROR(__xludf.DUMMYFUNCTION("""COMPUTED_VALUE"""),338.9)</f>
        <v>338.9</v>
      </c>
      <c r="D233" s="7">
        <f>IFERROR(__xludf.DUMMYFUNCTION("""COMPUTED_VALUE"""),335.5)</f>
        <v>335.5</v>
      </c>
      <c r="E233" s="7">
        <f>IFERROR(__xludf.DUMMYFUNCTION("""COMPUTED_VALUE"""),337.0)</f>
        <v>337</v>
      </c>
      <c r="F233" s="7">
        <f>IFERROR(__xludf.DUMMYFUNCTION("""COMPUTED_VALUE"""),8534844.0)</f>
        <v>8534844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f>IFERROR(__xludf.DUMMYFUNCTION("""COMPUTED_VALUE"""),45894.64583333333)</f>
        <v>45894.64583</v>
      </c>
      <c r="B234" s="7">
        <f>IFERROR(__xludf.DUMMYFUNCTION("""COMPUTED_VALUE"""),337.05)</f>
        <v>337.05</v>
      </c>
      <c r="C234" s="7">
        <f>IFERROR(__xludf.DUMMYFUNCTION("""COMPUTED_VALUE"""),341.4)</f>
        <v>341.4</v>
      </c>
      <c r="D234" s="7">
        <f>IFERROR(__xludf.DUMMYFUNCTION("""COMPUTED_VALUE"""),337.05)</f>
        <v>337.05</v>
      </c>
      <c r="E234" s="7">
        <f>IFERROR(__xludf.DUMMYFUNCTION("""COMPUTED_VALUE"""),337.85)</f>
        <v>337.85</v>
      </c>
      <c r="F234" s="7">
        <f>IFERROR(__xludf.DUMMYFUNCTION("""COMPUTED_VALUE"""),7142387.0)</f>
        <v>7142387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f>IFERROR(__xludf.DUMMYFUNCTION("""COMPUTED_VALUE"""),45895.64583333333)</f>
        <v>45895.64583</v>
      </c>
      <c r="B235" s="7">
        <f>IFERROR(__xludf.DUMMYFUNCTION("""COMPUTED_VALUE"""),336.15)</f>
        <v>336.15</v>
      </c>
      <c r="C235" s="7">
        <f>IFERROR(__xludf.DUMMYFUNCTION("""COMPUTED_VALUE"""),337.4)</f>
        <v>337.4</v>
      </c>
      <c r="D235" s="7">
        <f>IFERROR(__xludf.DUMMYFUNCTION("""COMPUTED_VALUE"""),331.75)</f>
        <v>331.75</v>
      </c>
      <c r="E235" s="7">
        <f>IFERROR(__xludf.DUMMYFUNCTION("""COMPUTED_VALUE"""),333.2)</f>
        <v>333.2</v>
      </c>
      <c r="F235" s="7">
        <f>IFERROR(__xludf.DUMMYFUNCTION("""COMPUTED_VALUE"""),1.3113388E7)</f>
        <v>13113388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f>IFERROR(__xludf.DUMMYFUNCTION("""COMPUTED_VALUE"""),45897.64583333333)</f>
        <v>45897.64583</v>
      </c>
      <c r="B236" s="7">
        <f>IFERROR(__xludf.DUMMYFUNCTION("""COMPUTED_VALUE"""),331.25)</f>
        <v>331.25</v>
      </c>
      <c r="C236" s="7">
        <f>IFERROR(__xludf.DUMMYFUNCTION("""COMPUTED_VALUE"""),332.9)</f>
        <v>332.9</v>
      </c>
      <c r="D236" s="7">
        <f>IFERROR(__xludf.DUMMYFUNCTION("""COMPUTED_VALUE"""),328.7)</f>
        <v>328.7</v>
      </c>
      <c r="E236" s="7">
        <f>IFERROR(__xludf.DUMMYFUNCTION("""COMPUTED_VALUE"""),330.8)</f>
        <v>330.8</v>
      </c>
      <c r="F236" s="7">
        <f>IFERROR(__xludf.DUMMYFUNCTION("""COMPUTED_VALUE"""),1.0486948E7)</f>
        <v>10486948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f>IFERROR(__xludf.DUMMYFUNCTION("""COMPUTED_VALUE"""),45898.64583333333)</f>
        <v>45898.64583</v>
      </c>
      <c r="B237" s="7">
        <f>IFERROR(__xludf.DUMMYFUNCTION("""COMPUTED_VALUE"""),331.0)</f>
        <v>331</v>
      </c>
      <c r="C237" s="7">
        <f>IFERROR(__xludf.DUMMYFUNCTION("""COMPUTED_VALUE"""),331.5)</f>
        <v>331.5</v>
      </c>
      <c r="D237" s="7">
        <f>IFERROR(__xludf.DUMMYFUNCTION("""COMPUTED_VALUE"""),327.0)</f>
        <v>327</v>
      </c>
      <c r="E237" s="7">
        <f>IFERROR(__xludf.DUMMYFUNCTION("""COMPUTED_VALUE"""),327.55)</f>
        <v>327.55</v>
      </c>
      <c r="F237" s="7">
        <f>IFERROR(__xludf.DUMMYFUNCTION("""COMPUTED_VALUE"""),1.1813425E7)</f>
        <v>11813425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f>IFERROR(__xludf.DUMMYFUNCTION("""COMPUTED_VALUE"""),45901.64583333333)</f>
        <v>45901.64583</v>
      </c>
      <c r="B238" s="7">
        <f>IFERROR(__xludf.DUMMYFUNCTION("""COMPUTED_VALUE"""),328.0)</f>
        <v>328</v>
      </c>
      <c r="C238" s="7">
        <f>IFERROR(__xludf.DUMMYFUNCTION("""COMPUTED_VALUE"""),331.6)</f>
        <v>331.6</v>
      </c>
      <c r="D238" s="7">
        <f>IFERROR(__xludf.DUMMYFUNCTION("""COMPUTED_VALUE"""),328.0)</f>
        <v>328</v>
      </c>
      <c r="E238" s="7">
        <f>IFERROR(__xludf.DUMMYFUNCTION("""COMPUTED_VALUE"""),330.7)</f>
        <v>330.7</v>
      </c>
      <c r="F238" s="7">
        <f>IFERROR(__xludf.DUMMYFUNCTION("""COMPUTED_VALUE"""),6897558.0)</f>
        <v>6897558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f>IFERROR(__xludf.DUMMYFUNCTION("""COMPUTED_VALUE"""),45902.64583333333)</f>
        <v>45902.64583</v>
      </c>
      <c r="B239" s="7">
        <f>IFERROR(__xludf.DUMMYFUNCTION("""COMPUTED_VALUE"""),331.1)</f>
        <v>331.1</v>
      </c>
      <c r="C239" s="7">
        <f>IFERROR(__xludf.DUMMYFUNCTION("""COMPUTED_VALUE"""),338.25)</f>
        <v>338.25</v>
      </c>
      <c r="D239" s="7">
        <f>IFERROR(__xludf.DUMMYFUNCTION("""COMPUTED_VALUE"""),331.1)</f>
        <v>331.1</v>
      </c>
      <c r="E239" s="7">
        <f>IFERROR(__xludf.DUMMYFUNCTION("""COMPUTED_VALUE"""),336.3)</f>
        <v>336.3</v>
      </c>
      <c r="F239" s="7">
        <f>IFERROR(__xludf.DUMMYFUNCTION("""COMPUTED_VALUE"""),9224639.0)</f>
        <v>9224639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f>IFERROR(__xludf.DUMMYFUNCTION("""COMPUTED_VALUE"""),45903.64583333333)</f>
        <v>45903.64583</v>
      </c>
      <c r="B240" s="7">
        <f>IFERROR(__xludf.DUMMYFUNCTION("""COMPUTED_VALUE"""),336.5)</f>
        <v>336.5</v>
      </c>
      <c r="C240" s="7">
        <f>IFERROR(__xludf.DUMMYFUNCTION("""COMPUTED_VALUE"""),338.0)</f>
        <v>338</v>
      </c>
      <c r="D240" s="7">
        <f>IFERROR(__xludf.DUMMYFUNCTION("""COMPUTED_VALUE"""),333.5)</f>
        <v>333.5</v>
      </c>
      <c r="E240" s="7">
        <f>IFERROR(__xludf.DUMMYFUNCTION("""COMPUTED_VALUE"""),334.25)</f>
        <v>334.25</v>
      </c>
      <c r="F240" s="7">
        <f>IFERROR(__xludf.DUMMYFUNCTION("""COMPUTED_VALUE"""),1.0778333E7)</f>
        <v>10778333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f>IFERROR(__xludf.DUMMYFUNCTION("""COMPUTED_VALUE"""),45904.64583333333)</f>
        <v>45904.64583</v>
      </c>
      <c r="B241" s="7">
        <f>IFERROR(__xludf.DUMMYFUNCTION("""COMPUTED_VALUE"""),333.5)</f>
        <v>333.5</v>
      </c>
      <c r="C241" s="7">
        <f>IFERROR(__xludf.DUMMYFUNCTION("""COMPUTED_VALUE"""),334.9)</f>
        <v>334.9</v>
      </c>
      <c r="D241" s="7">
        <f>IFERROR(__xludf.DUMMYFUNCTION("""COMPUTED_VALUE"""),329.3)</f>
        <v>329.3</v>
      </c>
      <c r="E241" s="7">
        <f>IFERROR(__xludf.DUMMYFUNCTION("""COMPUTED_VALUE"""),330.05)</f>
        <v>330.05</v>
      </c>
      <c r="F241" s="7">
        <f>IFERROR(__xludf.DUMMYFUNCTION("""COMPUTED_VALUE"""),7934237.0)</f>
        <v>7934237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f>IFERROR(__xludf.DUMMYFUNCTION("""COMPUTED_VALUE"""),45905.64583333333)</f>
        <v>45905.64583</v>
      </c>
      <c r="B242" s="7">
        <f>IFERROR(__xludf.DUMMYFUNCTION("""COMPUTED_VALUE"""),330.05)</f>
        <v>330.05</v>
      </c>
      <c r="C242" s="7">
        <f>IFERROR(__xludf.DUMMYFUNCTION("""COMPUTED_VALUE"""),331.8)</f>
        <v>331.8</v>
      </c>
      <c r="D242" s="7">
        <f>IFERROR(__xludf.DUMMYFUNCTION("""COMPUTED_VALUE"""),325.95)</f>
        <v>325.95</v>
      </c>
      <c r="E242" s="7">
        <f>IFERROR(__xludf.DUMMYFUNCTION("""COMPUTED_VALUE"""),328.7)</f>
        <v>328.7</v>
      </c>
      <c r="F242" s="7">
        <f>IFERROR(__xludf.DUMMYFUNCTION("""COMPUTED_VALUE"""),5678244.0)</f>
        <v>5678244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f>IFERROR(__xludf.DUMMYFUNCTION("""COMPUTED_VALUE"""),45908.64583333333)</f>
        <v>45908.64583</v>
      </c>
      <c r="B243" s="7">
        <f>IFERROR(__xludf.DUMMYFUNCTION("""COMPUTED_VALUE"""),328.75)</f>
        <v>328.75</v>
      </c>
      <c r="C243" s="7">
        <f>IFERROR(__xludf.DUMMYFUNCTION("""COMPUTED_VALUE"""),330.95)</f>
        <v>330.95</v>
      </c>
      <c r="D243" s="7">
        <f>IFERROR(__xludf.DUMMYFUNCTION("""COMPUTED_VALUE"""),326.35)</f>
        <v>326.35</v>
      </c>
      <c r="E243" s="7">
        <f>IFERROR(__xludf.DUMMYFUNCTION("""COMPUTED_VALUE"""),326.7)</f>
        <v>326.7</v>
      </c>
      <c r="F243" s="7">
        <f>IFERROR(__xludf.DUMMYFUNCTION("""COMPUTED_VALUE"""),5239184.0)</f>
        <v>5239184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f>IFERROR(__xludf.DUMMYFUNCTION("""COMPUTED_VALUE"""),45909.64583333333)</f>
        <v>45909.64583</v>
      </c>
      <c r="B244" s="7">
        <f>IFERROR(__xludf.DUMMYFUNCTION("""COMPUTED_VALUE"""),327.6)</f>
        <v>327.6</v>
      </c>
      <c r="C244" s="7">
        <f>IFERROR(__xludf.DUMMYFUNCTION("""COMPUTED_VALUE"""),328.15)</f>
        <v>328.15</v>
      </c>
      <c r="D244" s="7">
        <f>IFERROR(__xludf.DUMMYFUNCTION("""COMPUTED_VALUE"""),323.65)</f>
        <v>323.65</v>
      </c>
      <c r="E244" s="7">
        <f>IFERROR(__xludf.DUMMYFUNCTION("""COMPUTED_VALUE"""),324.1)</f>
        <v>324.1</v>
      </c>
      <c r="F244" s="7">
        <f>IFERROR(__xludf.DUMMYFUNCTION("""COMPUTED_VALUE"""),9735495.0)</f>
        <v>9735495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f>IFERROR(__xludf.DUMMYFUNCTION("""COMPUTED_VALUE"""),45910.64583333333)</f>
        <v>45910.64583</v>
      </c>
      <c r="B245" s="7">
        <f>IFERROR(__xludf.DUMMYFUNCTION("""COMPUTED_VALUE"""),325.5)</f>
        <v>325.5</v>
      </c>
      <c r="C245" s="7">
        <f>IFERROR(__xludf.DUMMYFUNCTION("""COMPUTED_VALUE"""),328.05)</f>
        <v>328.05</v>
      </c>
      <c r="D245" s="7">
        <f>IFERROR(__xludf.DUMMYFUNCTION("""COMPUTED_VALUE"""),325.15)</f>
        <v>325.15</v>
      </c>
      <c r="E245" s="7">
        <f>IFERROR(__xludf.DUMMYFUNCTION("""COMPUTED_VALUE"""),325.65)</f>
        <v>325.65</v>
      </c>
      <c r="F245" s="7">
        <f>IFERROR(__xludf.DUMMYFUNCTION("""COMPUTED_VALUE"""),6509477.0)</f>
        <v>6509477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f>IFERROR(__xludf.DUMMYFUNCTION("""COMPUTED_VALUE"""),45911.64583333333)</f>
        <v>45911.64583</v>
      </c>
      <c r="B246" s="7">
        <f>IFERROR(__xludf.DUMMYFUNCTION("""COMPUTED_VALUE"""),326.45)</f>
        <v>326.45</v>
      </c>
      <c r="C246" s="7">
        <f>IFERROR(__xludf.DUMMYFUNCTION("""COMPUTED_VALUE"""),333.5)</f>
        <v>333.5</v>
      </c>
      <c r="D246" s="7">
        <f>IFERROR(__xludf.DUMMYFUNCTION("""COMPUTED_VALUE"""),326.0)</f>
        <v>326</v>
      </c>
      <c r="E246" s="7">
        <f>IFERROR(__xludf.DUMMYFUNCTION("""COMPUTED_VALUE"""),331.05)</f>
        <v>331.05</v>
      </c>
      <c r="F246" s="7">
        <f>IFERROR(__xludf.DUMMYFUNCTION("""COMPUTED_VALUE"""),1.0309925E7)</f>
        <v>10309925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f>IFERROR(__xludf.DUMMYFUNCTION("""COMPUTED_VALUE"""),45912.64583333333)</f>
        <v>45912.64583</v>
      </c>
      <c r="B247" s="7">
        <f>IFERROR(__xludf.DUMMYFUNCTION("""COMPUTED_VALUE"""),332.0)</f>
        <v>332</v>
      </c>
      <c r="C247" s="7">
        <f>IFERROR(__xludf.DUMMYFUNCTION("""COMPUTED_VALUE"""),333.5)</f>
        <v>333.5</v>
      </c>
      <c r="D247" s="7">
        <f>IFERROR(__xludf.DUMMYFUNCTION("""COMPUTED_VALUE"""),328.4)</f>
        <v>328.4</v>
      </c>
      <c r="E247" s="7">
        <f>IFERROR(__xludf.DUMMYFUNCTION("""COMPUTED_VALUE"""),331.7)</f>
        <v>331.7</v>
      </c>
      <c r="F247" s="7">
        <f>IFERROR(__xludf.DUMMYFUNCTION("""COMPUTED_VALUE"""),5257048.0)</f>
        <v>5257048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f>IFERROR(__xludf.DUMMYFUNCTION("""COMPUTED_VALUE"""),45915.64583333333)</f>
        <v>45915.64583</v>
      </c>
      <c r="B248" s="7">
        <f>IFERROR(__xludf.DUMMYFUNCTION("""COMPUTED_VALUE"""),331.0)</f>
        <v>331</v>
      </c>
      <c r="C248" s="7">
        <f>IFERROR(__xludf.DUMMYFUNCTION("""COMPUTED_VALUE"""),333.8)</f>
        <v>333.8</v>
      </c>
      <c r="D248" s="7">
        <f>IFERROR(__xludf.DUMMYFUNCTION("""COMPUTED_VALUE"""),330.65)</f>
        <v>330.65</v>
      </c>
      <c r="E248" s="7">
        <f>IFERROR(__xludf.DUMMYFUNCTION("""COMPUTED_VALUE"""),331.1)</f>
        <v>331.1</v>
      </c>
      <c r="F248" s="7">
        <f>IFERROR(__xludf.DUMMYFUNCTION("""COMPUTED_VALUE"""),6566824.0)</f>
        <v>6566824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>
        <f>IFERROR(__xludf.DUMMYFUNCTION("""COMPUTED_VALUE"""),45916.64583333333)</f>
        <v>45916.64583</v>
      </c>
      <c r="B249" s="7">
        <f>IFERROR(__xludf.DUMMYFUNCTION("""COMPUTED_VALUE"""),331.2)</f>
        <v>331.2</v>
      </c>
      <c r="C249" s="7">
        <f>IFERROR(__xludf.DUMMYFUNCTION("""COMPUTED_VALUE"""),335.8)</f>
        <v>335.8</v>
      </c>
      <c r="D249" s="7">
        <f>IFERROR(__xludf.DUMMYFUNCTION("""COMPUTED_VALUE"""),331.2)</f>
        <v>331.2</v>
      </c>
      <c r="E249" s="7">
        <f>IFERROR(__xludf.DUMMYFUNCTION("""COMPUTED_VALUE"""),335.05)</f>
        <v>335.05</v>
      </c>
      <c r="F249" s="7">
        <f>IFERROR(__xludf.DUMMYFUNCTION("""COMPUTED_VALUE"""),8784885.0)</f>
        <v>8784885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IFERROR(__xludf.DUMMYFUNCTION("IFERROR(GOOGLEFINANCE(""NSE:POWERGRID"",""all"",EDATE(TODAY(),-12),TODAY(),""DAILY""))
"),"Date")</f>
        <v>Date</v>
      </c>
      <c r="B1" s="11" t="str">
        <f>IFERROR(__xludf.DUMMYFUNCTION("""COMPUTED_VALUE"""),"Open")</f>
        <v>Open</v>
      </c>
      <c r="C1" s="11" t="str">
        <f>IFERROR(__xludf.DUMMYFUNCTION("""COMPUTED_VALUE"""),"High")</f>
        <v>High</v>
      </c>
      <c r="D1" s="11" t="str">
        <f>IFERROR(__xludf.DUMMYFUNCTION("""COMPUTED_VALUE"""),"Low")</f>
        <v>Low</v>
      </c>
      <c r="E1" s="11" t="str">
        <f>IFERROR(__xludf.DUMMYFUNCTION("""COMPUTED_VALUE"""),"Close")</f>
        <v>Close</v>
      </c>
      <c r="F1" s="11" t="str">
        <f>IFERROR(__xludf.DUMMYFUNCTION("""COMPUTED_VALUE"""),"Volume")</f>
        <v>Volume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>
        <f>IFERROR(__xludf.DUMMYFUNCTION("""COMPUTED_VALUE"""),45551.64583333333)</f>
        <v>45551.64583</v>
      </c>
      <c r="B2" s="7">
        <f>IFERROR(__xludf.DUMMYFUNCTION("""COMPUTED_VALUE"""),337.25)</f>
        <v>337.25</v>
      </c>
      <c r="C2" s="7">
        <f>IFERROR(__xludf.DUMMYFUNCTION("""COMPUTED_VALUE"""),341.5)</f>
        <v>341.5</v>
      </c>
      <c r="D2" s="7">
        <f>IFERROR(__xludf.DUMMYFUNCTION("""COMPUTED_VALUE"""),337.05)</f>
        <v>337.05</v>
      </c>
      <c r="E2" s="7">
        <f>IFERROR(__xludf.DUMMYFUNCTION("""COMPUTED_VALUE"""),338.25)</f>
        <v>338.25</v>
      </c>
      <c r="F2" s="7">
        <f>IFERROR(__xludf.DUMMYFUNCTION("""COMPUTED_VALUE"""),7748570.0)</f>
        <v>7748570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f>IFERROR(__xludf.DUMMYFUNCTION("""COMPUTED_VALUE"""),45552.64583333333)</f>
        <v>45552.64583</v>
      </c>
      <c r="B3" s="7">
        <f>IFERROR(__xludf.DUMMYFUNCTION("""COMPUTED_VALUE"""),336.7)</f>
        <v>336.7</v>
      </c>
      <c r="C3" s="7">
        <f>IFERROR(__xludf.DUMMYFUNCTION("""COMPUTED_VALUE"""),340.0)</f>
        <v>340</v>
      </c>
      <c r="D3" s="7">
        <f>IFERROR(__xludf.DUMMYFUNCTION("""COMPUTED_VALUE"""),334.5)</f>
        <v>334.5</v>
      </c>
      <c r="E3" s="7">
        <f>IFERROR(__xludf.DUMMYFUNCTION("""COMPUTED_VALUE"""),336.9)</f>
        <v>336.9</v>
      </c>
      <c r="F3" s="7">
        <f>IFERROR(__xludf.DUMMYFUNCTION("""COMPUTED_VALUE"""),1.1451846E7)</f>
        <v>11451846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f>IFERROR(__xludf.DUMMYFUNCTION("""COMPUTED_VALUE"""),45553.64583333333)</f>
        <v>45553.64583</v>
      </c>
      <c r="B4" s="7">
        <f>IFERROR(__xludf.DUMMYFUNCTION("""COMPUTED_VALUE"""),338.5)</f>
        <v>338.5</v>
      </c>
      <c r="C4" s="7">
        <f>IFERROR(__xludf.DUMMYFUNCTION("""COMPUTED_VALUE"""),338.9)</f>
        <v>338.9</v>
      </c>
      <c r="D4" s="7">
        <f>IFERROR(__xludf.DUMMYFUNCTION("""COMPUTED_VALUE"""),333.1)</f>
        <v>333.1</v>
      </c>
      <c r="E4" s="7">
        <f>IFERROR(__xludf.DUMMYFUNCTION("""COMPUTED_VALUE"""),334.3)</f>
        <v>334.3</v>
      </c>
      <c r="F4" s="7">
        <f>IFERROR(__xludf.DUMMYFUNCTION("""COMPUTED_VALUE"""),6583254.0)</f>
        <v>6583254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f>IFERROR(__xludf.DUMMYFUNCTION("""COMPUTED_VALUE"""),45554.64583333333)</f>
        <v>45554.64583</v>
      </c>
      <c r="B5" s="7">
        <f>IFERROR(__xludf.DUMMYFUNCTION("""COMPUTED_VALUE"""),336.2)</f>
        <v>336.2</v>
      </c>
      <c r="C5" s="7">
        <f>IFERROR(__xludf.DUMMYFUNCTION("""COMPUTED_VALUE"""),338.35)</f>
        <v>338.35</v>
      </c>
      <c r="D5" s="7">
        <f>IFERROR(__xludf.DUMMYFUNCTION("""COMPUTED_VALUE"""),333.1)</f>
        <v>333.1</v>
      </c>
      <c r="E5" s="7">
        <f>IFERROR(__xludf.DUMMYFUNCTION("""COMPUTED_VALUE"""),334.9)</f>
        <v>334.9</v>
      </c>
      <c r="F5" s="7">
        <f>IFERROR(__xludf.DUMMYFUNCTION("""COMPUTED_VALUE"""),1.058961E7)</f>
        <v>10589610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f>IFERROR(__xludf.DUMMYFUNCTION("""COMPUTED_VALUE"""),45555.64583333333)</f>
        <v>45555.64583</v>
      </c>
      <c r="B6" s="7">
        <f>IFERROR(__xludf.DUMMYFUNCTION("""COMPUTED_VALUE"""),338.15)</f>
        <v>338.15</v>
      </c>
      <c r="C6" s="7">
        <f>IFERROR(__xludf.DUMMYFUNCTION("""COMPUTED_VALUE"""),342.95)</f>
        <v>342.95</v>
      </c>
      <c r="D6" s="7">
        <f>IFERROR(__xludf.DUMMYFUNCTION("""COMPUTED_VALUE"""),334.75)</f>
        <v>334.75</v>
      </c>
      <c r="E6" s="7">
        <f>IFERROR(__xludf.DUMMYFUNCTION("""COMPUTED_VALUE"""),340.85)</f>
        <v>340.85</v>
      </c>
      <c r="F6" s="7">
        <f>IFERROR(__xludf.DUMMYFUNCTION("""COMPUTED_VALUE"""),3.1236123E7)</f>
        <v>31236123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f>IFERROR(__xludf.DUMMYFUNCTION("""COMPUTED_VALUE"""),45558.64583333333)</f>
        <v>45558.64583</v>
      </c>
      <c r="B7" s="7">
        <f>IFERROR(__xludf.DUMMYFUNCTION("""COMPUTED_VALUE"""),342.0)</f>
        <v>342</v>
      </c>
      <c r="C7" s="7">
        <f>IFERROR(__xludf.DUMMYFUNCTION("""COMPUTED_VALUE"""),342.5)</f>
        <v>342.5</v>
      </c>
      <c r="D7" s="7">
        <f>IFERROR(__xludf.DUMMYFUNCTION("""COMPUTED_VALUE"""),340.25)</f>
        <v>340.25</v>
      </c>
      <c r="E7" s="7">
        <f>IFERROR(__xludf.DUMMYFUNCTION("""COMPUTED_VALUE"""),341.15)</f>
        <v>341.15</v>
      </c>
      <c r="F7" s="7">
        <f>IFERROR(__xludf.DUMMYFUNCTION("""COMPUTED_VALUE"""),6542941.0)</f>
        <v>6542941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f>IFERROR(__xludf.DUMMYFUNCTION("""COMPUTED_VALUE"""),45559.64583333333)</f>
        <v>45559.64583</v>
      </c>
      <c r="B8" s="7">
        <f>IFERROR(__xludf.DUMMYFUNCTION("""COMPUTED_VALUE"""),344.55)</f>
        <v>344.55</v>
      </c>
      <c r="C8" s="7">
        <f>IFERROR(__xludf.DUMMYFUNCTION("""COMPUTED_VALUE"""),351.0)</f>
        <v>351</v>
      </c>
      <c r="D8" s="7">
        <f>IFERROR(__xludf.DUMMYFUNCTION("""COMPUTED_VALUE"""),342.35)</f>
        <v>342.35</v>
      </c>
      <c r="E8" s="7">
        <f>IFERROR(__xludf.DUMMYFUNCTION("""COMPUTED_VALUE"""),350.05)</f>
        <v>350.05</v>
      </c>
      <c r="F8" s="7">
        <f>IFERROR(__xludf.DUMMYFUNCTION("""COMPUTED_VALUE"""),2.6145769E7)</f>
        <v>26145769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f>IFERROR(__xludf.DUMMYFUNCTION("""COMPUTED_VALUE"""),45560.64583333333)</f>
        <v>45560.64583</v>
      </c>
      <c r="B9" s="7">
        <f>IFERROR(__xludf.DUMMYFUNCTION("""COMPUTED_VALUE"""),353.85)</f>
        <v>353.85</v>
      </c>
      <c r="C9" s="7">
        <f>IFERROR(__xludf.DUMMYFUNCTION("""COMPUTED_VALUE"""),366.25)</f>
        <v>366.25</v>
      </c>
      <c r="D9" s="7">
        <f>IFERROR(__xludf.DUMMYFUNCTION("""COMPUTED_VALUE"""),352.35)</f>
        <v>352.35</v>
      </c>
      <c r="E9" s="7">
        <f>IFERROR(__xludf.DUMMYFUNCTION("""COMPUTED_VALUE"""),363.75)</f>
        <v>363.75</v>
      </c>
      <c r="F9" s="7">
        <f>IFERROR(__xludf.DUMMYFUNCTION("""COMPUTED_VALUE"""),4.0770462E7)</f>
        <v>40770462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f>IFERROR(__xludf.DUMMYFUNCTION("""COMPUTED_VALUE"""),45561.64583333333)</f>
        <v>45561.64583</v>
      </c>
      <c r="B10" s="7">
        <f>IFERROR(__xludf.DUMMYFUNCTION("""COMPUTED_VALUE"""),364.05)</f>
        <v>364.05</v>
      </c>
      <c r="C10" s="7">
        <f>IFERROR(__xludf.DUMMYFUNCTION("""COMPUTED_VALUE"""),366.1)</f>
        <v>366.1</v>
      </c>
      <c r="D10" s="7">
        <f>IFERROR(__xludf.DUMMYFUNCTION("""COMPUTED_VALUE"""),357.2)</f>
        <v>357.2</v>
      </c>
      <c r="E10" s="7">
        <f>IFERROR(__xludf.DUMMYFUNCTION("""COMPUTED_VALUE"""),365.45)</f>
        <v>365.45</v>
      </c>
      <c r="F10" s="7">
        <f>IFERROR(__xludf.DUMMYFUNCTION("""COMPUTED_VALUE"""),1.8733959E7)</f>
        <v>18733959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f>IFERROR(__xludf.DUMMYFUNCTION("""COMPUTED_VALUE"""),45562.64583333333)</f>
        <v>45562.64583</v>
      </c>
      <c r="B11" s="7">
        <f>IFERROR(__xludf.DUMMYFUNCTION("""COMPUTED_VALUE"""),362.2)</f>
        <v>362.2</v>
      </c>
      <c r="C11" s="7">
        <f>IFERROR(__xludf.DUMMYFUNCTION("""COMPUTED_VALUE"""),363.3)</f>
        <v>363.3</v>
      </c>
      <c r="D11" s="7">
        <f>IFERROR(__xludf.DUMMYFUNCTION("""COMPUTED_VALUE"""),353.35)</f>
        <v>353.35</v>
      </c>
      <c r="E11" s="7">
        <f>IFERROR(__xludf.DUMMYFUNCTION("""COMPUTED_VALUE"""),354.25)</f>
        <v>354.25</v>
      </c>
      <c r="F11" s="7">
        <f>IFERROR(__xludf.DUMMYFUNCTION("""COMPUTED_VALUE"""),3.3148043E7)</f>
        <v>33148043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f>IFERROR(__xludf.DUMMYFUNCTION("""COMPUTED_VALUE"""),45565.64583333333)</f>
        <v>45565.64583</v>
      </c>
      <c r="B12" s="7">
        <f>IFERROR(__xludf.DUMMYFUNCTION("""COMPUTED_VALUE"""),354.25)</f>
        <v>354.25</v>
      </c>
      <c r="C12" s="7">
        <f>IFERROR(__xludf.DUMMYFUNCTION("""COMPUTED_VALUE"""),357.45)</f>
        <v>357.45</v>
      </c>
      <c r="D12" s="7">
        <f>IFERROR(__xludf.DUMMYFUNCTION("""COMPUTED_VALUE"""),349.7)</f>
        <v>349.7</v>
      </c>
      <c r="E12" s="7">
        <f>IFERROR(__xludf.DUMMYFUNCTION("""COMPUTED_VALUE"""),352.85)</f>
        <v>352.85</v>
      </c>
      <c r="F12" s="7">
        <f>IFERROR(__xludf.DUMMYFUNCTION("""COMPUTED_VALUE"""),1.6356171E7)</f>
        <v>16356171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f>IFERROR(__xludf.DUMMYFUNCTION("""COMPUTED_VALUE"""),45566.64583333333)</f>
        <v>45566.64583</v>
      </c>
      <c r="B13" s="7">
        <f>IFERROR(__xludf.DUMMYFUNCTION("""COMPUTED_VALUE"""),351.1)</f>
        <v>351.1</v>
      </c>
      <c r="C13" s="7">
        <f>IFERROR(__xludf.DUMMYFUNCTION("""COMPUTED_VALUE"""),356.0)</f>
        <v>356</v>
      </c>
      <c r="D13" s="7">
        <f>IFERROR(__xludf.DUMMYFUNCTION("""COMPUTED_VALUE"""),349.95)</f>
        <v>349.95</v>
      </c>
      <c r="E13" s="7">
        <f>IFERROR(__xludf.DUMMYFUNCTION("""COMPUTED_VALUE"""),350.8)</f>
        <v>350.8</v>
      </c>
      <c r="F13" s="7">
        <f>IFERROR(__xludf.DUMMYFUNCTION("""COMPUTED_VALUE"""),9856291.0)</f>
        <v>9856291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f>IFERROR(__xludf.DUMMYFUNCTION("""COMPUTED_VALUE"""),45568.64583333333)</f>
        <v>45568.64583</v>
      </c>
      <c r="B14" s="7">
        <f>IFERROR(__xludf.DUMMYFUNCTION("""COMPUTED_VALUE"""),343.0)</f>
        <v>343</v>
      </c>
      <c r="C14" s="7">
        <f>IFERROR(__xludf.DUMMYFUNCTION("""COMPUTED_VALUE"""),349.9)</f>
        <v>349.9</v>
      </c>
      <c r="D14" s="7">
        <f>IFERROR(__xludf.DUMMYFUNCTION("""COMPUTED_VALUE"""),342.6)</f>
        <v>342.6</v>
      </c>
      <c r="E14" s="7">
        <f>IFERROR(__xludf.DUMMYFUNCTION("""COMPUTED_VALUE"""),344.15)</f>
        <v>344.15</v>
      </c>
      <c r="F14" s="7">
        <f>IFERROR(__xludf.DUMMYFUNCTION("""COMPUTED_VALUE"""),1.9350466E7)</f>
        <v>19350466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f>IFERROR(__xludf.DUMMYFUNCTION("""COMPUTED_VALUE"""),45569.64583333333)</f>
        <v>45569.64583</v>
      </c>
      <c r="B15" s="7">
        <f>IFERROR(__xludf.DUMMYFUNCTION("""COMPUTED_VALUE"""),343.0)</f>
        <v>343</v>
      </c>
      <c r="C15" s="7">
        <f>IFERROR(__xludf.DUMMYFUNCTION("""COMPUTED_VALUE"""),347.45)</f>
        <v>347.45</v>
      </c>
      <c r="D15" s="7">
        <f>IFERROR(__xludf.DUMMYFUNCTION("""COMPUTED_VALUE"""),337.75)</f>
        <v>337.75</v>
      </c>
      <c r="E15" s="7">
        <f>IFERROR(__xludf.DUMMYFUNCTION("""COMPUTED_VALUE"""),338.85)</f>
        <v>338.85</v>
      </c>
      <c r="F15" s="7">
        <f>IFERROR(__xludf.DUMMYFUNCTION("""COMPUTED_VALUE"""),2.0121706E7)</f>
        <v>20121706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f>IFERROR(__xludf.DUMMYFUNCTION("""COMPUTED_VALUE"""),45572.64583333333)</f>
        <v>45572.64583</v>
      </c>
      <c r="B16" s="7">
        <f>IFERROR(__xludf.DUMMYFUNCTION("""COMPUTED_VALUE"""),340.0)</f>
        <v>340</v>
      </c>
      <c r="C16" s="7">
        <f>IFERROR(__xludf.DUMMYFUNCTION("""COMPUTED_VALUE"""),340.0)</f>
        <v>340</v>
      </c>
      <c r="D16" s="7">
        <f>IFERROR(__xludf.DUMMYFUNCTION("""COMPUTED_VALUE"""),325.0)</f>
        <v>325</v>
      </c>
      <c r="E16" s="7">
        <f>IFERROR(__xludf.DUMMYFUNCTION("""COMPUTED_VALUE"""),328.95)</f>
        <v>328.95</v>
      </c>
      <c r="F16" s="7">
        <f>IFERROR(__xludf.DUMMYFUNCTION("""COMPUTED_VALUE"""),1.3851446E7)</f>
        <v>13851446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f>IFERROR(__xludf.DUMMYFUNCTION("""COMPUTED_VALUE"""),45573.64583333333)</f>
        <v>45573.64583</v>
      </c>
      <c r="B17" s="7">
        <f>IFERROR(__xludf.DUMMYFUNCTION("""COMPUTED_VALUE"""),327.3)</f>
        <v>327.3</v>
      </c>
      <c r="C17" s="7">
        <f>IFERROR(__xludf.DUMMYFUNCTION("""COMPUTED_VALUE"""),331.0)</f>
        <v>331</v>
      </c>
      <c r="D17" s="7">
        <f>IFERROR(__xludf.DUMMYFUNCTION("""COMPUTED_VALUE"""),322.35)</f>
        <v>322.35</v>
      </c>
      <c r="E17" s="7">
        <f>IFERROR(__xludf.DUMMYFUNCTION("""COMPUTED_VALUE"""),327.15)</f>
        <v>327.15</v>
      </c>
      <c r="F17" s="7">
        <f>IFERROR(__xludf.DUMMYFUNCTION("""COMPUTED_VALUE"""),2.1148292E7)</f>
        <v>21148292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f>IFERROR(__xludf.DUMMYFUNCTION("""COMPUTED_VALUE"""),45574.64583333333)</f>
        <v>45574.64583</v>
      </c>
      <c r="B18" s="7">
        <f>IFERROR(__xludf.DUMMYFUNCTION("""COMPUTED_VALUE"""),327.0)</f>
        <v>327</v>
      </c>
      <c r="C18" s="7">
        <f>IFERROR(__xludf.DUMMYFUNCTION("""COMPUTED_VALUE"""),331.8)</f>
        <v>331.8</v>
      </c>
      <c r="D18" s="7">
        <f>IFERROR(__xludf.DUMMYFUNCTION("""COMPUTED_VALUE"""),325.5)</f>
        <v>325.5</v>
      </c>
      <c r="E18" s="7">
        <f>IFERROR(__xludf.DUMMYFUNCTION("""COMPUTED_VALUE"""),329.75)</f>
        <v>329.75</v>
      </c>
      <c r="F18" s="7">
        <f>IFERROR(__xludf.DUMMYFUNCTION("""COMPUTED_VALUE"""),9228363.0)</f>
        <v>9228363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f>IFERROR(__xludf.DUMMYFUNCTION("""COMPUTED_VALUE"""),45575.64583333333)</f>
        <v>45575.64583</v>
      </c>
      <c r="B19" s="7">
        <f>IFERROR(__xludf.DUMMYFUNCTION("""COMPUTED_VALUE"""),330.2)</f>
        <v>330.2</v>
      </c>
      <c r="C19" s="7">
        <f>IFERROR(__xludf.DUMMYFUNCTION("""COMPUTED_VALUE"""),338.1)</f>
        <v>338.1</v>
      </c>
      <c r="D19" s="7">
        <f>IFERROR(__xludf.DUMMYFUNCTION("""COMPUTED_VALUE"""),330.1)</f>
        <v>330.1</v>
      </c>
      <c r="E19" s="7">
        <f>IFERROR(__xludf.DUMMYFUNCTION("""COMPUTED_VALUE"""),334.35)</f>
        <v>334.35</v>
      </c>
      <c r="F19" s="7">
        <f>IFERROR(__xludf.DUMMYFUNCTION("""COMPUTED_VALUE"""),2.0773976E7)</f>
        <v>20773976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f>IFERROR(__xludf.DUMMYFUNCTION("""COMPUTED_VALUE"""),45576.64583333333)</f>
        <v>45576.64583</v>
      </c>
      <c r="B20" s="7">
        <f>IFERROR(__xludf.DUMMYFUNCTION("""COMPUTED_VALUE"""),334.45)</f>
        <v>334.45</v>
      </c>
      <c r="C20" s="7">
        <f>IFERROR(__xludf.DUMMYFUNCTION("""COMPUTED_VALUE"""),335.35)</f>
        <v>335.35</v>
      </c>
      <c r="D20" s="7">
        <f>IFERROR(__xludf.DUMMYFUNCTION("""COMPUTED_VALUE"""),329.5)</f>
        <v>329.5</v>
      </c>
      <c r="E20" s="7">
        <f>IFERROR(__xludf.DUMMYFUNCTION("""COMPUTED_VALUE"""),330.05)</f>
        <v>330.05</v>
      </c>
      <c r="F20" s="7">
        <f>IFERROR(__xludf.DUMMYFUNCTION("""COMPUTED_VALUE"""),6098468.0)</f>
        <v>6098468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f>IFERROR(__xludf.DUMMYFUNCTION("""COMPUTED_VALUE"""),45579.64583333333)</f>
        <v>45579.64583</v>
      </c>
      <c r="B21" s="7">
        <f>IFERROR(__xludf.DUMMYFUNCTION("""COMPUTED_VALUE"""),330.05)</f>
        <v>330.05</v>
      </c>
      <c r="C21" s="7">
        <f>IFERROR(__xludf.DUMMYFUNCTION("""COMPUTED_VALUE"""),331.5)</f>
        <v>331.5</v>
      </c>
      <c r="D21" s="7">
        <f>IFERROR(__xludf.DUMMYFUNCTION("""COMPUTED_VALUE"""),327.8)</f>
        <v>327.8</v>
      </c>
      <c r="E21" s="7">
        <f>IFERROR(__xludf.DUMMYFUNCTION("""COMPUTED_VALUE"""),330.7)</f>
        <v>330.7</v>
      </c>
      <c r="F21" s="7">
        <f>IFERROR(__xludf.DUMMYFUNCTION("""COMPUTED_VALUE"""),5944216.0)</f>
        <v>5944216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f>IFERROR(__xludf.DUMMYFUNCTION("""COMPUTED_VALUE"""),45580.64583333333)</f>
        <v>45580.64583</v>
      </c>
      <c r="B22" s="7">
        <f>IFERROR(__xludf.DUMMYFUNCTION("""COMPUTED_VALUE"""),333.45)</f>
        <v>333.45</v>
      </c>
      <c r="C22" s="7">
        <f>IFERROR(__xludf.DUMMYFUNCTION("""COMPUTED_VALUE"""),333.45)</f>
        <v>333.45</v>
      </c>
      <c r="D22" s="7">
        <f>IFERROR(__xludf.DUMMYFUNCTION("""COMPUTED_VALUE"""),327.5)</f>
        <v>327.5</v>
      </c>
      <c r="E22" s="7">
        <f>IFERROR(__xludf.DUMMYFUNCTION("""COMPUTED_VALUE"""),329.85)</f>
        <v>329.85</v>
      </c>
      <c r="F22" s="7">
        <f>IFERROR(__xludf.DUMMYFUNCTION("""COMPUTED_VALUE"""),1.2415489E7)</f>
        <v>12415489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f>IFERROR(__xludf.DUMMYFUNCTION("""COMPUTED_VALUE"""),45581.64583333333)</f>
        <v>45581.64583</v>
      </c>
      <c r="B23" s="7">
        <f>IFERROR(__xludf.DUMMYFUNCTION("""COMPUTED_VALUE"""),331.7)</f>
        <v>331.7</v>
      </c>
      <c r="C23" s="7">
        <f>IFERROR(__xludf.DUMMYFUNCTION("""COMPUTED_VALUE"""),332.65)</f>
        <v>332.65</v>
      </c>
      <c r="D23" s="7">
        <f>IFERROR(__xludf.DUMMYFUNCTION("""COMPUTED_VALUE"""),324.95)</f>
        <v>324.95</v>
      </c>
      <c r="E23" s="7">
        <f>IFERROR(__xludf.DUMMYFUNCTION("""COMPUTED_VALUE"""),327.2)</f>
        <v>327.2</v>
      </c>
      <c r="F23" s="7">
        <f>IFERROR(__xludf.DUMMYFUNCTION("""COMPUTED_VALUE"""),2.2085298E7)</f>
        <v>22085298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f>IFERROR(__xludf.DUMMYFUNCTION("""COMPUTED_VALUE"""),45582.64583333333)</f>
        <v>45582.64583</v>
      </c>
      <c r="B24" s="7">
        <f>IFERROR(__xludf.DUMMYFUNCTION("""COMPUTED_VALUE"""),328.5)</f>
        <v>328.5</v>
      </c>
      <c r="C24" s="7">
        <f>IFERROR(__xludf.DUMMYFUNCTION("""COMPUTED_VALUE"""),331.9)</f>
        <v>331.9</v>
      </c>
      <c r="D24" s="7">
        <f>IFERROR(__xludf.DUMMYFUNCTION("""COMPUTED_VALUE"""),324.6)</f>
        <v>324.6</v>
      </c>
      <c r="E24" s="7">
        <f>IFERROR(__xludf.DUMMYFUNCTION("""COMPUTED_VALUE"""),331.15)</f>
        <v>331.15</v>
      </c>
      <c r="F24" s="7">
        <f>IFERROR(__xludf.DUMMYFUNCTION("""COMPUTED_VALUE"""),1.7039729E7)</f>
        <v>17039729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f>IFERROR(__xludf.DUMMYFUNCTION("""COMPUTED_VALUE"""),45583.64583333333)</f>
        <v>45583.64583</v>
      </c>
      <c r="B25" s="7">
        <f>IFERROR(__xludf.DUMMYFUNCTION("""COMPUTED_VALUE"""),331.5)</f>
        <v>331.5</v>
      </c>
      <c r="C25" s="7">
        <f>IFERROR(__xludf.DUMMYFUNCTION("""COMPUTED_VALUE"""),333.85)</f>
        <v>333.85</v>
      </c>
      <c r="D25" s="7">
        <f>IFERROR(__xludf.DUMMYFUNCTION("""COMPUTED_VALUE"""),328.25)</f>
        <v>328.25</v>
      </c>
      <c r="E25" s="7">
        <f>IFERROR(__xludf.DUMMYFUNCTION("""COMPUTED_VALUE"""),332.05)</f>
        <v>332.05</v>
      </c>
      <c r="F25" s="7">
        <f>IFERROR(__xludf.DUMMYFUNCTION("""COMPUTED_VALUE"""),1.0569021E7)</f>
        <v>10569021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f>IFERROR(__xludf.DUMMYFUNCTION("""COMPUTED_VALUE"""),45586.64583333333)</f>
        <v>45586.64583</v>
      </c>
      <c r="B26" s="7">
        <f>IFERROR(__xludf.DUMMYFUNCTION("""COMPUTED_VALUE"""),333.0)</f>
        <v>333</v>
      </c>
      <c r="C26" s="7">
        <f>IFERROR(__xludf.DUMMYFUNCTION("""COMPUTED_VALUE"""),333.75)</f>
        <v>333.75</v>
      </c>
      <c r="D26" s="7">
        <f>IFERROR(__xludf.DUMMYFUNCTION("""COMPUTED_VALUE"""),329.45)</f>
        <v>329.45</v>
      </c>
      <c r="E26" s="7">
        <f>IFERROR(__xludf.DUMMYFUNCTION("""COMPUTED_VALUE"""),331.15)</f>
        <v>331.15</v>
      </c>
      <c r="F26" s="7">
        <f>IFERROR(__xludf.DUMMYFUNCTION("""COMPUTED_VALUE"""),8745904.0)</f>
        <v>8745904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f>IFERROR(__xludf.DUMMYFUNCTION("""COMPUTED_VALUE"""),45587.64583333333)</f>
        <v>45587.64583</v>
      </c>
      <c r="B27" s="7">
        <f>IFERROR(__xludf.DUMMYFUNCTION("""COMPUTED_VALUE"""),332.9)</f>
        <v>332.9</v>
      </c>
      <c r="C27" s="7">
        <f>IFERROR(__xludf.DUMMYFUNCTION("""COMPUTED_VALUE"""),335.65)</f>
        <v>335.65</v>
      </c>
      <c r="D27" s="7">
        <f>IFERROR(__xludf.DUMMYFUNCTION("""COMPUTED_VALUE"""),321.05)</f>
        <v>321.05</v>
      </c>
      <c r="E27" s="7">
        <f>IFERROR(__xludf.DUMMYFUNCTION("""COMPUTED_VALUE"""),322.75)</f>
        <v>322.75</v>
      </c>
      <c r="F27" s="7">
        <f>IFERROR(__xludf.DUMMYFUNCTION("""COMPUTED_VALUE"""),1.1219831E7)</f>
        <v>11219831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f>IFERROR(__xludf.DUMMYFUNCTION("""COMPUTED_VALUE"""),45588.64583333333)</f>
        <v>45588.64583</v>
      </c>
      <c r="B28" s="7">
        <f>IFERROR(__xludf.DUMMYFUNCTION("""COMPUTED_VALUE"""),319.2)</f>
        <v>319.2</v>
      </c>
      <c r="C28" s="7">
        <f>IFERROR(__xludf.DUMMYFUNCTION("""COMPUTED_VALUE"""),321.9)</f>
        <v>321.9</v>
      </c>
      <c r="D28" s="7">
        <f>IFERROR(__xludf.DUMMYFUNCTION("""COMPUTED_VALUE"""),313.85)</f>
        <v>313.85</v>
      </c>
      <c r="E28" s="7">
        <f>IFERROR(__xludf.DUMMYFUNCTION("""COMPUTED_VALUE"""),316.9)</f>
        <v>316.9</v>
      </c>
      <c r="F28" s="7">
        <f>IFERROR(__xludf.DUMMYFUNCTION("""COMPUTED_VALUE"""),1.2541589E7)</f>
        <v>12541589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f>IFERROR(__xludf.DUMMYFUNCTION("""COMPUTED_VALUE"""),45589.64583333333)</f>
        <v>45589.64583</v>
      </c>
      <c r="B29" s="7">
        <f>IFERROR(__xludf.DUMMYFUNCTION("""COMPUTED_VALUE"""),315.25)</f>
        <v>315.25</v>
      </c>
      <c r="C29" s="7">
        <f>IFERROR(__xludf.DUMMYFUNCTION("""COMPUTED_VALUE"""),320.8)</f>
        <v>320.8</v>
      </c>
      <c r="D29" s="7">
        <f>IFERROR(__xludf.DUMMYFUNCTION("""COMPUTED_VALUE"""),315.25)</f>
        <v>315.25</v>
      </c>
      <c r="E29" s="7">
        <f>IFERROR(__xludf.DUMMYFUNCTION("""COMPUTED_VALUE"""),319.15)</f>
        <v>319.15</v>
      </c>
      <c r="F29" s="7">
        <f>IFERROR(__xludf.DUMMYFUNCTION("""COMPUTED_VALUE"""),8327779.0)</f>
        <v>8327779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f>IFERROR(__xludf.DUMMYFUNCTION("""COMPUTED_VALUE"""),45590.64583333333)</f>
        <v>45590.64583</v>
      </c>
      <c r="B30" s="7">
        <f>IFERROR(__xludf.DUMMYFUNCTION("""COMPUTED_VALUE"""),321.5)</f>
        <v>321.5</v>
      </c>
      <c r="C30" s="7">
        <f>IFERROR(__xludf.DUMMYFUNCTION("""COMPUTED_VALUE"""),321.5)</f>
        <v>321.5</v>
      </c>
      <c r="D30" s="7">
        <f>IFERROR(__xludf.DUMMYFUNCTION("""COMPUTED_VALUE"""),313.25)</f>
        <v>313.25</v>
      </c>
      <c r="E30" s="7">
        <f>IFERROR(__xludf.DUMMYFUNCTION("""COMPUTED_VALUE"""),315.8)</f>
        <v>315.8</v>
      </c>
      <c r="F30" s="7">
        <f>IFERROR(__xludf.DUMMYFUNCTION("""COMPUTED_VALUE"""),1.297941E7)</f>
        <v>12979410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f>IFERROR(__xludf.DUMMYFUNCTION("""COMPUTED_VALUE"""),45593.64583333333)</f>
        <v>45593.64583</v>
      </c>
      <c r="B31" s="7">
        <f>IFERROR(__xludf.DUMMYFUNCTION("""COMPUTED_VALUE"""),314.5)</f>
        <v>314.5</v>
      </c>
      <c r="C31" s="7">
        <f>IFERROR(__xludf.DUMMYFUNCTION("""COMPUTED_VALUE"""),320.45)</f>
        <v>320.45</v>
      </c>
      <c r="D31" s="7">
        <f>IFERROR(__xludf.DUMMYFUNCTION("""COMPUTED_VALUE"""),310.75)</f>
        <v>310.75</v>
      </c>
      <c r="E31" s="7">
        <f>IFERROR(__xludf.DUMMYFUNCTION("""COMPUTED_VALUE"""),318.3)</f>
        <v>318.3</v>
      </c>
      <c r="F31" s="7">
        <f>IFERROR(__xludf.DUMMYFUNCTION("""COMPUTED_VALUE"""),9610615.0)</f>
        <v>9610615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f>IFERROR(__xludf.DUMMYFUNCTION("""COMPUTED_VALUE"""),45594.64583333333)</f>
        <v>45594.64583</v>
      </c>
      <c r="B32" s="7">
        <f>IFERROR(__xludf.DUMMYFUNCTION("""COMPUTED_VALUE"""),316.1)</f>
        <v>316.1</v>
      </c>
      <c r="C32" s="7">
        <f>IFERROR(__xludf.DUMMYFUNCTION("""COMPUTED_VALUE"""),321.2)</f>
        <v>321.2</v>
      </c>
      <c r="D32" s="7">
        <f>IFERROR(__xludf.DUMMYFUNCTION("""COMPUTED_VALUE"""),314.15)</f>
        <v>314.15</v>
      </c>
      <c r="E32" s="7">
        <f>IFERROR(__xludf.DUMMYFUNCTION("""COMPUTED_VALUE"""),320.55)</f>
        <v>320.55</v>
      </c>
      <c r="F32" s="7">
        <f>IFERROR(__xludf.DUMMYFUNCTION("""COMPUTED_VALUE"""),1.5856332E7)</f>
        <v>15856332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f>IFERROR(__xludf.DUMMYFUNCTION("""COMPUTED_VALUE"""),45595.64583333333)</f>
        <v>45595.64583</v>
      </c>
      <c r="B33" s="7">
        <f>IFERROR(__xludf.DUMMYFUNCTION("""COMPUTED_VALUE"""),318.55)</f>
        <v>318.55</v>
      </c>
      <c r="C33" s="7">
        <f>IFERROR(__xludf.DUMMYFUNCTION("""COMPUTED_VALUE"""),325.4)</f>
        <v>325.4</v>
      </c>
      <c r="D33" s="7">
        <f>IFERROR(__xludf.DUMMYFUNCTION("""COMPUTED_VALUE"""),316.75)</f>
        <v>316.75</v>
      </c>
      <c r="E33" s="7">
        <f>IFERROR(__xludf.DUMMYFUNCTION("""COMPUTED_VALUE"""),318.45)</f>
        <v>318.45</v>
      </c>
      <c r="F33" s="7">
        <f>IFERROR(__xludf.DUMMYFUNCTION("""COMPUTED_VALUE"""),1.449811E7)</f>
        <v>14498110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f>IFERROR(__xludf.DUMMYFUNCTION("""COMPUTED_VALUE"""),45596.64583333333)</f>
        <v>45596.64583</v>
      </c>
      <c r="B34" s="7">
        <f>IFERROR(__xludf.DUMMYFUNCTION("""COMPUTED_VALUE"""),320.4)</f>
        <v>320.4</v>
      </c>
      <c r="C34" s="7">
        <f>IFERROR(__xludf.DUMMYFUNCTION("""COMPUTED_VALUE"""),322.7)</f>
        <v>322.7</v>
      </c>
      <c r="D34" s="7">
        <f>IFERROR(__xludf.DUMMYFUNCTION("""COMPUTED_VALUE"""),317.85)</f>
        <v>317.85</v>
      </c>
      <c r="E34" s="7">
        <f>IFERROR(__xludf.DUMMYFUNCTION("""COMPUTED_VALUE"""),320.8)</f>
        <v>320.8</v>
      </c>
      <c r="F34" s="7">
        <f>IFERROR(__xludf.DUMMYFUNCTION("""COMPUTED_VALUE"""),9900390.0)</f>
        <v>9900390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f>IFERROR(__xludf.DUMMYFUNCTION("""COMPUTED_VALUE"""),45600.64583333333)</f>
        <v>45600.64583</v>
      </c>
      <c r="B35" s="7">
        <f>IFERROR(__xludf.DUMMYFUNCTION("""COMPUTED_VALUE"""),324.55)</f>
        <v>324.55</v>
      </c>
      <c r="C35" s="7">
        <f>IFERROR(__xludf.DUMMYFUNCTION("""COMPUTED_VALUE"""),324.7)</f>
        <v>324.7</v>
      </c>
      <c r="D35" s="7">
        <f>IFERROR(__xludf.DUMMYFUNCTION("""COMPUTED_VALUE"""),311.6)</f>
        <v>311.6</v>
      </c>
      <c r="E35" s="7">
        <f>IFERROR(__xludf.DUMMYFUNCTION("""COMPUTED_VALUE"""),315.45)</f>
        <v>315.45</v>
      </c>
      <c r="F35" s="7">
        <f>IFERROR(__xludf.DUMMYFUNCTION("""COMPUTED_VALUE"""),9249409.0)</f>
        <v>9249409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f>IFERROR(__xludf.DUMMYFUNCTION("""COMPUTED_VALUE"""),45601.64583333333)</f>
        <v>45601.64583</v>
      </c>
      <c r="B36" s="7">
        <f>IFERROR(__xludf.DUMMYFUNCTION("""COMPUTED_VALUE"""),312.35)</f>
        <v>312.35</v>
      </c>
      <c r="C36" s="7">
        <f>IFERROR(__xludf.DUMMYFUNCTION("""COMPUTED_VALUE"""),317.7)</f>
        <v>317.7</v>
      </c>
      <c r="D36" s="7">
        <f>IFERROR(__xludf.DUMMYFUNCTION("""COMPUTED_VALUE"""),312.0)</f>
        <v>312</v>
      </c>
      <c r="E36" s="7">
        <f>IFERROR(__xludf.DUMMYFUNCTION("""COMPUTED_VALUE"""),316.6)</f>
        <v>316.6</v>
      </c>
      <c r="F36" s="7">
        <f>IFERROR(__xludf.DUMMYFUNCTION("""COMPUTED_VALUE"""),7518195.0)</f>
        <v>7518195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f>IFERROR(__xludf.DUMMYFUNCTION("""COMPUTED_VALUE"""),45602.64583333333)</f>
        <v>45602.64583</v>
      </c>
      <c r="B37" s="7">
        <f>IFERROR(__xludf.DUMMYFUNCTION("""COMPUTED_VALUE"""),317.4)</f>
        <v>317.4</v>
      </c>
      <c r="C37" s="7">
        <f>IFERROR(__xludf.DUMMYFUNCTION("""COMPUTED_VALUE"""),320.35)</f>
        <v>320.35</v>
      </c>
      <c r="D37" s="7">
        <f>IFERROR(__xludf.DUMMYFUNCTION("""COMPUTED_VALUE"""),313.9)</f>
        <v>313.9</v>
      </c>
      <c r="E37" s="7">
        <f>IFERROR(__xludf.DUMMYFUNCTION("""COMPUTED_VALUE"""),318.5)</f>
        <v>318.5</v>
      </c>
      <c r="F37" s="7">
        <f>IFERROR(__xludf.DUMMYFUNCTION("""COMPUTED_VALUE"""),1.101925E7)</f>
        <v>11019250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f>IFERROR(__xludf.DUMMYFUNCTION("""COMPUTED_VALUE"""),45603.64583333333)</f>
        <v>45603.64583</v>
      </c>
      <c r="B38" s="7">
        <f>IFERROR(__xludf.DUMMYFUNCTION("""COMPUTED_VALUE"""),319.0)</f>
        <v>319</v>
      </c>
      <c r="C38" s="7">
        <f>IFERROR(__xludf.DUMMYFUNCTION("""COMPUTED_VALUE"""),319.0)</f>
        <v>319</v>
      </c>
      <c r="D38" s="7">
        <f>IFERROR(__xludf.DUMMYFUNCTION("""COMPUTED_VALUE"""),311.7)</f>
        <v>311.7</v>
      </c>
      <c r="E38" s="7">
        <f>IFERROR(__xludf.DUMMYFUNCTION("""COMPUTED_VALUE"""),312.95)</f>
        <v>312.95</v>
      </c>
      <c r="F38" s="7">
        <f>IFERROR(__xludf.DUMMYFUNCTION("""COMPUTED_VALUE"""),1.4504208E7)</f>
        <v>14504208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f>IFERROR(__xludf.DUMMYFUNCTION("""COMPUTED_VALUE"""),45604.64583333333)</f>
        <v>45604.64583</v>
      </c>
      <c r="B39" s="7">
        <f>IFERROR(__xludf.DUMMYFUNCTION("""COMPUTED_VALUE"""),311.85)</f>
        <v>311.85</v>
      </c>
      <c r="C39" s="7">
        <f>IFERROR(__xludf.DUMMYFUNCTION("""COMPUTED_VALUE"""),317.55)</f>
        <v>317.55</v>
      </c>
      <c r="D39" s="7">
        <f>IFERROR(__xludf.DUMMYFUNCTION("""COMPUTED_VALUE"""),308.7)</f>
        <v>308.7</v>
      </c>
      <c r="E39" s="7">
        <f>IFERROR(__xludf.DUMMYFUNCTION("""COMPUTED_VALUE"""),316.25)</f>
        <v>316.25</v>
      </c>
      <c r="F39" s="7">
        <f>IFERROR(__xludf.DUMMYFUNCTION("""COMPUTED_VALUE"""),1.5740539E7)</f>
        <v>15740539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f>IFERROR(__xludf.DUMMYFUNCTION("""COMPUTED_VALUE"""),45607.64583333333)</f>
        <v>45607.64583</v>
      </c>
      <c r="B40" s="7">
        <f>IFERROR(__xludf.DUMMYFUNCTION("""COMPUTED_VALUE"""),313.55)</f>
        <v>313.55</v>
      </c>
      <c r="C40" s="7">
        <f>IFERROR(__xludf.DUMMYFUNCTION("""COMPUTED_VALUE"""),332.4)</f>
        <v>332.4</v>
      </c>
      <c r="D40" s="7">
        <f>IFERROR(__xludf.DUMMYFUNCTION("""COMPUTED_VALUE"""),312.8)</f>
        <v>312.8</v>
      </c>
      <c r="E40" s="7">
        <f>IFERROR(__xludf.DUMMYFUNCTION("""COMPUTED_VALUE"""),329.8)</f>
        <v>329.8</v>
      </c>
      <c r="F40" s="7">
        <f>IFERROR(__xludf.DUMMYFUNCTION("""COMPUTED_VALUE"""),2.2838987E7)</f>
        <v>22838987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f>IFERROR(__xludf.DUMMYFUNCTION("""COMPUTED_VALUE"""),45608.64583333333)</f>
        <v>45608.64583</v>
      </c>
      <c r="B41" s="7">
        <f>IFERROR(__xludf.DUMMYFUNCTION("""COMPUTED_VALUE"""),331.5)</f>
        <v>331.5</v>
      </c>
      <c r="C41" s="7">
        <f>IFERROR(__xludf.DUMMYFUNCTION("""COMPUTED_VALUE"""),332.5)</f>
        <v>332.5</v>
      </c>
      <c r="D41" s="7">
        <f>IFERROR(__xludf.DUMMYFUNCTION("""COMPUTED_VALUE"""),321.8)</f>
        <v>321.8</v>
      </c>
      <c r="E41" s="7">
        <f>IFERROR(__xludf.DUMMYFUNCTION("""COMPUTED_VALUE"""),322.7)</f>
        <v>322.7</v>
      </c>
      <c r="F41" s="7">
        <f>IFERROR(__xludf.DUMMYFUNCTION("""COMPUTED_VALUE"""),1.2069181E7)</f>
        <v>12069181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f>IFERROR(__xludf.DUMMYFUNCTION("""COMPUTED_VALUE"""),45609.64583333333)</f>
        <v>45609.64583</v>
      </c>
      <c r="B42" s="7">
        <f>IFERROR(__xludf.DUMMYFUNCTION("""COMPUTED_VALUE"""),322.65)</f>
        <v>322.65</v>
      </c>
      <c r="C42" s="7">
        <f>IFERROR(__xludf.DUMMYFUNCTION("""COMPUTED_VALUE"""),324.6)</f>
        <v>324.6</v>
      </c>
      <c r="D42" s="7">
        <f>IFERROR(__xludf.DUMMYFUNCTION("""COMPUTED_VALUE"""),317.15)</f>
        <v>317.15</v>
      </c>
      <c r="E42" s="7">
        <f>IFERROR(__xludf.DUMMYFUNCTION("""COMPUTED_VALUE"""),318.0)</f>
        <v>318</v>
      </c>
      <c r="F42" s="7">
        <f>IFERROR(__xludf.DUMMYFUNCTION("""COMPUTED_VALUE"""),1.2918639E7)</f>
        <v>12918639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f>IFERROR(__xludf.DUMMYFUNCTION("""COMPUTED_VALUE"""),45610.64583333333)</f>
        <v>45610.64583</v>
      </c>
      <c r="B43" s="7">
        <f>IFERROR(__xludf.DUMMYFUNCTION("""COMPUTED_VALUE"""),315.1)</f>
        <v>315.1</v>
      </c>
      <c r="C43" s="7">
        <f>IFERROR(__xludf.DUMMYFUNCTION("""COMPUTED_VALUE"""),318.8)</f>
        <v>318.8</v>
      </c>
      <c r="D43" s="7">
        <f>IFERROR(__xludf.DUMMYFUNCTION("""COMPUTED_VALUE"""),310.6)</f>
        <v>310.6</v>
      </c>
      <c r="E43" s="7">
        <f>IFERROR(__xludf.DUMMYFUNCTION("""COMPUTED_VALUE"""),312.1)</f>
        <v>312.1</v>
      </c>
      <c r="F43" s="7">
        <f>IFERROR(__xludf.DUMMYFUNCTION("""COMPUTED_VALUE"""),1.2500377E7)</f>
        <v>12500377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f>IFERROR(__xludf.DUMMYFUNCTION("""COMPUTED_VALUE"""),45614.64583333333)</f>
        <v>45614.64583</v>
      </c>
      <c r="B44" s="7">
        <f>IFERROR(__xludf.DUMMYFUNCTION("""COMPUTED_VALUE"""),314.0)</f>
        <v>314</v>
      </c>
      <c r="C44" s="7">
        <f>IFERROR(__xludf.DUMMYFUNCTION("""COMPUTED_VALUE"""),315.55)</f>
        <v>315.55</v>
      </c>
      <c r="D44" s="7">
        <f>IFERROR(__xludf.DUMMYFUNCTION("""COMPUTED_VALUE"""),310.1)</f>
        <v>310.1</v>
      </c>
      <c r="E44" s="7">
        <f>IFERROR(__xludf.DUMMYFUNCTION("""COMPUTED_VALUE"""),312.05)</f>
        <v>312.05</v>
      </c>
      <c r="F44" s="7">
        <f>IFERROR(__xludf.DUMMYFUNCTION("""COMPUTED_VALUE"""),9408101.0)</f>
        <v>9408101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f>IFERROR(__xludf.DUMMYFUNCTION("""COMPUTED_VALUE"""),45615.64583333333)</f>
        <v>45615.64583</v>
      </c>
      <c r="B45" s="7">
        <f>IFERROR(__xludf.DUMMYFUNCTION("""COMPUTED_VALUE"""),313.05)</f>
        <v>313.05</v>
      </c>
      <c r="C45" s="7">
        <f>IFERROR(__xludf.DUMMYFUNCTION("""COMPUTED_VALUE"""),318.25)</f>
        <v>318.25</v>
      </c>
      <c r="D45" s="7">
        <f>IFERROR(__xludf.DUMMYFUNCTION("""COMPUTED_VALUE"""),312.25)</f>
        <v>312.25</v>
      </c>
      <c r="E45" s="7">
        <f>IFERROR(__xludf.DUMMYFUNCTION("""COMPUTED_VALUE"""),315.05)</f>
        <v>315.05</v>
      </c>
      <c r="F45" s="7">
        <f>IFERROR(__xludf.DUMMYFUNCTION("""COMPUTED_VALUE"""),1.3157158E7)</f>
        <v>13157158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f>IFERROR(__xludf.DUMMYFUNCTION("""COMPUTED_VALUE"""),45617.64583333333)</f>
        <v>45617.64583</v>
      </c>
      <c r="B46" s="7">
        <f>IFERROR(__xludf.DUMMYFUNCTION("""COMPUTED_VALUE"""),316.0)</f>
        <v>316</v>
      </c>
      <c r="C46" s="7">
        <f>IFERROR(__xludf.DUMMYFUNCTION("""COMPUTED_VALUE"""),326.75)</f>
        <v>326.75</v>
      </c>
      <c r="D46" s="7">
        <f>IFERROR(__xludf.DUMMYFUNCTION("""COMPUTED_VALUE"""),313.0)</f>
        <v>313</v>
      </c>
      <c r="E46" s="7">
        <f>IFERROR(__xludf.DUMMYFUNCTION("""COMPUTED_VALUE"""),325.9)</f>
        <v>325.9</v>
      </c>
      <c r="F46" s="7">
        <f>IFERROR(__xludf.DUMMYFUNCTION("""COMPUTED_VALUE"""),2.5406386E7)</f>
        <v>25406386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f>IFERROR(__xludf.DUMMYFUNCTION("""COMPUTED_VALUE"""),45618.64583333333)</f>
        <v>45618.64583</v>
      </c>
      <c r="B47" s="7">
        <f>IFERROR(__xludf.DUMMYFUNCTION("""COMPUTED_VALUE"""),325.8)</f>
        <v>325.8</v>
      </c>
      <c r="C47" s="7">
        <f>IFERROR(__xludf.DUMMYFUNCTION("""COMPUTED_VALUE"""),337.6)</f>
        <v>337.6</v>
      </c>
      <c r="D47" s="7">
        <f>IFERROR(__xludf.DUMMYFUNCTION("""COMPUTED_VALUE"""),324.0)</f>
        <v>324</v>
      </c>
      <c r="E47" s="7">
        <f>IFERROR(__xludf.DUMMYFUNCTION("""COMPUTED_VALUE"""),336.95)</f>
        <v>336.95</v>
      </c>
      <c r="F47" s="7">
        <f>IFERROR(__xludf.DUMMYFUNCTION("""COMPUTED_VALUE"""),3.1523269E7)</f>
        <v>31523269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f>IFERROR(__xludf.DUMMYFUNCTION("""COMPUTED_VALUE"""),45621.64583333333)</f>
        <v>45621.64583</v>
      </c>
      <c r="B48" s="7">
        <f>IFERROR(__xludf.DUMMYFUNCTION("""COMPUTED_VALUE"""),341.85)</f>
        <v>341.85</v>
      </c>
      <c r="C48" s="7">
        <f>IFERROR(__xludf.DUMMYFUNCTION("""COMPUTED_VALUE"""),345.4)</f>
        <v>345.4</v>
      </c>
      <c r="D48" s="7">
        <f>IFERROR(__xludf.DUMMYFUNCTION("""COMPUTED_VALUE"""),336.15)</f>
        <v>336.15</v>
      </c>
      <c r="E48" s="7">
        <f>IFERROR(__xludf.DUMMYFUNCTION("""COMPUTED_VALUE"""),342.75)</f>
        <v>342.75</v>
      </c>
      <c r="F48" s="7">
        <f>IFERROR(__xludf.DUMMYFUNCTION("""COMPUTED_VALUE"""),2.9419152E7)</f>
        <v>29419152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f>IFERROR(__xludf.DUMMYFUNCTION("""COMPUTED_VALUE"""),45622.64583333333)</f>
        <v>45622.64583</v>
      </c>
      <c r="B49" s="7">
        <f>IFERROR(__xludf.DUMMYFUNCTION("""COMPUTED_VALUE"""),342.0)</f>
        <v>342</v>
      </c>
      <c r="C49" s="7">
        <f>IFERROR(__xludf.DUMMYFUNCTION("""COMPUTED_VALUE"""),344.6)</f>
        <v>344.6</v>
      </c>
      <c r="D49" s="7">
        <f>IFERROR(__xludf.DUMMYFUNCTION("""COMPUTED_VALUE"""),337.9)</f>
        <v>337.9</v>
      </c>
      <c r="E49" s="7">
        <f>IFERROR(__xludf.DUMMYFUNCTION("""COMPUTED_VALUE"""),338.8)</f>
        <v>338.8</v>
      </c>
      <c r="F49" s="7">
        <f>IFERROR(__xludf.DUMMYFUNCTION("""COMPUTED_VALUE"""),1.3997179E7)</f>
        <v>13997179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f>IFERROR(__xludf.DUMMYFUNCTION("""COMPUTED_VALUE"""),45623.64583333333)</f>
        <v>45623.64583</v>
      </c>
      <c r="B50" s="7">
        <f>IFERROR(__xludf.DUMMYFUNCTION("""COMPUTED_VALUE"""),337.25)</f>
        <v>337.25</v>
      </c>
      <c r="C50" s="7">
        <f>IFERROR(__xludf.DUMMYFUNCTION("""COMPUTED_VALUE"""),341.3)</f>
        <v>341.3</v>
      </c>
      <c r="D50" s="7">
        <f>IFERROR(__xludf.DUMMYFUNCTION("""COMPUTED_VALUE"""),336.5)</f>
        <v>336.5</v>
      </c>
      <c r="E50" s="7">
        <f>IFERROR(__xludf.DUMMYFUNCTION("""COMPUTED_VALUE"""),339.25)</f>
        <v>339.25</v>
      </c>
      <c r="F50" s="7">
        <f>IFERROR(__xludf.DUMMYFUNCTION("""COMPUTED_VALUE"""),1.217726E7)</f>
        <v>12177260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f>IFERROR(__xludf.DUMMYFUNCTION("""COMPUTED_VALUE"""),45624.64583333333)</f>
        <v>45624.64583</v>
      </c>
      <c r="B51" s="7">
        <f>IFERROR(__xludf.DUMMYFUNCTION("""COMPUTED_VALUE"""),339.25)</f>
        <v>339.25</v>
      </c>
      <c r="C51" s="7">
        <f>IFERROR(__xludf.DUMMYFUNCTION("""COMPUTED_VALUE"""),341.75)</f>
        <v>341.75</v>
      </c>
      <c r="D51" s="7">
        <f>IFERROR(__xludf.DUMMYFUNCTION("""COMPUTED_VALUE"""),332.2)</f>
        <v>332.2</v>
      </c>
      <c r="E51" s="7">
        <f>IFERROR(__xludf.DUMMYFUNCTION("""COMPUTED_VALUE"""),333.65)</f>
        <v>333.65</v>
      </c>
      <c r="F51" s="7">
        <f>IFERROR(__xludf.DUMMYFUNCTION("""COMPUTED_VALUE"""),1.6920231E7)</f>
        <v>16920231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f>IFERROR(__xludf.DUMMYFUNCTION("""COMPUTED_VALUE"""),45625.64583333333)</f>
        <v>45625.64583</v>
      </c>
      <c r="B52" s="7">
        <f>IFERROR(__xludf.DUMMYFUNCTION("""COMPUTED_VALUE"""),331.35)</f>
        <v>331.35</v>
      </c>
      <c r="C52" s="7">
        <f>IFERROR(__xludf.DUMMYFUNCTION("""COMPUTED_VALUE"""),332.5)</f>
        <v>332.5</v>
      </c>
      <c r="D52" s="7">
        <f>IFERROR(__xludf.DUMMYFUNCTION("""COMPUTED_VALUE"""),326.5)</f>
        <v>326.5</v>
      </c>
      <c r="E52" s="7">
        <f>IFERROR(__xludf.DUMMYFUNCTION("""COMPUTED_VALUE"""),329.4)</f>
        <v>329.4</v>
      </c>
      <c r="F52" s="7">
        <f>IFERROR(__xludf.DUMMYFUNCTION("""COMPUTED_VALUE"""),1.3890537E7)</f>
        <v>13890537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f>IFERROR(__xludf.DUMMYFUNCTION("""COMPUTED_VALUE"""),45628.64583333333)</f>
        <v>45628.64583</v>
      </c>
      <c r="B53" s="7">
        <f>IFERROR(__xludf.DUMMYFUNCTION("""COMPUTED_VALUE"""),328.15)</f>
        <v>328.15</v>
      </c>
      <c r="C53" s="7">
        <f>IFERROR(__xludf.DUMMYFUNCTION("""COMPUTED_VALUE"""),331.95)</f>
        <v>331.95</v>
      </c>
      <c r="D53" s="7">
        <f>IFERROR(__xludf.DUMMYFUNCTION("""COMPUTED_VALUE"""),326.2)</f>
        <v>326.2</v>
      </c>
      <c r="E53" s="7">
        <f>IFERROR(__xludf.DUMMYFUNCTION("""COMPUTED_VALUE"""),327.85)</f>
        <v>327.85</v>
      </c>
      <c r="F53" s="7">
        <f>IFERROR(__xludf.DUMMYFUNCTION("""COMPUTED_VALUE"""),1.6003524E7)</f>
        <v>16003524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f>IFERROR(__xludf.DUMMYFUNCTION("""COMPUTED_VALUE"""),45629.64583333333)</f>
        <v>45629.64583</v>
      </c>
      <c r="B54" s="7">
        <f>IFERROR(__xludf.DUMMYFUNCTION("""COMPUTED_VALUE"""),324.25)</f>
        <v>324.25</v>
      </c>
      <c r="C54" s="7">
        <f>IFERROR(__xludf.DUMMYFUNCTION("""COMPUTED_VALUE"""),331.35)</f>
        <v>331.35</v>
      </c>
      <c r="D54" s="7">
        <f>IFERROR(__xludf.DUMMYFUNCTION("""COMPUTED_VALUE"""),324.25)</f>
        <v>324.25</v>
      </c>
      <c r="E54" s="7">
        <f>IFERROR(__xludf.DUMMYFUNCTION("""COMPUTED_VALUE"""),329.65)</f>
        <v>329.65</v>
      </c>
      <c r="F54" s="7">
        <f>IFERROR(__xludf.DUMMYFUNCTION("""COMPUTED_VALUE"""),2.3174488E7)</f>
        <v>23174488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f>IFERROR(__xludf.DUMMYFUNCTION("""COMPUTED_VALUE"""),45630.64583333333)</f>
        <v>45630.64583</v>
      </c>
      <c r="B55" s="7">
        <f>IFERROR(__xludf.DUMMYFUNCTION("""COMPUTED_VALUE"""),329.05)</f>
        <v>329.05</v>
      </c>
      <c r="C55" s="7">
        <f>IFERROR(__xludf.DUMMYFUNCTION("""COMPUTED_VALUE"""),331.25)</f>
        <v>331.25</v>
      </c>
      <c r="D55" s="7">
        <f>IFERROR(__xludf.DUMMYFUNCTION("""COMPUTED_VALUE"""),321.1)</f>
        <v>321.1</v>
      </c>
      <c r="E55" s="7">
        <f>IFERROR(__xludf.DUMMYFUNCTION("""COMPUTED_VALUE"""),325.05)</f>
        <v>325.05</v>
      </c>
      <c r="F55" s="7">
        <f>IFERROR(__xludf.DUMMYFUNCTION("""COMPUTED_VALUE"""),1.7880011E7)</f>
        <v>17880011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f>IFERROR(__xludf.DUMMYFUNCTION("""COMPUTED_VALUE"""),45631.64583333333)</f>
        <v>45631.64583</v>
      </c>
      <c r="B56" s="7">
        <f>IFERROR(__xludf.DUMMYFUNCTION("""COMPUTED_VALUE"""),325.0)</f>
        <v>325</v>
      </c>
      <c r="C56" s="7">
        <f>IFERROR(__xludf.DUMMYFUNCTION("""COMPUTED_VALUE"""),330.45)</f>
        <v>330.45</v>
      </c>
      <c r="D56" s="7">
        <f>IFERROR(__xludf.DUMMYFUNCTION("""COMPUTED_VALUE"""),319.55)</f>
        <v>319.55</v>
      </c>
      <c r="E56" s="7">
        <f>IFERROR(__xludf.DUMMYFUNCTION("""COMPUTED_VALUE"""),328.35)</f>
        <v>328.35</v>
      </c>
      <c r="F56" s="7">
        <f>IFERROR(__xludf.DUMMYFUNCTION("""COMPUTED_VALUE"""),1.9785053E7)</f>
        <v>19785053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f>IFERROR(__xludf.DUMMYFUNCTION("""COMPUTED_VALUE"""),45632.64583333333)</f>
        <v>45632.64583</v>
      </c>
      <c r="B57" s="7">
        <f>IFERROR(__xludf.DUMMYFUNCTION("""COMPUTED_VALUE"""),327.1)</f>
        <v>327.1</v>
      </c>
      <c r="C57" s="7">
        <f>IFERROR(__xludf.DUMMYFUNCTION("""COMPUTED_VALUE"""),332.75)</f>
        <v>332.75</v>
      </c>
      <c r="D57" s="7">
        <f>IFERROR(__xludf.DUMMYFUNCTION("""COMPUTED_VALUE"""),326.7)</f>
        <v>326.7</v>
      </c>
      <c r="E57" s="7">
        <f>IFERROR(__xludf.DUMMYFUNCTION("""COMPUTED_VALUE"""),328.9)</f>
        <v>328.9</v>
      </c>
      <c r="F57" s="7">
        <f>IFERROR(__xludf.DUMMYFUNCTION("""COMPUTED_VALUE"""),8802058.0)</f>
        <v>8802058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f>IFERROR(__xludf.DUMMYFUNCTION("""COMPUTED_VALUE"""),45635.64583333333)</f>
        <v>45635.64583</v>
      </c>
      <c r="B58" s="7">
        <f>IFERROR(__xludf.DUMMYFUNCTION("""COMPUTED_VALUE"""),327.75)</f>
        <v>327.75</v>
      </c>
      <c r="C58" s="7">
        <f>IFERROR(__xludf.DUMMYFUNCTION("""COMPUTED_VALUE"""),330.65)</f>
        <v>330.65</v>
      </c>
      <c r="D58" s="7">
        <f>IFERROR(__xludf.DUMMYFUNCTION("""COMPUTED_VALUE"""),326.7)</f>
        <v>326.7</v>
      </c>
      <c r="E58" s="7">
        <f>IFERROR(__xludf.DUMMYFUNCTION("""COMPUTED_VALUE"""),329.1)</f>
        <v>329.1</v>
      </c>
      <c r="F58" s="7">
        <f>IFERROR(__xludf.DUMMYFUNCTION("""COMPUTED_VALUE"""),9376929.0)</f>
        <v>9376929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f>IFERROR(__xludf.DUMMYFUNCTION("""COMPUTED_VALUE"""),45636.64583333333)</f>
        <v>45636.64583</v>
      </c>
      <c r="B59" s="7">
        <f>IFERROR(__xludf.DUMMYFUNCTION("""COMPUTED_VALUE"""),331.85)</f>
        <v>331.85</v>
      </c>
      <c r="C59" s="7">
        <f>IFERROR(__xludf.DUMMYFUNCTION("""COMPUTED_VALUE"""),331.85)</f>
        <v>331.85</v>
      </c>
      <c r="D59" s="7">
        <f>IFERROR(__xludf.DUMMYFUNCTION("""COMPUTED_VALUE"""),325.35)</f>
        <v>325.35</v>
      </c>
      <c r="E59" s="7">
        <f>IFERROR(__xludf.DUMMYFUNCTION("""COMPUTED_VALUE"""),327.9)</f>
        <v>327.9</v>
      </c>
      <c r="F59" s="7">
        <f>IFERROR(__xludf.DUMMYFUNCTION("""COMPUTED_VALUE"""),1.4994365E7)</f>
        <v>14994365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f>IFERROR(__xludf.DUMMYFUNCTION("""COMPUTED_VALUE"""),45637.64583333333)</f>
        <v>45637.64583</v>
      </c>
      <c r="B60" s="7">
        <f>IFERROR(__xludf.DUMMYFUNCTION("""COMPUTED_VALUE"""),327.25)</f>
        <v>327.25</v>
      </c>
      <c r="C60" s="7">
        <f>IFERROR(__xludf.DUMMYFUNCTION("""COMPUTED_VALUE"""),329.0)</f>
        <v>329</v>
      </c>
      <c r="D60" s="7">
        <f>IFERROR(__xludf.DUMMYFUNCTION("""COMPUTED_VALUE"""),326.85)</f>
        <v>326.85</v>
      </c>
      <c r="E60" s="7">
        <f>IFERROR(__xludf.DUMMYFUNCTION("""COMPUTED_VALUE"""),327.55)</f>
        <v>327.55</v>
      </c>
      <c r="F60" s="7">
        <f>IFERROR(__xludf.DUMMYFUNCTION("""COMPUTED_VALUE"""),5013051.0)</f>
        <v>5013051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f>IFERROR(__xludf.DUMMYFUNCTION("""COMPUTED_VALUE"""),45638.64583333333)</f>
        <v>45638.64583</v>
      </c>
      <c r="B61" s="7">
        <f>IFERROR(__xludf.DUMMYFUNCTION("""COMPUTED_VALUE"""),328.0)</f>
        <v>328</v>
      </c>
      <c r="C61" s="7">
        <f>IFERROR(__xludf.DUMMYFUNCTION("""COMPUTED_VALUE"""),329.9)</f>
        <v>329.9</v>
      </c>
      <c r="D61" s="7">
        <f>IFERROR(__xludf.DUMMYFUNCTION("""COMPUTED_VALUE"""),325.85)</f>
        <v>325.85</v>
      </c>
      <c r="E61" s="7">
        <f>IFERROR(__xludf.DUMMYFUNCTION("""COMPUTED_VALUE"""),329.2)</f>
        <v>329.2</v>
      </c>
      <c r="F61" s="7">
        <f>IFERROR(__xludf.DUMMYFUNCTION("""COMPUTED_VALUE"""),1.0414162E7)</f>
        <v>10414162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f>IFERROR(__xludf.DUMMYFUNCTION("""COMPUTED_VALUE"""),45639.64583333333)</f>
        <v>45639.64583</v>
      </c>
      <c r="B62" s="7">
        <f>IFERROR(__xludf.DUMMYFUNCTION("""COMPUTED_VALUE"""),330.65)</f>
        <v>330.65</v>
      </c>
      <c r="C62" s="7">
        <f>IFERROR(__xludf.DUMMYFUNCTION("""COMPUTED_VALUE"""),334.3)</f>
        <v>334.3</v>
      </c>
      <c r="D62" s="7">
        <f>IFERROR(__xludf.DUMMYFUNCTION("""COMPUTED_VALUE"""),325.05)</f>
        <v>325.05</v>
      </c>
      <c r="E62" s="7">
        <f>IFERROR(__xludf.DUMMYFUNCTION("""COMPUTED_VALUE"""),333.85)</f>
        <v>333.85</v>
      </c>
      <c r="F62" s="7">
        <f>IFERROR(__xludf.DUMMYFUNCTION("""COMPUTED_VALUE"""),1.4973536E7)</f>
        <v>14973536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f>IFERROR(__xludf.DUMMYFUNCTION("""COMPUTED_VALUE"""),45642.64583333333)</f>
        <v>45642.64583</v>
      </c>
      <c r="B63" s="7">
        <f>IFERROR(__xludf.DUMMYFUNCTION("""COMPUTED_VALUE"""),333.85)</f>
        <v>333.85</v>
      </c>
      <c r="C63" s="7">
        <f>IFERROR(__xludf.DUMMYFUNCTION("""COMPUTED_VALUE"""),336.25)</f>
        <v>336.25</v>
      </c>
      <c r="D63" s="7">
        <f>IFERROR(__xludf.DUMMYFUNCTION("""COMPUTED_VALUE"""),331.6)</f>
        <v>331.6</v>
      </c>
      <c r="E63" s="7">
        <f>IFERROR(__xludf.DUMMYFUNCTION("""COMPUTED_VALUE"""),335.0)</f>
        <v>335</v>
      </c>
      <c r="F63" s="7">
        <f>IFERROR(__xludf.DUMMYFUNCTION("""COMPUTED_VALUE"""),1.2695136E7)</f>
        <v>12695136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f>IFERROR(__xludf.DUMMYFUNCTION("""COMPUTED_VALUE"""),45643.64583333333)</f>
        <v>45643.64583</v>
      </c>
      <c r="B64" s="7">
        <f>IFERROR(__xludf.DUMMYFUNCTION("""COMPUTED_VALUE"""),332.5)</f>
        <v>332.5</v>
      </c>
      <c r="C64" s="7">
        <f>IFERROR(__xludf.DUMMYFUNCTION("""COMPUTED_VALUE"""),335.55)</f>
        <v>335.55</v>
      </c>
      <c r="D64" s="7">
        <f>IFERROR(__xludf.DUMMYFUNCTION("""COMPUTED_VALUE"""),328.0)</f>
        <v>328</v>
      </c>
      <c r="E64" s="7">
        <f>IFERROR(__xludf.DUMMYFUNCTION("""COMPUTED_VALUE"""),329.8)</f>
        <v>329.8</v>
      </c>
      <c r="F64" s="7">
        <f>IFERROR(__xludf.DUMMYFUNCTION("""COMPUTED_VALUE"""),1.7360248E7)</f>
        <v>17360248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f>IFERROR(__xludf.DUMMYFUNCTION("""COMPUTED_VALUE"""),45644.64583333333)</f>
        <v>45644.64583</v>
      </c>
      <c r="B65" s="7">
        <f>IFERROR(__xludf.DUMMYFUNCTION("""COMPUTED_VALUE"""),328.0)</f>
        <v>328</v>
      </c>
      <c r="C65" s="7">
        <f>IFERROR(__xludf.DUMMYFUNCTION("""COMPUTED_VALUE"""),329.1)</f>
        <v>329.1</v>
      </c>
      <c r="D65" s="7">
        <f>IFERROR(__xludf.DUMMYFUNCTION("""COMPUTED_VALUE"""),320.65)</f>
        <v>320.65</v>
      </c>
      <c r="E65" s="7">
        <f>IFERROR(__xludf.DUMMYFUNCTION("""COMPUTED_VALUE"""),321.55)</f>
        <v>321.55</v>
      </c>
      <c r="F65" s="7">
        <f>IFERROR(__xludf.DUMMYFUNCTION("""COMPUTED_VALUE"""),1.5037099E7)</f>
        <v>15037099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f>IFERROR(__xludf.DUMMYFUNCTION("""COMPUTED_VALUE"""),45645.64583333333)</f>
        <v>45645.64583</v>
      </c>
      <c r="B66" s="7">
        <f>IFERROR(__xludf.DUMMYFUNCTION("""COMPUTED_VALUE"""),318.0)</f>
        <v>318</v>
      </c>
      <c r="C66" s="7">
        <f>IFERROR(__xludf.DUMMYFUNCTION("""COMPUTED_VALUE"""),323.85)</f>
        <v>323.85</v>
      </c>
      <c r="D66" s="7">
        <f>IFERROR(__xludf.DUMMYFUNCTION("""COMPUTED_VALUE"""),316.85)</f>
        <v>316.85</v>
      </c>
      <c r="E66" s="7">
        <f>IFERROR(__xludf.DUMMYFUNCTION("""COMPUTED_VALUE"""),321.65)</f>
        <v>321.65</v>
      </c>
      <c r="F66" s="7">
        <f>IFERROR(__xludf.DUMMYFUNCTION("""COMPUTED_VALUE"""),1.0234715E7)</f>
        <v>10234715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f>IFERROR(__xludf.DUMMYFUNCTION("""COMPUTED_VALUE"""),45646.64583333333)</f>
        <v>45646.64583</v>
      </c>
      <c r="B67" s="7">
        <f>IFERROR(__xludf.DUMMYFUNCTION("""COMPUTED_VALUE"""),321.3)</f>
        <v>321.3</v>
      </c>
      <c r="C67" s="7">
        <f>IFERROR(__xludf.DUMMYFUNCTION("""COMPUTED_VALUE"""),325.6)</f>
        <v>325.6</v>
      </c>
      <c r="D67" s="7">
        <f>IFERROR(__xludf.DUMMYFUNCTION("""COMPUTED_VALUE"""),313.6)</f>
        <v>313.6</v>
      </c>
      <c r="E67" s="7">
        <f>IFERROR(__xludf.DUMMYFUNCTION("""COMPUTED_VALUE"""),315.8)</f>
        <v>315.8</v>
      </c>
      <c r="F67" s="7">
        <f>IFERROR(__xludf.DUMMYFUNCTION("""COMPUTED_VALUE"""),1.3973399E7)</f>
        <v>13973399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f>IFERROR(__xludf.DUMMYFUNCTION("""COMPUTED_VALUE"""),45649.64583333333)</f>
        <v>45649.64583</v>
      </c>
      <c r="B68" s="7">
        <f>IFERROR(__xludf.DUMMYFUNCTION("""COMPUTED_VALUE"""),318.0)</f>
        <v>318</v>
      </c>
      <c r="C68" s="7">
        <f>IFERROR(__xludf.DUMMYFUNCTION("""COMPUTED_VALUE"""),318.3)</f>
        <v>318.3</v>
      </c>
      <c r="D68" s="7">
        <f>IFERROR(__xludf.DUMMYFUNCTION("""COMPUTED_VALUE"""),311.55)</f>
        <v>311.55</v>
      </c>
      <c r="E68" s="7">
        <f>IFERROR(__xludf.DUMMYFUNCTION("""COMPUTED_VALUE"""),315.3)</f>
        <v>315.3</v>
      </c>
      <c r="F68" s="7">
        <f>IFERROR(__xludf.DUMMYFUNCTION("""COMPUTED_VALUE"""),5984169.0)</f>
        <v>5984169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f>IFERROR(__xludf.DUMMYFUNCTION("""COMPUTED_VALUE"""),45650.64583333333)</f>
        <v>45650.64583</v>
      </c>
      <c r="B69" s="7">
        <f>IFERROR(__xludf.DUMMYFUNCTION("""COMPUTED_VALUE"""),314.1)</f>
        <v>314.1</v>
      </c>
      <c r="C69" s="7">
        <f>IFERROR(__xludf.DUMMYFUNCTION("""COMPUTED_VALUE"""),316.65)</f>
        <v>316.65</v>
      </c>
      <c r="D69" s="7">
        <f>IFERROR(__xludf.DUMMYFUNCTION("""COMPUTED_VALUE"""),308.75)</f>
        <v>308.75</v>
      </c>
      <c r="E69" s="7">
        <f>IFERROR(__xludf.DUMMYFUNCTION("""COMPUTED_VALUE"""),310.1)</f>
        <v>310.1</v>
      </c>
      <c r="F69" s="7">
        <f>IFERROR(__xludf.DUMMYFUNCTION("""COMPUTED_VALUE"""),4833589.0)</f>
        <v>4833589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f>IFERROR(__xludf.DUMMYFUNCTION("""COMPUTED_VALUE"""),45652.64583333333)</f>
        <v>45652.64583</v>
      </c>
      <c r="B70" s="7">
        <f>IFERROR(__xludf.DUMMYFUNCTION("""COMPUTED_VALUE"""),310.1)</f>
        <v>310.1</v>
      </c>
      <c r="C70" s="7">
        <f>IFERROR(__xludf.DUMMYFUNCTION("""COMPUTED_VALUE"""),313.1)</f>
        <v>313.1</v>
      </c>
      <c r="D70" s="7">
        <f>IFERROR(__xludf.DUMMYFUNCTION("""COMPUTED_VALUE"""),308.75)</f>
        <v>308.75</v>
      </c>
      <c r="E70" s="7">
        <f>IFERROR(__xludf.DUMMYFUNCTION("""COMPUTED_VALUE"""),310.3)</f>
        <v>310.3</v>
      </c>
      <c r="F70" s="7">
        <f>IFERROR(__xludf.DUMMYFUNCTION("""COMPUTED_VALUE"""),3775101.0)</f>
        <v>3775101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f>IFERROR(__xludf.DUMMYFUNCTION("""COMPUTED_VALUE"""),45653.64583333333)</f>
        <v>45653.64583</v>
      </c>
      <c r="B71" s="7">
        <f>IFERROR(__xludf.DUMMYFUNCTION("""COMPUTED_VALUE"""),310.75)</f>
        <v>310.75</v>
      </c>
      <c r="C71" s="7">
        <f>IFERROR(__xludf.DUMMYFUNCTION("""COMPUTED_VALUE"""),312.3)</f>
        <v>312.3</v>
      </c>
      <c r="D71" s="7">
        <f>IFERROR(__xludf.DUMMYFUNCTION("""COMPUTED_VALUE"""),308.8)</f>
        <v>308.8</v>
      </c>
      <c r="E71" s="7">
        <f>IFERROR(__xludf.DUMMYFUNCTION("""COMPUTED_VALUE"""),309.4)</f>
        <v>309.4</v>
      </c>
      <c r="F71" s="7">
        <f>IFERROR(__xludf.DUMMYFUNCTION("""COMPUTED_VALUE"""),3981693.0)</f>
        <v>3981693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f>IFERROR(__xludf.DUMMYFUNCTION("""COMPUTED_VALUE"""),45656.64583333333)</f>
        <v>45656.64583</v>
      </c>
      <c r="B72" s="7">
        <f>IFERROR(__xludf.DUMMYFUNCTION("""COMPUTED_VALUE"""),309.0)</f>
        <v>309</v>
      </c>
      <c r="C72" s="7">
        <f>IFERROR(__xludf.DUMMYFUNCTION("""COMPUTED_VALUE"""),312.0)</f>
        <v>312</v>
      </c>
      <c r="D72" s="7">
        <f>IFERROR(__xludf.DUMMYFUNCTION("""COMPUTED_VALUE"""),306.3)</f>
        <v>306.3</v>
      </c>
      <c r="E72" s="7">
        <f>IFERROR(__xludf.DUMMYFUNCTION("""COMPUTED_VALUE"""),307.55)</f>
        <v>307.55</v>
      </c>
      <c r="F72" s="7">
        <f>IFERROR(__xludf.DUMMYFUNCTION("""COMPUTED_VALUE"""),1.2489142E7)</f>
        <v>12489142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f>IFERROR(__xludf.DUMMYFUNCTION("""COMPUTED_VALUE"""),45657.64583333333)</f>
        <v>45657.64583</v>
      </c>
      <c r="B73" s="7">
        <f>IFERROR(__xludf.DUMMYFUNCTION("""COMPUTED_VALUE"""),307.35)</f>
        <v>307.35</v>
      </c>
      <c r="C73" s="7">
        <f>IFERROR(__xludf.DUMMYFUNCTION("""COMPUTED_VALUE"""),309.75)</f>
        <v>309.75</v>
      </c>
      <c r="D73" s="7">
        <f>IFERROR(__xludf.DUMMYFUNCTION("""COMPUTED_VALUE"""),305.15)</f>
        <v>305.15</v>
      </c>
      <c r="E73" s="7">
        <f>IFERROR(__xludf.DUMMYFUNCTION("""COMPUTED_VALUE"""),308.7)</f>
        <v>308.7</v>
      </c>
      <c r="F73" s="7">
        <f>IFERROR(__xludf.DUMMYFUNCTION("""COMPUTED_VALUE"""),8402716.0)</f>
        <v>8402716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f>IFERROR(__xludf.DUMMYFUNCTION("""COMPUTED_VALUE"""),45658.64583333333)</f>
        <v>45658.64583</v>
      </c>
      <c r="B74" s="7">
        <f>IFERROR(__xludf.DUMMYFUNCTION("""COMPUTED_VALUE"""),308.7)</f>
        <v>308.7</v>
      </c>
      <c r="C74" s="7">
        <f>IFERROR(__xludf.DUMMYFUNCTION("""COMPUTED_VALUE"""),311.35)</f>
        <v>311.35</v>
      </c>
      <c r="D74" s="7">
        <f>IFERROR(__xludf.DUMMYFUNCTION("""COMPUTED_VALUE"""),305.9)</f>
        <v>305.9</v>
      </c>
      <c r="E74" s="7">
        <f>IFERROR(__xludf.DUMMYFUNCTION("""COMPUTED_VALUE"""),310.4)</f>
        <v>310.4</v>
      </c>
      <c r="F74" s="7">
        <f>IFERROR(__xludf.DUMMYFUNCTION("""COMPUTED_VALUE"""),4239498.0)</f>
        <v>4239498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f>IFERROR(__xludf.DUMMYFUNCTION("""COMPUTED_VALUE"""),45659.64583333333)</f>
        <v>45659.64583</v>
      </c>
      <c r="B75" s="7">
        <f>IFERROR(__xludf.DUMMYFUNCTION("""COMPUTED_VALUE"""),309.85)</f>
        <v>309.85</v>
      </c>
      <c r="C75" s="7">
        <f>IFERROR(__xludf.DUMMYFUNCTION("""COMPUTED_VALUE"""),317.2)</f>
        <v>317.2</v>
      </c>
      <c r="D75" s="7">
        <f>IFERROR(__xludf.DUMMYFUNCTION("""COMPUTED_VALUE"""),308.75)</f>
        <v>308.75</v>
      </c>
      <c r="E75" s="7">
        <f>IFERROR(__xludf.DUMMYFUNCTION("""COMPUTED_VALUE"""),315.15)</f>
        <v>315.15</v>
      </c>
      <c r="F75" s="7">
        <f>IFERROR(__xludf.DUMMYFUNCTION("""COMPUTED_VALUE"""),1.0766571E7)</f>
        <v>10766571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f>IFERROR(__xludf.DUMMYFUNCTION("""COMPUTED_VALUE"""),45660.64583333333)</f>
        <v>45660.64583</v>
      </c>
      <c r="B76" s="7">
        <f>IFERROR(__xludf.DUMMYFUNCTION("""COMPUTED_VALUE"""),316.35)</f>
        <v>316.35</v>
      </c>
      <c r="C76" s="7">
        <f>IFERROR(__xludf.DUMMYFUNCTION("""COMPUTED_VALUE"""),318.0)</f>
        <v>318</v>
      </c>
      <c r="D76" s="7">
        <f>IFERROR(__xludf.DUMMYFUNCTION("""COMPUTED_VALUE"""),313.65)</f>
        <v>313.65</v>
      </c>
      <c r="E76" s="7">
        <f>IFERROR(__xludf.DUMMYFUNCTION("""COMPUTED_VALUE"""),316.05)</f>
        <v>316.05</v>
      </c>
      <c r="F76" s="7">
        <f>IFERROR(__xludf.DUMMYFUNCTION("""COMPUTED_VALUE"""),7636948.0)</f>
        <v>7636948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f>IFERROR(__xludf.DUMMYFUNCTION("""COMPUTED_VALUE"""),45663.64583333333)</f>
        <v>45663.64583</v>
      </c>
      <c r="B77" s="7">
        <f>IFERROR(__xludf.DUMMYFUNCTION("""COMPUTED_VALUE"""),315.8)</f>
        <v>315.8</v>
      </c>
      <c r="C77" s="7">
        <f>IFERROR(__xludf.DUMMYFUNCTION("""COMPUTED_VALUE"""),316.5)</f>
        <v>316.5</v>
      </c>
      <c r="D77" s="7">
        <f>IFERROR(__xludf.DUMMYFUNCTION("""COMPUTED_VALUE"""),304.8)</f>
        <v>304.8</v>
      </c>
      <c r="E77" s="7">
        <f>IFERROR(__xludf.DUMMYFUNCTION("""COMPUTED_VALUE"""),306.0)</f>
        <v>306</v>
      </c>
      <c r="F77" s="7">
        <f>IFERROR(__xludf.DUMMYFUNCTION("""COMPUTED_VALUE"""),6722495.0)</f>
        <v>6722495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f>IFERROR(__xludf.DUMMYFUNCTION("""COMPUTED_VALUE"""),45664.64583333333)</f>
        <v>45664.64583</v>
      </c>
      <c r="B78" s="7">
        <f>IFERROR(__xludf.DUMMYFUNCTION("""COMPUTED_VALUE"""),306.0)</f>
        <v>306</v>
      </c>
      <c r="C78" s="7">
        <f>IFERROR(__xludf.DUMMYFUNCTION("""COMPUTED_VALUE"""),310.7)</f>
        <v>310.7</v>
      </c>
      <c r="D78" s="7">
        <f>IFERROR(__xludf.DUMMYFUNCTION("""COMPUTED_VALUE"""),303.0)</f>
        <v>303</v>
      </c>
      <c r="E78" s="7">
        <f>IFERROR(__xludf.DUMMYFUNCTION("""COMPUTED_VALUE"""),305.05)</f>
        <v>305.05</v>
      </c>
      <c r="F78" s="7">
        <f>IFERROR(__xludf.DUMMYFUNCTION("""COMPUTED_VALUE"""),1.0137739E7)</f>
        <v>10137739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f>IFERROR(__xludf.DUMMYFUNCTION("""COMPUTED_VALUE"""),45665.64583333333)</f>
        <v>45665.64583</v>
      </c>
      <c r="B79" s="7">
        <f>IFERROR(__xludf.DUMMYFUNCTION("""COMPUTED_VALUE"""),306.15)</f>
        <v>306.15</v>
      </c>
      <c r="C79" s="7">
        <f>IFERROR(__xludf.DUMMYFUNCTION("""COMPUTED_VALUE"""),307.85)</f>
        <v>307.85</v>
      </c>
      <c r="D79" s="7">
        <f>IFERROR(__xludf.DUMMYFUNCTION("""COMPUTED_VALUE"""),303.0)</f>
        <v>303</v>
      </c>
      <c r="E79" s="7">
        <f>IFERROR(__xludf.DUMMYFUNCTION("""COMPUTED_VALUE"""),306.65)</f>
        <v>306.65</v>
      </c>
      <c r="F79" s="7">
        <f>IFERROR(__xludf.DUMMYFUNCTION("""COMPUTED_VALUE"""),6907996.0)</f>
        <v>6907996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f>IFERROR(__xludf.DUMMYFUNCTION("""COMPUTED_VALUE"""),45666.64583333333)</f>
        <v>45666.64583</v>
      </c>
      <c r="B80" s="7">
        <f>IFERROR(__xludf.DUMMYFUNCTION("""COMPUTED_VALUE"""),306.65)</f>
        <v>306.65</v>
      </c>
      <c r="C80" s="7">
        <f>IFERROR(__xludf.DUMMYFUNCTION("""COMPUTED_VALUE"""),306.9)</f>
        <v>306.9</v>
      </c>
      <c r="D80" s="7">
        <f>IFERROR(__xludf.DUMMYFUNCTION("""COMPUTED_VALUE"""),303.65)</f>
        <v>303.65</v>
      </c>
      <c r="E80" s="7">
        <f>IFERROR(__xludf.DUMMYFUNCTION("""COMPUTED_VALUE"""),305.25)</f>
        <v>305.25</v>
      </c>
      <c r="F80" s="7">
        <f>IFERROR(__xludf.DUMMYFUNCTION("""COMPUTED_VALUE"""),8244909.0)</f>
        <v>8244909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f>IFERROR(__xludf.DUMMYFUNCTION("""COMPUTED_VALUE"""),45667.64583333333)</f>
        <v>45667.64583</v>
      </c>
      <c r="B81" s="7">
        <f>IFERROR(__xludf.DUMMYFUNCTION("""COMPUTED_VALUE"""),304.05)</f>
        <v>304.05</v>
      </c>
      <c r="C81" s="7">
        <f>IFERROR(__xludf.DUMMYFUNCTION("""COMPUTED_VALUE"""),305.25)</f>
        <v>305.25</v>
      </c>
      <c r="D81" s="7">
        <f>IFERROR(__xludf.DUMMYFUNCTION("""COMPUTED_VALUE"""),298.5)</f>
        <v>298.5</v>
      </c>
      <c r="E81" s="7">
        <f>IFERROR(__xludf.DUMMYFUNCTION("""COMPUTED_VALUE"""),299.7)</f>
        <v>299.7</v>
      </c>
      <c r="F81" s="7">
        <f>IFERROR(__xludf.DUMMYFUNCTION("""COMPUTED_VALUE"""),6540783.0)</f>
        <v>6540783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f>IFERROR(__xludf.DUMMYFUNCTION("""COMPUTED_VALUE"""),45670.64583333333)</f>
        <v>45670.64583</v>
      </c>
      <c r="B82" s="7">
        <f>IFERROR(__xludf.DUMMYFUNCTION("""COMPUTED_VALUE"""),295.0)</f>
        <v>295</v>
      </c>
      <c r="C82" s="7">
        <f>IFERROR(__xludf.DUMMYFUNCTION("""COMPUTED_VALUE"""),298.55)</f>
        <v>298.55</v>
      </c>
      <c r="D82" s="7">
        <f>IFERROR(__xludf.DUMMYFUNCTION("""COMPUTED_VALUE"""),286.75)</f>
        <v>286.75</v>
      </c>
      <c r="E82" s="7">
        <f>IFERROR(__xludf.DUMMYFUNCTION("""COMPUTED_VALUE"""),287.6)</f>
        <v>287.6</v>
      </c>
      <c r="F82" s="7">
        <f>IFERROR(__xludf.DUMMYFUNCTION("""COMPUTED_VALUE"""),1.9474228E7)</f>
        <v>19474228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f>IFERROR(__xludf.DUMMYFUNCTION("""COMPUTED_VALUE"""),45671.64583333333)</f>
        <v>45671.64583</v>
      </c>
      <c r="B83" s="7">
        <f>IFERROR(__xludf.DUMMYFUNCTION("""COMPUTED_VALUE"""),287.75)</f>
        <v>287.75</v>
      </c>
      <c r="C83" s="7">
        <f>IFERROR(__xludf.DUMMYFUNCTION("""COMPUTED_VALUE"""),293.05)</f>
        <v>293.05</v>
      </c>
      <c r="D83" s="7">
        <f>IFERROR(__xludf.DUMMYFUNCTION("""COMPUTED_VALUE"""),286.8)</f>
        <v>286.8</v>
      </c>
      <c r="E83" s="7">
        <f>IFERROR(__xludf.DUMMYFUNCTION("""COMPUTED_VALUE"""),290.25)</f>
        <v>290.25</v>
      </c>
      <c r="F83" s="7">
        <f>IFERROR(__xludf.DUMMYFUNCTION("""COMPUTED_VALUE"""),1.5954608E7)</f>
        <v>15954608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f>IFERROR(__xludf.DUMMYFUNCTION("""COMPUTED_VALUE"""),45672.64583333333)</f>
        <v>45672.64583</v>
      </c>
      <c r="B84" s="7">
        <f>IFERROR(__xludf.DUMMYFUNCTION("""COMPUTED_VALUE"""),295.0)</f>
        <v>295</v>
      </c>
      <c r="C84" s="7">
        <f>IFERROR(__xludf.DUMMYFUNCTION("""COMPUTED_VALUE"""),302.5)</f>
        <v>302.5</v>
      </c>
      <c r="D84" s="7">
        <f>IFERROR(__xludf.DUMMYFUNCTION("""COMPUTED_VALUE"""),291.1)</f>
        <v>291.1</v>
      </c>
      <c r="E84" s="7">
        <f>IFERROR(__xludf.DUMMYFUNCTION("""COMPUTED_VALUE"""),298.65)</f>
        <v>298.65</v>
      </c>
      <c r="F84" s="7">
        <f>IFERROR(__xludf.DUMMYFUNCTION("""COMPUTED_VALUE"""),1.2198882E7)</f>
        <v>12198882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f>IFERROR(__xludf.DUMMYFUNCTION("""COMPUTED_VALUE"""),45673.64583333333)</f>
        <v>45673.64583</v>
      </c>
      <c r="B85" s="7">
        <f>IFERROR(__xludf.DUMMYFUNCTION("""COMPUTED_VALUE"""),299.0)</f>
        <v>299</v>
      </c>
      <c r="C85" s="7">
        <f>IFERROR(__xludf.DUMMYFUNCTION("""COMPUTED_VALUE"""),301.6)</f>
        <v>301.6</v>
      </c>
      <c r="D85" s="7">
        <f>IFERROR(__xludf.DUMMYFUNCTION("""COMPUTED_VALUE"""),296.6)</f>
        <v>296.6</v>
      </c>
      <c r="E85" s="7">
        <f>IFERROR(__xludf.DUMMYFUNCTION("""COMPUTED_VALUE"""),297.65)</f>
        <v>297.65</v>
      </c>
      <c r="F85" s="7">
        <f>IFERROR(__xludf.DUMMYFUNCTION("""COMPUTED_VALUE"""),1.1694289E7)</f>
        <v>11694289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f>IFERROR(__xludf.DUMMYFUNCTION("""COMPUTED_VALUE"""),45674.64583333333)</f>
        <v>45674.64583</v>
      </c>
      <c r="B86" s="7">
        <f>IFERROR(__xludf.DUMMYFUNCTION("""COMPUTED_VALUE"""),297.65)</f>
        <v>297.65</v>
      </c>
      <c r="C86" s="7">
        <f>IFERROR(__xludf.DUMMYFUNCTION("""COMPUTED_VALUE"""),305.0)</f>
        <v>305</v>
      </c>
      <c r="D86" s="7">
        <f>IFERROR(__xludf.DUMMYFUNCTION("""COMPUTED_VALUE"""),295.7)</f>
        <v>295.7</v>
      </c>
      <c r="E86" s="7">
        <f>IFERROR(__xludf.DUMMYFUNCTION("""COMPUTED_VALUE"""),302.6)</f>
        <v>302.6</v>
      </c>
      <c r="F86" s="7">
        <f>IFERROR(__xludf.DUMMYFUNCTION("""COMPUTED_VALUE"""),7593230.0)</f>
        <v>7593230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f>IFERROR(__xludf.DUMMYFUNCTION("""COMPUTED_VALUE"""),45677.64583333333)</f>
        <v>45677.64583</v>
      </c>
      <c r="B87" s="7">
        <f>IFERROR(__xludf.DUMMYFUNCTION("""COMPUTED_VALUE"""),302.6)</f>
        <v>302.6</v>
      </c>
      <c r="C87" s="7">
        <f>IFERROR(__xludf.DUMMYFUNCTION("""COMPUTED_VALUE"""),308.8)</f>
        <v>308.8</v>
      </c>
      <c r="D87" s="7">
        <f>IFERROR(__xludf.DUMMYFUNCTION("""COMPUTED_VALUE"""),301.95)</f>
        <v>301.95</v>
      </c>
      <c r="E87" s="7">
        <f>IFERROR(__xludf.DUMMYFUNCTION("""COMPUTED_VALUE"""),306.25)</f>
        <v>306.25</v>
      </c>
      <c r="F87" s="7">
        <f>IFERROR(__xludf.DUMMYFUNCTION("""COMPUTED_VALUE"""),9435937.0)</f>
        <v>9435937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f>IFERROR(__xludf.DUMMYFUNCTION("""COMPUTED_VALUE"""),45678.64583333333)</f>
        <v>45678.64583</v>
      </c>
      <c r="B88" s="7">
        <f>IFERROR(__xludf.DUMMYFUNCTION("""COMPUTED_VALUE"""),307.0)</f>
        <v>307</v>
      </c>
      <c r="C88" s="7">
        <f>IFERROR(__xludf.DUMMYFUNCTION("""COMPUTED_VALUE"""),309.95)</f>
        <v>309.95</v>
      </c>
      <c r="D88" s="7">
        <f>IFERROR(__xludf.DUMMYFUNCTION("""COMPUTED_VALUE"""),301.5)</f>
        <v>301.5</v>
      </c>
      <c r="E88" s="7">
        <f>IFERROR(__xludf.DUMMYFUNCTION("""COMPUTED_VALUE"""),302.35)</f>
        <v>302.35</v>
      </c>
      <c r="F88" s="7">
        <f>IFERROR(__xludf.DUMMYFUNCTION("""COMPUTED_VALUE"""),1.3911546E7)</f>
        <v>13911546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f>IFERROR(__xludf.DUMMYFUNCTION("""COMPUTED_VALUE"""),45679.64583333333)</f>
        <v>45679.64583</v>
      </c>
      <c r="B89" s="7">
        <f>IFERROR(__xludf.DUMMYFUNCTION("""COMPUTED_VALUE"""),302.0)</f>
        <v>302</v>
      </c>
      <c r="C89" s="7">
        <f>IFERROR(__xludf.DUMMYFUNCTION("""COMPUTED_VALUE"""),302.3)</f>
        <v>302.3</v>
      </c>
      <c r="D89" s="7">
        <f>IFERROR(__xludf.DUMMYFUNCTION("""COMPUTED_VALUE"""),295.8)</f>
        <v>295.8</v>
      </c>
      <c r="E89" s="7">
        <f>IFERROR(__xludf.DUMMYFUNCTION("""COMPUTED_VALUE"""),297.55)</f>
        <v>297.55</v>
      </c>
      <c r="F89" s="7">
        <f>IFERROR(__xludf.DUMMYFUNCTION("""COMPUTED_VALUE"""),9723333.0)</f>
        <v>9723333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f>IFERROR(__xludf.DUMMYFUNCTION("""COMPUTED_VALUE"""),45680.64583333333)</f>
        <v>45680.64583</v>
      </c>
      <c r="B90" s="7">
        <f>IFERROR(__xludf.DUMMYFUNCTION("""COMPUTED_VALUE"""),297.5)</f>
        <v>297.5</v>
      </c>
      <c r="C90" s="7">
        <f>IFERROR(__xludf.DUMMYFUNCTION("""COMPUTED_VALUE"""),299.6)</f>
        <v>299.6</v>
      </c>
      <c r="D90" s="7">
        <f>IFERROR(__xludf.DUMMYFUNCTION("""COMPUTED_VALUE"""),293.6)</f>
        <v>293.6</v>
      </c>
      <c r="E90" s="7">
        <f>IFERROR(__xludf.DUMMYFUNCTION("""COMPUTED_VALUE"""),294.35)</f>
        <v>294.35</v>
      </c>
      <c r="F90" s="7">
        <f>IFERROR(__xludf.DUMMYFUNCTION("""COMPUTED_VALUE"""),1.2228286E7)</f>
        <v>12228286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f>IFERROR(__xludf.DUMMYFUNCTION("""COMPUTED_VALUE"""),45681.64583333333)</f>
        <v>45681.64583</v>
      </c>
      <c r="B91" s="7">
        <f>IFERROR(__xludf.DUMMYFUNCTION("""COMPUTED_VALUE"""),295.3)</f>
        <v>295.3</v>
      </c>
      <c r="C91" s="7">
        <f>IFERROR(__xludf.DUMMYFUNCTION("""COMPUTED_VALUE"""),302.5)</f>
        <v>302.5</v>
      </c>
      <c r="D91" s="7">
        <f>IFERROR(__xludf.DUMMYFUNCTION("""COMPUTED_VALUE"""),294.35)</f>
        <v>294.35</v>
      </c>
      <c r="E91" s="7">
        <f>IFERROR(__xludf.DUMMYFUNCTION("""COMPUTED_VALUE"""),295.85)</f>
        <v>295.85</v>
      </c>
      <c r="F91" s="7">
        <f>IFERROR(__xludf.DUMMYFUNCTION("""COMPUTED_VALUE"""),1.1142914E7)</f>
        <v>11142914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f>IFERROR(__xludf.DUMMYFUNCTION("""COMPUTED_VALUE"""),45684.64583333333)</f>
        <v>45684.64583</v>
      </c>
      <c r="B92" s="7">
        <f>IFERROR(__xludf.DUMMYFUNCTION("""COMPUTED_VALUE"""),295.0)</f>
        <v>295</v>
      </c>
      <c r="C92" s="7">
        <f>IFERROR(__xludf.DUMMYFUNCTION("""COMPUTED_VALUE"""),295.0)</f>
        <v>295</v>
      </c>
      <c r="D92" s="7">
        <f>IFERROR(__xludf.DUMMYFUNCTION("""COMPUTED_VALUE"""),283.75)</f>
        <v>283.75</v>
      </c>
      <c r="E92" s="7">
        <f>IFERROR(__xludf.DUMMYFUNCTION("""COMPUTED_VALUE"""),287.0)</f>
        <v>287</v>
      </c>
      <c r="F92" s="7">
        <f>IFERROR(__xludf.DUMMYFUNCTION("""COMPUTED_VALUE"""),1.3477947E7)</f>
        <v>13477947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f>IFERROR(__xludf.DUMMYFUNCTION("""COMPUTED_VALUE"""),45685.64583333333)</f>
        <v>45685.64583</v>
      </c>
      <c r="B93" s="7">
        <f>IFERROR(__xludf.DUMMYFUNCTION("""COMPUTED_VALUE"""),287.15)</f>
        <v>287.15</v>
      </c>
      <c r="C93" s="7">
        <f>IFERROR(__xludf.DUMMYFUNCTION("""COMPUTED_VALUE"""),288.8)</f>
        <v>288.8</v>
      </c>
      <c r="D93" s="7">
        <f>IFERROR(__xludf.DUMMYFUNCTION("""COMPUTED_VALUE"""),279.35)</f>
        <v>279.35</v>
      </c>
      <c r="E93" s="7">
        <f>IFERROR(__xludf.DUMMYFUNCTION("""COMPUTED_VALUE"""),283.95)</f>
        <v>283.95</v>
      </c>
      <c r="F93" s="7">
        <f>IFERROR(__xludf.DUMMYFUNCTION("""COMPUTED_VALUE"""),1.1298068E7)</f>
        <v>11298068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f>IFERROR(__xludf.DUMMYFUNCTION("""COMPUTED_VALUE"""),45686.64583333333)</f>
        <v>45686.64583</v>
      </c>
      <c r="B94" s="7">
        <f>IFERROR(__xludf.DUMMYFUNCTION("""COMPUTED_VALUE"""),285.35)</f>
        <v>285.35</v>
      </c>
      <c r="C94" s="7">
        <f>IFERROR(__xludf.DUMMYFUNCTION("""COMPUTED_VALUE"""),289.15)</f>
        <v>289.15</v>
      </c>
      <c r="D94" s="7">
        <f>IFERROR(__xludf.DUMMYFUNCTION("""COMPUTED_VALUE"""),283.3)</f>
        <v>283.3</v>
      </c>
      <c r="E94" s="7">
        <f>IFERROR(__xludf.DUMMYFUNCTION("""COMPUTED_VALUE"""),287.85)</f>
        <v>287.85</v>
      </c>
      <c r="F94" s="7">
        <f>IFERROR(__xludf.DUMMYFUNCTION("""COMPUTED_VALUE"""),4800024.0)</f>
        <v>4800024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f>IFERROR(__xludf.DUMMYFUNCTION("""COMPUTED_VALUE"""),45687.64583333333)</f>
        <v>45687.64583</v>
      </c>
      <c r="B95" s="7">
        <f>IFERROR(__xludf.DUMMYFUNCTION("""COMPUTED_VALUE"""),287.85)</f>
        <v>287.85</v>
      </c>
      <c r="C95" s="7">
        <f>IFERROR(__xludf.DUMMYFUNCTION("""COMPUTED_VALUE"""),297.1)</f>
        <v>297.1</v>
      </c>
      <c r="D95" s="7">
        <f>IFERROR(__xludf.DUMMYFUNCTION("""COMPUTED_VALUE"""),287.85)</f>
        <v>287.85</v>
      </c>
      <c r="E95" s="7">
        <f>IFERROR(__xludf.DUMMYFUNCTION("""COMPUTED_VALUE"""),295.35)</f>
        <v>295.35</v>
      </c>
      <c r="F95" s="7">
        <f>IFERROR(__xludf.DUMMYFUNCTION("""COMPUTED_VALUE"""),1.0969499E7)</f>
        <v>10969499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f>IFERROR(__xludf.DUMMYFUNCTION("""COMPUTED_VALUE"""),45688.64583333333)</f>
        <v>45688.64583</v>
      </c>
      <c r="B96" s="7">
        <f>IFERROR(__xludf.DUMMYFUNCTION("""COMPUTED_VALUE"""),297.0)</f>
        <v>297</v>
      </c>
      <c r="C96" s="7">
        <f>IFERROR(__xludf.DUMMYFUNCTION("""COMPUTED_VALUE"""),303.45)</f>
        <v>303.45</v>
      </c>
      <c r="D96" s="7">
        <f>IFERROR(__xludf.DUMMYFUNCTION("""COMPUTED_VALUE"""),295.9)</f>
        <v>295.9</v>
      </c>
      <c r="E96" s="7">
        <f>IFERROR(__xludf.DUMMYFUNCTION("""COMPUTED_VALUE"""),301.65)</f>
        <v>301.65</v>
      </c>
      <c r="F96" s="7">
        <f>IFERROR(__xludf.DUMMYFUNCTION("""COMPUTED_VALUE"""),1.4141459E7)</f>
        <v>14141459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f>IFERROR(__xludf.DUMMYFUNCTION("""COMPUTED_VALUE"""),45691.64583333333)</f>
        <v>45691.64583</v>
      </c>
      <c r="B97" s="7">
        <f>IFERROR(__xludf.DUMMYFUNCTION("""COMPUTED_VALUE"""),290.0)</f>
        <v>290</v>
      </c>
      <c r="C97" s="7">
        <f>IFERROR(__xludf.DUMMYFUNCTION("""COMPUTED_VALUE"""),292.0)</f>
        <v>292</v>
      </c>
      <c r="D97" s="7">
        <f>IFERROR(__xludf.DUMMYFUNCTION("""COMPUTED_VALUE"""),278.0)</f>
        <v>278</v>
      </c>
      <c r="E97" s="7">
        <f>IFERROR(__xludf.DUMMYFUNCTION("""COMPUTED_VALUE"""),283.8)</f>
        <v>283.8</v>
      </c>
      <c r="F97" s="7">
        <f>IFERROR(__xludf.DUMMYFUNCTION("""COMPUTED_VALUE"""),1.4978897E7)</f>
        <v>14978897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f>IFERROR(__xludf.DUMMYFUNCTION("""COMPUTED_VALUE"""),45692.64583333333)</f>
        <v>45692.64583</v>
      </c>
      <c r="B98" s="7">
        <f>IFERROR(__xludf.DUMMYFUNCTION("""COMPUTED_VALUE"""),281.0)</f>
        <v>281</v>
      </c>
      <c r="C98" s="7">
        <f>IFERROR(__xludf.DUMMYFUNCTION("""COMPUTED_VALUE"""),286.4)</f>
        <v>286.4</v>
      </c>
      <c r="D98" s="7">
        <f>IFERROR(__xludf.DUMMYFUNCTION("""COMPUTED_VALUE"""),272.1)</f>
        <v>272.1</v>
      </c>
      <c r="E98" s="7">
        <f>IFERROR(__xludf.DUMMYFUNCTION("""COMPUTED_VALUE"""),285.65)</f>
        <v>285.65</v>
      </c>
      <c r="F98" s="7">
        <f>IFERROR(__xludf.DUMMYFUNCTION("""COMPUTED_VALUE"""),1.9836427E7)</f>
        <v>19836427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f>IFERROR(__xludf.DUMMYFUNCTION("""COMPUTED_VALUE"""),45693.64583333333)</f>
        <v>45693.64583</v>
      </c>
      <c r="B99" s="7">
        <f>IFERROR(__xludf.DUMMYFUNCTION("""COMPUTED_VALUE"""),285.6)</f>
        <v>285.6</v>
      </c>
      <c r="C99" s="7">
        <f>IFERROR(__xludf.DUMMYFUNCTION("""COMPUTED_VALUE"""),290.75)</f>
        <v>290.75</v>
      </c>
      <c r="D99" s="7">
        <f>IFERROR(__xludf.DUMMYFUNCTION("""COMPUTED_VALUE"""),284.55)</f>
        <v>284.55</v>
      </c>
      <c r="E99" s="7">
        <f>IFERROR(__xludf.DUMMYFUNCTION("""COMPUTED_VALUE"""),285.2)</f>
        <v>285.2</v>
      </c>
      <c r="F99" s="7">
        <f>IFERROR(__xludf.DUMMYFUNCTION("""COMPUTED_VALUE"""),1.5337191E7)</f>
        <v>15337191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f>IFERROR(__xludf.DUMMYFUNCTION("""COMPUTED_VALUE"""),45694.64583333333)</f>
        <v>45694.64583</v>
      </c>
      <c r="B100" s="7">
        <f>IFERROR(__xludf.DUMMYFUNCTION("""COMPUTED_VALUE"""),287.5)</f>
        <v>287.5</v>
      </c>
      <c r="C100" s="7">
        <f>IFERROR(__xludf.DUMMYFUNCTION("""COMPUTED_VALUE"""),290.95)</f>
        <v>290.95</v>
      </c>
      <c r="D100" s="7">
        <f>IFERROR(__xludf.DUMMYFUNCTION("""COMPUTED_VALUE"""),279.75)</f>
        <v>279.75</v>
      </c>
      <c r="E100" s="7">
        <f>IFERROR(__xludf.DUMMYFUNCTION("""COMPUTED_VALUE"""),281.15)</f>
        <v>281.15</v>
      </c>
      <c r="F100" s="7">
        <f>IFERROR(__xludf.DUMMYFUNCTION("""COMPUTED_VALUE"""),2.1418561E7)</f>
        <v>21418561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f>IFERROR(__xludf.DUMMYFUNCTION("""COMPUTED_VALUE"""),45695.64583333333)</f>
        <v>45695.64583</v>
      </c>
      <c r="B101" s="7">
        <f>IFERROR(__xludf.DUMMYFUNCTION("""COMPUTED_VALUE"""),273.1)</f>
        <v>273.1</v>
      </c>
      <c r="C101" s="7">
        <f>IFERROR(__xludf.DUMMYFUNCTION("""COMPUTED_VALUE"""),281.9)</f>
        <v>281.9</v>
      </c>
      <c r="D101" s="7">
        <f>IFERROR(__xludf.DUMMYFUNCTION("""COMPUTED_VALUE"""),270.0)</f>
        <v>270</v>
      </c>
      <c r="E101" s="7">
        <f>IFERROR(__xludf.DUMMYFUNCTION("""COMPUTED_VALUE"""),278.15)</f>
        <v>278.15</v>
      </c>
      <c r="F101" s="7">
        <f>IFERROR(__xludf.DUMMYFUNCTION("""COMPUTED_VALUE"""),1.7193482E7)</f>
        <v>17193482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f>IFERROR(__xludf.DUMMYFUNCTION("""COMPUTED_VALUE"""),45698.64583333333)</f>
        <v>45698.64583</v>
      </c>
      <c r="B102" s="7">
        <f>IFERROR(__xludf.DUMMYFUNCTION("""COMPUTED_VALUE"""),275.0)</f>
        <v>275</v>
      </c>
      <c r="C102" s="7">
        <f>IFERROR(__xludf.DUMMYFUNCTION("""COMPUTED_VALUE"""),276.0)</f>
        <v>276</v>
      </c>
      <c r="D102" s="7">
        <f>IFERROR(__xludf.DUMMYFUNCTION("""COMPUTED_VALUE"""),268.1)</f>
        <v>268.1</v>
      </c>
      <c r="E102" s="7">
        <f>IFERROR(__xludf.DUMMYFUNCTION("""COMPUTED_VALUE"""),268.7)</f>
        <v>268.7</v>
      </c>
      <c r="F102" s="7">
        <f>IFERROR(__xludf.DUMMYFUNCTION("""COMPUTED_VALUE"""),1.670967E7)</f>
        <v>16709670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f>IFERROR(__xludf.DUMMYFUNCTION("""COMPUTED_VALUE"""),45699.64583333333)</f>
        <v>45699.64583</v>
      </c>
      <c r="B103" s="7">
        <f>IFERROR(__xludf.DUMMYFUNCTION("""COMPUTED_VALUE"""),268.7)</f>
        <v>268.7</v>
      </c>
      <c r="C103" s="7">
        <f>IFERROR(__xludf.DUMMYFUNCTION("""COMPUTED_VALUE"""),268.8)</f>
        <v>268.8</v>
      </c>
      <c r="D103" s="7">
        <f>IFERROR(__xludf.DUMMYFUNCTION("""COMPUTED_VALUE"""),260.0)</f>
        <v>260</v>
      </c>
      <c r="E103" s="7">
        <f>IFERROR(__xludf.DUMMYFUNCTION("""COMPUTED_VALUE"""),261.45)</f>
        <v>261.45</v>
      </c>
      <c r="F103" s="7">
        <f>IFERROR(__xludf.DUMMYFUNCTION("""COMPUTED_VALUE"""),2.2083955E7)</f>
        <v>22083955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f>IFERROR(__xludf.DUMMYFUNCTION("""COMPUTED_VALUE"""),45700.64583333333)</f>
        <v>45700.64583</v>
      </c>
      <c r="B104" s="7">
        <f>IFERROR(__xludf.DUMMYFUNCTION("""COMPUTED_VALUE"""),259.5)</f>
        <v>259.5</v>
      </c>
      <c r="C104" s="7">
        <f>IFERROR(__xludf.DUMMYFUNCTION("""COMPUTED_VALUE"""),262.1)</f>
        <v>262.1</v>
      </c>
      <c r="D104" s="7">
        <f>IFERROR(__xludf.DUMMYFUNCTION("""COMPUTED_VALUE"""),254.0)</f>
        <v>254</v>
      </c>
      <c r="E104" s="7">
        <f>IFERROR(__xludf.DUMMYFUNCTION("""COMPUTED_VALUE"""),257.05)</f>
        <v>257.05</v>
      </c>
      <c r="F104" s="7">
        <f>IFERROR(__xludf.DUMMYFUNCTION("""COMPUTED_VALUE"""),1.7861265E7)</f>
        <v>17861265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f>IFERROR(__xludf.DUMMYFUNCTION("""COMPUTED_VALUE"""),45701.64583333333)</f>
        <v>45701.64583</v>
      </c>
      <c r="B105" s="7">
        <f>IFERROR(__xludf.DUMMYFUNCTION("""COMPUTED_VALUE"""),257.25)</f>
        <v>257.25</v>
      </c>
      <c r="C105" s="7">
        <f>IFERROR(__xludf.DUMMYFUNCTION("""COMPUTED_VALUE"""),261.35)</f>
        <v>261.35</v>
      </c>
      <c r="D105" s="7">
        <f>IFERROR(__xludf.DUMMYFUNCTION("""COMPUTED_VALUE"""),256.1)</f>
        <v>256.1</v>
      </c>
      <c r="E105" s="7">
        <f>IFERROR(__xludf.DUMMYFUNCTION("""COMPUTED_VALUE"""),259.15)</f>
        <v>259.15</v>
      </c>
      <c r="F105" s="7">
        <f>IFERROR(__xludf.DUMMYFUNCTION("""COMPUTED_VALUE"""),1.2257226E7)</f>
        <v>12257226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f>IFERROR(__xludf.DUMMYFUNCTION("""COMPUTED_VALUE"""),45702.64583333333)</f>
        <v>45702.64583</v>
      </c>
      <c r="B106" s="7">
        <f>IFERROR(__xludf.DUMMYFUNCTION("""COMPUTED_VALUE"""),260.4)</f>
        <v>260.4</v>
      </c>
      <c r="C106" s="7">
        <f>IFERROR(__xludf.DUMMYFUNCTION("""COMPUTED_VALUE"""),261.5)</f>
        <v>261.5</v>
      </c>
      <c r="D106" s="7">
        <f>IFERROR(__xludf.DUMMYFUNCTION("""COMPUTED_VALUE"""),254.75)</f>
        <v>254.75</v>
      </c>
      <c r="E106" s="7">
        <f>IFERROR(__xludf.DUMMYFUNCTION("""COMPUTED_VALUE"""),257.35)</f>
        <v>257.35</v>
      </c>
      <c r="F106" s="7">
        <f>IFERROR(__xludf.DUMMYFUNCTION("""COMPUTED_VALUE"""),1.1339563E7)</f>
        <v>11339563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f>IFERROR(__xludf.DUMMYFUNCTION("""COMPUTED_VALUE"""),45705.64583333333)</f>
        <v>45705.64583</v>
      </c>
      <c r="B107" s="7">
        <f>IFERROR(__xludf.DUMMYFUNCTION("""COMPUTED_VALUE"""),256.9)</f>
        <v>256.9</v>
      </c>
      <c r="C107" s="7">
        <f>IFERROR(__xludf.DUMMYFUNCTION("""COMPUTED_VALUE"""),264.0)</f>
        <v>264</v>
      </c>
      <c r="D107" s="7">
        <f>IFERROR(__xludf.DUMMYFUNCTION("""COMPUTED_VALUE"""),252.2)</f>
        <v>252.2</v>
      </c>
      <c r="E107" s="7">
        <f>IFERROR(__xludf.DUMMYFUNCTION("""COMPUTED_VALUE"""),263.2)</f>
        <v>263.2</v>
      </c>
      <c r="F107" s="7">
        <f>IFERROR(__xludf.DUMMYFUNCTION("""COMPUTED_VALUE"""),8332653.0)</f>
        <v>8332653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f>IFERROR(__xludf.DUMMYFUNCTION("""COMPUTED_VALUE"""),45706.64583333333)</f>
        <v>45706.64583</v>
      </c>
      <c r="B108" s="7">
        <f>IFERROR(__xludf.DUMMYFUNCTION("""COMPUTED_VALUE"""),263.85)</f>
        <v>263.85</v>
      </c>
      <c r="C108" s="7">
        <f>IFERROR(__xludf.DUMMYFUNCTION("""COMPUTED_VALUE"""),267.9)</f>
        <v>267.9</v>
      </c>
      <c r="D108" s="7">
        <f>IFERROR(__xludf.DUMMYFUNCTION("""COMPUTED_VALUE"""),260.2)</f>
        <v>260.2</v>
      </c>
      <c r="E108" s="7">
        <f>IFERROR(__xludf.DUMMYFUNCTION("""COMPUTED_VALUE"""),266.95)</f>
        <v>266.95</v>
      </c>
      <c r="F108" s="7">
        <f>IFERROR(__xludf.DUMMYFUNCTION("""COMPUTED_VALUE"""),1.0483635E7)</f>
        <v>10483635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f>IFERROR(__xludf.DUMMYFUNCTION("""COMPUTED_VALUE"""),45707.64583333333)</f>
        <v>45707.64583</v>
      </c>
      <c r="B109" s="7">
        <f>IFERROR(__xludf.DUMMYFUNCTION("""COMPUTED_VALUE"""),262.5)</f>
        <v>262.5</v>
      </c>
      <c r="C109" s="7">
        <f>IFERROR(__xludf.DUMMYFUNCTION("""COMPUTED_VALUE"""),268.5)</f>
        <v>268.5</v>
      </c>
      <c r="D109" s="7">
        <f>IFERROR(__xludf.DUMMYFUNCTION("""COMPUTED_VALUE"""),262.3)</f>
        <v>262.3</v>
      </c>
      <c r="E109" s="7">
        <f>IFERROR(__xludf.DUMMYFUNCTION("""COMPUTED_VALUE"""),263.05)</f>
        <v>263.05</v>
      </c>
      <c r="F109" s="7">
        <f>IFERROR(__xludf.DUMMYFUNCTION("""COMPUTED_VALUE"""),1.4602009E7)</f>
        <v>14602009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f>IFERROR(__xludf.DUMMYFUNCTION("""COMPUTED_VALUE"""),45708.64583333333)</f>
        <v>45708.64583</v>
      </c>
      <c r="B110" s="7">
        <f>IFERROR(__xludf.DUMMYFUNCTION("""COMPUTED_VALUE"""),262.75)</f>
        <v>262.75</v>
      </c>
      <c r="C110" s="7">
        <f>IFERROR(__xludf.DUMMYFUNCTION("""COMPUTED_VALUE"""),266.45)</f>
        <v>266.45</v>
      </c>
      <c r="D110" s="7">
        <f>IFERROR(__xludf.DUMMYFUNCTION("""COMPUTED_VALUE"""),261.3)</f>
        <v>261.3</v>
      </c>
      <c r="E110" s="7">
        <f>IFERROR(__xludf.DUMMYFUNCTION("""COMPUTED_VALUE"""),265.75)</f>
        <v>265.75</v>
      </c>
      <c r="F110" s="7">
        <f>IFERROR(__xludf.DUMMYFUNCTION("""COMPUTED_VALUE"""),1.5312926E7)</f>
        <v>15312926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f>IFERROR(__xludf.DUMMYFUNCTION("""COMPUTED_VALUE"""),45709.64583333333)</f>
        <v>45709.64583</v>
      </c>
      <c r="B111" s="7">
        <f>IFERROR(__xludf.DUMMYFUNCTION("""COMPUTED_VALUE"""),265.3)</f>
        <v>265.3</v>
      </c>
      <c r="C111" s="7">
        <f>IFERROR(__xludf.DUMMYFUNCTION("""COMPUTED_VALUE"""),265.75)</f>
        <v>265.75</v>
      </c>
      <c r="D111" s="7">
        <f>IFERROR(__xludf.DUMMYFUNCTION("""COMPUTED_VALUE"""),259.4)</f>
        <v>259.4</v>
      </c>
      <c r="E111" s="7">
        <f>IFERROR(__xludf.DUMMYFUNCTION("""COMPUTED_VALUE"""),261.9)</f>
        <v>261.9</v>
      </c>
      <c r="F111" s="7">
        <f>IFERROR(__xludf.DUMMYFUNCTION("""COMPUTED_VALUE"""),1.0757038E7)</f>
        <v>10757038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f>IFERROR(__xludf.DUMMYFUNCTION("""COMPUTED_VALUE"""),45712.64583333333)</f>
        <v>45712.64583</v>
      </c>
      <c r="B112" s="7">
        <f>IFERROR(__xludf.DUMMYFUNCTION("""COMPUTED_VALUE"""),258.0)</f>
        <v>258</v>
      </c>
      <c r="C112" s="7">
        <f>IFERROR(__xludf.DUMMYFUNCTION("""COMPUTED_VALUE"""),261.8)</f>
        <v>261.8</v>
      </c>
      <c r="D112" s="7">
        <f>IFERROR(__xludf.DUMMYFUNCTION("""COMPUTED_VALUE"""),257.25)</f>
        <v>257.25</v>
      </c>
      <c r="E112" s="7">
        <f>IFERROR(__xludf.DUMMYFUNCTION("""COMPUTED_VALUE"""),259.15)</f>
        <v>259.15</v>
      </c>
      <c r="F112" s="7">
        <f>IFERROR(__xludf.DUMMYFUNCTION("""COMPUTED_VALUE"""),1.4599185E7)</f>
        <v>14599185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f>IFERROR(__xludf.DUMMYFUNCTION("""COMPUTED_VALUE"""),45713.64583333333)</f>
        <v>45713.64583</v>
      </c>
      <c r="B113" s="7">
        <f>IFERROR(__xludf.DUMMYFUNCTION("""COMPUTED_VALUE"""),258.8)</f>
        <v>258.8</v>
      </c>
      <c r="C113" s="7">
        <f>IFERROR(__xludf.DUMMYFUNCTION("""COMPUTED_VALUE"""),259.95)</f>
        <v>259.95</v>
      </c>
      <c r="D113" s="7">
        <f>IFERROR(__xludf.DUMMYFUNCTION("""COMPUTED_VALUE"""),254.9)</f>
        <v>254.9</v>
      </c>
      <c r="E113" s="7">
        <f>IFERROR(__xludf.DUMMYFUNCTION("""COMPUTED_VALUE"""),255.75)</f>
        <v>255.75</v>
      </c>
      <c r="F113" s="7">
        <f>IFERROR(__xludf.DUMMYFUNCTION("""COMPUTED_VALUE"""),2.1287363E7)</f>
        <v>21287363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f>IFERROR(__xludf.DUMMYFUNCTION("""COMPUTED_VALUE"""),45715.64583333333)</f>
        <v>45715.64583</v>
      </c>
      <c r="B114" s="7">
        <f>IFERROR(__xludf.DUMMYFUNCTION("""COMPUTED_VALUE"""),254.0)</f>
        <v>254</v>
      </c>
      <c r="C114" s="7">
        <f>IFERROR(__xludf.DUMMYFUNCTION("""COMPUTED_VALUE"""),257.45)</f>
        <v>257.45</v>
      </c>
      <c r="D114" s="7">
        <f>IFERROR(__xludf.DUMMYFUNCTION("""COMPUTED_VALUE"""),253.45)</f>
        <v>253.45</v>
      </c>
      <c r="E114" s="7">
        <f>IFERROR(__xludf.DUMMYFUNCTION("""COMPUTED_VALUE"""),256.25)</f>
        <v>256.25</v>
      </c>
      <c r="F114" s="7">
        <f>IFERROR(__xludf.DUMMYFUNCTION("""COMPUTED_VALUE"""),1.3614799E7)</f>
        <v>13614799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f>IFERROR(__xludf.DUMMYFUNCTION("""COMPUTED_VALUE"""),45716.64583333333)</f>
        <v>45716.64583</v>
      </c>
      <c r="B115" s="7">
        <f>IFERROR(__xludf.DUMMYFUNCTION("""COMPUTED_VALUE"""),255.9)</f>
        <v>255.9</v>
      </c>
      <c r="C115" s="7">
        <f>IFERROR(__xludf.DUMMYFUNCTION("""COMPUTED_VALUE"""),257.0)</f>
        <v>257</v>
      </c>
      <c r="D115" s="7">
        <f>IFERROR(__xludf.DUMMYFUNCTION("""COMPUTED_VALUE"""),247.3)</f>
        <v>247.3</v>
      </c>
      <c r="E115" s="7">
        <f>IFERROR(__xludf.DUMMYFUNCTION("""COMPUTED_VALUE"""),250.85)</f>
        <v>250.85</v>
      </c>
      <c r="F115" s="7">
        <f>IFERROR(__xludf.DUMMYFUNCTION("""COMPUTED_VALUE"""),3.8512868E7)</f>
        <v>38512868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f>IFERROR(__xludf.DUMMYFUNCTION("""COMPUTED_VALUE"""),45719.64583333333)</f>
        <v>45719.64583</v>
      </c>
      <c r="B116" s="7">
        <f>IFERROR(__xludf.DUMMYFUNCTION("""COMPUTED_VALUE"""),253.0)</f>
        <v>253</v>
      </c>
      <c r="C116" s="7">
        <f>IFERROR(__xludf.DUMMYFUNCTION("""COMPUTED_VALUE"""),253.8)</f>
        <v>253.8</v>
      </c>
      <c r="D116" s="7">
        <f>IFERROR(__xludf.DUMMYFUNCTION("""COMPUTED_VALUE"""),248.5)</f>
        <v>248.5</v>
      </c>
      <c r="E116" s="7">
        <f>IFERROR(__xludf.DUMMYFUNCTION("""COMPUTED_VALUE"""),252.5)</f>
        <v>252.5</v>
      </c>
      <c r="F116" s="7">
        <f>IFERROR(__xludf.DUMMYFUNCTION("""COMPUTED_VALUE"""),9873539.0)</f>
        <v>9873539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f>IFERROR(__xludf.DUMMYFUNCTION("""COMPUTED_VALUE"""),45720.64583333333)</f>
        <v>45720.64583</v>
      </c>
      <c r="B117" s="7">
        <f>IFERROR(__xludf.DUMMYFUNCTION("""COMPUTED_VALUE"""),250.0)</f>
        <v>250</v>
      </c>
      <c r="C117" s="7">
        <f>IFERROR(__xludf.DUMMYFUNCTION("""COMPUTED_VALUE"""),257.15)</f>
        <v>257.15</v>
      </c>
      <c r="D117" s="7">
        <f>IFERROR(__xludf.DUMMYFUNCTION("""COMPUTED_VALUE"""),249.45)</f>
        <v>249.45</v>
      </c>
      <c r="E117" s="7">
        <f>IFERROR(__xludf.DUMMYFUNCTION("""COMPUTED_VALUE"""),254.0)</f>
        <v>254</v>
      </c>
      <c r="F117" s="7">
        <f>IFERROR(__xludf.DUMMYFUNCTION("""COMPUTED_VALUE"""),1.1947033E7)</f>
        <v>11947033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f>IFERROR(__xludf.DUMMYFUNCTION("""COMPUTED_VALUE"""),45721.64583333333)</f>
        <v>45721.64583</v>
      </c>
      <c r="B118" s="7">
        <f>IFERROR(__xludf.DUMMYFUNCTION("""COMPUTED_VALUE"""),256.95)</f>
        <v>256.95</v>
      </c>
      <c r="C118" s="7">
        <f>IFERROR(__xludf.DUMMYFUNCTION("""COMPUTED_VALUE"""),267.2)</f>
        <v>267.2</v>
      </c>
      <c r="D118" s="7">
        <f>IFERROR(__xludf.DUMMYFUNCTION("""COMPUTED_VALUE"""),255.75)</f>
        <v>255.75</v>
      </c>
      <c r="E118" s="7">
        <f>IFERROR(__xludf.DUMMYFUNCTION("""COMPUTED_VALUE"""),264.4)</f>
        <v>264.4</v>
      </c>
      <c r="F118" s="7">
        <f>IFERROR(__xludf.DUMMYFUNCTION("""COMPUTED_VALUE"""),1.4536637E7)</f>
        <v>14536637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f>IFERROR(__xludf.DUMMYFUNCTION("""COMPUTED_VALUE"""),45722.64583333333)</f>
        <v>45722.64583</v>
      </c>
      <c r="B119" s="7">
        <f>IFERROR(__xludf.DUMMYFUNCTION("""COMPUTED_VALUE"""),265.15)</f>
        <v>265.15</v>
      </c>
      <c r="C119" s="7">
        <f>IFERROR(__xludf.DUMMYFUNCTION("""COMPUTED_VALUE"""),267.3)</f>
        <v>267.3</v>
      </c>
      <c r="D119" s="7">
        <f>IFERROR(__xludf.DUMMYFUNCTION("""COMPUTED_VALUE"""),260.7)</f>
        <v>260.7</v>
      </c>
      <c r="E119" s="7">
        <f>IFERROR(__xludf.DUMMYFUNCTION("""COMPUTED_VALUE"""),266.65)</f>
        <v>266.65</v>
      </c>
      <c r="F119" s="7">
        <f>IFERROR(__xludf.DUMMYFUNCTION("""COMPUTED_VALUE"""),1.1926868E7)</f>
        <v>11926868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f>IFERROR(__xludf.DUMMYFUNCTION("""COMPUTED_VALUE"""),45723.64583333333)</f>
        <v>45723.64583</v>
      </c>
      <c r="B120" s="7">
        <f>IFERROR(__xludf.DUMMYFUNCTION("""COMPUTED_VALUE"""),266.0)</f>
        <v>266</v>
      </c>
      <c r="C120" s="7">
        <f>IFERROR(__xludf.DUMMYFUNCTION("""COMPUTED_VALUE"""),268.65)</f>
        <v>268.65</v>
      </c>
      <c r="D120" s="7">
        <f>IFERROR(__xludf.DUMMYFUNCTION("""COMPUTED_VALUE"""),261.6)</f>
        <v>261.6</v>
      </c>
      <c r="E120" s="7">
        <f>IFERROR(__xludf.DUMMYFUNCTION("""COMPUTED_VALUE"""),263.3)</f>
        <v>263.3</v>
      </c>
      <c r="F120" s="7">
        <f>IFERROR(__xludf.DUMMYFUNCTION("""COMPUTED_VALUE"""),1.0043068E7)</f>
        <v>10043068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f>IFERROR(__xludf.DUMMYFUNCTION("""COMPUTED_VALUE"""),45726.64583333333)</f>
        <v>45726.64583</v>
      </c>
      <c r="B121" s="7">
        <f>IFERROR(__xludf.DUMMYFUNCTION("""COMPUTED_VALUE"""),261.05)</f>
        <v>261.05</v>
      </c>
      <c r="C121" s="7">
        <f>IFERROR(__xludf.DUMMYFUNCTION("""COMPUTED_VALUE"""),274.25)</f>
        <v>274.25</v>
      </c>
      <c r="D121" s="7">
        <f>IFERROR(__xludf.DUMMYFUNCTION("""COMPUTED_VALUE"""),261.05)</f>
        <v>261.05</v>
      </c>
      <c r="E121" s="7">
        <f>IFERROR(__xludf.DUMMYFUNCTION("""COMPUTED_VALUE"""),271.3)</f>
        <v>271.3</v>
      </c>
      <c r="F121" s="7">
        <f>IFERROR(__xludf.DUMMYFUNCTION("""COMPUTED_VALUE"""),3.0233763E7)</f>
        <v>30233763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f>IFERROR(__xludf.DUMMYFUNCTION("""COMPUTED_VALUE"""),45727.64583333333)</f>
        <v>45727.64583</v>
      </c>
      <c r="B122" s="7">
        <f>IFERROR(__xludf.DUMMYFUNCTION("""COMPUTED_VALUE"""),270.0)</f>
        <v>270</v>
      </c>
      <c r="C122" s="7">
        <f>IFERROR(__xludf.DUMMYFUNCTION("""COMPUTED_VALUE"""),271.85)</f>
        <v>271.85</v>
      </c>
      <c r="D122" s="7">
        <f>IFERROR(__xludf.DUMMYFUNCTION("""COMPUTED_VALUE"""),265.85)</f>
        <v>265.85</v>
      </c>
      <c r="E122" s="7">
        <f>IFERROR(__xludf.DUMMYFUNCTION("""COMPUTED_VALUE"""),267.3)</f>
        <v>267.3</v>
      </c>
      <c r="F122" s="7">
        <f>IFERROR(__xludf.DUMMYFUNCTION("""COMPUTED_VALUE"""),9255499.0)</f>
        <v>9255499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f>IFERROR(__xludf.DUMMYFUNCTION("""COMPUTED_VALUE"""),45728.64583333333)</f>
        <v>45728.64583</v>
      </c>
      <c r="B123" s="7">
        <f>IFERROR(__xludf.DUMMYFUNCTION("""COMPUTED_VALUE"""),270.7)</f>
        <v>270.7</v>
      </c>
      <c r="C123" s="7">
        <f>IFERROR(__xludf.DUMMYFUNCTION("""COMPUTED_VALUE"""),272.4)</f>
        <v>272.4</v>
      </c>
      <c r="D123" s="7">
        <f>IFERROR(__xludf.DUMMYFUNCTION("""COMPUTED_VALUE"""),263.6)</f>
        <v>263.6</v>
      </c>
      <c r="E123" s="7">
        <f>IFERROR(__xludf.DUMMYFUNCTION("""COMPUTED_VALUE"""),267.1)</f>
        <v>267.1</v>
      </c>
      <c r="F123" s="7">
        <f>IFERROR(__xludf.DUMMYFUNCTION("""COMPUTED_VALUE"""),1.1875548E7)</f>
        <v>11875548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f>IFERROR(__xludf.DUMMYFUNCTION("""COMPUTED_VALUE"""),45729.64583333333)</f>
        <v>45729.64583</v>
      </c>
      <c r="B124" s="7">
        <f>IFERROR(__xludf.DUMMYFUNCTION("""COMPUTED_VALUE"""),269.8)</f>
        <v>269.8</v>
      </c>
      <c r="C124" s="7">
        <f>IFERROR(__xludf.DUMMYFUNCTION("""COMPUTED_VALUE"""),270.65)</f>
        <v>270.65</v>
      </c>
      <c r="D124" s="7">
        <f>IFERROR(__xludf.DUMMYFUNCTION("""COMPUTED_VALUE"""),265.5)</f>
        <v>265.5</v>
      </c>
      <c r="E124" s="7">
        <f>IFERROR(__xludf.DUMMYFUNCTION("""COMPUTED_VALUE"""),267.65)</f>
        <v>267.65</v>
      </c>
      <c r="F124" s="7">
        <f>IFERROR(__xludf.DUMMYFUNCTION("""COMPUTED_VALUE"""),9270442.0)</f>
        <v>9270442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f>IFERROR(__xludf.DUMMYFUNCTION("""COMPUTED_VALUE"""),45733.64583333333)</f>
        <v>45733.64583</v>
      </c>
      <c r="B125" s="7">
        <f>IFERROR(__xludf.DUMMYFUNCTION("""COMPUTED_VALUE"""),270.0)</f>
        <v>270</v>
      </c>
      <c r="C125" s="7">
        <f>IFERROR(__xludf.DUMMYFUNCTION("""COMPUTED_VALUE"""),270.65)</f>
        <v>270.65</v>
      </c>
      <c r="D125" s="7">
        <f>IFERROR(__xludf.DUMMYFUNCTION("""COMPUTED_VALUE"""),264.95)</f>
        <v>264.95</v>
      </c>
      <c r="E125" s="7">
        <f>IFERROR(__xludf.DUMMYFUNCTION("""COMPUTED_VALUE"""),267.35)</f>
        <v>267.35</v>
      </c>
      <c r="F125" s="7">
        <f>IFERROR(__xludf.DUMMYFUNCTION("""COMPUTED_VALUE"""),1.1987667E7)</f>
        <v>11987667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f>IFERROR(__xludf.DUMMYFUNCTION("""COMPUTED_VALUE"""),45734.64583333333)</f>
        <v>45734.64583</v>
      </c>
      <c r="B126" s="7">
        <f>IFERROR(__xludf.DUMMYFUNCTION("""COMPUTED_VALUE"""),269.15)</f>
        <v>269.15</v>
      </c>
      <c r="C126" s="7">
        <f>IFERROR(__xludf.DUMMYFUNCTION("""COMPUTED_VALUE"""),272.4)</f>
        <v>272.4</v>
      </c>
      <c r="D126" s="7">
        <f>IFERROR(__xludf.DUMMYFUNCTION("""COMPUTED_VALUE"""),267.3)</f>
        <v>267.3</v>
      </c>
      <c r="E126" s="7">
        <f>IFERROR(__xludf.DUMMYFUNCTION("""COMPUTED_VALUE"""),270.8)</f>
        <v>270.8</v>
      </c>
      <c r="F126" s="7">
        <f>IFERROR(__xludf.DUMMYFUNCTION("""COMPUTED_VALUE"""),8899126.0)</f>
        <v>8899126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f>IFERROR(__xludf.DUMMYFUNCTION("""COMPUTED_VALUE"""),45735.64583333333)</f>
        <v>45735.64583</v>
      </c>
      <c r="B127" s="7">
        <f>IFERROR(__xludf.DUMMYFUNCTION("""COMPUTED_VALUE"""),272.0)</f>
        <v>272</v>
      </c>
      <c r="C127" s="7">
        <f>IFERROR(__xludf.DUMMYFUNCTION("""COMPUTED_VALUE"""),278.3)</f>
        <v>278.3</v>
      </c>
      <c r="D127" s="7">
        <f>IFERROR(__xludf.DUMMYFUNCTION("""COMPUTED_VALUE"""),269.8)</f>
        <v>269.8</v>
      </c>
      <c r="E127" s="7">
        <f>IFERROR(__xludf.DUMMYFUNCTION("""COMPUTED_VALUE"""),277.2)</f>
        <v>277.2</v>
      </c>
      <c r="F127" s="7">
        <f>IFERROR(__xludf.DUMMYFUNCTION("""COMPUTED_VALUE"""),1.308995E7)</f>
        <v>13089950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f>IFERROR(__xludf.DUMMYFUNCTION("""COMPUTED_VALUE"""),45736.64583333333)</f>
        <v>45736.64583</v>
      </c>
      <c r="B128" s="7">
        <f>IFERROR(__xludf.DUMMYFUNCTION("""COMPUTED_VALUE"""),283.5)</f>
        <v>283.5</v>
      </c>
      <c r="C128" s="7">
        <f>IFERROR(__xludf.DUMMYFUNCTION("""COMPUTED_VALUE"""),283.55)</f>
        <v>283.55</v>
      </c>
      <c r="D128" s="7">
        <f>IFERROR(__xludf.DUMMYFUNCTION("""COMPUTED_VALUE"""),277.05)</f>
        <v>277.05</v>
      </c>
      <c r="E128" s="7">
        <f>IFERROR(__xludf.DUMMYFUNCTION("""COMPUTED_VALUE"""),280.35)</f>
        <v>280.35</v>
      </c>
      <c r="F128" s="7">
        <f>IFERROR(__xludf.DUMMYFUNCTION("""COMPUTED_VALUE"""),1.3710249E7)</f>
        <v>13710249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f>IFERROR(__xludf.DUMMYFUNCTION("""COMPUTED_VALUE"""),45737.64583333333)</f>
        <v>45737.64583</v>
      </c>
      <c r="B129" s="7">
        <f>IFERROR(__xludf.DUMMYFUNCTION("""COMPUTED_VALUE"""),281.0)</f>
        <v>281</v>
      </c>
      <c r="C129" s="7">
        <f>IFERROR(__xludf.DUMMYFUNCTION("""COMPUTED_VALUE"""),285.15)</f>
        <v>285.15</v>
      </c>
      <c r="D129" s="7">
        <f>IFERROR(__xludf.DUMMYFUNCTION("""COMPUTED_VALUE"""),280.05)</f>
        <v>280.05</v>
      </c>
      <c r="E129" s="7">
        <f>IFERROR(__xludf.DUMMYFUNCTION("""COMPUTED_VALUE"""),283.1)</f>
        <v>283.1</v>
      </c>
      <c r="F129" s="7">
        <f>IFERROR(__xludf.DUMMYFUNCTION("""COMPUTED_VALUE"""),2.6003527E7)</f>
        <v>26003527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f>IFERROR(__xludf.DUMMYFUNCTION("""COMPUTED_VALUE"""),45740.64583333333)</f>
        <v>45740.64583</v>
      </c>
      <c r="B130" s="7">
        <f>IFERROR(__xludf.DUMMYFUNCTION("""COMPUTED_VALUE"""),285.0)</f>
        <v>285</v>
      </c>
      <c r="C130" s="7">
        <f>IFERROR(__xludf.DUMMYFUNCTION("""COMPUTED_VALUE"""),293.95)</f>
        <v>293.95</v>
      </c>
      <c r="D130" s="7">
        <f>IFERROR(__xludf.DUMMYFUNCTION("""COMPUTED_VALUE"""),284.45)</f>
        <v>284.45</v>
      </c>
      <c r="E130" s="7">
        <f>IFERROR(__xludf.DUMMYFUNCTION("""COMPUTED_VALUE"""),291.85)</f>
        <v>291.85</v>
      </c>
      <c r="F130" s="7">
        <f>IFERROR(__xludf.DUMMYFUNCTION("""COMPUTED_VALUE"""),1.9966817E7)</f>
        <v>19966817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f>IFERROR(__xludf.DUMMYFUNCTION("""COMPUTED_VALUE"""),45741.64583333333)</f>
        <v>45741.64583</v>
      </c>
      <c r="B131" s="7">
        <f>IFERROR(__xludf.DUMMYFUNCTION("""COMPUTED_VALUE"""),291.0)</f>
        <v>291</v>
      </c>
      <c r="C131" s="7">
        <f>IFERROR(__xludf.DUMMYFUNCTION("""COMPUTED_VALUE"""),295.25)</f>
        <v>295.25</v>
      </c>
      <c r="D131" s="7">
        <f>IFERROR(__xludf.DUMMYFUNCTION("""COMPUTED_VALUE"""),287.65)</f>
        <v>287.65</v>
      </c>
      <c r="E131" s="7">
        <f>IFERROR(__xludf.DUMMYFUNCTION("""COMPUTED_VALUE"""),291.0)</f>
        <v>291</v>
      </c>
      <c r="F131" s="7">
        <f>IFERROR(__xludf.DUMMYFUNCTION("""COMPUTED_VALUE"""),1.6983852E7)</f>
        <v>16983852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f>IFERROR(__xludf.DUMMYFUNCTION("""COMPUTED_VALUE"""),45742.64583333333)</f>
        <v>45742.64583</v>
      </c>
      <c r="B132" s="7">
        <f>IFERROR(__xludf.DUMMYFUNCTION("""COMPUTED_VALUE"""),291.7)</f>
        <v>291.7</v>
      </c>
      <c r="C132" s="7">
        <f>IFERROR(__xludf.DUMMYFUNCTION("""COMPUTED_VALUE"""),296.75)</f>
        <v>296.75</v>
      </c>
      <c r="D132" s="7">
        <f>IFERROR(__xludf.DUMMYFUNCTION("""COMPUTED_VALUE"""),289.55)</f>
        <v>289.55</v>
      </c>
      <c r="E132" s="7">
        <f>IFERROR(__xludf.DUMMYFUNCTION("""COMPUTED_VALUE"""),290.85)</f>
        <v>290.85</v>
      </c>
      <c r="F132" s="7">
        <f>IFERROR(__xludf.DUMMYFUNCTION("""COMPUTED_VALUE"""),2.0367015E7)</f>
        <v>20367015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f>IFERROR(__xludf.DUMMYFUNCTION("""COMPUTED_VALUE"""),45743.64583333333)</f>
        <v>45743.64583</v>
      </c>
      <c r="B133" s="7">
        <f>IFERROR(__xludf.DUMMYFUNCTION("""COMPUTED_VALUE"""),289.0)</f>
        <v>289</v>
      </c>
      <c r="C133" s="7">
        <f>IFERROR(__xludf.DUMMYFUNCTION("""COMPUTED_VALUE"""),297.25)</f>
        <v>297.25</v>
      </c>
      <c r="D133" s="7">
        <f>IFERROR(__xludf.DUMMYFUNCTION("""COMPUTED_VALUE"""),289.0)</f>
        <v>289</v>
      </c>
      <c r="E133" s="7">
        <f>IFERROR(__xludf.DUMMYFUNCTION("""COMPUTED_VALUE"""),295.5)</f>
        <v>295.5</v>
      </c>
      <c r="F133" s="7">
        <f>IFERROR(__xludf.DUMMYFUNCTION("""COMPUTED_VALUE"""),3.7203166E7)</f>
        <v>37203166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f>IFERROR(__xludf.DUMMYFUNCTION("""COMPUTED_VALUE"""),45744.64583333333)</f>
        <v>45744.64583</v>
      </c>
      <c r="B134" s="7">
        <f>IFERROR(__xludf.DUMMYFUNCTION("""COMPUTED_VALUE"""),293.9)</f>
        <v>293.9</v>
      </c>
      <c r="C134" s="7">
        <f>IFERROR(__xludf.DUMMYFUNCTION("""COMPUTED_VALUE"""),294.25)</f>
        <v>294.25</v>
      </c>
      <c r="D134" s="7">
        <f>IFERROR(__xludf.DUMMYFUNCTION("""COMPUTED_VALUE"""),288.3)</f>
        <v>288.3</v>
      </c>
      <c r="E134" s="7">
        <f>IFERROR(__xludf.DUMMYFUNCTION("""COMPUTED_VALUE"""),290.35)</f>
        <v>290.35</v>
      </c>
      <c r="F134" s="7">
        <f>IFERROR(__xludf.DUMMYFUNCTION("""COMPUTED_VALUE"""),1.08349E7)</f>
        <v>10834900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f>IFERROR(__xludf.DUMMYFUNCTION("""COMPUTED_VALUE"""),45748.64583333333)</f>
        <v>45748.64583</v>
      </c>
      <c r="B135" s="7">
        <f>IFERROR(__xludf.DUMMYFUNCTION("""COMPUTED_VALUE"""),289.6)</f>
        <v>289.6</v>
      </c>
      <c r="C135" s="7">
        <f>IFERROR(__xludf.DUMMYFUNCTION("""COMPUTED_VALUE"""),296.95)</f>
        <v>296.95</v>
      </c>
      <c r="D135" s="7">
        <f>IFERROR(__xludf.DUMMYFUNCTION("""COMPUTED_VALUE"""),287.0)</f>
        <v>287</v>
      </c>
      <c r="E135" s="7">
        <f>IFERROR(__xludf.DUMMYFUNCTION("""COMPUTED_VALUE"""),289.3)</f>
        <v>289.3</v>
      </c>
      <c r="F135" s="7">
        <f>IFERROR(__xludf.DUMMYFUNCTION("""COMPUTED_VALUE"""),1.1603556E7)</f>
        <v>11603556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f>IFERROR(__xludf.DUMMYFUNCTION("""COMPUTED_VALUE"""),45749.64583333333)</f>
        <v>45749.64583</v>
      </c>
      <c r="B136" s="7">
        <f>IFERROR(__xludf.DUMMYFUNCTION("""COMPUTED_VALUE"""),286.85)</f>
        <v>286.85</v>
      </c>
      <c r="C136" s="7">
        <f>IFERROR(__xludf.DUMMYFUNCTION("""COMPUTED_VALUE"""),289.75)</f>
        <v>289.75</v>
      </c>
      <c r="D136" s="7">
        <f>IFERROR(__xludf.DUMMYFUNCTION("""COMPUTED_VALUE"""),284.5)</f>
        <v>284.5</v>
      </c>
      <c r="E136" s="7">
        <f>IFERROR(__xludf.DUMMYFUNCTION("""COMPUTED_VALUE"""),286.75)</f>
        <v>286.75</v>
      </c>
      <c r="F136" s="7">
        <f>IFERROR(__xludf.DUMMYFUNCTION("""COMPUTED_VALUE"""),1.1679536E7)</f>
        <v>11679536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f>IFERROR(__xludf.DUMMYFUNCTION("""COMPUTED_VALUE"""),45750.64583333333)</f>
        <v>45750.64583</v>
      </c>
      <c r="B137" s="7">
        <f>IFERROR(__xludf.DUMMYFUNCTION("""COMPUTED_VALUE"""),289.35)</f>
        <v>289.35</v>
      </c>
      <c r="C137" s="7">
        <f>IFERROR(__xludf.DUMMYFUNCTION("""COMPUTED_VALUE"""),299.95)</f>
        <v>299.95</v>
      </c>
      <c r="D137" s="7">
        <f>IFERROR(__xludf.DUMMYFUNCTION("""COMPUTED_VALUE"""),285.1)</f>
        <v>285.1</v>
      </c>
      <c r="E137" s="7">
        <f>IFERROR(__xludf.DUMMYFUNCTION("""COMPUTED_VALUE"""),299.1)</f>
        <v>299.1</v>
      </c>
      <c r="F137" s="7">
        <f>IFERROR(__xludf.DUMMYFUNCTION("""COMPUTED_VALUE"""),2.3478876E7)</f>
        <v>23478876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f>IFERROR(__xludf.DUMMYFUNCTION("""COMPUTED_VALUE"""),45751.64583333333)</f>
        <v>45751.64583</v>
      </c>
      <c r="B138" s="7">
        <f>IFERROR(__xludf.DUMMYFUNCTION("""COMPUTED_VALUE"""),300.0)</f>
        <v>300</v>
      </c>
      <c r="C138" s="7">
        <f>IFERROR(__xludf.DUMMYFUNCTION("""COMPUTED_VALUE"""),300.9)</f>
        <v>300.9</v>
      </c>
      <c r="D138" s="7">
        <f>IFERROR(__xludf.DUMMYFUNCTION("""COMPUTED_VALUE"""),292.1)</f>
        <v>292.1</v>
      </c>
      <c r="E138" s="7">
        <f>IFERROR(__xludf.DUMMYFUNCTION("""COMPUTED_VALUE"""),293.9)</f>
        <v>293.9</v>
      </c>
      <c r="F138" s="7">
        <f>IFERROR(__xludf.DUMMYFUNCTION("""COMPUTED_VALUE"""),2.1020875E7)</f>
        <v>21020875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f>IFERROR(__xludf.DUMMYFUNCTION("""COMPUTED_VALUE"""),45754.64583333333)</f>
        <v>45754.64583</v>
      </c>
      <c r="B139" s="7">
        <f>IFERROR(__xludf.DUMMYFUNCTION("""COMPUTED_VALUE"""),283.6)</f>
        <v>283.6</v>
      </c>
      <c r="C139" s="7">
        <f>IFERROR(__xludf.DUMMYFUNCTION("""COMPUTED_VALUE"""),293.9)</f>
        <v>293.9</v>
      </c>
      <c r="D139" s="7">
        <f>IFERROR(__xludf.DUMMYFUNCTION("""COMPUTED_VALUE"""),282.3)</f>
        <v>282.3</v>
      </c>
      <c r="E139" s="7">
        <f>IFERROR(__xludf.DUMMYFUNCTION("""COMPUTED_VALUE"""),289.4)</f>
        <v>289.4</v>
      </c>
      <c r="F139" s="7">
        <f>IFERROR(__xludf.DUMMYFUNCTION("""COMPUTED_VALUE"""),2.2847548E7)</f>
        <v>22847548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f>IFERROR(__xludf.DUMMYFUNCTION("""COMPUTED_VALUE"""),45755.64583333333)</f>
        <v>45755.64583</v>
      </c>
      <c r="B140" s="7">
        <f>IFERROR(__xludf.DUMMYFUNCTION("""COMPUTED_VALUE"""),291.95)</f>
        <v>291.95</v>
      </c>
      <c r="C140" s="7">
        <f>IFERROR(__xludf.DUMMYFUNCTION("""COMPUTED_VALUE"""),294.0)</f>
        <v>294</v>
      </c>
      <c r="D140" s="7">
        <f>IFERROR(__xludf.DUMMYFUNCTION("""COMPUTED_VALUE"""),284.65)</f>
        <v>284.65</v>
      </c>
      <c r="E140" s="7">
        <f>IFERROR(__xludf.DUMMYFUNCTION("""COMPUTED_VALUE"""),288.95)</f>
        <v>288.95</v>
      </c>
      <c r="F140" s="7">
        <f>IFERROR(__xludf.DUMMYFUNCTION("""COMPUTED_VALUE"""),2.0831596E7)</f>
        <v>20831596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f>IFERROR(__xludf.DUMMYFUNCTION("""COMPUTED_VALUE"""),45756.64583333333)</f>
        <v>45756.64583</v>
      </c>
      <c r="B141" s="7">
        <f>IFERROR(__xludf.DUMMYFUNCTION("""COMPUTED_VALUE"""),289.95)</f>
        <v>289.95</v>
      </c>
      <c r="C141" s="7">
        <f>IFERROR(__xludf.DUMMYFUNCTION("""COMPUTED_VALUE"""),299.5)</f>
        <v>299.5</v>
      </c>
      <c r="D141" s="7">
        <f>IFERROR(__xludf.DUMMYFUNCTION("""COMPUTED_VALUE"""),289.3)</f>
        <v>289.3</v>
      </c>
      <c r="E141" s="7">
        <f>IFERROR(__xludf.DUMMYFUNCTION("""COMPUTED_VALUE"""),293.4)</f>
        <v>293.4</v>
      </c>
      <c r="F141" s="7">
        <f>IFERROR(__xludf.DUMMYFUNCTION("""COMPUTED_VALUE"""),2.1342531E7)</f>
        <v>21342531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f>IFERROR(__xludf.DUMMYFUNCTION("""COMPUTED_VALUE"""),45758.64583333333)</f>
        <v>45758.64583</v>
      </c>
      <c r="B142" s="7">
        <f>IFERROR(__xludf.DUMMYFUNCTION("""COMPUTED_VALUE"""),293.25)</f>
        <v>293.25</v>
      </c>
      <c r="C142" s="7">
        <f>IFERROR(__xludf.DUMMYFUNCTION("""COMPUTED_VALUE"""),305.0)</f>
        <v>305</v>
      </c>
      <c r="D142" s="7">
        <f>IFERROR(__xludf.DUMMYFUNCTION("""COMPUTED_VALUE"""),293.25)</f>
        <v>293.25</v>
      </c>
      <c r="E142" s="7">
        <f>IFERROR(__xludf.DUMMYFUNCTION("""COMPUTED_VALUE"""),304.1)</f>
        <v>304.1</v>
      </c>
      <c r="F142" s="7">
        <f>IFERROR(__xludf.DUMMYFUNCTION("""COMPUTED_VALUE"""),1.9831004E7)</f>
        <v>19831004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f>IFERROR(__xludf.DUMMYFUNCTION("""COMPUTED_VALUE"""),45762.64583333333)</f>
        <v>45762.64583</v>
      </c>
      <c r="B143" s="7">
        <f>IFERROR(__xludf.DUMMYFUNCTION("""COMPUTED_VALUE"""),307.2)</f>
        <v>307.2</v>
      </c>
      <c r="C143" s="7">
        <f>IFERROR(__xludf.DUMMYFUNCTION("""COMPUTED_VALUE"""),310.45)</f>
        <v>310.45</v>
      </c>
      <c r="D143" s="7">
        <f>IFERROR(__xludf.DUMMYFUNCTION("""COMPUTED_VALUE"""),303.7)</f>
        <v>303.7</v>
      </c>
      <c r="E143" s="7">
        <f>IFERROR(__xludf.DUMMYFUNCTION("""COMPUTED_VALUE"""),304.55)</f>
        <v>304.55</v>
      </c>
      <c r="F143" s="7">
        <f>IFERROR(__xludf.DUMMYFUNCTION("""COMPUTED_VALUE"""),1.6563441E7)</f>
        <v>16563441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f>IFERROR(__xludf.DUMMYFUNCTION("""COMPUTED_VALUE"""),45763.64583333333)</f>
        <v>45763.64583</v>
      </c>
      <c r="B144" s="7">
        <f>IFERROR(__xludf.DUMMYFUNCTION("""COMPUTED_VALUE"""),304.45)</f>
        <v>304.45</v>
      </c>
      <c r="C144" s="7">
        <f>IFERROR(__xludf.DUMMYFUNCTION("""COMPUTED_VALUE"""),307.0)</f>
        <v>307</v>
      </c>
      <c r="D144" s="7">
        <f>IFERROR(__xludf.DUMMYFUNCTION("""COMPUTED_VALUE"""),302.8)</f>
        <v>302.8</v>
      </c>
      <c r="E144" s="7">
        <f>IFERROR(__xludf.DUMMYFUNCTION("""COMPUTED_VALUE"""),305.75)</f>
        <v>305.75</v>
      </c>
      <c r="F144" s="7">
        <f>IFERROR(__xludf.DUMMYFUNCTION("""COMPUTED_VALUE"""),7032401.0)</f>
        <v>7032401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f>IFERROR(__xludf.DUMMYFUNCTION("""COMPUTED_VALUE"""),45764.64583333333)</f>
        <v>45764.64583</v>
      </c>
      <c r="B145" s="7">
        <f>IFERROR(__xludf.DUMMYFUNCTION("""COMPUTED_VALUE"""),305.45)</f>
        <v>305.45</v>
      </c>
      <c r="C145" s="7">
        <f>IFERROR(__xludf.DUMMYFUNCTION("""COMPUTED_VALUE"""),309.8)</f>
        <v>309.8</v>
      </c>
      <c r="D145" s="7">
        <f>IFERROR(__xludf.DUMMYFUNCTION("""COMPUTED_VALUE"""),302.0)</f>
        <v>302</v>
      </c>
      <c r="E145" s="7">
        <f>IFERROR(__xludf.DUMMYFUNCTION("""COMPUTED_VALUE"""),309.0)</f>
        <v>309</v>
      </c>
      <c r="F145" s="7">
        <f>IFERROR(__xludf.DUMMYFUNCTION("""COMPUTED_VALUE"""),8528993.0)</f>
        <v>8528993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f>IFERROR(__xludf.DUMMYFUNCTION("""COMPUTED_VALUE"""),45768.64583333333)</f>
        <v>45768.64583</v>
      </c>
      <c r="B146" s="7">
        <f>IFERROR(__xludf.DUMMYFUNCTION("""COMPUTED_VALUE"""),310.0)</f>
        <v>310</v>
      </c>
      <c r="C146" s="7">
        <f>IFERROR(__xludf.DUMMYFUNCTION("""COMPUTED_VALUE"""),322.0)</f>
        <v>322</v>
      </c>
      <c r="D146" s="7">
        <f>IFERROR(__xludf.DUMMYFUNCTION("""COMPUTED_VALUE"""),308.45)</f>
        <v>308.45</v>
      </c>
      <c r="E146" s="7">
        <f>IFERROR(__xludf.DUMMYFUNCTION("""COMPUTED_VALUE"""),320.0)</f>
        <v>320</v>
      </c>
      <c r="F146" s="7">
        <f>IFERROR(__xludf.DUMMYFUNCTION("""COMPUTED_VALUE"""),1.3369014E7)</f>
        <v>13369014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f>IFERROR(__xludf.DUMMYFUNCTION("""COMPUTED_VALUE"""),45769.64583333333)</f>
        <v>45769.64583</v>
      </c>
      <c r="B147" s="7">
        <f>IFERROR(__xludf.DUMMYFUNCTION("""COMPUTED_VALUE"""),319.75)</f>
        <v>319.75</v>
      </c>
      <c r="C147" s="7">
        <f>IFERROR(__xludf.DUMMYFUNCTION("""COMPUTED_VALUE"""),319.75)</f>
        <v>319.75</v>
      </c>
      <c r="D147" s="7">
        <f>IFERROR(__xludf.DUMMYFUNCTION("""COMPUTED_VALUE"""),312.1)</f>
        <v>312.1</v>
      </c>
      <c r="E147" s="7">
        <f>IFERROR(__xludf.DUMMYFUNCTION("""COMPUTED_VALUE"""),312.55)</f>
        <v>312.55</v>
      </c>
      <c r="F147" s="7">
        <f>IFERROR(__xludf.DUMMYFUNCTION("""COMPUTED_VALUE"""),1.0027332E7)</f>
        <v>10027332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f>IFERROR(__xludf.DUMMYFUNCTION("""COMPUTED_VALUE"""),45770.64583333333)</f>
        <v>45770.64583</v>
      </c>
      <c r="B148" s="7">
        <f>IFERROR(__xludf.DUMMYFUNCTION("""COMPUTED_VALUE"""),314.15)</f>
        <v>314.15</v>
      </c>
      <c r="C148" s="7">
        <f>IFERROR(__xludf.DUMMYFUNCTION("""COMPUTED_VALUE"""),316.1)</f>
        <v>316.1</v>
      </c>
      <c r="D148" s="7">
        <f>IFERROR(__xludf.DUMMYFUNCTION("""COMPUTED_VALUE"""),309.45)</f>
        <v>309.45</v>
      </c>
      <c r="E148" s="7">
        <f>IFERROR(__xludf.DUMMYFUNCTION("""COMPUTED_VALUE"""),314.95)</f>
        <v>314.95</v>
      </c>
      <c r="F148" s="7">
        <f>IFERROR(__xludf.DUMMYFUNCTION("""COMPUTED_VALUE"""),8225575.0)</f>
        <v>8225575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f>IFERROR(__xludf.DUMMYFUNCTION("""COMPUTED_VALUE"""),45771.64583333333)</f>
        <v>45771.64583</v>
      </c>
      <c r="B149" s="7">
        <f>IFERROR(__xludf.DUMMYFUNCTION("""COMPUTED_VALUE"""),314.9)</f>
        <v>314.9</v>
      </c>
      <c r="C149" s="7">
        <f>IFERROR(__xludf.DUMMYFUNCTION("""COMPUTED_VALUE"""),315.85)</f>
        <v>315.85</v>
      </c>
      <c r="D149" s="7">
        <f>IFERROR(__xludf.DUMMYFUNCTION("""COMPUTED_VALUE"""),312.85)</f>
        <v>312.85</v>
      </c>
      <c r="E149" s="7">
        <f>IFERROR(__xludf.DUMMYFUNCTION("""COMPUTED_VALUE"""),314.4)</f>
        <v>314.4</v>
      </c>
      <c r="F149" s="7">
        <f>IFERROR(__xludf.DUMMYFUNCTION("""COMPUTED_VALUE"""),8021180.0)</f>
        <v>8021180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f>IFERROR(__xludf.DUMMYFUNCTION("""COMPUTED_VALUE"""),45772.64583333333)</f>
        <v>45772.64583</v>
      </c>
      <c r="B150" s="7">
        <f>IFERROR(__xludf.DUMMYFUNCTION("""COMPUTED_VALUE"""),313.0)</f>
        <v>313</v>
      </c>
      <c r="C150" s="7">
        <f>IFERROR(__xludf.DUMMYFUNCTION("""COMPUTED_VALUE"""),315.4)</f>
        <v>315.4</v>
      </c>
      <c r="D150" s="7">
        <f>IFERROR(__xludf.DUMMYFUNCTION("""COMPUTED_VALUE"""),303.4)</f>
        <v>303.4</v>
      </c>
      <c r="E150" s="7">
        <f>IFERROR(__xludf.DUMMYFUNCTION("""COMPUTED_VALUE"""),306.5)</f>
        <v>306.5</v>
      </c>
      <c r="F150" s="7">
        <f>IFERROR(__xludf.DUMMYFUNCTION("""COMPUTED_VALUE"""),1.1475773E7)</f>
        <v>11475773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f>IFERROR(__xludf.DUMMYFUNCTION("""COMPUTED_VALUE"""),45775.64583333333)</f>
        <v>45775.64583</v>
      </c>
      <c r="B151" s="7">
        <f>IFERROR(__xludf.DUMMYFUNCTION("""COMPUTED_VALUE"""),304.2)</f>
        <v>304.2</v>
      </c>
      <c r="C151" s="7">
        <f>IFERROR(__xludf.DUMMYFUNCTION("""COMPUTED_VALUE"""),310.95)</f>
        <v>310.95</v>
      </c>
      <c r="D151" s="7">
        <f>IFERROR(__xludf.DUMMYFUNCTION("""COMPUTED_VALUE"""),303.55)</f>
        <v>303.55</v>
      </c>
      <c r="E151" s="7">
        <f>IFERROR(__xludf.DUMMYFUNCTION("""COMPUTED_VALUE"""),308.55)</f>
        <v>308.55</v>
      </c>
      <c r="F151" s="7">
        <f>IFERROR(__xludf.DUMMYFUNCTION("""COMPUTED_VALUE"""),7314824.0)</f>
        <v>7314824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f>IFERROR(__xludf.DUMMYFUNCTION("""COMPUTED_VALUE"""),45776.64583333333)</f>
        <v>45776.64583</v>
      </c>
      <c r="B152" s="7">
        <f>IFERROR(__xludf.DUMMYFUNCTION("""COMPUTED_VALUE"""),308.55)</f>
        <v>308.55</v>
      </c>
      <c r="C152" s="7">
        <f>IFERROR(__xludf.DUMMYFUNCTION("""COMPUTED_VALUE"""),310.8)</f>
        <v>310.8</v>
      </c>
      <c r="D152" s="7">
        <f>IFERROR(__xludf.DUMMYFUNCTION("""COMPUTED_VALUE"""),301.2)</f>
        <v>301.2</v>
      </c>
      <c r="E152" s="7">
        <f>IFERROR(__xludf.DUMMYFUNCTION("""COMPUTED_VALUE"""),302.95)</f>
        <v>302.95</v>
      </c>
      <c r="F152" s="7">
        <f>IFERROR(__xludf.DUMMYFUNCTION("""COMPUTED_VALUE"""),1.4678005E7)</f>
        <v>14678005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f>IFERROR(__xludf.DUMMYFUNCTION("""COMPUTED_VALUE"""),45777.64583333333)</f>
        <v>45777.64583</v>
      </c>
      <c r="B153" s="7">
        <f>IFERROR(__xludf.DUMMYFUNCTION("""COMPUTED_VALUE"""),304.45)</f>
        <v>304.45</v>
      </c>
      <c r="C153" s="7">
        <f>IFERROR(__xludf.DUMMYFUNCTION("""COMPUTED_VALUE"""),310.0)</f>
        <v>310</v>
      </c>
      <c r="D153" s="7">
        <f>IFERROR(__xludf.DUMMYFUNCTION("""COMPUTED_VALUE"""),301.9)</f>
        <v>301.9</v>
      </c>
      <c r="E153" s="7">
        <f>IFERROR(__xludf.DUMMYFUNCTION("""COMPUTED_VALUE"""),307.45)</f>
        <v>307.45</v>
      </c>
      <c r="F153" s="7">
        <f>IFERROR(__xludf.DUMMYFUNCTION("""COMPUTED_VALUE"""),1.7619987E7)</f>
        <v>17619987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f>IFERROR(__xludf.DUMMYFUNCTION("""COMPUTED_VALUE"""),45779.64583333333)</f>
        <v>45779.64583</v>
      </c>
      <c r="B154" s="7">
        <f>IFERROR(__xludf.DUMMYFUNCTION("""COMPUTED_VALUE"""),305.5)</f>
        <v>305.5</v>
      </c>
      <c r="C154" s="7">
        <f>IFERROR(__xludf.DUMMYFUNCTION("""COMPUTED_VALUE"""),309.0)</f>
        <v>309</v>
      </c>
      <c r="D154" s="7">
        <f>IFERROR(__xludf.DUMMYFUNCTION("""COMPUTED_VALUE"""),302.3)</f>
        <v>302.3</v>
      </c>
      <c r="E154" s="7">
        <f>IFERROR(__xludf.DUMMYFUNCTION("""COMPUTED_VALUE"""),303.95)</f>
        <v>303.95</v>
      </c>
      <c r="F154" s="7">
        <f>IFERROR(__xludf.DUMMYFUNCTION("""COMPUTED_VALUE"""),5688285.0)</f>
        <v>5688285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f>IFERROR(__xludf.DUMMYFUNCTION("""COMPUTED_VALUE"""),45782.64583333333)</f>
        <v>45782.64583</v>
      </c>
      <c r="B155" s="7">
        <f>IFERROR(__xludf.DUMMYFUNCTION("""COMPUTED_VALUE"""),304.8)</f>
        <v>304.8</v>
      </c>
      <c r="C155" s="7">
        <f>IFERROR(__xludf.DUMMYFUNCTION("""COMPUTED_VALUE"""),310.7)</f>
        <v>310.7</v>
      </c>
      <c r="D155" s="7">
        <f>IFERROR(__xludf.DUMMYFUNCTION("""COMPUTED_VALUE"""),304.65)</f>
        <v>304.65</v>
      </c>
      <c r="E155" s="7">
        <f>IFERROR(__xludf.DUMMYFUNCTION("""COMPUTED_VALUE"""),308.2)</f>
        <v>308.2</v>
      </c>
      <c r="F155" s="7">
        <f>IFERROR(__xludf.DUMMYFUNCTION("""COMPUTED_VALUE"""),4342960.0)</f>
        <v>4342960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f>IFERROR(__xludf.DUMMYFUNCTION("""COMPUTED_VALUE"""),45783.64583333333)</f>
        <v>45783.64583</v>
      </c>
      <c r="B156" s="7">
        <f>IFERROR(__xludf.DUMMYFUNCTION("""COMPUTED_VALUE"""),307.6)</f>
        <v>307.6</v>
      </c>
      <c r="C156" s="7">
        <f>IFERROR(__xludf.DUMMYFUNCTION("""COMPUTED_VALUE"""),310.45)</f>
        <v>310.45</v>
      </c>
      <c r="D156" s="7">
        <f>IFERROR(__xludf.DUMMYFUNCTION("""COMPUTED_VALUE"""),305.55)</f>
        <v>305.55</v>
      </c>
      <c r="E156" s="7">
        <f>IFERROR(__xludf.DUMMYFUNCTION("""COMPUTED_VALUE"""),307.6)</f>
        <v>307.6</v>
      </c>
      <c r="F156" s="7">
        <f>IFERROR(__xludf.DUMMYFUNCTION("""COMPUTED_VALUE"""),9124804.0)</f>
        <v>9124804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f>IFERROR(__xludf.DUMMYFUNCTION("""COMPUTED_VALUE"""),45784.64583333333)</f>
        <v>45784.64583</v>
      </c>
      <c r="B157" s="7">
        <f>IFERROR(__xludf.DUMMYFUNCTION("""COMPUTED_VALUE"""),308.0)</f>
        <v>308</v>
      </c>
      <c r="C157" s="7">
        <f>IFERROR(__xludf.DUMMYFUNCTION("""COMPUTED_VALUE"""),313.15)</f>
        <v>313.15</v>
      </c>
      <c r="D157" s="7">
        <f>IFERROR(__xludf.DUMMYFUNCTION("""COMPUTED_VALUE"""),307.0)</f>
        <v>307</v>
      </c>
      <c r="E157" s="7">
        <f>IFERROR(__xludf.DUMMYFUNCTION("""COMPUTED_VALUE"""),311.1)</f>
        <v>311.1</v>
      </c>
      <c r="F157" s="7">
        <f>IFERROR(__xludf.DUMMYFUNCTION("""COMPUTED_VALUE"""),1.4679327E7)</f>
        <v>14679327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f>IFERROR(__xludf.DUMMYFUNCTION("""COMPUTED_VALUE"""),45785.64583333333)</f>
        <v>45785.64583</v>
      </c>
      <c r="B158" s="7">
        <f>IFERROR(__xludf.DUMMYFUNCTION("""COMPUTED_VALUE"""),313.4)</f>
        <v>313.4</v>
      </c>
      <c r="C158" s="7">
        <f>IFERROR(__xludf.DUMMYFUNCTION("""COMPUTED_VALUE"""),317.4)</f>
        <v>317.4</v>
      </c>
      <c r="D158" s="7">
        <f>IFERROR(__xludf.DUMMYFUNCTION("""COMPUTED_VALUE"""),304.0)</f>
        <v>304</v>
      </c>
      <c r="E158" s="7">
        <f>IFERROR(__xludf.DUMMYFUNCTION("""COMPUTED_VALUE"""),308.25)</f>
        <v>308.25</v>
      </c>
      <c r="F158" s="7">
        <f>IFERROR(__xludf.DUMMYFUNCTION("""COMPUTED_VALUE"""),1.9253478E7)</f>
        <v>19253478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f>IFERROR(__xludf.DUMMYFUNCTION("""COMPUTED_VALUE"""),45786.64583333333)</f>
        <v>45786.64583</v>
      </c>
      <c r="B159" s="7">
        <f>IFERROR(__xludf.DUMMYFUNCTION("""COMPUTED_VALUE"""),300.0)</f>
        <v>300</v>
      </c>
      <c r="C159" s="7">
        <f>IFERROR(__xludf.DUMMYFUNCTION("""COMPUTED_VALUE"""),303.05)</f>
        <v>303.05</v>
      </c>
      <c r="D159" s="7">
        <f>IFERROR(__xludf.DUMMYFUNCTION("""COMPUTED_VALUE"""),296.4)</f>
        <v>296.4</v>
      </c>
      <c r="E159" s="7">
        <f>IFERROR(__xludf.DUMMYFUNCTION("""COMPUTED_VALUE"""),299.3)</f>
        <v>299.3</v>
      </c>
      <c r="F159" s="7">
        <f>IFERROR(__xludf.DUMMYFUNCTION("""COMPUTED_VALUE"""),1.1981497E7)</f>
        <v>11981497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f>IFERROR(__xludf.DUMMYFUNCTION("""COMPUTED_VALUE"""),45789.64583333333)</f>
        <v>45789.64583</v>
      </c>
      <c r="B160" s="7">
        <f>IFERROR(__xludf.DUMMYFUNCTION("""COMPUTED_VALUE"""),304.05)</f>
        <v>304.05</v>
      </c>
      <c r="C160" s="7">
        <f>IFERROR(__xludf.DUMMYFUNCTION("""COMPUTED_VALUE"""),311.1)</f>
        <v>311.1</v>
      </c>
      <c r="D160" s="7">
        <f>IFERROR(__xludf.DUMMYFUNCTION("""COMPUTED_VALUE"""),304.05)</f>
        <v>304.05</v>
      </c>
      <c r="E160" s="7">
        <f>IFERROR(__xludf.DUMMYFUNCTION("""COMPUTED_VALUE"""),309.05)</f>
        <v>309.05</v>
      </c>
      <c r="F160" s="7">
        <f>IFERROR(__xludf.DUMMYFUNCTION("""COMPUTED_VALUE"""),7145884.0)</f>
        <v>7145884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f>IFERROR(__xludf.DUMMYFUNCTION("""COMPUTED_VALUE"""),45790.64583333333)</f>
        <v>45790.64583</v>
      </c>
      <c r="B161" s="7">
        <f>IFERROR(__xludf.DUMMYFUNCTION("""COMPUTED_VALUE"""),305.0)</f>
        <v>305</v>
      </c>
      <c r="C161" s="7">
        <f>IFERROR(__xludf.DUMMYFUNCTION("""COMPUTED_VALUE"""),308.75)</f>
        <v>308.75</v>
      </c>
      <c r="D161" s="7">
        <f>IFERROR(__xludf.DUMMYFUNCTION("""COMPUTED_VALUE"""),298.0)</f>
        <v>298</v>
      </c>
      <c r="E161" s="7">
        <f>IFERROR(__xludf.DUMMYFUNCTION("""COMPUTED_VALUE"""),298.45)</f>
        <v>298.45</v>
      </c>
      <c r="F161" s="7">
        <f>IFERROR(__xludf.DUMMYFUNCTION("""COMPUTED_VALUE"""),1.7988336E7)</f>
        <v>17988336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f>IFERROR(__xludf.DUMMYFUNCTION("""COMPUTED_VALUE"""),45791.64583333333)</f>
        <v>45791.64583</v>
      </c>
      <c r="B162" s="7">
        <f>IFERROR(__xludf.DUMMYFUNCTION("""COMPUTED_VALUE"""),299.2)</f>
        <v>299.2</v>
      </c>
      <c r="C162" s="7">
        <f>IFERROR(__xludf.DUMMYFUNCTION("""COMPUTED_VALUE"""),300.55)</f>
        <v>300.55</v>
      </c>
      <c r="D162" s="7">
        <f>IFERROR(__xludf.DUMMYFUNCTION("""COMPUTED_VALUE"""),294.05)</f>
        <v>294.05</v>
      </c>
      <c r="E162" s="7">
        <f>IFERROR(__xludf.DUMMYFUNCTION("""COMPUTED_VALUE"""),295.95)</f>
        <v>295.95</v>
      </c>
      <c r="F162" s="7">
        <f>IFERROR(__xludf.DUMMYFUNCTION("""COMPUTED_VALUE"""),1.0359258E7)</f>
        <v>10359258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f>IFERROR(__xludf.DUMMYFUNCTION("""COMPUTED_VALUE"""),45792.64583333333)</f>
        <v>45792.64583</v>
      </c>
      <c r="B163" s="7">
        <f>IFERROR(__xludf.DUMMYFUNCTION("""COMPUTED_VALUE"""),295.9)</f>
        <v>295.9</v>
      </c>
      <c r="C163" s="7">
        <f>IFERROR(__xludf.DUMMYFUNCTION("""COMPUTED_VALUE"""),300.4)</f>
        <v>300.4</v>
      </c>
      <c r="D163" s="7">
        <f>IFERROR(__xludf.DUMMYFUNCTION("""COMPUTED_VALUE"""),291.05)</f>
        <v>291.05</v>
      </c>
      <c r="E163" s="7">
        <f>IFERROR(__xludf.DUMMYFUNCTION("""COMPUTED_VALUE"""),299.65)</f>
        <v>299.65</v>
      </c>
      <c r="F163" s="7">
        <f>IFERROR(__xludf.DUMMYFUNCTION("""COMPUTED_VALUE"""),2.2640626E7)</f>
        <v>22640626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f>IFERROR(__xludf.DUMMYFUNCTION("""COMPUTED_VALUE"""),45793.64583333333)</f>
        <v>45793.64583</v>
      </c>
      <c r="B164" s="7">
        <f>IFERROR(__xludf.DUMMYFUNCTION("""COMPUTED_VALUE"""),300.0)</f>
        <v>300</v>
      </c>
      <c r="C164" s="7">
        <f>IFERROR(__xludf.DUMMYFUNCTION("""COMPUTED_VALUE"""),302.2)</f>
        <v>302.2</v>
      </c>
      <c r="D164" s="7">
        <f>IFERROR(__xludf.DUMMYFUNCTION("""COMPUTED_VALUE"""),295.5)</f>
        <v>295.5</v>
      </c>
      <c r="E164" s="7">
        <f>IFERROR(__xludf.DUMMYFUNCTION("""COMPUTED_VALUE"""),300.2)</f>
        <v>300.2</v>
      </c>
      <c r="F164" s="7">
        <f>IFERROR(__xludf.DUMMYFUNCTION("""COMPUTED_VALUE"""),1.6763668E7)</f>
        <v>16763668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f>IFERROR(__xludf.DUMMYFUNCTION("""COMPUTED_VALUE"""),45796.64583333333)</f>
        <v>45796.64583</v>
      </c>
      <c r="B165" s="7">
        <f>IFERROR(__xludf.DUMMYFUNCTION("""COMPUTED_VALUE"""),302.0)</f>
        <v>302</v>
      </c>
      <c r="C165" s="7">
        <f>IFERROR(__xludf.DUMMYFUNCTION("""COMPUTED_VALUE"""),304.5)</f>
        <v>304.5</v>
      </c>
      <c r="D165" s="7">
        <f>IFERROR(__xludf.DUMMYFUNCTION("""COMPUTED_VALUE"""),299.0)</f>
        <v>299</v>
      </c>
      <c r="E165" s="7">
        <f>IFERROR(__xludf.DUMMYFUNCTION("""COMPUTED_VALUE"""),304.05)</f>
        <v>304.05</v>
      </c>
      <c r="F165" s="7">
        <f>IFERROR(__xludf.DUMMYFUNCTION("""COMPUTED_VALUE"""),1.2575289E7)</f>
        <v>12575289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f>IFERROR(__xludf.DUMMYFUNCTION("""COMPUTED_VALUE"""),45797.64583333333)</f>
        <v>45797.64583</v>
      </c>
      <c r="B166" s="7">
        <f>IFERROR(__xludf.DUMMYFUNCTION("""COMPUTED_VALUE"""),304.4)</f>
        <v>304.4</v>
      </c>
      <c r="C166" s="7">
        <f>IFERROR(__xludf.DUMMYFUNCTION("""COMPUTED_VALUE"""),305.3)</f>
        <v>305.3</v>
      </c>
      <c r="D166" s="7">
        <f>IFERROR(__xludf.DUMMYFUNCTION("""COMPUTED_VALUE"""),297.1)</f>
        <v>297.1</v>
      </c>
      <c r="E166" s="7">
        <f>IFERROR(__xludf.DUMMYFUNCTION("""COMPUTED_VALUE"""),297.9)</f>
        <v>297.9</v>
      </c>
      <c r="F166" s="7">
        <f>IFERROR(__xludf.DUMMYFUNCTION("""COMPUTED_VALUE"""),2.1339095E7)</f>
        <v>21339095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f>IFERROR(__xludf.DUMMYFUNCTION("""COMPUTED_VALUE"""),45798.64583333333)</f>
        <v>45798.64583</v>
      </c>
      <c r="B167" s="7">
        <f>IFERROR(__xludf.DUMMYFUNCTION("""COMPUTED_VALUE"""),297.75)</f>
        <v>297.75</v>
      </c>
      <c r="C167" s="7">
        <f>IFERROR(__xludf.DUMMYFUNCTION("""COMPUTED_VALUE"""),302.25)</f>
        <v>302.25</v>
      </c>
      <c r="D167" s="7">
        <f>IFERROR(__xludf.DUMMYFUNCTION("""COMPUTED_VALUE"""),295.65)</f>
        <v>295.65</v>
      </c>
      <c r="E167" s="7">
        <f>IFERROR(__xludf.DUMMYFUNCTION("""COMPUTED_VALUE"""),296.15)</f>
        <v>296.15</v>
      </c>
      <c r="F167" s="7">
        <f>IFERROR(__xludf.DUMMYFUNCTION("""COMPUTED_VALUE"""),1.1997632E7)</f>
        <v>11997632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f>IFERROR(__xludf.DUMMYFUNCTION("""COMPUTED_VALUE"""),45799.64583333333)</f>
        <v>45799.64583</v>
      </c>
      <c r="B168" s="7">
        <f>IFERROR(__xludf.DUMMYFUNCTION("""COMPUTED_VALUE"""),295.9)</f>
        <v>295.9</v>
      </c>
      <c r="C168" s="7">
        <f>IFERROR(__xludf.DUMMYFUNCTION("""COMPUTED_VALUE"""),296.35)</f>
        <v>296.35</v>
      </c>
      <c r="D168" s="7">
        <f>IFERROR(__xludf.DUMMYFUNCTION("""COMPUTED_VALUE"""),286.55)</f>
        <v>286.55</v>
      </c>
      <c r="E168" s="7">
        <f>IFERROR(__xludf.DUMMYFUNCTION("""COMPUTED_VALUE"""),290.9)</f>
        <v>290.9</v>
      </c>
      <c r="F168" s="7">
        <f>IFERROR(__xludf.DUMMYFUNCTION("""COMPUTED_VALUE"""),2.6158839E7)</f>
        <v>26158839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f>IFERROR(__xludf.DUMMYFUNCTION("""COMPUTED_VALUE"""),45800.64583333333)</f>
        <v>45800.64583</v>
      </c>
      <c r="B169" s="7">
        <f>IFERROR(__xludf.DUMMYFUNCTION("""COMPUTED_VALUE"""),292.0)</f>
        <v>292</v>
      </c>
      <c r="C169" s="7">
        <f>IFERROR(__xludf.DUMMYFUNCTION("""COMPUTED_VALUE"""),298.75)</f>
        <v>298.75</v>
      </c>
      <c r="D169" s="7">
        <f>IFERROR(__xludf.DUMMYFUNCTION("""COMPUTED_VALUE"""),291.75)</f>
        <v>291.75</v>
      </c>
      <c r="E169" s="7">
        <f>IFERROR(__xludf.DUMMYFUNCTION("""COMPUTED_VALUE"""),298.1)</f>
        <v>298.1</v>
      </c>
      <c r="F169" s="7">
        <f>IFERROR(__xludf.DUMMYFUNCTION("""COMPUTED_VALUE"""),9872024.0)</f>
        <v>9872024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f>IFERROR(__xludf.DUMMYFUNCTION("""COMPUTED_VALUE"""),45803.64583333333)</f>
        <v>45803.64583</v>
      </c>
      <c r="B170" s="7">
        <f>IFERROR(__xludf.DUMMYFUNCTION("""COMPUTED_VALUE"""),300.05)</f>
        <v>300.05</v>
      </c>
      <c r="C170" s="7">
        <f>IFERROR(__xludf.DUMMYFUNCTION("""COMPUTED_VALUE"""),303.8)</f>
        <v>303.8</v>
      </c>
      <c r="D170" s="7">
        <f>IFERROR(__xludf.DUMMYFUNCTION("""COMPUTED_VALUE"""),295.75)</f>
        <v>295.75</v>
      </c>
      <c r="E170" s="7">
        <f>IFERROR(__xludf.DUMMYFUNCTION("""COMPUTED_VALUE"""),296.7)</f>
        <v>296.7</v>
      </c>
      <c r="F170" s="7">
        <f>IFERROR(__xludf.DUMMYFUNCTION("""COMPUTED_VALUE"""),1.646913E7)</f>
        <v>16469130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f>IFERROR(__xludf.DUMMYFUNCTION("""COMPUTED_VALUE"""),45804.64583333333)</f>
        <v>45804.64583</v>
      </c>
      <c r="B171" s="7">
        <f>IFERROR(__xludf.DUMMYFUNCTION("""COMPUTED_VALUE"""),297.0)</f>
        <v>297</v>
      </c>
      <c r="C171" s="7">
        <f>IFERROR(__xludf.DUMMYFUNCTION("""COMPUTED_VALUE"""),297.6)</f>
        <v>297.6</v>
      </c>
      <c r="D171" s="7">
        <f>IFERROR(__xludf.DUMMYFUNCTION("""COMPUTED_VALUE"""),292.2)</f>
        <v>292.2</v>
      </c>
      <c r="E171" s="7">
        <f>IFERROR(__xludf.DUMMYFUNCTION("""COMPUTED_VALUE"""),294.55)</f>
        <v>294.55</v>
      </c>
      <c r="F171" s="7">
        <f>IFERROR(__xludf.DUMMYFUNCTION("""COMPUTED_VALUE"""),1.707471E7)</f>
        <v>17074710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f>IFERROR(__xludf.DUMMYFUNCTION("""COMPUTED_VALUE"""),45805.64583333333)</f>
        <v>45805.64583</v>
      </c>
      <c r="B172" s="7">
        <f>IFERROR(__xludf.DUMMYFUNCTION("""COMPUTED_VALUE"""),294.55)</f>
        <v>294.55</v>
      </c>
      <c r="C172" s="7">
        <f>IFERROR(__xludf.DUMMYFUNCTION("""COMPUTED_VALUE"""),295.65)</f>
        <v>295.65</v>
      </c>
      <c r="D172" s="7">
        <f>IFERROR(__xludf.DUMMYFUNCTION("""COMPUTED_VALUE"""),290.5)</f>
        <v>290.5</v>
      </c>
      <c r="E172" s="7">
        <f>IFERROR(__xludf.DUMMYFUNCTION("""COMPUTED_VALUE"""),291.15)</f>
        <v>291.15</v>
      </c>
      <c r="F172" s="7">
        <f>IFERROR(__xludf.DUMMYFUNCTION("""COMPUTED_VALUE"""),1.0099453E7)</f>
        <v>10099453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f>IFERROR(__xludf.DUMMYFUNCTION("""COMPUTED_VALUE"""),45806.64583333333)</f>
        <v>45806.64583</v>
      </c>
      <c r="B173" s="7">
        <f>IFERROR(__xludf.DUMMYFUNCTION("""COMPUTED_VALUE"""),291.35)</f>
        <v>291.35</v>
      </c>
      <c r="C173" s="7">
        <f>IFERROR(__xludf.DUMMYFUNCTION("""COMPUTED_VALUE"""),293.9)</f>
        <v>293.9</v>
      </c>
      <c r="D173" s="7">
        <f>IFERROR(__xludf.DUMMYFUNCTION("""COMPUTED_VALUE"""),291.35)</f>
        <v>291.35</v>
      </c>
      <c r="E173" s="7">
        <f>IFERROR(__xludf.DUMMYFUNCTION("""COMPUTED_VALUE"""),293.1)</f>
        <v>293.1</v>
      </c>
      <c r="F173" s="7">
        <f>IFERROR(__xludf.DUMMYFUNCTION("""COMPUTED_VALUE"""),9773818.0)</f>
        <v>9773818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f>IFERROR(__xludf.DUMMYFUNCTION("""COMPUTED_VALUE"""),45807.64583333333)</f>
        <v>45807.64583</v>
      </c>
      <c r="B174" s="7">
        <f>IFERROR(__xludf.DUMMYFUNCTION("""COMPUTED_VALUE"""),292.0)</f>
        <v>292</v>
      </c>
      <c r="C174" s="7">
        <f>IFERROR(__xludf.DUMMYFUNCTION("""COMPUTED_VALUE"""),294.65)</f>
        <v>294.65</v>
      </c>
      <c r="D174" s="7">
        <f>IFERROR(__xludf.DUMMYFUNCTION("""COMPUTED_VALUE"""),288.25)</f>
        <v>288.25</v>
      </c>
      <c r="E174" s="7">
        <f>IFERROR(__xludf.DUMMYFUNCTION("""COMPUTED_VALUE"""),289.75)</f>
        <v>289.75</v>
      </c>
      <c r="F174" s="7">
        <f>IFERROR(__xludf.DUMMYFUNCTION("""COMPUTED_VALUE"""),2.1788566E7)</f>
        <v>21788566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f>IFERROR(__xludf.DUMMYFUNCTION("""COMPUTED_VALUE"""),45810.64583333333)</f>
        <v>45810.64583</v>
      </c>
      <c r="B175" s="7">
        <f>IFERROR(__xludf.DUMMYFUNCTION("""COMPUTED_VALUE"""),290.3)</f>
        <v>290.3</v>
      </c>
      <c r="C175" s="7">
        <f>IFERROR(__xludf.DUMMYFUNCTION("""COMPUTED_VALUE"""),293.65)</f>
        <v>293.65</v>
      </c>
      <c r="D175" s="7">
        <f>IFERROR(__xludf.DUMMYFUNCTION("""COMPUTED_VALUE"""),288.4)</f>
        <v>288.4</v>
      </c>
      <c r="E175" s="7">
        <f>IFERROR(__xludf.DUMMYFUNCTION("""COMPUTED_VALUE"""),293.05)</f>
        <v>293.05</v>
      </c>
      <c r="F175" s="7">
        <f>IFERROR(__xludf.DUMMYFUNCTION("""COMPUTED_VALUE"""),7255782.0)</f>
        <v>7255782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f>IFERROR(__xludf.DUMMYFUNCTION("""COMPUTED_VALUE"""),45811.64583333333)</f>
        <v>45811.64583</v>
      </c>
      <c r="B176" s="7">
        <f>IFERROR(__xludf.DUMMYFUNCTION("""COMPUTED_VALUE"""),292.5)</f>
        <v>292.5</v>
      </c>
      <c r="C176" s="7">
        <f>IFERROR(__xludf.DUMMYFUNCTION("""COMPUTED_VALUE"""),295.4)</f>
        <v>295.4</v>
      </c>
      <c r="D176" s="7">
        <f>IFERROR(__xludf.DUMMYFUNCTION("""COMPUTED_VALUE"""),287.75)</f>
        <v>287.75</v>
      </c>
      <c r="E176" s="7">
        <f>IFERROR(__xludf.DUMMYFUNCTION("""COMPUTED_VALUE"""),288.25)</f>
        <v>288.25</v>
      </c>
      <c r="F176" s="7">
        <f>IFERROR(__xludf.DUMMYFUNCTION("""COMPUTED_VALUE"""),1.0989055E7)</f>
        <v>10989055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f>IFERROR(__xludf.DUMMYFUNCTION("""COMPUTED_VALUE"""),45812.64583333333)</f>
        <v>45812.64583</v>
      </c>
      <c r="B177" s="7">
        <f>IFERROR(__xludf.DUMMYFUNCTION("""COMPUTED_VALUE"""),288.25)</f>
        <v>288.25</v>
      </c>
      <c r="C177" s="7">
        <f>IFERROR(__xludf.DUMMYFUNCTION("""COMPUTED_VALUE"""),289.8)</f>
        <v>289.8</v>
      </c>
      <c r="D177" s="7">
        <f>IFERROR(__xludf.DUMMYFUNCTION("""COMPUTED_VALUE"""),287.05)</f>
        <v>287.05</v>
      </c>
      <c r="E177" s="7">
        <f>IFERROR(__xludf.DUMMYFUNCTION("""COMPUTED_VALUE"""),288.55)</f>
        <v>288.55</v>
      </c>
      <c r="F177" s="7">
        <f>IFERROR(__xludf.DUMMYFUNCTION("""COMPUTED_VALUE"""),8580196.0)</f>
        <v>8580196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f>IFERROR(__xludf.DUMMYFUNCTION("""COMPUTED_VALUE"""),45813.64583333333)</f>
        <v>45813.64583</v>
      </c>
      <c r="B178" s="7">
        <f>IFERROR(__xludf.DUMMYFUNCTION("""COMPUTED_VALUE"""),291.0)</f>
        <v>291</v>
      </c>
      <c r="C178" s="7">
        <f>IFERROR(__xludf.DUMMYFUNCTION("""COMPUTED_VALUE"""),295.25)</f>
        <v>295.25</v>
      </c>
      <c r="D178" s="7">
        <f>IFERROR(__xludf.DUMMYFUNCTION("""COMPUTED_VALUE"""),290.1)</f>
        <v>290.1</v>
      </c>
      <c r="E178" s="7">
        <f>IFERROR(__xludf.DUMMYFUNCTION("""COMPUTED_VALUE"""),294.25)</f>
        <v>294.25</v>
      </c>
      <c r="F178" s="7">
        <f>IFERROR(__xludf.DUMMYFUNCTION("""COMPUTED_VALUE"""),1.3110486E7)</f>
        <v>13110486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f>IFERROR(__xludf.DUMMYFUNCTION("""COMPUTED_VALUE"""),45814.64583333333)</f>
        <v>45814.64583</v>
      </c>
      <c r="B179" s="7">
        <f>IFERROR(__xludf.DUMMYFUNCTION("""COMPUTED_VALUE"""),293.55)</f>
        <v>293.55</v>
      </c>
      <c r="C179" s="7">
        <f>IFERROR(__xludf.DUMMYFUNCTION("""COMPUTED_VALUE"""),297.0)</f>
        <v>297</v>
      </c>
      <c r="D179" s="7">
        <f>IFERROR(__xludf.DUMMYFUNCTION("""COMPUTED_VALUE"""),292.95)</f>
        <v>292.95</v>
      </c>
      <c r="E179" s="7">
        <f>IFERROR(__xludf.DUMMYFUNCTION("""COMPUTED_VALUE"""),295.8)</f>
        <v>295.8</v>
      </c>
      <c r="F179" s="7">
        <f>IFERROR(__xludf.DUMMYFUNCTION("""COMPUTED_VALUE"""),7935393.0)</f>
        <v>7935393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f>IFERROR(__xludf.DUMMYFUNCTION("""COMPUTED_VALUE"""),45817.64583333333)</f>
        <v>45817.64583</v>
      </c>
      <c r="B180" s="7">
        <f>IFERROR(__xludf.DUMMYFUNCTION("""COMPUTED_VALUE"""),298.0)</f>
        <v>298</v>
      </c>
      <c r="C180" s="7">
        <f>IFERROR(__xludf.DUMMYFUNCTION("""COMPUTED_VALUE"""),301.15)</f>
        <v>301.15</v>
      </c>
      <c r="D180" s="7">
        <f>IFERROR(__xludf.DUMMYFUNCTION("""COMPUTED_VALUE"""),296.15)</f>
        <v>296.15</v>
      </c>
      <c r="E180" s="7">
        <f>IFERROR(__xludf.DUMMYFUNCTION("""COMPUTED_VALUE"""),300.5)</f>
        <v>300.5</v>
      </c>
      <c r="F180" s="7">
        <f>IFERROR(__xludf.DUMMYFUNCTION("""COMPUTED_VALUE"""),8666186.0)</f>
        <v>8666186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f>IFERROR(__xludf.DUMMYFUNCTION("""COMPUTED_VALUE"""),45818.64583333333)</f>
        <v>45818.64583</v>
      </c>
      <c r="B181" s="7">
        <f>IFERROR(__xludf.DUMMYFUNCTION("""COMPUTED_VALUE"""),300.55)</f>
        <v>300.55</v>
      </c>
      <c r="C181" s="7">
        <f>IFERROR(__xludf.DUMMYFUNCTION("""COMPUTED_VALUE"""),301.8)</f>
        <v>301.8</v>
      </c>
      <c r="D181" s="7">
        <f>IFERROR(__xludf.DUMMYFUNCTION("""COMPUTED_VALUE"""),298.25)</f>
        <v>298.25</v>
      </c>
      <c r="E181" s="7">
        <f>IFERROR(__xludf.DUMMYFUNCTION("""COMPUTED_VALUE"""),301.05)</f>
        <v>301.05</v>
      </c>
      <c r="F181" s="7">
        <f>IFERROR(__xludf.DUMMYFUNCTION("""COMPUTED_VALUE"""),7273892.0)</f>
        <v>7273892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f>IFERROR(__xludf.DUMMYFUNCTION("""COMPUTED_VALUE"""),45819.64583333333)</f>
        <v>45819.64583</v>
      </c>
      <c r="B182" s="7">
        <f>IFERROR(__xludf.DUMMYFUNCTION("""COMPUTED_VALUE"""),301.1)</f>
        <v>301.1</v>
      </c>
      <c r="C182" s="7">
        <f>IFERROR(__xludf.DUMMYFUNCTION("""COMPUTED_VALUE"""),301.4)</f>
        <v>301.4</v>
      </c>
      <c r="D182" s="7">
        <f>IFERROR(__xludf.DUMMYFUNCTION("""COMPUTED_VALUE"""),294.0)</f>
        <v>294</v>
      </c>
      <c r="E182" s="7">
        <f>IFERROR(__xludf.DUMMYFUNCTION("""COMPUTED_VALUE"""),295.45)</f>
        <v>295.45</v>
      </c>
      <c r="F182" s="7">
        <f>IFERROR(__xludf.DUMMYFUNCTION("""COMPUTED_VALUE"""),1.0941604E7)</f>
        <v>10941604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f>IFERROR(__xludf.DUMMYFUNCTION("""COMPUTED_VALUE"""),45820.64583333333)</f>
        <v>45820.64583</v>
      </c>
      <c r="B183" s="7">
        <f>IFERROR(__xludf.DUMMYFUNCTION("""COMPUTED_VALUE"""),295.15)</f>
        <v>295.15</v>
      </c>
      <c r="C183" s="7">
        <f>IFERROR(__xludf.DUMMYFUNCTION("""COMPUTED_VALUE"""),295.8)</f>
        <v>295.8</v>
      </c>
      <c r="D183" s="7">
        <f>IFERROR(__xludf.DUMMYFUNCTION("""COMPUTED_VALUE"""),288.5)</f>
        <v>288.5</v>
      </c>
      <c r="E183" s="7">
        <f>IFERROR(__xludf.DUMMYFUNCTION("""COMPUTED_VALUE"""),289.0)</f>
        <v>289</v>
      </c>
      <c r="F183" s="7">
        <f>IFERROR(__xludf.DUMMYFUNCTION("""COMPUTED_VALUE"""),1.4071159E7)</f>
        <v>14071159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f>IFERROR(__xludf.DUMMYFUNCTION("""COMPUTED_VALUE"""),45821.64583333333)</f>
        <v>45821.64583</v>
      </c>
      <c r="B184" s="7">
        <f>IFERROR(__xludf.DUMMYFUNCTION("""COMPUTED_VALUE"""),282.55)</f>
        <v>282.55</v>
      </c>
      <c r="C184" s="7">
        <f>IFERROR(__xludf.DUMMYFUNCTION("""COMPUTED_VALUE"""),286.45)</f>
        <v>286.45</v>
      </c>
      <c r="D184" s="7">
        <f>IFERROR(__xludf.DUMMYFUNCTION("""COMPUTED_VALUE"""),281.8)</f>
        <v>281.8</v>
      </c>
      <c r="E184" s="7">
        <f>IFERROR(__xludf.DUMMYFUNCTION("""COMPUTED_VALUE"""),285.5)</f>
        <v>285.5</v>
      </c>
      <c r="F184" s="7">
        <f>IFERROR(__xludf.DUMMYFUNCTION("""COMPUTED_VALUE"""),1.6028417E7)</f>
        <v>16028417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f>IFERROR(__xludf.DUMMYFUNCTION("""COMPUTED_VALUE"""),45824.64583333333)</f>
        <v>45824.64583</v>
      </c>
      <c r="B185" s="7">
        <f>IFERROR(__xludf.DUMMYFUNCTION("""COMPUTED_VALUE"""),287.95)</f>
        <v>287.95</v>
      </c>
      <c r="C185" s="7">
        <f>IFERROR(__xludf.DUMMYFUNCTION("""COMPUTED_VALUE"""),290.5)</f>
        <v>290.5</v>
      </c>
      <c r="D185" s="7">
        <f>IFERROR(__xludf.DUMMYFUNCTION("""COMPUTED_VALUE"""),286.3)</f>
        <v>286.3</v>
      </c>
      <c r="E185" s="7">
        <f>IFERROR(__xludf.DUMMYFUNCTION("""COMPUTED_VALUE"""),288.65)</f>
        <v>288.65</v>
      </c>
      <c r="F185" s="7">
        <f>IFERROR(__xludf.DUMMYFUNCTION("""COMPUTED_VALUE"""),1.1067299E7)</f>
        <v>11067299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f>IFERROR(__xludf.DUMMYFUNCTION("""COMPUTED_VALUE"""),45825.64583333333)</f>
        <v>45825.64583</v>
      </c>
      <c r="B186" s="7">
        <f>IFERROR(__xludf.DUMMYFUNCTION("""COMPUTED_VALUE"""),288.65)</f>
        <v>288.65</v>
      </c>
      <c r="C186" s="7">
        <f>IFERROR(__xludf.DUMMYFUNCTION("""COMPUTED_VALUE"""),290.45)</f>
        <v>290.45</v>
      </c>
      <c r="D186" s="7">
        <f>IFERROR(__xludf.DUMMYFUNCTION("""COMPUTED_VALUE"""),287.2)</f>
        <v>287.2</v>
      </c>
      <c r="E186" s="7">
        <f>IFERROR(__xludf.DUMMYFUNCTION("""COMPUTED_VALUE"""),288.55)</f>
        <v>288.55</v>
      </c>
      <c r="F186" s="7">
        <f>IFERROR(__xludf.DUMMYFUNCTION("""COMPUTED_VALUE"""),7286868.0)</f>
        <v>7286868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f>IFERROR(__xludf.DUMMYFUNCTION("""COMPUTED_VALUE"""),45826.64583333333)</f>
        <v>45826.64583</v>
      </c>
      <c r="B187" s="7">
        <f>IFERROR(__xludf.DUMMYFUNCTION("""COMPUTED_VALUE"""),287.5)</f>
        <v>287.5</v>
      </c>
      <c r="C187" s="7">
        <f>IFERROR(__xludf.DUMMYFUNCTION("""COMPUTED_VALUE"""),288.3)</f>
        <v>288.3</v>
      </c>
      <c r="D187" s="7">
        <f>IFERROR(__xludf.DUMMYFUNCTION("""COMPUTED_VALUE"""),285.5)</f>
        <v>285.5</v>
      </c>
      <c r="E187" s="7">
        <f>IFERROR(__xludf.DUMMYFUNCTION("""COMPUTED_VALUE"""),287.3)</f>
        <v>287.3</v>
      </c>
      <c r="F187" s="7">
        <f>IFERROR(__xludf.DUMMYFUNCTION("""COMPUTED_VALUE"""),1.1904855E7)</f>
        <v>11904855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f>IFERROR(__xludf.DUMMYFUNCTION("""COMPUTED_VALUE"""),45827.64583333333)</f>
        <v>45827.64583</v>
      </c>
      <c r="B188" s="7">
        <f>IFERROR(__xludf.DUMMYFUNCTION("""COMPUTED_VALUE"""),286.8)</f>
        <v>286.8</v>
      </c>
      <c r="C188" s="7">
        <f>IFERROR(__xludf.DUMMYFUNCTION("""COMPUTED_VALUE"""),287.65)</f>
        <v>287.65</v>
      </c>
      <c r="D188" s="7">
        <f>IFERROR(__xludf.DUMMYFUNCTION("""COMPUTED_VALUE"""),285.3)</f>
        <v>285.3</v>
      </c>
      <c r="E188" s="7">
        <f>IFERROR(__xludf.DUMMYFUNCTION("""COMPUTED_VALUE"""),286.45)</f>
        <v>286.45</v>
      </c>
      <c r="F188" s="7">
        <f>IFERROR(__xludf.DUMMYFUNCTION("""COMPUTED_VALUE"""),1.3573824E7)</f>
        <v>13573824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f>IFERROR(__xludf.DUMMYFUNCTION("""COMPUTED_VALUE"""),45828.64583333333)</f>
        <v>45828.64583</v>
      </c>
      <c r="B189" s="7">
        <f>IFERROR(__xludf.DUMMYFUNCTION("""COMPUTED_VALUE"""),285.55)</f>
        <v>285.55</v>
      </c>
      <c r="C189" s="7">
        <f>IFERROR(__xludf.DUMMYFUNCTION("""COMPUTED_VALUE"""),294.5)</f>
        <v>294.5</v>
      </c>
      <c r="D189" s="7">
        <f>IFERROR(__xludf.DUMMYFUNCTION("""COMPUTED_VALUE"""),285.05)</f>
        <v>285.05</v>
      </c>
      <c r="E189" s="7">
        <f>IFERROR(__xludf.DUMMYFUNCTION("""COMPUTED_VALUE"""),293.1)</f>
        <v>293.1</v>
      </c>
      <c r="F189" s="7">
        <f>IFERROR(__xludf.DUMMYFUNCTION("""COMPUTED_VALUE"""),3.3014151E7)</f>
        <v>33014151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f>IFERROR(__xludf.DUMMYFUNCTION("""COMPUTED_VALUE"""),45831.64583333333)</f>
        <v>45831.64583</v>
      </c>
      <c r="B190" s="7">
        <f>IFERROR(__xludf.DUMMYFUNCTION("""COMPUTED_VALUE"""),291.4)</f>
        <v>291.4</v>
      </c>
      <c r="C190" s="7">
        <f>IFERROR(__xludf.DUMMYFUNCTION("""COMPUTED_VALUE"""),293.45)</f>
        <v>293.45</v>
      </c>
      <c r="D190" s="7">
        <f>IFERROR(__xludf.DUMMYFUNCTION("""COMPUTED_VALUE"""),288.1)</f>
        <v>288.1</v>
      </c>
      <c r="E190" s="7">
        <f>IFERROR(__xludf.DUMMYFUNCTION("""COMPUTED_VALUE"""),290.25)</f>
        <v>290.25</v>
      </c>
      <c r="F190" s="7">
        <f>IFERROR(__xludf.DUMMYFUNCTION("""COMPUTED_VALUE"""),6833477.0)</f>
        <v>6833477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f>IFERROR(__xludf.DUMMYFUNCTION("""COMPUTED_VALUE"""),45832.64583333333)</f>
        <v>45832.64583</v>
      </c>
      <c r="B191" s="7">
        <f>IFERROR(__xludf.DUMMYFUNCTION("""COMPUTED_VALUE"""),293.45)</f>
        <v>293.45</v>
      </c>
      <c r="C191" s="7">
        <f>IFERROR(__xludf.DUMMYFUNCTION("""COMPUTED_VALUE"""),294.7)</f>
        <v>294.7</v>
      </c>
      <c r="D191" s="7">
        <f>IFERROR(__xludf.DUMMYFUNCTION("""COMPUTED_VALUE"""),285.35)</f>
        <v>285.35</v>
      </c>
      <c r="E191" s="7">
        <f>IFERROR(__xludf.DUMMYFUNCTION("""COMPUTED_VALUE"""),285.95)</f>
        <v>285.95</v>
      </c>
      <c r="F191" s="7">
        <f>IFERROR(__xludf.DUMMYFUNCTION("""COMPUTED_VALUE"""),1.5007849E7)</f>
        <v>15007849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f>IFERROR(__xludf.DUMMYFUNCTION("""COMPUTED_VALUE"""),45833.64583333333)</f>
        <v>45833.64583</v>
      </c>
      <c r="B192" s="7">
        <f>IFERROR(__xludf.DUMMYFUNCTION("""COMPUTED_VALUE"""),286.5)</f>
        <v>286.5</v>
      </c>
      <c r="C192" s="7">
        <f>IFERROR(__xludf.DUMMYFUNCTION("""COMPUTED_VALUE"""),291.1)</f>
        <v>291.1</v>
      </c>
      <c r="D192" s="7">
        <f>IFERROR(__xludf.DUMMYFUNCTION("""COMPUTED_VALUE"""),286.5)</f>
        <v>286.5</v>
      </c>
      <c r="E192" s="7">
        <f>IFERROR(__xludf.DUMMYFUNCTION("""COMPUTED_VALUE"""),290.45)</f>
        <v>290.45</v>
      </c>
      <c r="F192" s="7">
        <f>IFERROR(__xludf.DUMMYFUNCTION("""COMPUTED_VALUE"""),1.0838516E7)</f>
        <v>10838516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f>IFERROR(__xludf.DUMMYFUNCTION("""COMPUTED_VALUE"""),45834.64583333333)</f>
        <v>45834.64583</v>
      </c>
      <c r="B193" s="7">
        <f>IFERROR(__xludf.DUMMYFUNCTION("""COMPUTED_VALUE"""),290.8)</f>
        <v>290.8</v>
      </c>
      <c r="C193" s="7">
        <f>IFERROR(__xludf.DUMMYFUNCTION("""COMPUTED_VALUE"""),294.25)</f>
        <v>294.25</v>
      </c>
      <c r="D193" s="7">
        <f>IFERROR(__xludf.DUMMYFUNCTION("""COMPUTED_VALUE"""),289.75)</f>
        <v>289.75</v>
      </c>
      <c r="E193" s="7">
        <f>IFERROR(__xludf.DUMMYFUNCTION("""COMPUTED_VALUE"""),293.5)</f>
        <v>293.5</v>
      </c>
      <c r="F193" s="7">
        <f>IFERROR(__xludf.DUMMYFUNCTION("""COMPUTED_VALUE"""),1.023222E7)</f>
        <v>10232220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f>IFERROR(__xludf.DUMMYFUNCTION("""COMPUTED_VALUE"""),45835.64583333333)</f>
        <v>45835.64583</v>
      </c>
      <c r="B194" s="7">
        <f>IFERROR(__xludf.DUMMYFUNCTION("""COMPUTED_VALUE"""),295.0)</f>
        <v>295</v>
      </c>
      <c r="C194" s="7">
        <f>IFERROR(__xludf.DUMMYFUNCTION("""COMPUTED_VALUE"""),300.7)</f>
        <v>300.7</v>
      </c>
      <c r="D194" s="7">
        <f>IFERROR(__xludf.DUMMYFUNCTION("""COMPUTED_VALUE"""),294.15)</f>
        <v>294.15</v>
      </c>
      <c r="E194" s="7">
        <f>IFERROR(__xludf.DUMMYFUNCTION("""COMPUTED_VALUE"""),299.25)</f>
        <v>299.25</v>
      </c>
      <c r="F194" s="7">
        <f>IFERROR(__xludf.DUMMYFUNCTION("""COMPUTED_VALUE"""),1.5523628E7)</f>
        <v>15523628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f>IFERROR(__xludf.DUMMYFUNCTION("""COMPUTED_VALUE"""),45838.64583333333)</f>
        <v>45838.64583</v>
      </c>
      <c r="B195" s="7">
        <f>IFERROR(__xludf.DUMMYFUNCTION("""COMPUTED_VALUE"""),300.4)</f>
        <v>300.4</v>
      </c>
      <c r="C195" s="7">
        <f>IFERROR(__xludf.DUMMYFUNCTION("""COMPUTED_VALUE"""),301.0)</f>
        <v>301</v>
      </c>
      <c r="D195" s="7">
        <f>IFERROR(__xludf.DUMMYFUNCTION("""COMPUTED_VALUE"""),296.25)</f>
        <v>296.25</v>
      </c>
      <c r="E195" s="7">
        <f>IFERROR(__xludf.DUMMYFUNCTION("""COMPUTED_VALUE"""),299.9)</f>
        <v>299.9</v>
      </c>
      <c r="F195" s="7">
        <f>IFERROR(__xludf.DUMMYFUNCTION("""COMPUTED_VALUE"""),8415241.0)</f>
        <v>8415241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f>IFERROR(__xludf.DUMMYFUNCTION("""COMPUTED_VALUE"""),45839.64583333333)</f>
        <v>45839.64583</v>
      </c>
      <c r="B196" s="7">
        <f>IFERROR(__xludf.DUMMYFUNCTION("""COMPUTED_VALUE"""),301.0)</f>
        <v>301</v>
      </c>
      <c r="C196" s="7">
        <f>IFERROR(__xludf.DUMMYFUNCTION("""COMPUTED_VALUE"""),301.5)</f>
        <v>301.5</v>
      </c>
      <c r="D196" s="7">
        <f>IFERROR(__xludf.DUMMYFUNCTION("""COMPUTED_VALUE"""),297.0)</f>
        <v>297</v>
      </c>
      <c r="E196" s="7">
        <f>IFERROR(__xludf.DUMMYFUNCTION("""COMPUTED_VALUE"""),297.55)</f>
        <v>297.55</v>
      </c>
      <c r="F196" s="7">
        <f>IFERROR(__xludf.DUMMYFUNCTION("""COMPUTED_VALUE"""),1.234927E7)</f>
        <v>12349270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f>IFERROR(__xludf.DUMMYFUNCTION("""COMPUTED_VALUE"""),45840.64583333333)</f>
        <v>45840.64583</v>
      </c>
      <c r="B197" s="7">
        <f>IFERROR(__xludf.DUMMYFUNCTION("""COMPUTED_VALUE"""),297.55)</f>
        <v>297.55</v>
      </c>
      <c r="C197" s="7">
        <f>IFERROR(__xludf.DUMMYFUNCTION("""COMPUTED_VALUE"""),298.75)</f>
        <v>298.75</v>
      </c>
      <c r="D197" s="7">
        <f>IFERROR(__xludf.DUMMYFUNCTION("""COMPUTED_VALUE"""),293.4)</f>
        <v>293.4</v>
      </c>
      <c r="E197" s="7">
        <f>IFERROR(__xludf.DUMMYFUNCTION("""COMPUTED_VALUE"""),294.85)</f>
        <v>294.85</v>
      </c>
      <c r="F197" s="7">
        <f>IFERROR(__xludf.DUMMYFUNCTION("""COMPUTED_VALUE"""),1.0826029E7)</f>
        <v>10826029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f>IFERROR(__xludf.DUMMYFUNCTION("""COMPUTED_VALUE"""),45841.64583333333)</f>
        <v>45841.64583</v>
      </c>
      <c r="B198" s="7">
        <f>IFERROR(__xludf.DUMMYFUNCTION("""COMPUTED_VALUE"""),298.4)</f>
        <v>298.4</v>
      </c>
      <c r="C198" s="7">
        <f>IFERROR(__xludf.DUMMYFUNCTION("""COMPUTED_VALUE"""),298.95)</f>
        <v>298.95</v>
      </c>
      <c r="D198" s="7">
        <f>IFERROR(__xludf.DUMMYFUNCTION("""COMPUTED_VALUE"""),293.1)</f>
        <v>293.1</v>
      </c>
      <c r="E198" s="7">
        <f>IFERROR(__xludf.DUMMYFUNCTION("""COMPUTED_VALUE"""),293.7)</f>
        <v>293.7</v>
      </c>
      <c r="F198" s="7">
        <f>IFERROR(__xludf.DUMMYFUNCTION("""COMPUTED_VALUE"""),1.0373094E7)</f>
        <v>10373094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f>IFERROR(__xludf.DUMMYFUNCTION("""COMPUTED_VALUE"""),45842.64583333333)</f>
        <v>45842.64583</v>
      </c>
      <c r="B199" s="7">
        <f>IFERROR(__xludf.DUMMYFUNCTION("""COMPUTED_VALUE"""),293.7)</f>
        <v>293.7</v>
      </c>
      <c r="C199" s="7">
        <f>IFERROR(__xludf.DUMMYFUNCTION("""COMPUTED_VALUE"""),295.15)</f>
        <v>295.15</v>
      </c>
      <c r="D199" s="7">
        <f>IFERROR(__xludf.DUMMYFUNCTION("""COMPUTED_VALUE"""),291.65)</f>
        <v>291.65</v>
      </c>
      <c r="E199" s="7">
        <f>IFERROR(__xludf.DUMMYFUNCTION("""COMPUTED_VALUE"""),294.0)</f>
        <v>294</v>
      </c>
      <c r="F199" s="7">
        <f>IFERROR(__xludf.DUMMYFUNCTION("""COMPUTED_VALUE"""),1.4193884E7)</f>
        <v>14193884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f>IFERROR(__xludf.DUMMYFUNCTION("""COMPUTED_VALUE"""),45845.64583333333)</f>
        <v>45845.64583</v>
      </c>
      <c r="B200" s="7">
        <f>IFERROR(__xludf.DUMMYFUNCTION("""COMPUTED_VALUE"""),294.7)</f>
        <v>294.7</v>
      </c>
      <c r="C200" s="7">
        <f>IFERROR(__xludf.DUMMYFUNCTION("""COMPUTED_VALUE"""),296.65)</f>
        <v>296.65</v>
      </c>
      <c r="D200" s="7">
        <f>IFERROR(__xludf.DUMMYFUNCTION("""COMPUTED_VALUE"""),293.5)</f>
        <v>293.5</v>
      </c>
      <c r="E200" s="7">
        <f>IFERROR(__xludf.DUMMYFUNCTION("""COMPUTED_VALUE"""),295.9)</f>
        <v>295.9</v>
      </c>
      <c r="F200" s="7">
        <f>IFERROR(__xludf.DUMMYFUNCTION("""COMPUTED_VALUE"""),6220756.0)</f>
        <v>6220756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f>IFERROR(__xludf.DUMMYFUNCTION("""COMPUTED_VALUE"""),45846.64583333333)</f>
        <v>45846.64583</v>
      </c>
      <c r="B201" s="7">
        <f>IFERROR(__xludf.DUMMYFUNCTION("""COMPUTED_VALUE"""),294.15)</f>
        <v>294.15</v>
      </c>
      <c r="C201" s="7">
        <f>IFERROR(__xludf.DUMMYFUNCTION("""COMPUTED_VALUE"""),298.4)</f>
        <v>298.4</v>
      </c>
      <c r="D201" s="7">
        <f>IFERROR(__xludf.DUMMYFUNCTION("""COMPUTED_VALUE"""),293.05)</f>
        <v>293.05</v>
      </c>
      <c r="E201" s="7">
        <f>IFERROR(__xludf.DUMMYFUNCTION("""COMPUTED_VALUE"""),297.75)</f>
        <v>297.75</v>
      </c>
      <c r="F201" s="7">
        <f>IFERROR(__xludf.DUMMYFUNCTION("""COMPUTED_VALUE"""),6254288.0)</f>
        <v>6254288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f>IFERROR(__xludf.DUMMYFUNCTION("""COMPUTED_VALUE"""),45847.64583333333)</f>
        <v>45847.64583</v>
      </c>
      <c r="B202" s="7">
        <f>IFERROR(__xludf.DUMMYFUNCTION("""COMPUTED_VALUE"""),298.25)</f>
        <v>298.25</v>
      </c>
      <c r="C202" s="7">
        <f>IFERROR(__xludf.DUMMYFUNCTION("""COMPUTED_VALUE"""),300.0)</f>
        <v>300</v>
      </c>
      <c r="D202" s="7">
        <f>IFERROR(__xludf.DUMMYFUNCTION("""COMPUTED_VALUE"""),296.4)</f>
        <v>296.4</v>
      </c>
      <c r="E202" s="7">
        <f>IFERROR(__xludf.DUMMYFUNCTION("""COMPUTED_VALUE"""),299.65)</f>
        <v>299.65</v>
      </c>
      <c r="F202" s="7">
        <f>IFERROR(__xludf.DUMMYFUNCTION("""COMPUTED_VALUE"""),5650646.0)</f>
        <v>5650646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f>IFERROR(__xludf.DUMMYFUNCTION("""COMPUTED_VALUE"""),45848.64583333333)</f>
        <v>45848.64583</v>
      </c>
      <c r="B203" s="7">
        <f>IFERROR(__xludf.DUMMYFUNCTION("""COMPUTED_VALUE"""),300.0)</f>
        <v>300</v>
      </c>
      <c r="C203" s="7">
        <f>IFERROR(__xludf.DUMMYFUNCTION("""COMPUTED_VALUE"""),302.7)</f>
        <v>302.7</v>
      </c>
      <c r="D203" s="7">
        <f>IFERROR(__xludf.DUMMYFUNCTION("""COMPUTED_VALUE"""),298.0)</f>
        <v>298</v>
      </c>
      <c r="E203" s="7">
        <f>IFERROR(__xludf.DUMMYFUNCTION("""COMPUTED_VALUE"""),299.25)</f>
        <v>299.25</v>
      </c>
      <c r="F203" s="7">
        <f>IFERROR(__xludf.DUMMYFUNCTION("""COMPUTED_VALUE"""),9307817.0)</f>
        <v>9307817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f>IFERROR(__xludf.DUMMYFUNCTION("""COMPUTED_VALUE"""),45849.64583333333)</f>
        <v>45849.64583</v>
      </c>
      <c r="B204" s="7">
        <f>IFERROR(__xludf.DUMMYFUNCTION("""COMPUTED_VALUE"""),299.25)</f>
        <v>299.25</v>
      </c>
      <c r="C204" s="7">
        <f>IFERROR(__xludf.DUMMYFUNCTION("""COMPUTED_VALUE"""),300.9)</f>
        <v>300.9</v>
      </c>
      <c r="D204" s="7">
        <f>IFERROR(__xludf.DUMMYFUNCTION("""COMPUTED_VALUE"""),296.95)</f>
        <v>296.95</v>
      </c>
      <c r="E204" s="7">
        <f>IFERROR(__xludf.DUMMYFUNCTION("""COMPUTED_VALUE"""),298.55)</f>
        <v>298.55</v>
      </c>
      <c r="F204" s="7">
        <f>IFERROR(__xludf.DUMMYFUNCTION("""COMPUTED_VALUE"""),7073217.0)</f>
        <v>7073217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f>IFERROR(__xludf.DUMMYFUNCTION("""COMPUTED_VALUE"""),45852.64583333333)</f>
        <v>45852.64583</v>
      </c>
      <c r="B205" s="7">
        <f>IFERROR(__xludf.DUMMYFUNCTION("""COMPUTED_VALUE"""),299.5)</f>
        <v>299.5</v>
      </c>
      <c r="C205" s="7">
        <f>IFERROR(__xludf.DUMMYFUNCTION("""COMPUTED_VALUE"""),300.45)</f>
        <v>300.45</v>
      </c>
      <c r="D205" s="7">
        <f>IFERROR(__xludf.DUMMYFUNCTION("""COMPUTED_VALUE"""),297.45)</f>
        <v>297.45</v>
      </c>
      <c r="E205" s="7">
        <f>IFERROR(__xludf.DUMMYFUNCTION("""COMPUTED_VALUE"""),298.2)</f>
        <v>298.2</v>
      </c>
      <c r="F205" s="7">
        <f>IFERROR(__xludf.DUMMYFUNCTION("""COMPUTED_VALUE"""),5484223.0)</f>
        <v>5484223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f>IFERROR(__xludf.DUMMYFUNCTION("""COMPUTED_VALUE"""),45853.64583333333)</f>
        <v>45853.64583</v>
      </c>
      <c r="B206" s="7">
        <f>IFERROR(__xludf.DUMMYFUNCTION("""COMPUTED_VALUE"""),298.1)</f>
        <v>298.1</v>
      </c>
      <c r="C206" s="7">
        <f>IFERROR(__xludf.DUMMYFUNCTION("""COMPUTED_VALUE"""),300.0)</f>
        <v>300</v>
      </c>
      <c r="D206" s="7">
        <f>IFERROR(__xludf.DUMMYFUNCTION("""COMPUTED_VALUE"""),296.85)</f>
        <v>296.85</v>
      </c>
      <c r="E206" s="7">
        <f>IFERROR(__xludf.DUMMYFUNCTION("""COMPUTED_VALUE"""),298.05)</f>
        <v>298.05</v>
      </c>
      <c r="F206" s="7">
        <f>IFERROR(__xludf.DUMMYFUNCTION("""COMPUTED_VALUE"""),6173407.0)</f>
        <v>6173407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f>IFERROR(__xludf.DUMMYFUNCTION("""COMPUTED_VALUE"""),45854.64583333333)</f>
        <v>45854.64583</v>
      </c>
      <c r="B207" s="7">
        <f>IFERROR(__xludf.DUMMYFUNCTION("""COMPUTED_VALUE"""),298.95)</f>
        <v>298.95</v>
      </c>
      <c r="C207" s="7">
        <f>IFERROR(__xludf.DUMMYFUNCTION("""COMPUTED_VALUE"""),298.95)</f>
        <v>298.95</v>
      </c>
      <c r="D207" s="7">
        <f>IFERROR(__xludf.DUMMYFUNCTION("""COMPUTED_VALUE"""),295.7)</f>
        <v>295.7</v>
      </c>
      <c r="E207" s="7">
        <f>IFERROR(__xludf.DUMMYFUNCTION("""COMPUTED_VALUE"""),297.05)</f>
        <v>297.05</v>
      </c>
      <c r="F207" s="7">
        <f>IFERROR(__xludf.DUMMYFUNCTION("""COMPUTED_VALUE"""),8144630.0)</f>
        <v>8144630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f>IFERROR(__xludf.DUMMYFUNCTION("""COMPUTED_VALUE"""),45855.64583333333)</f>
        <v>45855.64583</v>
      </c>
      <c r="B208" s="7">
        <f>IFERROR(__xludf.DUMMYFUNCTION("""COMPUTED_VALUE"""),297.55)</f>
        <v>297.55</v>
      </c>
      <c r="C208" s="7">
        <f>IFERROR(__xludf.DUMMYFUNCTION("""COMPUTED_VALUE"""),298.2)</f>
        <v>298.2</v>
      </c>
      <c r="D208" s="7">
        <f>IFERROR(__xludf.DUMMYFUNCTION("""COMPUTED_VALUE"""),295.8)</f>
        <v>295.8</v>
      </c>
      <c r="E208" s="7">
        <f>IFERROR(__xludf.DUMMYFUNCTION("""COMPUTED_VALUE"""),296.6)</f>
        <v>296.6</v>
      </c>
      <c r="F208" s="7">
        <f>IFERROR(__xludf.DUMMYFUNCTION("""COMPUTED_VALUE"""),8318287.0)</f>
        <v>8318287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f>IFERROR(__xludf.DUMMYFUNCTION("""COMPUTED_VALUE"""),45856.64583333333)</f>
        <v>45856.64583</v>
      </c>
      <c r="B209" s="7">
        <f>IFERROR(__xludf.DUMMYFUNCTION("""COMPUTED_VALUE"""),296.5)</f>
        <v>296.5</v>
      </c>
      <c r="C209" s="7">
        <f>IFERROR(__xludf.DUMMYFUNCTION("""COMPUTED_VALUE"""),301.5)</f>
        <v>301.5</v>
      </c>
      <c r="D209" s="7">
        <f>IFERROR(__xludf.DUMMYFUNCTION("""COMPUTED_VALUE"""),293.5)</f>
        <v>293.5</v>
      </c>
      <c r="E209" s="7">
        <f>IFERROR(__xludf.DUMMYFUNCTION("""COMPUTED_VALUE"""),294.15)</f>
        <v>294.15</v>
      </c>
      <c r="F209" s="7">
        <f>IFERROR(__xludf.DUMMYFUNCTION("""COMPUTED_VALUE"""),8702106.0)</f>
        <v>8702106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f>IFERROR(__xludf.DUMMYFUNCTION("""COMPUTED_VALUE"""),45859.64583333333)</f>
        <v>45859.64583</v>
      </c>
      <c r="B210" s="7">
        <f>IFERROR(__xludf.DUMMYFUNCTION("""COMPUTED_VALUE"""),294.0)</f>
        <v>294</v>
      </c>
      <c r="C210" s="7">
        <f>IFERROR(__xludf.DUMMYFUNCTION("""COMPUTED_VALUE"""),297.25)</f>
        <v>297.25</v>
      </c>
      <c r="D210" s="7">
        <f>IFERROR(__xludf.DUMMYFUNCTION("""COMPUTED_VALUE"""),292.25)</f>
        <v>292.25</v>
      </c>
      <c r="E210" s="7">
        <f>IFERROR(__xludf.DUMMYFUNCTION("""COMPUTED_VALUE"""),297.0)</f>
        <v>297</v>
      </c>
      <c r="F210" s="7">
        <f>IFERROR(__xludf.DUMMYFUNCTION("""COMPUTED_VALUE"""),5298012.0)</f>
        <v>5298012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f>IFERROR(__xludf.DUMMYFUNCTION("""COMPUTED_VALUE"""),45860.64583333333)</f>
        <v>45860.64583</v>
      </c>
      <c r="B211" s="7">
        <f>IFERROR(__xludf.DUMMYFUNCTION("""COMPUTED_VALUE"""),297.1)</f>
        <v>297.1</v>
      </c>
      <c r="C211" s="7">
        <f>IFERROR(__xludf.DUMMYFUNCTION("""COMPUTED_VALUE"""),298.85)</f>
        <v>298.85</v>
      </c>
      <c r="D211" s="7">
        <f>IFERROR(__xludf.DUMMYFUNCTION("""COMPUTED_VALUE"""),294.55)</f>
        <v>294.55</v>
      </c>
      <c r="E211" s="7">
        <f>IFERROR(__xludf.DUMMYFUNCTION("""COMPUTED_VALUE"""),297.8)</f>
        <v>297.8</v>
      </c>
      <c r="F211" s="7">
        <f>IFERROR(__xludf.DUMMYFUNCTION("""COMPUTED_VALUE"""),7775653.0)</f>
        <v>7775653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f>IFERROR(__xludf.DUMMYFUNCTION("""COMPUTED_VALUE"""),45861.64583333333)</f>
        <v>45861.64583</v>
      </c>
      <c r="B212" s="7">
        <f>IFERROR(__xludf.DUMMYFUNCTION("""COMPUTED_VALUE"""),298.85)</f>
        <v>298.85</v>
      </c>
      <c r="C212" s="7">
        <f>IFERROR(__xludf.DUMMYFUNCTION("""COMPUTED_VALUE"""),299.65)</f>
        <v>299.65</v>
      </c>
      <c r="D212" s="7">
        <f>IFERROR(__xludf.DUMMYFUNCTION("""COMPUTED_VALUE"""),297.1)</f>
        <v>297.1</v>
      </c>
      <c r="E212" s="7">
        <f>IFERROR(__xludf.DUMMYFUNCTION("""COMPUTED_VALUE"""),299.25)</f>
        <v>299.25</v>
      </c>
      <c r="F212" s="7">
        <f>IFERROR(__xludf.DUMMYFUNCTION("""COMPUTED_VALUE"""),5310964.0)</f>
        <v>5310964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f>IFERROR(__xludf.DUMMYFUNCTION("""COMPUTED_VALUE"""),45862.64583333333)</f>
        <v>45862.64583</v>
      </c>
      <c r="B213" s="7">
        <f>IFERROR(__xludf.DUMMYFUNCTION("""COMPUTED_VALUE"""),299.85)</f>
        <v>299.85</v>
      </c>
      <c r="C213" s="7">
        <f>IFERROR(__xludf.DUMMYFUNCTION("""COMPUTED_VALUE"""),301.35)</f>
        <v>301.35</v>
      </c>
      <c r="D213" s="7">
        <f>IFERROR(__xludf.DUMMYFUNCTION("""COMPUTED_VALUE"""),296.5)</f>
        <v>296.5</v>
      </c>
      <c r="E213" s="7">
        <f>IFERROR(__xludf.DUMMYFUNCTION("""COMPUTED_VALUE"""),299.35)</f>
        <v>299.35</v>
      </c>
      <c r="F213" s="7">
        <f>IFERROR(__xludf.DUMMYFUNCTION("""COMPUTED_VALUE"""),6294709.0)</f>
        <v>6294709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f>IFERROR(__xludf.DUMMYFUNCTION("""COMPUTED_VALUE"""),45863.64583333333)</f>
        <v>45863.64583</v>
      </c>
      <c r="B214" s="7">
        <f>IFERROR(__xludf.DUMMYFUNCTION("""COMPUTED_VALUE"""),297.15)</f>
        <v>297.15</v>
      </c>
      <c r="C214" s="7">
        <f>IFERROR(__xludf.DUMMYFUNCTION("""COMPUTED_VALUE"""),297.75)</f>
        <v>297.75</v>
      </c>
      <c r="D214" s="7">
        <f>IFERROR(__xludf.DUMMYFUNCTION("""COMPUTED_VALUE"""),290.9)</f>
        <v>290.9</v>
      </c>
      <c r="E214" s="7">
        <f>IFERROR(__xludf.DUMMYFUNCTION("""COMPUTED_VALUE"""),292.1)</f>
        <v>292.1</v>
      </c>
      <c r="F214" s="7">
        <f>IFERROR(__xludf.DUMMYFUNCTION("""COMPUTED_VALUE"""),8202572.0)</f>
        <v>8202572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f>IFERROR(__xludf.DUMMYFUNCTION("""COMPUTED_VALUE"""),45866.64583333333)</f>
        <v>45866.64583</v>
      </c>
      <c r="B215" s="7">
        <f>IFERROR(__xludf.DUMMYFUNCTION("""COMPUTED_VALUE"""),292.0)</f>
        <v>292</v>
      </c>
      <c r="C215" s="7">
        <f>IFERROR(__xludf.DUMMYFUNCTION("""COMPUTED_VALUE"""),295.25)</f>
        <v>295.25</v>
      </c>
      <c r="D215" s="7">
        <f>IFERROR(__xludf.DUMMYFUNCTION("""COMPUTED_VALUE"""),290.75)</f>
        <v>290.75</v>
      </c>
      <c r="E215" s="7">
        <f>IFERROR(__xludf.DUMMYFUNCTION("""COMPUTED_VALUE"""),291.9)</f>
        <v>291.9</v>
      </c>
      <c r="F215" s="7">
        <f>IFERROR(__xludf.DUMMYFUNCTION("""COMPUTED_VALUE"""),7037396.0)</f>
        <v>7037396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f>IFERROR(__xludf.DUMMYFUNCTION("""COMPUTED_VALUE"""),45867.64583333333)</f>
        <v>45867.64583</v>
      </c>
      <c r="B216" s="7">
        <f>IFERROR(__xludf.DUMMYFUNCTION("""COMPUTED_VALUE"""),290.5)</f>
        <v>290.5</v>
      </c>
      <c r="C216" s="7">
        <f>IFERROR(__xludf.DUMMYFUNCTION("""COMPUTED_VALUE"""),293.9)</f>
        <v>293.9</v>
      </c>
      <c r="D216" s="7">
        <f>IFERROR(__xludf.DUMMYFUNCTION("""COMPUTED_VALUE"""),289.8)</f>
        <v>289.8</v>
      </c>
      <c r="E216" s="7">
        <f>IFERROR(__xludf.DUMMYFUNCTION("""COMPUTED_VALUE"""),293.1)</f>
        <v>293.1</v>
      </c>
      <c r="F216" s="7">
        <f>IFERROR(__xludf.DUMMYFUNCTION("""COMPUTED_VALUE"""),6586034.0)</f>
        <v>6586034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f>IFERROR(__xludf.DUMMYFUNCTION("""COMPUTED_VALUE"""),45868.64583333333)</f>
        <v>45868.64583</v>
      </c>
      <c r="B217" s="7">
        <f>IFERROR(__xludf.DUMMYFUNCTION("""COMPUTED_VALUE"""),293.0)</f>
        <v>293</v>
      </c>
      <c r="C217" s="7">
        <f>IFERROR(__xludf.DUMMYFUNCTION("""COMPUTED_VALUE"""),296.5)</f>
        <v>296.5</v>
      </c>
      <c r="D217" s="7">
        <f>IFERROR(__xludf.DUMMYFUNCTION("""COMPUTED_VALUE"""),286.6)</f>
        <v>286.6</v>
      </c>
      <c r="E217" s="7">
        <f>IFERROR(__xludf.DUMMYFUNCTION("""COMPUTED_VALUE"""),288.95)</f>
        <v>288.95</v>
      </c>
      <c r="F217" s="7">
        <f>IFERROR(__xludf.DUMMYFUNCTION("""COMPUTED_VALUE"""),1.0515572E7)</f>
        <v>10515572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f>IFERROR(__xludf.DUMMYFUNCTION("""COMPUTED_VALUE"""),45869.64583333333)</f>
        <v>45869.64583</v>
      </c>
      <c r="B218" s="7">
        <f>IFERROR(__xludf.DUMMYFUNCTION("""COMPUTED_VALUE"""),284.95)</f>
        <v>284.95</v>
      </c>
      <c r="C218" s="7">
        <f>IFERROR(__xludf.DUMMYFUNCTION("""COMPUTED_VALUE"""),294.3)</f>
        <v>294.3</v>
      </c>
      <c r="D218" s="7">
        <f>IFERROR(__xludf.DUMMYFUNCTION("""COMPUTED_VALUE"""),284.95)</f>
        <v>284.95</v>
      </c>
      <c r="E218" s="7">
        <f>IFERROR(__xludf.DUMMYFUNCTION("""COMPUTED_VALUE"""),291.0)</f>
        <v>291</v>
      </c>
      <c r="F218" s="7">
        <f>IFERROR(__xludf.DUMMYFUNCTION("""COMPUTED_VALUE"""),1.4283621E7)</f>
        <v>14283621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f>IFERROR(__xludf.DUMMYFUNCTION("""COMPUTED_VALUE"""),45870.64583333333)</f>
        <v>45870.64583</v>
      </c>
      <c r="B219" s="7">
        <f>IFERROR(__xludf.DUMMYFUNCTION("""COMPUTED_VALUE"""),291.65)</f>
        <v>291.65</v>
      </c>
      <c r="C219" s="7">
        <f>IFERROR(__xludf.DUMMYFUNCTION("""COMPUTED_VALUE"""),292.8)</f>
        <v>292.8</v>
      </c>
      <c r="D219" s="7">
        <f>IFERROR(__xludf.DUMMYFUNCTION("""COMPUTED_VALUE"""),286.3)</f>
        <v>286.3</v>
      </c>
      <c r="E219" s="7">
        <f>IFERROR(__xludf.DUMMYFUNCTION("""COMPUTED_VALUE"""),291.25)</f>
        <v>291.25</v>
      </c>
      <c r="F219" s="7">
        <f>IFERROR(__xludf.DUMMYFUNCTION("""COMPUTED_VALUE"""),6697683.0)</f>
        <v>6697683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f>IFERROR(__xludf.DUMMYFUNCTION("""COMPUTED_VALUE"""),45873.64583333333)</f>
        <v>45873.64583</v>
      </c>
      <c r="B220" s="7">
        <f>IFERROR(__xludf.DUMMYFUNCTION("""COMPUTED_VALUE"""),291.2)</f>
        <v>291.2</v>
      </c>
      <c r="C220" s="7">
        <f>IFERROR(__xludf.DUMMYFUNCTION("""COMPUTED_VALUE"""),291.55)</f>
        <v>291.55</v>
      </c>
      <c r="D220" s="7">
        <f>IFERROR(__xludf.DUMMYFUNCTION("""COMPUTED_VALUE"""),285.7)</f>
        <v>285.7</v>
      </c>
      <c r="E220" s="7">
        <f>IFERROR(__xludf.DUMMYFUNCTION("""COMPUTED_VALUE"""),287.95)</f>
        <v>287.95</v>
      </c>
      <c r="F220" s="7">
        <f>IFERROR(__xludf.DUMMYFUNCTION("""COMPUTED_VALUE"""),1.0397121E7)</f>
        <v>10397121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f>IFERROR(__xludf.DUMMYFUNCTION("""COMPUTED_VALUE"""),45874.64583333333)</f>
        <v>45874.64583</v>
      </c>
      <c r="B221" s="7">
        <f>IFERROR(__xludf.DUMMYFUNCTION("""COMPUTED_VALUE"""),287.1)</f>
        <v>287.1</v>
      </c>
      <c r="C221" s="7">
        <f>IFERROR(__xludf.DUMMYFUNCTION("""COMPUTED_VALUE"""),288.65)</f>
        <v>288.65</v>
      </c>
      <c r="D221" s="7">
        <f>IFERROR(__xludf.DUMMYFUNCTION("""COMPUTED_VALUE"""),285.1)</f>
        <v>285.1</v>
      </c>
      <c r="E221" s="7">
        <f>IFERROR(__xludf.DUMMYFUNCTION("""COMPUTED_VALUE"""),286.0)</f>
        <v>286</v>
      </c>
      <c r="F221" s="7">
        <f>IFERROR(__xludf.DUMMYFUNCTION("""COMPUTED_VALUE"""),1.5561914E7)</f>
        <v>15561914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f>IFERROR(__xludf.DUMMYFUNCTION("""COMPUTED_VALUE"""),45875.64583333333)</f>
        <v>45875.64583</v>
      </c>
      <c r="B222" s="7">
        <f>IFERROR(__xludf.DUMMYFUNCTION("""COMPUTED_VALUE"""),287.6)</f>
        <v>287.6</v>
      </c>
      <c r="C222" s="7">
        <f>IFERROR(__xludf.DUMMYFUNCTION("""COMPUTED_VALUE"""),288.4)</f>
        <v>288.4</v>
      </c>
      <c r="D222" s="7">
        <f>IFERROR(__xludf.DUMMYFUNCTION("""COMPUTED_VALUE"""),284.05)</f>
        <v>284.05</v>
      </c>
      <c r="E222" s="7">
        <f>IFERROR(__xludf.DUMMYFUNCTION("""COMPUTED_VALUE"""),284.8)</f>
        <v>284.8</v>
      </c>
      <c r="F222" s="7">
        <f>IFERROR(__xludf.DUMMYFUNCTION("""COMPUTED_VALUE"""),1.2985269E7)</f>
        <v>12985269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f>IFERROR(__xludf.DUMMYFUNCTION("""COMPUTED_VALUE"""),45876.64583333333)</f>
        <v>45876.64583</v>
      </c>
      <c r="B223" s="7">
        <f>IFERROR(__xludf.DUMMYFUNCTION("""COMPUTED_VALUE"""),284.5)</f>
        <v>284.5</v>
      </c>
      <c r="C223" s="7">
        <f>IFERROR(__xludf.DUMMYFUNCTION("""COMPUTED_VALUE"""),286.3)</f>
        <v>286.3</v>
      </c>
      <c r="D223" s="7">
        <f>IFERROR(__xludf.DUMMYFUNCTION("""COMPUTED_VALUE"""),283.4)</f>
        <v>283.4</v>
      </c>
      <c r="E223" s="7">
        <f>IFERROR(__xludf.DUMMYFUNCTION("""COMPUTED_VALUE"""),285.55)</f>
        <v>285.55</v>
      </c>
      <c r="F223" s="7">
        <f>IFERROR(__xludf.DUMMYFUNCTION("""COMPUTED_VALUE"""),8893659.0)</f>
        <v>8893659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f>IFERROR(__xludf.DUMMYFUNCTION("""COMPUTED_VALUE"""),45877.64583333333)</f>
        <v>45877.64583</v>
      </c>
      <c r="B224" s="7">
        <f>IFERROR(__xludf.DUMMYFUNCTION("""COMPUTED_VALUE"""),284.8)</f>
        <v>284.8</v>
      </c>
      <c r="C224" s="7">
        <f>IFERROR(__xludf.DUMMYFUNCTION("""COMPUTED_VALUE"""),286.25)</f>
        <v>286.25</v>
      </c>
      <c r="D224" s="7">
        <f>IFERROR(__xludf.DUMMYFUNCTION("""COMPUTED_VALUE"""),283.6)</f>
        <v>283.6</v>
      </c>
      <c r="E224" s="7">
        <f>IFERROR(__xludf.DUMMYFUNCTION("""COMPUTED_VALUE"""),284.85)</f>
        <v>284.85</v>
      </c>
      <c r="F224" s="7">
        <f>IFERROR(__xludf.DUMMYFUNCTION("""COMPUTED_VALUE"""),6172968.0)</f>
        <v>6172968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f>IFERROR(__xludf.DUMMYFUNCTION("""COMPUTED_VALUE"""),45880.64583333333)</f>
        <v>45880.64583</v>
      </c>
      <c r="B225" s="7">
        <f>IFERROR(__xludf.DUMMYFUNCTION("""COMPUTED_VALUE"""),284.85)</f>
        <v>284.85</v>
      </c>
      <c r="C225" s="7">
        <f>IFERROR(__xludf.DUMMYFUNCTION("""COMPUTED_VALUE"""),286.4)</f>
        <v>286.4</v>
      </c>
      <c r="D225" s="7">
        <f>IFERROR(__xludf.DUMMYFUNCTION("""COMPUTED_VALUE"""),283.3)</f>
        <v>283.3</v>
      </c>
      <c r="E225" s="7">
        <f>IFERROR(__xludf.DUMMYFUNCTION("""COMPUTED_VALUE"""),284.85)</f>
        <v>284.85</v>
      </c>
      <c r="F225" s="7">
        <f>IFERROR(__xludf.DUMMYFUNCTION("""COMPUTED_VALUE"""),8755499.0)</f>
        <v>8755499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f>IFERROR(__xludf.DUMMYFUNCTION("""COMPUTED_VALUE"""),45881.64583333333)</f>
        <v>45881.64583</v>
      </c>
      <c r="B226" s="7">
        <f>IFERROR(__xludf.DUMMYFUNCTION("""COMPUTED_VALUE"""),284.4)</f>
        <v>284.4</v>
      </c>
      <c r="C226" s="7">
        <f>IFERROR(__xludf.DUMMYFUNCTION("""COMPUTED_VALUE"""),287.55)</f>
        <v>287.55</v>
      </c>
      <c r="D226" s="7">
        <f>IFERROR(__xludf.DUMMYFUNCTION("""COMPUTED_VALUE"""),284.0)</f>
        <v>284</v>
      </c>
      <c r="E226" s="7">
        <f>IFERROR(__xludf.DUMMYFUNCTION("""COMPUTED_VALUE"""),284.65)</f>
        <v>284.65</v>
      </c>
      <c r="F226" s="7">
        <f>IFERROR(__xludf.DUMMYFUNCTION("""COMPUTED_VALUE"""),1.3184438E7)</f>
        <v>13184438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f>IFERROR(__xludf.DUMMYFUNCTION("""COMPUTED_VALUE"""),45882.64583333333)</f>
        <v>45882.64583</v>
      </c>
      <c r="B227" s="7">
        <f>IFERROR(__xludf.DUMMYFUNCTION("""COMPUTED_VALUE"""),287.0)</f>
        <v>287</v>
      </c>
      <c r="C227" s="7">
        <f>IFERROR(__xludf.DUMMYFUNCTION("""COMPUTED_VALUE"""),289.4)</f>
        <v>289.4</v>
      </c>
      <c r="D227" s="7">
        <f>IFERROR(__xludf.DUMMYFUNCTION("""COMPUTED_VALUE"""),286.05)</f>
        <v>286.05</v>
      </c>
      <c r="E227" s="7">
        <f>IFERROR(__xludf.DUMMYFUNCTION("""COMPUTED_VALUE"""),288.2)</f>
        <v>288.2</v>
      </c>
      <c r="F227" s="7">
        <f>IFERROR(__xludf.DUMMYFUNCTION("""COMPUTED_VALUE"""),9928283.0)</f>
        <v>9928283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f>IFERROR(__xludf.DUMMYFUNCTION("""COMPUTED_VALUE"""),45883.64583333333)</f>
        <v>45883.64583</v>
      </c>
      <c r="B228" s="7">
        <f>IFERROR(__xludf.DUMMYFUNCTION("""COMPUTED_VALUE"""),289.05)</f>
        <v>289.05</v>
      </c>
      <c r="C228" s="7">
        <f>IFERROR(__xludf.DUMMYFUNCTION("""COMPUTED_VALUE"""),290.15)</f>
        <v>290.15</v>
      </c>
      <c r="D228" s="7">
        <f>IFERROR(__xludf.DUMMYFUNCTION("""COMPUTED_VALUE"""),287.15)</f>
        <v>287.15</v>
      </c>
      <c r="E228" s="7">
        <f>IFERROR(__xludf.DUMMYFUNCTION("""COMPUTED_VALUE"""),288.7)</f>
        <v>288.7</v>
      </c>
      <c r="F228" s="7">
        <f>IFERROR(__xludf.DUMMYFUNCTION("""COMPUTED_VALUE"""),8464495.0)</f>
        <v>8464495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f>IFERROR(__xludf.DUMMYFUNCTION("""COMPUTED_VALUE"""),45887.64583333333)</f>
        <v>45887.64583</v>
      </c>
      <c r="B229" s="7">
        <f>IFERROR(__xludf.DUMMYFUNCTION("""COMPUTED_VALUE"""),289.5)</f>
        <v>289.5</v>
      </c>
      <c r="C229" s="7">
        <f>IFERROR(__xludf.DUMMYFUNCTION("""COMPUTED_VALUE"""),291.3)</f>
        <v>291.3</v>
      </c>
      <c r="D229" s="7">
        <f>IFERROR(__xludf.DUMMYFUNCTION("""COMPUTED_VALUE"""),288.5)</f>
        <v>288.5</v>
      </c>
      <c r="E229" s="7">
        <f>IFERROR(__xludf.DUMMYFUNCTION("""COMPUTED_VALUE"""),290.35)</f>
        <v>290.35</v>
      </c>
      <c r="F229" s="7">
        <f>IFERROR(__xludf.DUMMYFUNCTION("""COMPUTED_VALUE"""),9836105.0)</f>
        <v>9836105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f>IFERROR(__xludf.DUMMYFUNCTION("""COMPUTED_VALUE"""),45888.64583333333)</f>
        <v>45888.64583</v>
      </c>
      <c r="B230" s="7">
        <f>IFERROR(__xludf.DUMMYFUNCTION("""COMPUTED_VALUE"""),290.0)</f>
        <v>290</v>
      </c>
      <c r="C230" s="7">
        <f>IFERROR(__xludf.DUMMYFUNCTION("""COMPUTED_VALUE"""),290.1)</f>
        <v>290.1</v>
      </c>
      <c r="D230" s="7">
        <f>IFERROR(__xludf.DUMMYFUNCTION("""COMPUTED_VALUE"""),286.55)</f>
        <v>286.55</v>
      </c>
      <c r="E230" s="7">
        <f>IFERROR(__xludf.DUMMYFUNCTION("""COMPUTED_VALUE"""),288.0)</f>
        <v>288</v>
      </c>
      <c r="F230" s="7">
        <f>IFERROR(__xludf.DUMMYFUNCTION("""COMPUTED_VALUE"""),7196772.0)</f>
        <v>7196772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f>IFERROR(__xludf.DUMMYFUNCTION("""COMPUTED_VALUE"""),45889.64583333333)</f>
        <v>45889.64583</v>
      </c>
      <c r="B231" s="7">
        <f>IFERROR(__xludf.DUMMYFUNCTION("""COMPUTED_VALUE"""),288.2)</f>
        <v>288.2</v>
      </c>
      <c r="C231" s="7">
        <f>IFERROR(__xludf.DUMMYFUNCTION("""COMPUTED_VALUE"""),289.0)</f>
        <v>289</v>
      </c>
      <c r="D231" s="7">
        <f>IFERROR(__xludf.DUMMYFUNCTION("""COMPUTED_VALUE"""),286.95)</f>
        <v>286.95</v>
      </c>
      <c r="E231" s="7">
        <f>IFERROR(__xludf.DUMMYFUNCTION("""COMPUTED_VALUE"""),288.4)</f>
        <v>288.4</v>
      </c>
      <c r="F231" s="7">
        <f>IFERROR(__xludf.DUMMYFUNCTION("""COMPUTED_VALUE"""),3106073.0)</f>
        <v>3106073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f>IFERROR(__xludf.DUMMYFUNCTION("""COMPUTED_VALUE"""),45890.64583333333)</f>
        <v>45890.64583</v>
      </c>
      <c r="B232" s="7">
        <f>IFERROR(__xludf.DUMMYFUNCTION("""COMPUTED_VALUE"""),288.4)</f>
        <v>288.4</v>
      </c>
      <c r="C232" s="7">
        <f>IFERROR(__xludf.DUMMYFUNCTION("""COMPUTED_VALUE"""),289.55)</f>
        <v>289.55</v>
      </c>
      <c r="D232" s="7">
        <f>IFERROR(__xludf.DUMMYFUNCTION("""COMPUTED_VALUE"""),283.6)</f>
        <v>283.6</v>
      </c>
      <c r="E232" s="7">
        <f>IFERROR(__xludf.DUMMYFUNCTION("""COMPUTED_VALUE"""),284.0)</f>
        <v>284</v>
      </c>
      <c r="F232" s="7">
        <f>IFERROR(__xludf.DUMMYFUNCTION("""COMPUTED_VALUE"""),7389271.0)</f>
        <v>7389271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f>IFERROR(__xludf.DUMMYFUNCTION("""COMPUTED_VALUE"""),45891.64583333333)</f>
        <v>45891.64583</v>
      </c>
      <c r="B233" s="7">
        <f>IFERROR(__xludf.DUMMYFUNCTION("""COMPUTED_VALUE"""),284.0)</f>
        <v>284</v>
      </c>
      <c r="C233" s="7">
        <f>IFERROR(__xludf.DUMMYFUNCTION("""COMPUTED_VALUE"""),284.55)</f>
        <v>284.55</v>
      </c>
      <c r="D233" s="7">
        <f>IFERROR(__xludf.DUMMYFUNCTION("""COMPUTED_VALUE"""),281.8)</f>
        <v>281.8</v>
      </c>
      <c r="E233" s="7">
        <f>IFERROR(__xludf.DUMMYFUNCTION("""COMPUTED_VALUE"""),283.35)</f>
        <v>283.35</v>
      </c>
      <c r="F233" s="7">
        <f>IFERROR(__xludf.DUMMYFUNCTION("""COMPUTED_VALUE"""),6824793.0)</f>
        <v>6824793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f>IFERROR(__xludf.DUMMYFUNCTION("""COMPUTED_VALUE"""),45894.64583333333)</f>
        <v>45894.64583</v>
      </c>
      <c r="B234" s="7">
        <f>IFERROR(__xludf.DUMMYFUNCTION("""COMPUTED_VALUE"""),283.35)</f>
        <v>283.35</v>
      </c>
      <c r="C234" s="7">
        <f>IFERROR(__xludf.DUMMYFUNCTION("""COMPUTED_VALUE"""),284.6)</f>
        <v>284.6</v>
      </c>
      <c r="D234" s="7">
        <f>IFERROR(__xludf.DUMMYFUNCTION("""COMPUTED_VALUE"""),282.2)</f>
        <v>282.2</v>
      </c>
      <c r="E234" s="7">
        <f>IFERROR(__xludf.DUMMYFUNCTION("""COMPUTED_VALUE"""),284.15)</f>
        <v>284.15</v>
      </c>
      <c r="F234" s="7">
        <f>IFERROR(__xludf.DUMMYFUNCTION("""COMPUTED_VALUE"""),7426789.0)</f>
        <v>7426789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f>IFERROR(__xludf.DUMMYFUNCTION("""COMPUTED_VALUE"""),45895.64583333333)</f>
        <v>45895.64583</v>
      </c>
      <c r="B235" s="7">
        <f>IFERROR(__xludf.DUMMYFUNCTION("""COMPUTED_VALUE"""),283.0)</f>
        <v>283</v>
      </c>
      <c r="C235" s="7">
        <f>IFERROR(__xludf.DUMMYFUNCTION("""COMPUTED_VALUE"""),283.8)</f>
        <v>283.8</v>
      </c>
      <c r="D235" s="7">
        <f>IFERROR(__xludf.DUMMYFUNCTION("""COMPUTED_VALUE"""),278.9)</f>
        <v>278.9</v>
      </c>
      <c r="E235" s="7">
        <f>IFERROR(__xludf.DUMMYFUNCTION("""COMPUTED_VALUE"""),279.9)</f>
        <v>279.9</v>
      </c>
      <c r="F235" s="7">
        <f>IFERROR(__xludf.DUMMYFUNCTION("""COMPUTED_VALUE"""),2.290591E7)</f>
        <v>22905910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f>IFERROR(__xludf.DUMMYFUNCTION("""COMPUTED_VALUE"""),45897.64583333333)</f>
        <v>45897.64583</v>
      </c>
      <c r="B236" s="7">
        <f>IFERROR(__xludf.DUMMYFUNCTION("""COMPUTED_VALUE"""),282.0)</f>
        <v>282</v>
      </c>
      <c r="C236" s="7">
        <f>IFERROR(__xludf.DUMMYFUNCTION("""COMPUTED_VALUE"""),282.0)</f>
        <v>282</v>
      </c>
      <c r="D236" s="7">
        <f>IFERROR(__xludf.DUMMYFUNCTION("""COMPUTED_VALUE"""),273.6)</f>
        <v>273.6</v>
      </c>
      <c r="E236" s="7">
        <f>IFERROR(__xludf.DUMMYFUNCTION("""COMPUTED_VALUE"""),274.45)</f>
        <v>274.45</v>
      </c>
      <c r="F236" s="7">
        <f>IFERROR(__xludf.DUMMYFUNCTION("""COMPUTED_VALUE"""),1.2455072E7)</f>
        <v>12455072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f>IFERROR(__xludf.DUMMYFUNCTION("""COMPUTED_VALUE"""),45898.64583333333)</f>
        <v>45898.64583</v>
      </c>
      <c r="B237" s="7">
        <f>IFERROR(__xludf.DUMMYFUNCTION("""COMPUTED_VALUE"""),273.6)</f>
        <v>273.6</v>
      </c>
      <c r="C237" s="7">
        <f>IFERROR(__xludf.DUMMYFUNCTION("""COMPUTED_VALUE"""),276.1)</f>
        <v>276.1</v>
      </c>
      <c r="D237" s="7">
        <f>IFERROR(__xludf.DUMMYFUNCTION("""COMPUTED_VALUE"""),272.25)</f>
        <v>272.25</v>
      </c>
      <c r="E237" s="7">
        <f>IFERROR(__xludf.DUMMYFUNCTION("""COMPUTED_VALUE"""),275.25)</f>
        <v>275.25</v>
      </c>
      <c r="F237" s="7">
        <f>IFERROR(__xludf.DUMMYFUNCTION("""COMPUTED_VALUE"""),1.2841075E7)</f>
        <v>12841075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f>IFERROR(__xludf.DUMMYFUNCTION("""COMPUTED_VALUE"""),45901.64583333333)</f>
        <v>45901.64583</v>
      </c>
      <c r="B238" s="7">
        <f>IFERROR(__xludf.DUMMYFUNCTION("""COMPUTED_VALUE"""),276.0)</f>
        <v>276</v>
      </c>
      <c r="C238" s="7">
        <f>IFERROR(__xludf.DUMMYFUNCTION("""COMPUTED_VALUE"""),280.6)</f>
        <v>280.6</v>
      </c>
      <c r="D238" s="7">
        <f>IFERROR(__xludf.DUMMYFUNCTION("""COMPUTED_VALUE"""),276.0)</f>
        <v>276</v>
      </c>
      <c r="E238" s="7">
        <f>IFERROR(__xludf.DUMMYFUNCTION("""COMPUTED_VALUE"""),279.85)</f>
        <v>279.85</v>
      </c>
      <c r="F238" s="7">
        <f>IFERROR(__xludf.DUMMYFUNCTION("""COMPUTED_VALUE"""),1.0820878E7)</f>
        <v>10820878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f>IFERROR(__xludf.DUMMYFUNCTION("""COMPUTED_VALUE"""),45902.64583333333)</f>
        <v>45902.64583</v>
      </c>
      <c r="B239" s="7">
        <f>IFERROR(__xludf.DUMMYFUNCTION("""COMPUTED_VALUE"""),280.2)</f>
        <v>280.2</v>
      </c>
      <c r="C239" s="7">
        <f>IFERROR(__xludf.DUMMYFUNCTION("""COMPUTED_VALUE"""),287.9)</f>
        <v>287.9</v>
      </c>
      <c r="D239" s="7">
        <f>IFERROR(__xludf.DUMMYFUNCTION("""COMPUTED_VALUE"""),279.85)</f>
        <v>279.85</v>
      </c>
      <c r="E239" s="7">
        <f>IFERROR(__xludf.DUMMYFUNCTION("""COMPUTED_VALUE"""),286.7)</f>
        <v>286.7</v>
      </c>
      <c r="F239" s="7">
        <f>IFERROR(__xludf.DUMMYFUNCTION("""COMPUTED_VALUE"""),1.6983677E7)</f>
        <v>16983677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f>IFERROR(__xludf.DUMMYFUNCTION("""COMPUTED_VALUE"""),45903.64583333333)</f>
        <v>45903.64583</v>
      </c>
      <c r="B240" s="7">
        <f>IFERROR(__xludf.DUMMYFUNCTION("""COMPUTED_VALUE"""),289.0)</f>
        <v>289</v>
      </c>
      <c r="C240" s="7">
        <f>IFERROR(__xludf.DUMMYFUNCTION("""COMPUTED_VALUE"""),289.2)</f>
        <v>289.2</v>
      </c>
      <c r="D240" s="7">
        <f>IFERROR(__xludf.DUMMYFUNCTION("""COMPUTED_VALUE"""),285.6)</f>
        <v>285.6</v>
      </c>
      <c r="E240" s="7">
        <f>IFERROR(__xludf.DUMMYFUNCTION("""COMPUTED_VALUE"""),286.05)</f>
        <v>286.05</v>
      </c>
      <c r="F240" s="7">
        <f>IFERROR(__xludf.DUMMYFUNCTION("""COMPUTED_VALUE"""),3.0178885E7)</f>
        <v>30178885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f>IFERROR(__xludf.DUMMYFUNCTION("""COMPUTED_VALUE"""),45904.64583333333)</f>
        <v>45904.64583</v>
      </c>
      <c r="B241" s="7">
        <f>IFERROR(__xludf.DUMMYFUNCTION("""COMPUTED_VALUE"""),286.85)</f>
        <v>286.85</v>
      </c>
      <c r="C241" s="7">
        <f>IFERROR(__xludf.DUMMYFUNCTION("""COMPUTED_VALUE"""),287.95)</f>
        <v>287.95</v>
      </c>
      <c r="D241" s="7">
        <f>IFERROR(__xludf.DUMMYFUNCTION("""COMPUTED_VALUE"""),280.9)</f>
        <v>280.9</v>
      </c>
      <c r="E241" s="7">
        <f>IFERROR(__xludf.DUMMYFUNCTION("""COMPUTED_VALUE"""),281.8)</f>
        <v>281.8</v>
      </c>
      <c r="F241" s="7">
        <f>IFERROR(__xludf.DUMMYFUNCTION("""COMPUTED_VALUE"""),5946090.0)</f>
        <v>5946090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f>IFERROR(__xludf.DUMMYFUNCTION("""COMPUTED_VALUE"""),45905.64583333333)</f>
        <v>45905.64583</v>
      </c>
      <c r="B242" s="7">
        <f>IFERROR(__xludf.DUMMYFUNCTION("""COMPUTED_VALUE"""),282.35)</f>
        <v>282.35</v>
      </c>
      <c r="C242" s="7">
        <f>IFERROR(__xludf.DUMMYFUNCTION("""COMPUTED_VALUE"""),286.65)</f>
        <v>286.65</v>
      </c>
      <c r="D242" s="7">
        <f>IFERROR(__xludf.DUMMYFUNCTION("""COMPUTED_VALUE"""),282.35)</f>
        <v>282.35</v>
      </c>
      <c r="E242" s="7">
        <f>IFERROR(__xludf.DUMMYFUNCTION("""COMPUTED_VALUE"""),285.35)</f>
        <v>285.35</v>
      </c>
      <c r="F242" s="7">
        <f>IFERROR(__xludf.DUMMYFUNCTION("""COMPUTED_VALUE"""),9695914.0)</f>
        <v>9695914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f>IFERROR(__xludf.DUMMYFUNCTION("""COMPUTED_VALUE"""),45908.64583333333)</f>
        <v>45908.64583</v>
      </c>
      <c r="B243" s="7">
        <f>IFERROR(__xludf.DUMMYFUNCTION("""COMPUTED_VALUE"""),286.4)</f>
        <v>286.4</v>
      </c>
      <c r="C243" s="7">
        <f>IFERROR(__xludf.DUMMYFUNCTION("""COMPUTED_VALUE"""),287.7)</f>
        <v>287.7</v>
      </c>
      <c r="D243" s="7">
        <f>IFERROR(__xludf.DUMMYFUNCTION("""COMPUTED_VALUE"""),282.1)</f>
        <v>282.1</v>
      </c>
      <c r="E243" s="7">
        <f>IFERROR(__xludf.DUMMYFUNCTION("""COMPUTED_VALUE"""),282.8)</f>
        <v>282.8</v>
      </c>
      <c r="F243" s="7">
        <f>IFERROR(__xludf.DUMMYFUNCTION("""COMPUTED_VALUE"""),5186605.0)</f>
        <v>5186605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f>IFERROR(__xludf.DUMMYFUNCTION("""COMPUTED_VALUE"""),45909.64583333333)</f>
        <v>45909.64583</v>
      </c>
      <c r="B244" s="7">
        <f>IFERROR(__xludf.DUMMYFUNCTION("""COMPUTED_VALUE"""),283.05)</f>
        <v>283.05</v>
      </c>
      <c r="C244" s="7">
        <f>IFERROR(__xludf.DUMMYFUNCTION("""COMPUTED_VALUE"""),284.35)</f>
        <v>284.35</v>
      </c>
      <c r="D244" s="7">
        <f>IFERROR(__xludf.DUMMYFUNCTION("""COMPUTED_VALUE"""),281.7)</f>
        <v>281.7</v>
      </c>
      <c r="E244" s="7">
        <f>IFERROR(__xludf.DUMMYFUNCTION("""COMPUTED_VALUE"""),283.85)</f>
        <v>283.85</v>
      </c>
      <c r="F244" s="7">
        <f>IFERROR(__xludf.DUMMYFUNCTION("""COMPUTED_VALUE"""),7093190.0)</f>
        <v>7093190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f>IFERROR(__xludf.DUMMYFUNCTION("""COMPUTED_VALUE"""),45910.64583333333)</f>
        <v>45910.64583</v>
      </c>
      <c r="B245" s="7">
        <f>IFERROR(__xludf.DUMMYFUNCTION("""COMPUTED_VALUE"""),284.7)</f>
        <v>284.7</v>
      </c>
      <c r="C245" s="7">
        <f>IFERROR(__xludf.DUMMYFUNCTION("""COMPUTED_VALUE"""),286.45)</f>
        <v>286.45</v>
      </c>
      <c r="D245" s="7">
        <f>IFERROR(__xludf.DUMMYFUNCTION("""COMPUTED_VALUE"""),282.5)</f>
        <v>282.5</v>
      </c>
      <c r="E245" s="7">
        <f>IFERROR(__xludf.DUMMYFUNCTION("""COMPUTED_VALUE"""),282.95)</f>
        <v>282.95</v>
      </c>
      <c r="F245" s="7">
        <f>IFERROR(__xludf.DUMMYFUNCTION("""COMPUTED_VALUE"""),7767863.0)</f>
        <v>7767863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f>IFERROR(__xludf.DUMMYFUNCTION("""COMPUTED_VALUE"""),45911.64583333333)</f>
        <v>45911.64583</v>
      </c>
      <c r="B246" s="7">
        <f>IFERROR(__xludf.DUMMYFUNCTION("""COMPUTED_VALUE"""),282.55)</f>
        <v>282.55</v>
      </c>
      <c r="C246" s="7">
        <f>IFERROR(__xludf.DUMMYFUNCTION("""COMPUTED_VALUE"""),288.7)</f>
        <v>288.7</v>
      </c>
      <c r="D246" s="7">
        <f>IFERROR(__xludf.DUMMYFUNCTION("""COMPUTED_VALUE"""),282.55)</f>
        <v>282.55</v>
      </c>
      <c r="E246" s="7">
        <f>IFERROR(__xludf.DUMMYFUNCTION("""COMPUTED_VALUE"""),286.8)</f>
        <v>286.8</v>
      </c>
      <c r="F246" s="7">
        <f>IFERROR(__xludf.DUMMYFUNCTION("""COMPUTED_VALUE"""),7406625.0)</f>
        <v>7406625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f>IFERROR(__xludf.DUMMYFUNCTION("""COMPUTED_VALUE"""),45912.64583333333)</f>
        <v>45912.64583</v>
      </c>
      <c r="B247" s="7">
        <f>IFERROR(__xludf.DUMMYFUNCTION("""COMPUTED_VALUE"""),287.25)</f>
        <v>287.25</v>
      </c>
      <c r="C247" s="7">
        <f>IFERROR(__xludf.DUMMYFUNCTION("""COMPUTED_VALUE"""),288.6)</f>
        <v>288.6</v>
      </c>
      <c r="D247" s="7">
        <f>IFERROR(__xludf.DUMMYFUNCTION("""COMPUTED_VALUE"""),285.1)</f>
        <v>285.1</v>
      </c>
      <c r="E247" s="7">
        <f>IFERROR(__xludf.DUMMYFUNCTION("""COMPUTED_VALUE"""),287.65)</f>
        <v>287.65</v>
      </c>
      <c r="F247" s="7">
        <f>IFERROR(__xludf.DUMMYFUNCTION("""COMPUTED_VALUE"""),7618852.0)</f>
        <v>7618852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f>IFERROR(__xludf.DUMMYFUNCTION("""COMPUTED_VALUE"""),45915.64583333333)</f>
        <v>45915.64583</v>
      </c>
      <c r="B248" s="7">
        <f>IFERROR(__xludf.DUMMYFUNCTION("""COMPUTED_VALUE"""),288.3)</f>
        <v>288.3</v>
      </c>
      <c r="C248" s="7">
        <f>IFERROR(__xludf.DUMMYFUNCTION("""COMPUTED_VALUE"""),288.8)</f>
        <v>288.8</v>
      </c>
      <c r="D248" s="7">
        <f>IFERROR(__xludf.DUMMYFUNCTION("""COMPUTED_VALUE"""),285.75)</f>
        <v>285.75</v>
      </c>
      <c r="E248" s="7">
        <f>IFERROR(__xludf.DUMMYFUNCTION("""COMPUTED_VALUE"""),286.25)</f>
        <v>286.25</v>
      </c>
      <c r="F248" s="7">
        <f>IFERROR(__xludf.DUMMYFUNCTION("""COMPUTED_VALUE"""),5420800.0)</f>
        <v>5420800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IFERROR(__xludf.DUMMYFUNCTION("IFERROR(GOOGLEFINANCE(""NSE:COALINDIA"",""all"",EDATE(TODAY(),-12),TODAY(),""DAILY""))
"),"Date")</f>
        <v>Date</v>
      </c>
      <c r="B1" s="11" t="str">
        <f>IFERROR(__xludf.DUMMYFUNCTION("""COMPUTED_VALUE"""),"Open")</f>
        <v>Open</v>
      </c>
      <c r="C1" s="11" t="str">
        <f>IFERROR(__xludf.DUMMYFUNCTION("""COMPUTED_VALUE"""),"High")</f>
        <v>High</v>
      </c>
      <c r="D1" s="11" t="str">
        <f>IFERROR(__xludf.DUMMYFUNCTION("""COMPUTED_VALUE"""),"Low")</f>
        <v>Low</v>
      </c>
      <c r="E1" s="11" t="str">
        <f>IFERROR(__xludf.DUMMYFUNCTION("""COMPUTED_VALUE"""),"Close")</f>
        <v>Close</v>
      </c>
      <c r="F1" s="11" t="str">
        <f>IFERROR(__xludf.DUMMYFUNCTION("""COMPUTED_VALUE"""),"Volume")</f>
        <v>Volume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>
        <f>IFERROR(__xludf.DUMMYFUNCTION("""COMPUTED_VALUE"""),45551.64583333333)</f>
        <v>45551.64583</v>
      </c>
      <c r="B2" s="7">
        <f>IFERROR(__xludf.DUMMYFUNCTION("""COMPUTED_VALUE"""),492.5)</f>
        <v>492.5</v>
      </c>
      <c r="C2" s="7">
        <f>IFERROR(__xludf.DUMMYFUNCTION("""COMPUTED_VALUE"""),494.9)</f>
        <v>494.9</v>
      </c>
      <c r="D2" s="7">
        <f>IFERROR(__xludf.DUMMYFUNCTION("""COMPUTED_VALUE"""),487.35)</f>
        <v>487.35</v>
      </c>
      <c r="E2" s="7">
        <f>IFERROR(__xludf.DUMMYFUNCTION("""COMPUTED_VALUE"""),493.25)</f>
        <v>493.25</v>
      </c>
      <c r="F2" s="7">
        <f>IFERROR(__xludf.DUMMYFUNCTION("""COMPUTED_VALUE"""),5244657.0)</f>
        <v>5244657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f>IFERROR(__xludf.DUMMYFUNCTION("""COMPUTED_VALUE"""),45552.64583333333)</f>
        <v>45552.64583</v>
      </c>
      <c r="B3" s="7">
        <f>IFERROR(__xludf.DUMMYFUNCTION("""COMPUTED_VALUE"""),493.25)</f>
        <v>493.25</v>
      </c>
      <c r="C3" s="7">
        <f>IFERROR(__xludf.DUMMYFUNCTION("""COMPUTED_VALUE"""),494.8)</f>
        <v>494.8</v>
      </c>
      <c r="D3" s="7">
        <f>IFERROR(__xludf.DUMMYFUNCTION("""COMPUTED_VALUE"""),487.65)</f>
        <v>487.65</v>
      </c>
      <c r="E3" s="7">
        <f>IFERROR(__xludf.DUMMYFUNCTION("""COMPUTED_VALUE"""),488.5)</f>
        <v>488.5</v>
      </c>
      <c r="F3" s="7">
        <f>IFERROR(__xludf.DUMMYFUNCTION("""COMPUTED_VALUE"""),5063902.0)</f>
        <v>5063902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f>IFERROR(__xludf.DUMMYFUNCTION("""COMPUTED_VALUE"""),45553.64583333333)</f>
        <v>45553.64583</v>
      </c>
      <c r="B4" s="7">
        <f>IFERROR(__xludf.DUMMYFUNCTION("""COMPUTED_VALUE"""),489.8)</f>
        <v>489.8</v>
      </c>
      <c r="C4" s="7">
        <f>IFERROR(__xludf.DUMMYFUNCTION("""COMPUTED_VALUE"""),493.6)</f>
        <v>493.6</v>
      </c>
      <c r="D4" s="7">
        <f>IFERROR(__xludf.DUMMYFUNCTION("""COMPUTED_VALUE"""),486.15)</f>
        <v>486.15</v>
      </c>
      <c r="E4" s="7">
        <f>IFERROR(__xludf.DUMMYFUNCTION("""COMPUTED_VALUE"""),487.1)</f>
        <v>487.1</v>
      </c>
      <c r="F4" s="7">
        <f>IFERROR(__xludf.DUMMYFUNCTION("""COMPUTED_VALUE"""),6527832.0)</f>
        <v>6527832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f>IFERROR(__xludf.DUMMYFUNCTION("""COMPUTED_VALUE"""),45554.64583333333)</f>
        <v>45554.64583</v>
      </c>
      <c r="B5" s="7">
        <f>IFERROR(__xludf.DUMMYFUNCTION("""COMPUTED_VALUE"""),489.0)</f>
        <v>489</v>
      </c>
      <c r="C5" s="7">
        <f>IFERROR(__xludf.DUMMYFUNCTION("""COMPUTED_VALUE"""),491.6)</f>
        <v>491.6</v>
      </c>
      <c r="D5" s="7">
        <f>IFERROR(__xludf.DUMMYFUNCTION("""COMPUTED_VALUE"""),476.25)</f>
        <v>476.25</v>
      </c>
      <c r="E5" s="7">
        <f>IFERROR(__xludf.DUMMYFUNCTION("""COMPUTED_VALUE"""),477.95)</f>
        <v>477.95</v>
      </c>
      <c r="F5" s="7">
        <f>IFERROR(__xludf.DUMMYFUNCTION("""COMPUTED_VALUE"""),1.001445E7)</f>
        <v>10014450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f>IFERROR(__xludf.DUMMYFUNCTION("""COMPUTED_VALUE"""),45555.64583333333)</f>
        <v>45555.64583</v>
      </c>
      <c r="B6" s="7">
        <f>IFERROR(__xludf.DUMMYFUNCTION("""COMPUTED_VALUE"""),480.95)</f>
        <v>480.95</v>
      </c>
      <c r="C6" s="7">
        <f>IFERROR(__xludf.DUMMYFUNCTION("""COMPUTED_VALUE"""),498.0)</f>
        <v>498</v>
      </c>
      <c r="D6" s="7">
        <f>IFERROR(__xludf.DUMMYFUNCTION("""COMPUTED_VALUE"""),480.3)</f>
        <v>480.3</v>
      </c>
      <c r="E6" s="7">
        <f>IFERROR(__xludf.DUMMYFUNCTION("""COMPUTED_VALUE"""),490.95)</f>
        <v>490.95</v>
      </c>
      <c r="F6" s="7">
        <f>IFERROR(__xludf.DUMMYFUNCTION("""COMPUTED_VALUE"""),1.2982128E7)</f>
        <v>12982128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f>IFERROR(__xludf.DUMMYFUNCTION("""COMPUTED_VALUE"""),45558.64583333333)</f>
        <v>45558.64583</v>
      </c>
      <c r="B7" s="7">
        <f>IFERROR(__xludf.DUMMYFUNCTION("""COMPUTED_VALUE"""),493.5)</f>
        <v>493.5</v>
      </c>
      <c r="C7" s="7">
        <f>IFERROR(__xludf.DUMMYFUNCTION("""COMPUTED_VALUE"""),502.5)</f>
        <v>502.5</v>
      </c>
      <c r="D7" s="7">
        <f>IFERROR(__xludf.DUMMYFUNCTION("""COMPUTED_VALUE"""),490.5)</f>
        <v>490.5</v>
      </c>
      <c r="E7" s="7">
        <f>IFERROR(__xludf.DUMMYFUNCTION("""COMPUTED_VALUE"""),500.6)</f>
        <v>500.6</v>
      </c>
      <c r="F7" s="7">
        <f>IFERROR(__xludf.DUMMYFUNCTION("""COMPUTED_VALUE"""),6123879.0)</f>
        <v>6123879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f>IFERROR(__xludf.DUMMYFUNCTION("""COMPUTED_VALUE"""),45559.64583333333)</f>
        <v>45559.64583</v>
      </c>
      <c r="B8" s="7">
        <f>IFERROR(__xludf.DUMMYFUNCTION("""COMPUTED_VALUE"""),505.0)</f>
        <v>505</v>
      </c>
      <c r="C8" s="7">
        <f>IFERROR(__xludf.DUMMYFUNCTION("""COMPUTED_VALUE"""),506.65)</f>
        <v>506.65</v>
      </c>
      <c r="D8" s="7">
        <f>IFERROR(__xludf.DUMMYFUNCTION("""COMPUTED_VALUE"""),501.55)</f>
        <v>501.55</v>
      </c>
      <c r="E8" s="7">
        <f>IFERROR(__xludf.DUMMYFUNCTION("""COMPUTED_VALUE"""),504.3)</f>
        <v>504.3</v>
      </c>
      <c r="F8" s="7">
        <f>IFERROR(__xludf.DUMMYFUNCTION("""COMPUTED_VALUE"""),7306001.0)</f>
        <v>7306001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f>IFERROR(__xludf.DUMMYFUNCTION("""COMPUTED_VALUE"""),45560.64583333333)</f>
        <v>45560.64583</v>
      </c>
      <c r="B9" s="7">
        <f>IFERROR(__xludf.DUMMYFUNCTION("""COMPUTED_VALUE"""),506.5)</f>
        <v>506.5</v>
      </c>
      <c r="C9" s="7">
        <f>IFERROR(__xludf.DUMMYFUNCTION("""COMPUTED_VALUE"""),507.0)</f>
        <v>507</v>
      </c>
      <c r="D9" s="7">
        <f>IFERROR(__xludf.DUMMYFUNCTION("""COMPUTED_VALUE"""),502.0)</f>
        <v>502</v>
      </c>
      <c r="E9" s="7">
        <f>IFERROR(__xludf.DUMMYFUNCTION("""COMPUTED_VALUE"""),505.3)</f>
        <v>505.3</v>
      </c>
      <c r="F9" s="7">
        <f>IFERROR(__xludf.DUMMYFUNCTION("""COMPUTED_VALUE"""),5059851.0)</f>
        <v>5059851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f>IFERROR(__xludf.DUMMYFUNCTION("""COMPUTED_VALUE"""),45561.64583333333)</f>
        <v>45561.64583</v>
      </c>
      <c r="B10" s="7">
        <f>IFERROR(__xludf.DUMMYFUNCTION("""COMPUTED_VALUE"""),506.0)</f>
        <v>506</v>
      </c>
      <c r="C10" s="7">
        <f>IFERROR(__xludf.DUMMYFUNCTION("""COMPUTED_VALUE"""),507.45)</f>
        <v>507.45</v>
      </c>
      <c r="D10" s="7">
        <f>IFERROR(__xludf.DUMMYFUNCTION("""COMPUTED_VALUE"""),500.05)</f>
        <v>500.05</v>
      </c>
      <c r="E10" s="7">
        <f>IFERROR(__xludf.DUMMYFUNCTION("""COMPUTED_VALUE"""),506.55)</f>
        <v>506.55</v>
      </c>
      <c r="F10" s="7">
        <f>IFERROR(__xludf.DUMMYFUNCTION("""COMPUTED_VALUE"""),6877039.0)</f>
        <v>6877039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f>IFERROR(__xludf.DUMMYFUNCTION("""COMPUTED_VALUE"""),45562.64583333333)</f>
        <v>45562.64583</v>
      </c>
      <c r="B11" s="7">
        <f>IFERROR(__xludf.DUMMYFUNCTION("""COMPUTED_VALUE"""),506.55)</f>
        <v>506.55</v>
      </c>
      <c r="C11" s="7">
        <f>IFERROR(__xludf.DUMMYFUNCTION("""COMPUTED_VALUE"""),517.85)</f>
        <v>517.85</v>
      </c>
      <c r="D11" s="7">
        <f>IFERROR(__xludf.DUMMYFUNCTION("""COMPUTED_VALUE"""),504.9)</f>
        <v>504.9</v>
      </c>
      <c r="E11" s="7">
        <f>IFERROR(__xludf.DUMMYFUNCTION("""COMPUTED_VALUE"""),516.1)</f>
        <v>516.1</v>
      </c>
      <c r="F11" s="7">
        <f>IFERROR(__xludf.DUMMYFUNCTION("""COMPUTED_VALUE"""),1.5443031E7)</f>
        <v>15443031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f>IFERROR(__xludf.DUMMYFUNCTION("""COMPUTED_VALUE"""),45565.64583333333)</f>
        <v>45565.64583</v>
      </c>
      <c r="B12" s="7">
        <f>IFERROR(__xludf.DUMMYFUNCTION("""COMPUTED_VALUE"""),513.0)</f>
        <v>513</v>
      </c>
      <c r="C12" s="7">
        <f>IFERROR(__xludf.DUMMYFUNCTION("""COMPUTED_VALUE"""),513.45)</f>
        <v>513.45</v>
      </c>
      <c r="D12" s="7">
        <f>IFERROR(__xludf.DUMMYFUNCTION("""COMPUTED_VALUE"""),502.5)</f>
        <v>502.5</v>
      </c>
      <c r="E12" s="7">
        <f>IFERROR(__xludf.DUMMYFUNCTION("""COMPUTED_VALUE"""),510.15)</f>
        <v>510.15</v>
      </c>
      <c r="F12" s="7">
        <f>IFERROR(__xludf.DUMMYFUNCTION("""COMPUTED_VALUE"""),8881502.0)</f>
        <v>8881502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f>IFERROR(__xludf.DUMMYFUNCTION("""COMPUTED_VALUE"""),45566.64583333333)</f>
        <v>45566.64583</v>
      </c>
      <c r="B13" s="7">
        <f>IFERROR(__xludf.DUMMYFUNCTION("""COMPUTED_VALUE"""),512.0)</f>
        <v>512</v>
      </c>
      <c r="C13" s="7">
        <f>IFERROR(__xludf.DUMMYFUNCTION("""COMPUTED_VALUE"""),516.0)</f>
        <v>516</v>
      </c>
      <c r="D13" s="7">
        <f>IFERROR(__xludf.DUMMYFUNCTION("""COMPUTED_VALUE"""),506.15)</f>
        <v>506.15</v>
      </c>
      <c r="E13" s="7">
        <f>IFERROR(__xludf.DUMMYFUNCTION("""COMPUTED_VALUE"""),508.5)</f>
        <v>508.5</v>
      </c>
      <c r="F13" s="7">
        <f>IFERROR(__xludf.DUMMYFUNCTION("""COMPUTED_VALUE"""),4743517.0)</f>
        <v>4743517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f>IFERROR(__xludf.DUMMYFUNCTION("""COMPUTED_VALUE"""),45568.64583333333)</f>
        <v>45568.64583</v>
      </c>
      <c r="B14" s="7">
        <f>IFERROR(__xludf.DUMMYFUNCTION("""COMPUTED_VALUE"""),499.5)</f>
        <v>499.5</v>
      </c>
      <c r="C14" s="7">
        <f>IFERROR(__xludf.DUMMYFUNCTION("""COMPUTED_VALUE"""),509.9)</f>
        <v>509.9</v>
      </c>
      <c r="D14" s="7">
        <f>IFERROR(__xludf.DUMMYFUNCTION("""COMPUTED_VALUE"""),499.5)</f>
        <v>499.5</v>
      </c>
      <c r="E14" s="7">
        <f>IFERROR(__xludf.DUMMYFUNCTION("""COMPUTED_VALUE"""),502.35)</f>
        <v>502.35</v>
      </c>
      <c r="F14" s="7">
        <f>IFERROR(__xludf.DUMMYFUNCTION("""COMPUTED_VALUE"""),1.1285134E7)</f>
        <v>11285134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f>IFERROR(__xludf.DUMMYFUNCTION("""COMPUTED_VALUE"""),45569.64583333333)</f>
        <v>45569.64583</v>
      </c>
      <c r="B15" s="7">
        <f>IFERROR(__xludf.DUMMYFUNCTION("""COMPUTED_VALUE"""),499.6)</f>
        <v>499.6</v>
      </c>
      <c r="C15" s="7">
        <f>IFERROR(__xludf.DUMMYFUNCTION("""COMPUTED_VALUE"""),504.65)</f>
        <v>504.65</v>
      </c>
      <c r="D15" s="7">
        <f>IFERROR(__xludf.DUMMYFUNCTION("""COMPUTED_VALUE"""),494.05)</f>
        <v>494.05</v>
      </c>
      <c r="E15" s="7">
        <f>IFERROR(__xludf.DUMMYFUNCTION("""COMPUTED_VALUE"""),497.2)</f>
        <v>497.2</v>
      </c>
      <c r="F15" s="7">
        <f>IFERROR(__xludf.DUMMYFUNCTION("""COMPUTED_VALUE"""),7170285.0)</f>
        <v>7170285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f>IFERROR(__xludf.DUMMYFUNCTION("""COMPUTED_VALUE"""),45572.64583333333)</f>
        <v>45572.64583</v>
      </c>
      <c r="B16" s="7">
        <f>IFERROR(__xludf.DUMMYFUNCTION("""COMPUTED_VALUE"""),498.1)</f>
        <v>498.1</v>
      </c>
      <c r="C16" s="7">
        <f>IFERROR(__xludf.DUMMYFUNCTION("""COMPUTED_VALUE"""),500.55)</f>
        <v>500.55</v>
      </c>
      <c r="D16" s="7">
        <f>IFERROR(__xludf.DUMMYFUNCTION("""COMPUTED_VALUE"""),475.35)</f>
        <v>475.35</v>
      </c>
      <c r="E16" s="7">
        <f>IFERROR(__xludf.DUMMYFUNCTION("""COMPUTED_VALUE"""),480.45)</f>
        <v>480.45</v>
      </c>
      <c r="F16" s="7">
        <f>IFERROR(__xludf.DUMMYFUNCTION("""COMPUTED_VALUE"""),8940891.0)</f>
        <v>8940891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f>IFERROR(__xludf.DUMMYFUNCTION("""COMPUTED_VALUE"""),45573.64583333333)</f>
        <v>45573.64583</v>
      </c>
      <c r="B17" s="7">
        <f>IFERROR(__xludf.DUMMYFUNCTION("""COMPUTED_VALUE"""),480.8)</f>
        <v>480.8</v>
      </c>
      <c r="C17" s="7">
        <f>IFERROR(__xludf.DUMMYFUNCTION("""COMPUTED_VALUE"""),492.75)</f>
        <v>492.75</v>
      </c>
      <c r="D17" s="7">
        <f>IFERROR(__xludf.DUMMYFUNCTION("""COMPUTED_VALUE"""),476.45)</f>
        <v>476.45</v>
      </c>
      <c r="E17" s="7">
        <f>IFERROR(__xludf.DUMMYFUNCTION("""COMPUTED_VALUE"""),491.85)</f>
        <v>491.85</v>
      </c>
      <c r="F17" s="7">
        <f>IFERROR(__xludf.DUMMYFUNCTION("""COMPUTED_VALUE"""),6049075.0)</f>
        <v>6049075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f>IFERROR(__xludf.DUMMYFUNCTION("""COMPUTED_VALUE"""),45574.64583333333)</f>
        <v>45574.64583</v>
      </c>
      <c r="B18" s="7">
        <f>IFERROR(__xludf.DUMMYFUNCTION("""COMPUTED_VALUE"""),492.0)</f>
        <v>492</v>
      </c>
      <c r="C18" s="7">
        <f>IFERROR(__xludf.DUMMYFUNCTION("""COMPUTED_VALUE"""),496.0)</f>
        <v>496</v>
      </c>
      <c r="D18" s="7">
        <f>IFERROR(__xludf.DUMMYFUNCTION("""COMPUTED_VALUE"""),485.65)</f>
        <v>485.65</v>
      </c>
      <c r="E18" s="7">
        <f>IFERROR(__xludf.DUMMYFUNCTION("""COMPUTED_VALUE"""),486.95)</f>
        <v>486.95</v>
      </c>
      <c r="F18" s="7">
        <f>IFERROR(__xludf.DUMMYFUNCTION("""COMPUTED_VALUE"""),6874313.0)</f>
        <v>6874313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f>IFERROR(__xludf.DUMMYFUNCTION("""COMPUTED_VALUE"""),45575.64583333333)</f>
        <v>45575.64583</v>
      </c>
      <c r="B19" s="7">
        <f>IFERROR(__xludf.DUMMYFUNCTION("""COMPUTED_VALUE"""),488.7)</f>
        <v>488.7</v>
      </c>
      <c r="C19" s="7">
        <f>IFERROR(__xludf.DUMMYFUNCTION("""COMPUTED_VALUE"""),493.95)</f>
        <v>493.95</v>
      </c>
      <c r="D19" s="7">
        <f>IFERROR(__xludf.DUMMYFUNCTION("""COMPUTED_VALUE"""),486.05)</f>
        <v>486.05</v>
      </c>
      <c r="E19" s="7">
        <f>IFERROR(__xludf.DUMMYFUNCTION("""COMPUTED_VALUE"""),488.1)</f>
        <v>488.1</v>
      </c>
      <c r="F19" s="7">
        <f>IFERROR(__xludf.DUMMYFUNCTION("""COMPUTED_VALUE"""),4700891.0)</f>
        <v>4700891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f>IFERROR(__xludf.DUMMYFUNCTION("""COMPUTED_VALUE"""),45576.64583333333)</f>
        <v>45576.64583</v>
      </c>
      <c r="B20" s="7">
        <f>IFERROR(__xludf.DUMMYFUNCTION("""COMPUTED_VALUE"""),487.5)</f>
        <v>487.5</v>
      </c>
      <c r="C20" s="7">
        <f>IFERROR(__xludf.DUMMYFUNCTION("""COMPUTED_VALUE"""),493.9)</f>
        <v>493.9</v>
      </c>
      <c r="D20" s="7">
        <f>IFERROR(__xludf.DUMMYFUNCTION("""COMPUTED_VALUE"""),487.45)</f>
        <v>487.45</v>
      </c>
      <c r="E20" s="7">
        <f>IFERROR(__xludf.DUMMYFUNCTION("""COMPUTED_VALUE"""),492.95)</f>
        <v>492.95</v>
      </c>
      <c r="F20" s="7">
        <f>IFERROR(__xludf.DUMMYFUNCTION("""COMPUTED_VALUE"""),4364566.0)</f>
        <v>4364566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f>IFERROR(__xludf.DUMMYFUNCTION("""COMPUTED_VALUE"""),45579.64583333333)</f>
        <v>45579.64583</v>
      </c>
      <c r="B21" s="7">
        <f>IFERROR(__xludf.DUMMYFUNCTION("""COMPUTED_VALUE"""),494.95)</f>
        <v>494.95</v>
      </c>
      <c r="C21" s="7">
        <f>IFERROR(__xludf.DUMMYFUNCTION("""COMPUTED_VALUE"""),502.45)</f>
        <v>502.45</v>
      </c>
      <c r="D21" s="7">
        <f>IFERROR(__xludf.DUMMYFUNCTION("""COMPUTED_VALUE"""),492.95)</f>
        <v>492.95</v>
      </c>
      <c r="E21" s="7">
        <f>IFERROR(__xludf.DUMMYFUNCTION("""COMPUTED_VALUE"""),498.3)</f>
        <v>498.3</v>
      </c>
      <c r="F21" s="7">
        <f>IFERROR(__xludf.DUMMYFUNCTION("""COMPUTED_VALUE"""),5369297.0)</f>
        <v>5369297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f>IFERROR(__xludf.DUMMYFUNCTION("""COMPUTED_VALUE"""),45580.64583333333)</f>
        <v>45580.64583</v>
      </c>
      <c r="B22" s="7">
        <f>IFERROR(__xludf.DUMMYFUNCTION("""COMPUTED_VALUE"""),498.3)</f>
        <v>498.3</v>
      </c>
      <c r="C22" s="7">
        <f>IFERROR(__xludf.DUMMYFUNCTION("""COMPUTED_VALUE"""),499.35)</f>
        <v>499.35</v>
      </c>
      <c r="D22" s="7">
        <f>IFERROR(__xludf.DUMMYFUNCTION("""COMPUTED_VALUE"""),490.05)</f>
        <v>490.05</v>
      </c>
      <c r="E22" s="7">
        <f>IFERROR(__xludf.DUMMYFUNCTION("""COMPUTED_VALUE"""),494.45)</f>
        <v>494.45</v>
      </c>
      <c r="F22" s="7">
        <f>IFERROR(__xludf.DUMMYFUNCTION("""COMPUTED_VALUE"""),4279311.0)</f>
        <v>4279311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f>IFERROR(__xludf.DUMMYFUNCTION("""COMPUTED_VALUE"""),45581.64583333333)</f>
        <v>45581.64583</v>
      </c>
      <c r="B23" s="7">
        <f>IFERROR(__xludf.DUMMYFUNCTION("""COMPUTED_VALUE"""),495.0)</f>
        <v>495</v>
      </c>
      <c r="C23" s="7">
        <f>IFERROR(__xludf.DUMMYFUNCTION("""COMPUTED_VALUE"""),499.4)</f>
        <v>499.4</v>
      </c>
      <c r="D23" s="7">
        <f>IFERROR(__xludf.DUMMYFUNCTION("""COMPUTED_VALUE"""),492.9)</f>
        <v>492.9</v>
      </c>
      <c r="E23" s="7">
        <f>IFERROR(__xludf.DUMMYFUNCTION("""COMPUTED_VALUE"""),495.75)</f>
        <v>495.75</v>
      </c>
      <c r="F23" s="7">
        <f>IFERROR(__xludf.DUMMYFUNCTION("""COMPUTED_VALUE"""),8000451.0)</f>
        <v>8000451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f>IFERROR(__xludf.DUMMYFUNCTION("""COMPUTED_VALUE"""),45582.64583333333)</f>
        <v>45582.64583</v>
      </c>
      <c r="B24" s="7">
        <f>IFERROR(__xludf.DUMMYFUNCTION("""COMPUTED_VALUE"""),495.75)</f>
        <v>495.75</v>
      </c>
      <c r="C24" s="7">
        <f>IFERROR(__xludf.DUMMYFUNCTION("""COMPUTED_VALUE"""),497.25)</f>
        <v>497.25</v>
      </c>
      <c r="D24" s="7">
        <f>IFERROR(__xludf.DUMMYFUNCTION("""COMPUTED_VALUE"""),487.2)</f>
        <v>487.2</v>
      </c>
      <c r="E24" s="7">
        <f>IFERROR(__xludf.DUMMYFUNCTION("""COMPUTED_VALUE"""),489.9)</f>
        <v>489.9</v>
      </c>
      <c r="F24" s="7">
        <f>IFERROR(__xludf.DUMMYFUNCTION("""COMPUTED_VALUE"""),4334990.0)</f>
        <v>4334990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f>IFERROR(__xludf.DUMMYFUNCTION("""COMPUTED_VALUE"""),45583.64583333333)</f>
        <v>45583.64583</v>
      </c>
      <c r="B25" s="7">
        <f>IFERROR(__xludf.DUMMYFUNCTION("""COMPUTED_VALUE"""),488.0)</f>
        <v>488</v>
      </c>
      <c r="C25" s="7">
        <f>IFERROR(__xludf.DUMMYFUNCTION("""COMPUTED_VALUE"""),493.75)</f>
        <v>493.75</v>
      </c>
      <c r="D25" s="7">
        <f>IFERROR(__xludf.DUMMYFUNCTION("""COMPUTED_VALUE"""),483.35)</f>
        <v>483.35</v>
      </c>
      <c r="E25" s="7">
        <f>IFERROR(__xludf.DUMMYFUNCTION("""COMPUTED_VALUE"""),492.2)</f>
        <v>492.2</v>
      </c>
      <c r="F25" s="7">
        <f>IFERROR(__xludf.DUMMYFUNCTION("""COMPUTED_VALUE"""),4573163.0)</f>
        <v>4573163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f>IFERROR(__xludf.DUMMYFUNCTION("""COMPUTED_VALUE"""),45586.64583333333)</f>
        <v>45586.64583</v>
      </c>
      <c r="B26" s="7">
        <f>IFERROR(__xludf.DUMMYFUNCTION("""COMPUTED_VALUE"""),492.0)</f>
        <v>492</v>
      </c>
      <c r="C26" s="7">
        <f>IFERROR(__xludf.DUMMYFUNCTION("""COMPUTED_VALUE"""),494.75)</f>
        <v>494.75</v>
      </c>
      <c r="D26" s="7">
        <f>IFERROR(__xludf.DUMMYFUNCTION("""COMPUTED_VALUE"""),482.35)</f>
        <v>482.35</v>
      </c>
      <c r="E26" s="7">
        <f>IFERROR(__xludf.DUMMYFUNCTION("""COMPUTED_VALUE"""),485.4)</f>
        <v>485.4</v>
      </c>
      <c r="F26" s="7">
        <f>IFERROR(__xludf.DUMMYFUNCTION("""COMPUTED_VALUE"""),4737527.0)</f>
        <v>4737527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f>IFERROR(__xludf.DUMMYFUNCTION("""COMPUTED_VALUE"""),45587.64583333333)</f>
        <v>45587.64583</v>
      </c>
      <c r="B27" s="7">
        <f>IFERROR(__xludf.DUMMYFUNCTION("""COMPUTED_VALUE"""),485.0)</f>
        <v>485</v>
      </c>
      <c r="C27" s="7">
        <f>IFERROR(__xludf.DUMMYFUNCTION("""COMPUTED_VALUE"""),487.5)</f>
        <v>487.5</v>
      </c>
      <c r="D27" s="7">
        <f>IFERROR(__xludf.DUMMYFUNCTION("""COMPUTED_VALUE"""),467.2)</f>
        <v>467.2</v>
      </c>
      <c r="E27" s="7">
        <f>IFERROR(__xludf.DUMMYFUNCTION("""COMPUTED_VALUE"""),468.35)</f>
        <v>468.35</v>
      </c>
      <c r="F27" s="7">
        <f>IFERROR(__xludf.DUMMYFUNCTION("""COMPUTED_VALUE"""),8671135.0)</f>
        <v>8671135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f>IFERROR(__xludf.DUMMYFUNCTION("""COMPUTED_VALUE"""),45588.64583333333)</f>
        <v>45588.64583</v>
      </c>
      <c r="B28" s="7">
        <f>IFERROR(__xludf.DUMMYFUNCTION("""COMPUTED_VALUE"""),468.35)</f>
        <v>468.35</v>
      </c>
      <c r="C28" s="7">
        <f>IFERROR(__xludf.DUMMYFUNCTION("""COMPUTED_VALUE"""),476.05)</f>
        <v>476.05</v>
      </c>
      <c r="D28" s="7">
        <f>IFERROR(__xludf.DUMMYFUNCTION("""COMPUTED_VALUE"""),458.95)</f>
        <v>458.95</v>
      </c>
      <c r="E28" s="7">
        <f>IFERROR(__xludf.DUMMYFUNCTION("""COMPUTED_VALUE"""),474.1)</f>
        <v>474.1</v>
      </c>
      <c r="F28" s="7">
        <f>IFERROR(__xludf.DUMMYFUNCTION("""COMPUTED_VALUE"""),1.0686743E7)</f>
        <v>10686743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f>IFERROR(__xludf.DUMMYFUNCTION("""COMPUTED_VALUE"""),45589.64583333333)</f>
        <v>45589.64583</v>
      </c>
      <c r="B29" s="7">
        <f>IFERROR(__xludf.DUMMYFUNCTION("""COMPUTED_VALUE"""),474.1)</f>
        <v>474.1</v>
      </c>
      <c r="C29" s="7">
        <f>IFERROR(__xludf.DUMMYFUNCTION("""COMPUTED_VALUE"""),483.8)</f>
        <v>483.8</v>
      </c>
      <c r="D29" s="7">
        <f>IFERROR(__xludf.DUMMYFUNCTION("""COMPUTED_VALUE"""),473.05)</f>
        <v>473.05</v>
      </c>
      <c r="E29" s="7">
        <f>IFERROR(__xludf.DUMMYFUNCTION("""COMPUTED_VALUE"""),477.25)</f>
        <v>477.25</v>
      </c>
      <c r="F29" s="7">
        <f>IFERROR(__xludf.DUMMYFUNCTION("""COMPUTED_VALUE"""),5045880.0)</f>
        <v>5045880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f>IFERROR(__xludf.DUMMYFUNCTION("""COMPUTED_VALUE"""),45590.64583333333)</f>
        <v>45590.64583</v>
      </c>
      <c r="B30" s="7">
        <f>IFERROR(__xludf.DUMMYFUNCTION("""COMPUTED_VALUE"""),478.1)</f>
        <v>478.1</v>
      </c>
      <c r="C30" s="7">
        <f>IFERROR(__xludf.DUMMYFUNCTION("""COMPUTED_VALUE"""),479.05)</f>
        <v>479.05</v>
      </c>
      <c r="D30" s="7">
        <f>IFERROR(__xludf.DUMMYFUNCTION("""COMPUTED_VALUE"""),459.0)</f>
        <v>459</v>
      </c>
      <c r="E30" s="7">
        <f>IFERROR(__xludf.DUMMYFUNCTION("""COMPUTED_VALUE"""),461.1)</f>
        <v>461.1</v>
      </c>
      <c r="F30" s="7">
        <f>IFERROR(__xludf.DUMMYFUNCTION("""COMPUTED_VALUE"""),1.0330954E7)</f>
        <v>10330954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f>IFERROR(__xludf.DUMMYFUNCTION("""COMPUTED_VALUE"""),45593.64583333333)</f>
        <v>45593.64583</v>
      </c>
      <c r="B31" s="7">
        <f>IFERROR(__xludf.DUMMYFUNCTION("""COMPUTED_VALUE"""),452.0)</f>
        <v>452</v>
      </c>
      <c r="C31" s="7">
        <f>IFERROR(__xludf.DUMMYFUNCTION("""COMPUTED_VALUE"""),458.0)</f>
        <v>458</v>
      </c>
      <c r="D31" s="7">
        <f>IFERROR(__xludf.DUMMYFUNCTION("""COMPUTED_VALUE"""),435.25)</f>
        <v>435.25</v>
      </c>
      <c r="E31" s="7">
        <f>IFERROR(__xludf.DUMMYFUNCTION("""COMPUTED_VALUE"""),441.65)</f>
        <v>441.65</v>
      </c>
      <c r="F31" s="7">
        <f>IFERROR(__xludf.DUMMYFUNCTION("""COMPUTED_VALUE"""),2.1378247E7)</f>
        <v>21378247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f>IFERROR(__xludf.DUMMYFUNCTION("""COMPUTED_VALUE"""),45594.64583333333)</f>
        <v>45594.64583</v>
      </c>
      <c r="B32" s="7">
        <f>IFERROR(__xludf.DUMMYFUNCTION("""COMPUTED_VALUE"""),444.2)</f>
        <v>444.2</v>
      </c>
      <c r="C32" s="7">
        <f>IFERROR(__xludf.DUMMYFUNCTION("""COMPUTED_VALUE"""),446.6)</f>
        <v>446.6</v>
      </c>
      <c r="D32" s="7">
        <f>IFERROR(__xludf.DUMMYFUNCTION("""COMPUTED_VALUE"""),438.8)</f>
        <v>438.8</v>
      </c>
      <c r="E32" s="7">
        <f>IFERROR(__xludf.DUMMYFUNCTION("""COMPUTED_VALUE"""),445.55)</f>
        <v>445.55</v>
      </c>
      <c r="F32" s="7">
        <f>IFERROR(__xludf.DUMMYFUNCTION("""COMPUTED_VALUE"""),7680865.0)</f>
        <v>7680865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f>IFERROR(__xludf.DUMMYFUNCTION("""COMPUTED_VALUE"""),45595.64583333333)</f>
        <v>45595.64583</v>
      </c>
      <c r="B33" s="7">
        <f>IFERROR(__xludf.DUMMYFUNCTION("""COMPUTED_VALUE"""),448.0)</f>
        <v>448</v>
      </c>
      <c r="C33" s="7">
        <f>IFERROR(__xludf.DUMMYFUNCTION("""COMPUTED_VALUE"""),455.8)</f>
        <v>455.8</v>
      </c>
      <c r="D33" s="7">
        <f>IFERROR(__xludf.DUMMYFUNCTION("""COMPUTED_VALUE"""),445.0)</f>
        <v>445</v>
      </c>
      <c r="E33" s="7">
        <f>IFERROR(__xludf.DUMMYFUNCTION("""COMPUTED_VALUE"""),449.15)</f>
        <v>449.15</v>
      </c>
      <c r="F33" s="7">
        <f>IFERROR(__xludf.DUMMYFUNCTION("""COMPUTED_VALUE"""),7818123.0)</f>
        <v>7818123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f>IFERROR(__xludf.DUMMYFUNCTION("""COMPUTED_VALUE"""),45596.64583333333)</f>
        <v>45596.64583</v>
      </c>
      <c r="B34" s="7">
        <f>IFERROR(__xludf.DUMMYFUNCTION("""COMPUTED_VALUE"""),452.0)</f>
        <v>452</v>
      </c>
      <c r="C34" s="7">
        <f>IFERROR(__xludf.DUMMYFUNCTION("""COMPUTED_VALUE"""),454.5)</f>
        <v>454.5</v>
      </c>
      <c r="D34" s="7">
        <f>IFERROR(__xludf.DUMMYFUNCTION("""COMPUTED_VALUE"""),443.2)</f>
        <v>443.2</v>
      </c>
      <c r="E34" s="7">
        <f>IFERROR(__xludf.DUMMYFUNCTION("""COMPUTED_VALUE"""),452.05)</f>
        <v>452.05</v>
      </c>
      <c r="F34" s="7">
        <f>IFERROR(__xludf.DUMMYFUNCTION("""COMPUTED_VALUE"""),8475238.0)</f>
        <v>8475238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f>IFERROR(__xludf.DUMMYFUNCTION("""COMPUTED_VALUE"""),45600.64583333333)</f>
        <v>45600.64583</v>
      </c>
      <c r="B35" s="7">
        <f>IFERROR(__xludf.DUMMYFUNCTION("""COMPUTED_VALUE"""),458.0)</f>
        <v>458</v>
      </c>
      <c r="C35" s="7">
        <f>IFERROR(__xludf.DUMMYFUNCTION("""COMPUTED_VALUE"""),458.15)</f>
        <v>458.15</v>
      </c>
      <c r="D35" s="7">
        <f>IFERROR(__xludf.DUMMYFUNCTION("""COMPUTED_VALUE"""),435.5)</f>
        <v>435.5</v>
      </c>
      <c r="E35" s="7">
        <f>IFERROR(__xludf.DUMMYFUNCTION("""COMPUTED_VALUE"""),443.3)</f>
        <v>443.3</v>
      </c>
      <c r="F35" s="7">
        <f>IFERROR(__xludf.DUMMYFUNCTION("""COMPUTED_VALUE"""),1.572099E7)</f>
        <v>15720990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f>IFERROR(__xludf.DUMMYFUNCTION("""COMPUTED_VALUE"""),45601.64583333333)</f>
        <v>45601.64583</v>
      </c>
      <c r="B36" s="7">
        <f>IFERROR(__xludf.DUMMYFUNCTION("""COMPUTED_VALUE"""),429.1)</f>
        <v>429.1</v>
      </c>
      <c r="C36" s="7">
        <f>IFERROR(__xludf.DUMMYFUNCTION("""COMPUTED_VALUE"""),436.25)</f>
        <v>436.25</v>
      </c>
      <c r="D36" s="7">
        <f>IFERROR(__xludf.DUMMYFUNCTION("""COMPUTED_VALUE"""),427.0)</f>
        <v>427</v>
      </c>
      <c r="E36" s="7">
        <f>IFERROR(__xludf.DUMMYFUNCTION("""COMPUTED_VALUE"""),434.9)</f>
        <v>434.9</v>
      </c>
      <c r="F36" s="7">
        <f>IFERROR(__xludf.DUMMYFUNCTION("""COMPUTED_VALUE"""),1.0186343E7)</f>
        <v>10186343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f>IFERROR(__xludf.DUMMYFUNCTION("""COMPUTED_VALUE"""),45602.64583333333)</f>
        <v>45602.64583</v>
      </c>
      <c r="B37" s="7">
        <f>IFERROR(__xludf.DUMMYFUNCTION("""COMPUTED_VALUE"""),437.8)</f>
        <v>437.8</v>
      </c>
      <c r="C37" s="7">
        <f>IFERROR(__xludf.DUMMYFUNCTION("""COMPUTED_VALUE"""),438.9)</f>
        <v>438.9</v>
      </c>
      <c r="D37" s="7">
        <f>IFERROR(__xludf.DUMMYFUNCTION("""COMPUTED_VALUE"""),431.2)</f>
        <v>431.2</v>
      </c>
      <c r="E37" s="7">
        <f>IFERROR(__xludf.DUMMYFUNCTION("""COMPUTED_VALUE"""),435.8)</f>
        <v>435.8</v>
      </c>
      <c r="F37" s="7">
        <f>IFERROR(__xludf.DUMMYFUNCTION("""COMPUTED_VALUE"""),9130749.0)</f>
        <v>9130749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f>IFERROR(__xludf.DUMMYFUNCTION("""COMPUTED_VALUE"""),45603.64583333333)</f>
        <v>45603.64583</v>
      </c>
      <c r="B38" s="7">
        <f>IFERROR(__xludf.DUMMYFUNCTION("""COMPUTED_VALUE"""),437.8)</f>
        <v>437.8</v>
      </c>
      <c r="C38" s="7">
        <f>IFERROR(__xludf.DUMMYFUNCTION("""COMPUTED_VALUE"""),440.35)</f>
        <v>440.35</v>
      </c>
      <c r="D38" s="7">
        <f>IFERROR(__xludf.DUMMYFUNCTION("""COMPUTED_VALUE"""),434.65)</f>
        <v>434.65</v>
      </c>
      <c r="E38" s="7">
        <f>IFERROR(__xludf.DUMMYFUNCTION("""COMPUTED_VALUE"""),435.35)</f>
        <v>435.35</v>
      </c>
      <c r="F38" s="7">
        <f>IFERROR(__xludf.DUMMYFUNCTION("""COMPUTED_VALUE"""),5861077.0)</f>
        <v>5861077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f>IFERROR(__xludf.DUMMYFUNCTION("""COMPUTED_VALUE"""),45604.64583333333)</f>
        <v>45604.64583</v>
      </c>
      <c r="B39" s="7">
        <f>IFERROR(__xludf.DUMMYFUNCTION("""COMPUTED_VALUE"""),435.35)</f>
        <v>435.35</v>
      </c>
      <c r="C39" s="7">
        <f>IFERROR(__xludf.DUMMYFUNCTION("""COMPUTED_VALUE"""),436.0)</f>
        <v>436</v>
      </c>
      <c r="D39" s="7">
        <f>IFERROR(__xludf.DUMMYFUNCTION("""COMPUTED_VALUE"""),421.25)</f>
        <v>421.25</v>
      </c>
      <c r="E39" s="7">
        <f>IFERROR(__xludf.DUMMYFUNCTION("""COMPUTED_VALUE"""),424.05)</f>
        <v>424.05</v>
      </c>
      <c r="F39" s="7">
        <f>IFERROR(__xludf.DUMMYFUNCTION("""COMPUTED_VALUE"""),9934413.0)</f>
        <v>9934413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f>IFERROR(__xludf.DUMMYFUNCTION("""COMPUTED_VALUE"""),45607.64583333333)</f>
        <v>45607.64583</v>
      </c>
      <c r="B40" s="7">
        <f>IFERROR(__xludf.DUMMYFUNCTION("""COMPUTED_VALUE"""),423.0)</f>
        <v>423</v>
      </c>
      <c r="C40" s="7">
        <f>IFERROR(__xludf.DUMMYFUNCTION("""COMPUTED_VALUE"""),425.75)</f>
        <v>425.75</v>
      </c>
      <c r="D40" s="7">
        <f>IFERROR(__xludf.DUMMYFUNCTION("""COMPUTED_VALUE"""),417.35)</f>
        <v>417.35</v>
      </c>
      <c r="E40" s="7">
        <f>IFERROR(__xludf.DUMMYFUNCTION("""COMPUTED_VALUE"""),421.55)</f>
        <v>421.55</v>
      </c>
      <c r="F40" s="7">
        <f>IFERROR(__xludf.DUMMYFUNCTION("""COMPUTED_VALUE"""),7201246.0)</f>
        <v>7201246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f>IFERROR(__xludf.DUMMYFUNCTION("""COMPUTED_VALUE"""),45608.64583333333)</f>
        <v>45608.64583</v>
      </c>
      <c r="B41" s="7">
        <f>IFERROR(__xludf.DUMMYFUNCTION("""COMPUTED_VALUE"""),422.5)</f>
        <v>422.5</v>
      </c>
      <c r="C41" s="7">
        <f>IFERROR(__xludf.DUMMYFUNCTION("""COMPUTED_VALUE"""),424.8)</f>
        <v>424.8</v>
      </c>
      <c r="D41" s="7">
        <f>IFERROR(__xludf.DUMMYFUNCTION("""COMPUTED_VALUE"""),412.8)</f>
        <v>412.8</v>
      </c>
      <c r="E41" s="7">
        <f>IFERROR(__xludf.DUMMYFUNCTION("""COMPUTED_VALUE"""),414.05)</f>
        <v>414.05</v>
      </c>
      <c r="F41" s="7">
        <f>IFERROR(__xludf.DUMMYFUNCTION("""COMPUTED_VALUE"""),6564348.0)</f>
        <v>6564348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f>IFERROR(__xludf.DUMMYFUNCTION("""COMPUTED_VALUE"""),45609.64583333333)</f>
        <v>45609.64583</v>
      </c>
      <c r="B42" s="7">
        <f>IFERROR(__xludf.DUMMYFUNCTION("""COMPUTED_VALUE"""),414.0)</f>
        <v>414</v>
      </c>
      <c r="C42" s="7">
        <f>IFERROR(__xludf.DUMMYFUNCTION("""COMPUTED_VALUE"""),415.5)</f>
        <v>415.5</v>
      </c>
      <c r="D42" s="7">
        <f>IFERROR(__xludf.DUMMYFUNCTION("""COMPUTED_VALUE"""),405.7)</f>
        <v>405.7</v>
      </c>
      <c r="E42" s="7">
        <f>IFERROR(__xludf.DUMMYFUNCTION("""COMPUTED_VALUE"""),406.9)</f>
        <v>406.9</v>
      </c>
      <c r="F42" s="7">
        <f>IFERROR(__xludf.DUMMYFUNCTION("""COMPUTED_VALUE"""),7170870.0)</f>
        <v>7170870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f>IFERROR(__xludf.DUMMYFUNCTION("""COMPUTED_VALUE"""),45610.64583333333)</f>
        <v>45610.64583</v>
      </c>
      <c r="B43" s="7">
        <f>IFERROR(__xludf.DUMMYFUNCTION("""COMPUTED_VALUE"""),407.2)</f>
        <v>407.2</v>
      </c>
      <c r="C43" s="7">
        <f>IFERROR(__xludf.DUMMYFUNCTION("""COMPUTED_VALUE"""),413.35)</f>
        <v>413.35</v>
      </c>
      <c r="D43" s="7">
        <f>IFERROR(__xludf.DUMMYFUNCTION("""COMPUTED_VALUE"""),402.6)</f>
        <v>402.6</v>
      </c>
      <c r="E43" s="7">
        <f>IFERROR(__xludf.DUMMYFUNCTION("""COMPUTED_VALUE"""),409.75)</f>
        <v>409.75</v>
      </c>
      <c r="F43" s="7">
        <f>IFERROR(__xludf.DUMMYFUNCTION("""COMPUTED_VALUE"""),8776485.0)</f>
        <v>8776485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f>IFERROR(__xludf.DUMMYFUNCTION("""COMPUTED_VALUE"""),45614.64583333333)</f>
        <v>45614.64583</v>
      </c>
      <c r="B44" s="7">
        <f>IFERROR(__xludf.DUMMYFUNCTION("""COMPUTED_VALUE"""),413.95)</f>
        <v>413.95</v>
      </c>
      <c r="C44" s="7">
        <f>IFERROR(__xludf.DUMMYFUNCTION("""COMPUTED_VALUE"""),418.5)</f>
        <v>418.5</v>
      </c>
      <c r="D44" s="7">
        <f>IFERROR(__xludf.DUMMYFUNCTION("""COMPUTED_VALUE"""),411.0)</f>
        <v>411</v>
      </c>
      <c r="E44" s="7">
        <f>IFERROR(__xludf.DUMMYFUNCTION("""COMPUTED_VALUE"""),413.35)</f>
        <v>413.35</v>
      </c>
      <c r="F44" s="7">
        <f>IFERROR(__xludf.DUMMYFUNCTION("""COMPUTED_VALUE"""),7352509.0)</f>
        <v>7352509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f>IFERROR(__xludf.DUMMYFUNCTION("""COMPUTED_VALUE"""),45615.64583333333)</f>
        <v>45615.64583</v>
      </c>
      <c r="B45" s="7">
        <f>IFERROR(__xludf.DUMMYFUNCTION("""COMPUTED_VALUE"""),415.95)</f>
        <v>415.95</v>
      </c>
      <c r="C45" s="7">
        <f>IFERROR(__xludf.DUMMYFUNCTION("""COMPUTED_VALUE"""),422.0)</f>
        <v>422</v>
      </c>
      <c r="D45" s="7">
        <f>IFERROR(__xludf.DUMMYFUNCTION("""COMPUTED_VALUE"""),410.7)</f>
        <v>410.7</v>
      </c>
      <c r="E45" s="7">
        <f>IFERROR(__xludf.DUMMYFUNCTION("""COMPUTED_VALUE"""),412.25)</f>
        <v>412.25</v>
      </c>
      <c r="F45" s="7">
        <f>IFERROR(__xludf.DUMMYFUNCTION("""COMPUTED_VALUE"""),6291292.0)</f>
        <v>6291292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f>IFERROR(__xludf.DUMMYFUNCTION("""COMPUTED_VALUE"""),45617.64583333333)</f>
        <v>45617.64583</v>
      </c>
      <c r="B46" s="7">
        <f>IFERROR(__xludf.DUMMYFUNCTION("""COMPUTED_VALUE"""),413.05)</f>
        <v>413.05</v>
      </c>
      <c r="C46" s="7">
        <f>IFERROR(__xludf.DUMMYFUNCTION("""COMPUTED_VALUE"""),413.9)</f>
        <v>413.9</v>
      </c>
      <c r="D46" s="7">
        <f>IFERROR(__xludf.DUMMYFUNCTION("""COMPUTED_VALUE"""),404.15)</f>
        <v>404.15</v>
      </c>
      <c r="E46" s="7">
        <f>IFERROR(__xludf.DUMMYFUNCTION("""COMPUTED_VALUE"""),406.0)</f>
        <v>406</v>
      </c>
      <c r="F46" s="7">
        <f>IFERROR(__xludf.DUMMYFUNCTION("""COMPUTED_VALUE"""),1.4141967E7)</f>
        <v>14141967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f>IFERROR(__xludf.DUMMYFUNCTION("""COMPUTED_VALUE"""),45618.64583333333)</f>
        <v>45618.64583</v>
      </c>
      <c r="B47" s="7">
        <f>IFERROR(__xludf.DUMMYFUNCTION("""COMPUTED_VALUE"""),407.4)</f>
        <v>407.4</v>
      </c>
      <c r="C47" s="7">
        <f>IFERROR(__xludf.DUMMYFUNCTION("""COMPUTED_VALUE"""),415.75)</f>
        <v>415.75</v>
      </c>
      <c r="D47" s="7">
        <f>IFERROR(__xludf.DUMMYFUNCTION("""COMPUTED_VALUE"""),406.4)</f>
        <v>406.4</v>
      </c>
      <c r="E47" s="7">
        <f>IFERROR(__xludf.DUMMYFUNCTION("""COMPUTED_VALUE"""),414.05)</f>
        <v>414.05</v>
      </c>
      <c r="F47" s="7">
        <f>IFERROR(__xludf.DUMMYFUNCTION("""COMPUTED_VALUE"""),8155453.0)</f>
        <v>8155453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f>IFERROR(__xludf.DUMMYFUNCTION("""COMPUTED_VALUE"""),45621.64583333333)</f>
        <v>45621.64583</v>
      </c>
      <c r="B48" s="7">
        <f>IFERROR(__xludf.DUMMYFUNCTION("""COMPUTED_VALUE"""),421.0)</f>
        <v>421</v>
      </c>
      <c r="C48" s="7">
        <f>IFERROR(__xludf.DUMMYFUNCTION("""COMPUTED_VALUE"""),427.45)</f>
        <v>427.45</v>
      </c>
      <c r="D48" s="7">
        <f>IFERROR(__xludf.DUMMYFUNCTION("""COMPUTED_VALUE"""),415.7)</f>
        <v>415.7</v>
      </c>
      <c r="E48" s="7">
        <f>IFERROR(__xludf.DUMMYFUNCTION("""COMPUTED_VALUE"""),417.45)</f>
        <v>417.45</v>
      </c>
      <c r="F48" s="7">
        <f>IFERROR(__xludf.DUMMYFUNCTION("""COMPUTED_VALUE"""),1.0903727E7)</f>
        <v>10903727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f>IFERROR(__xludf.DUMMYFUNCTION("""COMPUTED_VALUE"""),45622.64583333333)</f>
        <v>45622.64583</v>
      </c>
      <c r="B49" s="7">
        <f>IFERROR(__xludf.DUMMYFUNCTION("""COMPUTED_VALUE"""),418.45)</f>
        <v>418.45</v>
      </c>
      <c r="C49" s="7">
        <f>IFERROR(__xludf.DUMMYFUNCTION("""COMPUTED_VALUE"""),420.0)</f>
        <v>420</v>
      </c>
      <c r="D49" s="7">
        <f>IFERROR(__xludf.DUMMYFUNCTION("""COMPUTED_VALUE"""),409.7)</f>
        <v>409.7</v>
      </c>
      <c r="E49" s="7">
        <f>IFERROR(__xludf.DUMMYFUNCTION("""COMPUTED_VALUE"""),411.5)</f>
        <v>411.5</v>
      </c>
      <c r="F49" s="7">
        <f>IFERROR(__xludf.DUMMYFUNCTION("""COMPUTED_VALUE"""),5798977.0)</f>
        <v>5798977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f>IFERROR(__xludf.DUMMYFUNCTION("""COMPUTED_VALUE"""),45623.64583333333)</f>
        <v>45623.64583</v>
      </c>
      <c r="B50" s="7">
        <f>IFERROR(__xludf.DUMMYFUNCTION("""COMPUTED_VALUE"""),420.0)</f>
        <v>420</v>
      </c>
      <c r="C50" s="7">
        <f>IFERROR(__xludf.DUMMYFUNCTION("""COMPUTED_VALUE"""),421.0)</f>
        <v>421</v>
      </c>
      <c r="D50" s="7">
        <f>IFERROR(__xludf.DUMMYFUNCTION("""COMPUTED_VALUE"""),412.7)</f>
        <v>412.7</v>
      </c>
      <c r="E50" s="7">
        <f>IFERROR(__xludf.DUMMYFUNCTION("""COMPUTED_VALUE"""),417.15)</f>
        <v>417.15</v>
      </c>
      <c r="F50" s="7">
        <f>IFERROR(__xludf.DUMMYFUNCTION("""COMPUTED_VALUE"""),9219932.0)</f>
        <v>9219932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f>IFERROR(__xludf.DUMMYFUNCTION("""COMPUTED_VALUE"""),45624.64583333333)</f>
        <v>45624.64583</v>
      </c>
      <c r="B51" s="7">
        <f>IFERROR(__xludf.DUMMYFUNCTION("""COMPUTED_VALUE"""),420.0)</f>
        <v>420</v>
      </c>
      <c r="C51" s="7">
        <f>IFERROR(__xludf.DUMMYFUNCTION("""COMPUTED_VALUE"""),424.9)</f>
        <v>424.9</v>
      </c>
      <c r="D51" s="7">
        <f>IFERROR(__xludf.DUMMYFUNCTION("""COMPUTED_VALUE"""),413.5)</f>
        <v>413.5</v>
      </c>
      <c r="E51" s="7">
        <f>IFERROR(__xludf.DUMMYFUNCTION("""COMPUTED_VALUE"""),415.2)</f>
        <v>415.2</v>
      </c>
      <c r="F51" s="7">
        <f>IFERROR(__xludf.DUMMYFUNCTION("""COMPUTED_VALUE"""),7788912.0)</f>
        <v>7788912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f>IFERROR(__xludf.DUMMYFUNCTION("""COMPUTED_VALUE"""),45625.64583333333)</f>
        <v>45625.64583</v>
      </c>
      <c r="B52" s="7">
        <f>IFERROR(__xludf.DUMMYFUNCTION("""COMPUTED_VALUE"""),415.3)</f>
        <v>415.3</v>
      </c>
      <c r="C52" s="7">
        <f>IFERROR(__xludf.DUMMYFUNCTION("""COMPUTED_VALUE"""),418.0)</f>
        <v>418</v>
      </c>
      <c r="D52" s="7">
        <f>IFERROR(__xludf.DUMMYFUNCTION("""COMPUTED_VALUE"""),411.0)</f>
        <v>411</v>
      </c>
      <c r="E52" s="7">
        <f>IFERROR(__xludf.DUMMYFUNCTION("""COMPUTED_VALUE"""),416.4)</f>
        <v>416.4</v>
      </c>
      <c r="F52" s="7">
        <f>IFERROR(__xludf.DUMMYFUNCTION("""COMPUTED_VALUE"""),7057742.0)</f>
        <v>7057742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f>IFERROR(__xludf.DUMMYFUNCTION("""COMPUTED_VALUE"""),45628.64583333333)</f>
        <v>45628.64583</v>
      </c>
      <c r="B53" s="7">
        <f>IFERROR(__xludf.DUMMYFUNCTION("""COMPUTED_VALUE"""),418.4)</f>
        <v>418.4</v>
      </c>
      <c r="C53" s="7">
        <f>IFERROR(__xludf.DUMMYFUNCTION("""COMPUTED_VALUE"""),423.4)</f>
        <v>423.4</v>
      </c>
      <c r="D53" s="7">
        <f>IFERROR(__xludf.DUMMYFUNCTION("""COMPUTED_VALUE"""),416.8)</f>
        <v>416.8</v>
      </c>
      <c r="E53" s="7">
        <f>IFERROR(__xludf.DUMMYFUNCTION("""COMPUTED_VALUE"""),421.7)</f>
        <v>421.7</v>
      </c>
      <c r="F53" s="7">
        <f>IFERROR(__xludf.DUMMYFUNCTION("""COMPUTED_VALUE"""),6404844.0)</f>
        <v>6404844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f>IFERROR(__xludf.DUMMYFUNCTION("""COMPUTED_VALUE"""),45629.64583333333)</f>
        <v>45629.64583</v>
      </c>
      <c r="B54" s="7">
        <f>IFERROR(__xludf.DUMMYFUNCTION("""COMPUTED_VALUE"""),425.0)</f>
        <v>425</v>
      </c>
      <c r="C54" s="7">
        <f>IFERROR(__xludf.DUMMYFUNCTION("""COMPUTED_VALUE"""),425.5)</f>
        <v>425.5</v>
      </c>
      <c r="D54" s="7">
        <f>IFERROR(__xludf.DUMMYFUNCTION("""COMPUTED_VALUE"""),419.35)</f>
        <v>419.35</v>
      </c>
      <c r="E54" s="7">
        <f>IFERROR(__xludf.DUMMYFUNCTION("""COMPUTED_VALUE"""),422.1)</f>
        <v>422.1</v>
      </c>
      <c r="F54" s="7">
        <f>IFERROR(__xludf.DUMMYFUNCTION("""COMPUTED_VALUE"""),7928558.0)</f>
        <v>7928558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f>IFERROR(__xludf.DUMMYFUNCTION("""COMPUTED_VALUE"""),45630.64583333333)</f>
        <v>45630.64583</v>
      </c>
      <c r="B55" s="7">
        <f>IFERROR(__xludf.DUMMYFUNCTION("""COMPUTED_VALUE"""),422.1)</f>
        <v>422.1</v>
      </c>
      <c r="C55" s="7">
        <f>IFERROR(__xludf.DUMMYFUNCTION("""COMPUTED_VALUE"""),425.9)</f>
        <v>425.9</v>
      </c>
      <c r="D55" s="7">
        <f>IFERROR(__xludf.DUMMYFUNCTION("""COMPUTED_VALUE"""),415.0)</f>
        <v>415</v>
      </c>
      <c r="E55" s="7">
        <f>IFERROR(__xludf.DUMMYFUNCTION("""COMPUTED_VALUE"""),416.65)</f>
        <v>416.65</v>
      </c>
      <c r="F55" s="7">
        <f>IFERROR(__xludf.DUMMYFUNCTION("""COMPUTED_VALUE"""),6836472.0)</f>
        <v>6836472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f>IFERROR(__xludf.DUMMYFUNCTION("""COMPUTED_VALUE"""),45631.64583333333)</f>
        <v>45631.64583</v>
      </c>
      <c r="B56" s="7">
        <f>IFERROR(__xludf.DUMMYFUNCTION("""COMPUTED_VALUE"""),418.15)</f>
        <v>418.15</v>
      </c>
      <c r="C56" s="7">
        <f>IFERROR(__xludf.DUMMYFUNCTION("""COMPUTED_VALUE"""),421.25)</f>
        <v>421.25</v>
      </c>
      <c r="D56" s="7">
        <f>IFERROR(__xludf.DUMMYFUNCTION("""COMPUTED_VALUE"""),412.0)</f>
        <v>412</v>
      </c>
      <c r="E56" s="7">
        <f>IFERROR(__xludf.DUMMYFUNCTION("""COMPUTED_VALUE"""),418.4)</f>
        <v>418.4</v>
      </c>
      <c r="F56" s="7">
        <f>IFERROR(__xludf.DUMMYFUNCTION("""COMPUTED_VALUE"""),9500273.0)</f>
        <v>9500273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f>IFERROR(__xludf.DUMMYFUNCTION("""COMPUTED_VALUE"""),45632.64583333333)</f>
        <v>45632.64583</v>
      </c>
      <c r="B57" s="7">
        <f>IFERROR(__xludf.DUMMYFUNCTION("""COMPUTED_VALUE"""),420.0)</f>
        <v>420</v>
      </c>
      <c r="C57" s="7">
        <f>IFERROR(__xludf.DUMMYFUNCTION("""COMPUTED_VALUE"""),421.5)</f>
        <v>421.5</v>
      </c>
      <c r="D57" s="7">
        <f>IFERROR(__xludf.DUMMYFUNCTION("""COMPUTED_VALUE"""),416.4)</f>
        <v>416.4</v>
      </c>
      <c r="E57" s="7">
        <f>IFERROR(__xludf.DUMMYFUNCTION("""COMPUTED_VALUE"""),417.15)</f>
        <v>417.15</v>
      </c>
      <c r="F57" s="7">
        <f>IFERROR(__xludf.DUMMYFUNCTION("""COMPUTED_VALUE"""),4252732.0)</f>
        <v>4252732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f>IFERROR(__xludf.DUMMYFUNCTION("""COMPUTED_VALUE"""),45635.64583333333)</f>
        <v>45635.64583</v>
      </c>
      <c r="B58" s="7">
        <f>IFERROR(__xludf.DUMMYFUNCTION("""COMPUTED_VALUE"""),418.0)</f>
        <v>418</v>
      </c>
      <c r="C58" s="7">
        <f>IFERROR(__xludf.DUMMYFUNCTION("""COMPUTED_VALUE"""),420.95)</f>
        <v>420.95</v>
      </c>
      <c r="D58" s="7">
        <f>IFERROR(__xludf.DUMMYFUNCTION("""COMPUTED_VALUE"""),412.5)</f>
        <v>412.5</v>
      </c>
      <c r="E58" s="7">
        <f>IFERROR(__xludf.DUMMYFUNCTION("""COMPUTED_VALUE"""),414.0)</f>
        <v>414</v>
      </c>
      <c r="F58" s="7">
        <f>IFERROR(__xludf.DUMMYFUNCTION("""COMPUTED_VALUE"""),6662023.0)</f>
        <v>6662023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f>IFERROR(__xludf.DUMMYFUNCTION("""COMPUTED_VALUE"""),45636.64583333333)</f>
        <v>45636.64583</v>
      </c>
      <c r="B59" s="7">
        <f>IFERROR(__xludf.DUMMYFUNCTION("""COMPUTED_VALUE"""),415.5)</f>
        <v>415.5</v>
      </c>
      <c r="C59" s="7">
        <f>IFERROR(__xludf.DUMMYFUNCTION("""COMPUTED_VALUE"""),417.2)</f>
        <v>417.2</v>
      </c>
      <c r="D59" s="7">
        <f>IFERROR(__xludf.DUMMYFUNCTION("""COMPUTED_VALUE"""),411.5)</f>
        <v>411.5</v>
      </c>
      <c r="E59" s="7">
        <f>IFERROR(__xludf.DUMMYFUNCTION("""COMPUTED_VALUE"""),414.05)</f>
        <v>414.05</v>
      </c>
      <c r="F59" s="7">
        <f>IFERROR(__xludf.DUMMYFUNCTION("""COMPUTED_VALUE"""),6035289.0)</f>
        <v>6035289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f>IFERROR(__xludf.DUMMYFUNCTION("""COMPUTED_VALUE"""),45637.64583333333)</f>
        <v>45637.64583</v>
      </c>
      <c r="B60" s="7">
        <f>IFERROR(__xludf.DUMMYFUNCTION("""COMPUTED_VALUE"""),416.0)</f>
        <v>416</v>
      </c>
      <c r="C60" s="7">
        <f>IFERROR(__xludf.DUMMYFUNCTION("""COMPUTED_VALUE"""),419.65)</f>
        <v>419.65</v>
      </c>
      <c r="D60" s="7">
        <f>IFERROR(__xludf.DUMMYFUNCTION("""COMPUTED_VALUE"""),415.55)</f>
        <v>415.55</v>
      </c>
      <c r="E60" s="7">
        <f>IFERROR(__xludf.DUMMYFUNCTION("""COMPUTED_VALUE"""),416.95)</f>
        <v>416.95</v>
      </c>
      <c r="F60" s="7">
        <f>IFERROR(__xludf.DUMMYFUNCTION("""COMPUTED_VALUE"""),5353413.0)</f>
        <v>5353413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f>IFERROR(__xludf.DUMMYFUNCTION("""COMPUTED_VALUE"""),45638.64583333333)</f>
        <v>45638.64583</v>
      </c>
      <c r="B61" s="7">
        <f>IFERROR(__xludf.DUMMYFUNCTION("""COMPUTED_VALUE"""),416.5)</f>
        <v>416.5</v>
      </c>
      <c r="C61" s="7">
        <f>IFERROR(__xludf.DUMMYFUNCTION("""COMPUTED_VALUE"""),417.85)</f>
        <v>417.85</v>
      </c>
      <c r="D61" s="7">
        <f>IFERROR(__xludf.DUMMYFUNCTION("""COMPUTED_VALUE"""),407.1)</f>
        <v>407.1</v>
      </c>
      <c r="E61" s="7">
        <f>IFERROR(__xludf.DUMMYFUNCTION("""COMPUTED_VALUE"""),409.1)</f>
        <v>409.1</v>
      </c>
      <c r="F61" s="7">
        <f>IFERROR(__xludf.DUMMYFUNCTION("""COMPUTED_VALUE"""),9409378.0)</f>
        <v>9409378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f>IFERROR(__xludf.DUMMYFUNCTION("""COMPUTED_VALUE"""),45639.64583333333)</f>
        <v>45639.64583</v>
      </c>
      <c r="B62" s="7">
        <f>IFERROR(__xludf.DUMMYFUNCTION("""COMPUTED_VALUE"""),409.1)</f>
        <v>409.1</v>
      </c>
      <c r="C62" s="7">
        <f>IFERROR(__xludf.DUMMYFUNCTION("""COMPUTED_VALUE"""),411.25)</f>
        <v>411.25</v>
      </c>
      <c r="D62" s="7">
        <f>IFERROR(__xludf.DUMMYFUNCTION("""COMPUTED_VALUE"""),402.0)</f>
        <v>402</v>
      </c>
      <c r="E62" s="7">
        <f>IFERROR(__xludf.DUMMYFUNCTION("""COMPUTED_VALUE"""),410.3)</f>
        <v>410.3</v>
      </c>
      <c r="F62" s="7">
        <f>IFERROR(__xludf.DUMMYFUNCTION("""COMPUTED_VALUE"""),9439175.0)</f>
        <v>9439175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f>IFERROR(__xludf.DUMMYFUNCTION("""COMPUTED_VALUE"""),45642.64583333333)</f>
        <v>45642.64583</v>
      </c>
      <c r="B63" s="7">
        <f>IFERROR(__xludf.DUMMYFUNCTION("""COMPUTED_VALUE"""),410.5)</f>
        <v>410.5</v>
      </c>
      <c r="C63" s="7">
        <f>IFERROR(__xludf.DUMMYFUNCTION("""COMPUTED_VALUE"""),412.85)</f>
        <v>412.85</v>
      </c>
      <c r="D63" s="7">
        <f>IFERROR(__xludf.DUMMYFUNCTION("""COMPUTED_VALUE"""),406.5)</f>
        <v>406.5</v>
      </c>
      <c r="E63" s="7">
        <f>IFERROR(__xludf.DUMMYFUNCTION("""COMPUTED_VALUE"""),410.45)</f>
        <v>410.45</v>
      </c>
      <c r="F63" s="7">
        <f>IFERROR(__xludf.DUMMYFUNCTION("""COMPUTED_VALUE"""),5434635.0)</f>
        <v>5434635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f>IFERROR(__xludf.DUMMYFUNCTION("""COMPUTED_VALUE"""),45643.64583333333)</f>
        <v>45643.64583</v>
      </c>
      <c r="B64" s="7">
        <f>IFERROR(__xludf.DUMMYFUNCTION("""COMPUTED_VALUE"""),410.45)</f>
        <v>410.45</v>
      </c>
      <c r="C64" s="7">
        <f>IFERROR(__xludf.DUMMYFUNCTION("""COMPUTED_VALUE"""),410.95)</f>
        <v>410.95</v>
      </c>
      <c r="D64" s="7">
        <f>IFERROR(__xludf.DUMMYFUNCTION("""COMPUTED_VALUE"""),402.0)</f>
        <v>402</v>
      </c>
      <c r="E64" s="7">
        <f>IFERROR(__xludf.DUMMYFUNCTION("""COMPUTED_VALUE"""),402.9)</f>
        <v>402.9</v>
      </c>
      <c r="F64" s="7">
        <f>IFERROR(__xludf.DUMMYFUNCTION("""COMPUTED_VALUE"""),5070262.0)</f>
        <v>5070262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f>IFERROR(__xludf.DUMMYFUNCTION("""COMPUTED_VALUE"""),45644.64583333333)</f>
        <v>45644.64583</v>
      </c>
      <c r="B65" s="7">
        <f>IFERROR(__xludf.DUMMYFUNCTION("""COMPUTED_VALUE"""),403.5)</f>
        <v>403.5</v>
      </c>
      <c r="C65" s="7">
        <f>IFERROR(__xludf.DUMMYFUNCTION("""COMPUTED_VALUE"""),404.8)</f>
        <v>404.8</v>
      </c>
      <c r="D65" s="7">
        <f>IFERROR(__xludf.DUMMYFUNCTION("""COMPUTED_VALUE"""),394.55)</f>
        <v>394.55</v>
      </c>
      <c r="E65" s="7">
        <f>IFERROR(__xludf.DUMMYFUNCTION("""COMPUTED_VALUE"""),395.8)</f>
        <v>395.8</v>
      </c>
      <c r="F65" s="7">
        <f>IFERROR(__xludf.DUMMYFUNCTION("""COMPUTED_VALUE"""),7176597.0)</f>
        <v>7176597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f>IFERROR(__xludf.DUMMYFUNCTION("""COMPUTED_VALUE"""),45645.64583333333)</f>
        <v>45645.64583</v>
      </c>
      <c r="B66" s="7">
        <f>IFERROR(__xludf.DUMMYFUNCTION("""COMPUTED_VALUE"""),390.95)</f>
        <v>390.95</v>
      </c>
      <c r="C66" s="7">
        <f>IFERROR(__xludf.DUMMYFUNCTION("""COMPUTED_VALUE"""),394.5)</f>
        <v>394.5</v>
      </c>
      <c r="D66" s="7">
        <f>IFERROR(__xludf.DUMMYFUNCTION("""COMPUTED_VALUE"""),387.0)</f>
        <v>387</v>
      </c>
      <c r="E66" s="7">
        <f>IFERROR(__xludf.DUMMYFUNCTION("""COMPUTED_VALUE"""),391.95)</f>
        <v>391.95</v>
      </c>
      <c r="F66" s="7">
        <f>IFERROR(__xludf.DUMMYFUNCTION("""COMPUTED_VALUE"""),5745829.0)</f>
        <v>5745829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f>IFERROR(__xludf.DUMMYFUNCTION("""COMPUTED_VALUE"""),45646.64583333333)</f>
        <v>45646.64583</v>
      </c>
      <c r="B67" s="7">
        <f>IFERROR(__xludf.DUMMYFUNCTION("""COMPUTED_VALUE"""),393.0)</f>
        <v>393</v>
      </c>
      <c r="C67" s="7">
        <f>IFERROR(__xludf.DUMMYFUNCTION("""COMPUTED_VALUE"""),393.7)</f>
        <v>393.7</v>
      </c>
      <c r="D67" s="7">
        <f>IFERROR(__xludf.DUMMYFUNCTION("""COMPUTED_VALUE"""),380.5)</f>
        <v>380.5</v>
      </c>
      <c r="E67" s="7">
        <f>IFERROR(__xludf.DUMMYFUNCTION("""COMPUTED_VALUE"""),382.0)</f>
        <v>382</v>
      </c>
      <c r="F67" s="7">
        <f>IFERROR(__xludf.DUMMYFUNCTION("""COMPUTED_VALUE"""),7923854.0)</f>
        <v>7923854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f>IFERROR(__xludf.DUMMYFUNCTION("""COMPUTED_VALUE"""),45649.64583333333)</f>
        <v>45649.64583</v>
      </c>
      <c r="B68" s="7">
        <f>IFERROR(__xludf.DUMMYFUNCTION("""COMPUTED_VALUE"""),386.0)</f>
        <v>386</v>
      </c>
      <c r="C68" s="7">
        <f>IFERROR(__xludf.DUMMYFUNCTION("""COMPUTED_VALUE"""),388.6)</f>
        <v>388.6</v>
      </c>
      <c r="D68" s="7">
        <f>IFERROR(__xludf.DUMMYFUNCTION("""COMPUTED_VALUE"""),382.4)</f>
        <v>382.4</v>
      </c>
      <c r="E68" s="7">
        <f>IFERROR(__xludf.DUMMYFUNCTION("""COMPUTED_VALUE"""),382.95)</f>
        <v>382.95</v>
      </c>
      <c r="F68" s="7">
        <f>IFERROR(__xludf.DUMMYFUNCTION("""COMPUTED_VALUE"""),5163415.0)</f>
        <v>5163415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f>IFERROR(__xludf.DUMMYFUNCTION("""COMPUTED_VALUE"""),45650.64583333333)</f>
        <v>45650.64583</v>
      </c>
      <c r="B69" s="7">
        <f>IFERROR(__xludf.DUMMYFUNCTION("""COMPUTED_VALUE"""),384.85)</f>
        <v>384.85</v>
      </c>
      <c r="C69" s="7">
        <f>IFERROR(__xludf.DUMMYFUNCTION("""COMPUTED_VALUE"""),386.75)</f>
        <v>386.75</v>
      </c>
      <c r="D69" s="7">
        <f>IFERROR(__xludf.DUMMYFUNCTION("""COMPUTED_VALUE"""),381.4)</f>
        <v>381.4</v>
      </c>
      <c r="E69" s="7">
        <f>IFERROR(__xludf.DUMMYFUNCTION("""COMPUTED_VALUE"""),384.5)</f>
        <v>384.5</v>
      </c>
      <c r="F69" s="7">
        <f>IFERROR(__xludf.DUMMYFUNCTION("""COMPUTED_VALUE"""),4242999.0)</f>
        <v>4242999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f>IFERROR(__xludf.DUMMYFUNCTION("""COMPUTED_VALUE"""),45652.64583333333)</f>
        <v>45652.64583</v>
      </c>
      <c r="B70" s="7">
        <f>IFERROR(__xludf.DUMMYFUNCTION("""COMPUTED_VALUE"""),386.4)</f>
        <v>386.4</v>
      </c>
      <c r="C70" s="7">
        <f>IFERROR(__xludf.DUMMYFUNCTION("""COMPUTED_VALUE"""),390.3)</f>
        <v>390.3</v>
      </c>
      <c r="D70" s="7">
        <f>IFERROR(__xludf.DUMMYFUNCTION("""COMPUTED_VALUE"""),385.05)</f>
        <v>385.05</v>
      </c>
      <c r="E70" s="7">
        <f>IFERROR(__xludf.DUMMYFUNCTION("""COMPUTED_VALUE"""),386.6)</f>
        <v>386.6</v>
      </c>
      <c r="F70" s="7">
        <f>IFERROR(__xludf.DUMMYFUNCTION("""COMPUTED_VALUE"""),4190081.0)</f>
        <v>4190081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f>IFERROR(__xludf.DUMMYFUNCTION("""COMPUTED_VALUE"""),45653.64583333333)</f>
        <v>45653.64583</v>
      </c>
      <c r="B71" s="7">
        <f>IFERROR(__xludf.DUMMYFUNCTION("""COMPUTED_VALUE"""),387.5)</f>
        <v>387.5</v>
      </c>
      <c r="C71" s="7">
        <f>IFERROR(__xludf.DUMMYFUNCTION("""COMPUTED_VALUE"""),388.45)</f>
        <v>388.45</v>
      </c>
      <c r="D71" s="7">
        <f>IFERROR(__xludf.DUMMYFUNCTION("""COMPUTED_VALUE"""),379.55)</f>
        <v>379.55</v>
      </c>
      <c r="E71" s="7">
        <f>IFERROR(__xludf.DUMMYFUNCTION("""COMPUTED_VALUE"""),380.5)</f>
        <v>380.5</v>
      </c>
      <c r="F71" s="7">
        <f>IFERROR(__xludf.DUMMYFUNCTION("""COMPUTED_VALUE"""),5909271.0)</f>
        <v>5909271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f>IFERROR(__xludf.DUMMYFUNCTION("""COMPUTED_VALUE"""),45656.64583333333)</f>
        <v>45656.64583</v>
      </c>
      <c r="B72" s="7">
        <f>IFERROR(__xludf.DUMMYFUNCTION("""COMPUTED_VALUE"""),380.5)</f>
        <v>380.5</v>
      </c>
      <c r="C72" s="7">
        <f>IFERROR(__xludf.DUMMYFUNCTION("""COMPUTED_VALUE"""),382.3)</f>
        <v>382.3</v>
      </c>
      <c r="D72" s="7">
        <f>IFERROR(__xludf.DUMMYFUNCTION("""COMPUTED_VALUE"""),375.7)</f>
        <v>375.7</v>
      </c>
      <c r="E72" s="7">
        <f>IFERROR(__xludf.DUMMYFUNCTION("""COMPUTED_VALUE"""),377.9)</f>
        <v>377.9</v>
      </c>
      <c r="F72" s="7">
        <f>IFERROR(__xludf.DUMMYFUNCTION("""COMPUTED_VALUE"""),2.2328728E7)</f>
        <v>22328728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f>IFERROR(__xludf.DUMMYFUNCTION("""COMPUTED_VALUE"""),45657.64583333333)</f>
        <v>45657.64583</v>
      </c>
      <c r="B73" s="7">
        <f>IFERROR(__xludf.DUMMYFUNCTION("""COMPUTED_VALUE"""),377.9)</f>
        <v>377.9</v>
      </c>
      <c r="C73" s="7">
        <f>IFERROR(__xludf.DUMMYFUNCTION("""COMPUTED_VALUE"""),384.7)</f>
        <v>384.7</v>
      </c>
      <c r="D73" s="7">
        <f>IFERROR(__xludf.DUMMYFUNCTION("""COMPUTED_VALUE"""),376.1)</f>
        <v>376.1</v>
      </c>
      <c r="E73" s="7">
        <f>IFERROR(__xludf.DUMMYFUNCTION("""COMPUTED_VALUE"""),384.15)</f>
        <v>384.15</v>
      </c>
      <c r="F73" s="7">
        <f>IFERROR(__xludf.DUMMYFUNCTION("""COMPUTED_VALUE"""),7686615.0)</f>
        <v>7686615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f>IFERROR(__xludf.DUMMYFUNCTION("""COMPUTED_VALUE"""),45658.64583333333)</f>
        <v>45658.64583</v>
      </c>
      <c r="B74" s="7">
        <f>IFERROR(__xludf.DUMMYFUNCTION("""COMPUTED_VALUE"""),383.55)</f>
        <v>383.55</v>
      </c>
      <c r="C74" s="7">
        <f>IFERROR(__xludf.DUMMYFUNCTION("""COMPUTED_VALUE"""),388.15)</f>
        <v>388.15</v>
      </c>
      <c r="D74" s="7">
        <f>IFERROR(__xludf.DUMMYFUNCTION("""COMPUTED_VALUE"""),382.5)</f>
        <v>382.5</v>
      </c>
      <c r="E74" s="7">
        <f>IFERROR(__xludf.DUMMYFUNCTION("""COMPUTED_VALUE"""),386.4)</f>
        <v>386.4</v>
      </c>
      <c r="F74" s="7">
        <f>IFERROR(__xludf.DUMMYFUNCTION("""COMPUTED_VALUE"""),3584876.0)</f>
        <v>3584876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f>IFERROR(__xludf.DUMMYFUNCTION("""COMPUTED_VALUE"""),45659.64583333333)</f>
        <v>45659.64583</v>
      </c>
      <c r="B75" s="7">
        <f>IFERROR(__xludf.DUMMYFUNCTION("""COMPUTED_VALUE"""),388.4)</f>
        <v>388.4</v>
      </c>
      <c r="C75" s="7">
        <f>IFERROR(__xludf.DUMMYFUNCTION("""COMPUTED_VALUE"""),393.95)</f>
        <v>393.95</v>
      </c>
      <c r="D75" s="7">
        <f>IFERROR(__xludf.DUMMYFUNCTION("""COMPUTED_VALUE"""),384.05)</f>
        <v>384.05</v>
      </c>
      <c r="E75" s="7">
        <f>IFERROR(__xludf.DUMMYFUNCTION("""COMPUTED_VALUE"""),392.95)</f>
        <v>392.95</v>
      </c>
      <c r="F75" s="7">
        <f>IFERROR(__xludf.DUMMYFUNCTION("""COMPUTED_VALUE"""),7538972.0)</f>
        <v>7538972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f>IFERROR(__xludf.DUMMYFUNCTION("""COMPUTED_VALUE"""),45660.64583333333)</f>
        <v>45660.64583</v>
      </c>
      <c r="B76" s="7">
        <f>IFERROR(__xludf.DUMMYFUNCTION("""COMPUTED_VALUE"""),393.0)</f>
        <v>393</v>
      </c>
      <c r="C76" s="7">
        <f>IFERROR(__xludf.DUMMYFUNCTION("""COMPUTED_VALUE"""),399.3)</f>
        <v>399.3</v>
      </c>
      <c r="D76" s="7">
        <f>IFERROR(__xludf.DUMMYFUNCTION("""COMPUTED_VALUE"""),389.5)</f>
        <v>389.5</v>
      </c>
      <c r="E76" s="7">
        <f>IFERROR(__xludf.DUMMYFUNCTION("""COMPUTED_VALUE"""),393.65)</f>
        <v>393.65</v>
      </c>
      <c r="F76" s="7">
        <f>IFERROR(__xludf.DUMMYFUNCTION("""COMPUTED_VALUE"""),7122319.0)</f>
        <v>7122319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f>IFERROR(__xludf.DUMMYFUNCTION("""COMPUTED_VALUE"""),45663.64583333333)</f>
        <v>45663.64583</v>
      </c>
      <c r="B77" s="7">
        <f>IFERROR(__xludf.DUMMYFUNCTION("""COMPUTED_VALUE"""),394.05)</f>
        <v>394.05</v>
      </c>
      <c r="C77" s="7">
        <f>IFERROR(__xludf.DUMMYFUNCTION("""COMPUTED_VALUE"""),394.05)</f>
        <v>394.05</v>
      </c>
      <c r="D77" s="7">
        <f>IFERROR(__xludf.DUMMYFUNCTION("""COMPUTED_VALUE"""),377.15)</f>
        <v>377.15</v>
      </c>
      <c r="E77" s="7">
        <f>IFERROR(__xludf.DUMMYFUNCTION("""COMPUTED_VALUE"""),378.75)</f>
        <v>378.75</v>
      </c>
      <c r="F77" s="7">
        <f>IFERROR(__xludf.DUMMYFUNCTION("""COMPUTED_VALUE"""),8774141.0)</f>
        <v>8774141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f>IFERROR(__xludf.DUMMYFUNCTION("""COMPUTED_VALUE"""),45664.64583333333)</f>
        <v>45664.64583</v>
      </c>
      <c r="B78" s="7">
        <f>IFERROR(__xludf.DUMMYFUNCTION("""COMPUTED_VALUE"""),380.55)</f>
        <v>380.55</v>
      </c>
      <c r="C78" s="7">
        <f>IFERROR(__xludf.DUMMYFUNCTION("""COMPUTED_VALUE"""),384.25)</f>
        <v>384.25</v>
      </c>
      <c r="D78" s="7">
        <f>IFERROR(__xludf.DUMMYFUNCTION("""COMPUTED_VALUE"""),376.5)</f>
        <v>376.5</v>
      </c>
      <c r="E78" s="7">
        <f>IFERROR(__xludf.DUMMYFUNCTION("""COMPUTED_VALUE"""),379.8)</f>
        <v>379.8</v>
      </c>
      <c r="F78" s="7">
        <f>IFERROR(__xludf.DUMMYFUNCTION("""COMPUTED_VALUE"""),6542121.0)</f>
        <v>6542121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f>IFERROR(__xludf.DUMMYFUNCTION("""COMPUTED_VALUE"""),45665.64583333333)</f>
        <v>45665.64583</v>
      </c>
      <c r="B79" s="7">
        <f>IFERROR(__xludf.DUMMYFUNCTION("""COMPUTED_VALUE"""),380.05)</f>
        <v>380.05</v>
      </c>
      <c r="C79" s="7">
        <f>IFERROR(__xludf.DUMMYFUNCTION("""COMPUTED_VALUE"""),382.05)</f>
        <v>382.05</v>
      </c>
      <c r="D79" s="7">
        <f>IFERROR(__xludf.DUMMYFUNCTION("""COMPUTED_VALUE"""),376.0)</f>
        <v>376</v>
      </c>
      <c r="E79" s="7">
        <f>IFERROR(__xludf.DUMMYFUNCTION("""COMPUTED_VALUE"""),380.35)</f>
        <v>380.35</v>
      </c>
      <c r="F79" s="7">
        <f>IFERROR(__xludf.DUMMYFUNCTION("""COMPUTED_VALUE"""),7407778.0)</f>
        <v>7407778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f>IFERROR(__xludf.DUMMYFUNCTION("""COMPUTED_VALUE"""),45666.64583333333)</f>
        <v>45666.64583</v>
      </c>
      <c r="B80" s="7">
        <f>IFERROR(__xludf.DUMMYFUNCTION("""COMPUTED_VALUE"""),381.55)</f>
        <v>381.55</v>
      </c>
      <c r="C80" s="7">
        <f>IFERROR(__xludf.DUMMYFUNCTION("""COMPUTED_VALUE"""),381.55)</f>
        <v>381.55</v>
      </c>
      <c r="D80" s="7">
        <f>IFERROR(__xludf.DUMMYFUNCTION("""COMPUTED_VALUE"""),370.8)</f>
        <v>370.8</v>
      </c>
      <c r="E80" s="7">
        <f>IFERROR(__xludf.DUMMYFUNCTION("""COMPUTED_VALUE"""),372.2)</f>
        <v>372.2</v>
      </c>
      <c r="F80" s="7">
        <f>IFERROR(__xludf.DUMMYFUNCTION("""COMPUTED_VALUE"""),6247612.0)</f>
        <v>6247612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f>IFERROR(__xludf.DUMMYFUNCTION("""COMPUTED_VALUE"""),45667.64583333333)</f>
        <v>45667.64583</v>
      </c>
      <c r="B81" s="7">
        <f>IFERROR(__xludf.DUMMYFUNCTION("""COMPUTED_VALUE"""),371.4)</f>
        <v>371.4</v>
      </c>
      <c r="C81" s="7">
        <f>IFERROR(__xludf.DUMMYFUNCTION("""COMPUTED_VALUE"""),373.2)</f>
        <v>373.2</v>
      </c>
      <c r="D81" s="7">
        <f>IFERROR(__xludf.DUMMYFUNCTION("""COMPUTED_VALUE"""),364.7)</f>
        <v>364.7</v>
      </c>
      <c r="E81" s="7">
        <f>IFERROR(__xludf.DUMMYFUNCTION("""COMPUTED_VALUE"""),368.5)</f>
        <v>368.5</v>
      </c>
      <c r="F81" s="7">
        <f>IFERROR(__xludf.DUMMYFUNCTION("""COMPUTED_VALUE"""),4893721.0)</f>
        <v>4893721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f>IFERROR(__xludf.DUMMYFUNCTION("""COMPUTED_VALUE"""),45670.64583333333)</f>
        <v>45670.64583</v>
      </c>
      <c r="B82" s="7">
        <f>IFERROR(__xludf.DUMMYFUNCTION("""COMPUTED_VALUE"""),366.1)</f>
        <v>366.1</v>
      </c>
      <c r="C82" s="7">
        <f>IFERROR(__xludf.DUMMYFUNCTION("""COMPUTED_VALUE"""),370.4)</f>
        <v>370.4</v>
      </c>
      <c r="D82" s="7">
        <f>IFERROR(__xludf.DUMMYFUNCTION("""COMPUTED_VALUE"""),361.25)</f>
        <v>361.25</v>
      </c>
      <c r="E82" s="7">
        <f>IFERROR(__xludf.DUMMYFUNCTION("""COMPUTED_VALUE"""),362.9)</f>
        <v>362.9</v>
      </c>
      <c r="F82" s="7">
        <f>IFERROR(__xludf.DUMMYFUNCTION("""COMPUTED_VALUE"""),8661589.0)</f>
        <v>8661589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f>IFERROR(__xludf.DUMMYFUNCTION("""COMPUTED_VALUE"""),45671.64583333333)</f>
        <v>45671.64583</v>
      </c>
      <c r="B83" s="7">
        <f>IFERROR(__xludf.DUMMYFUNCTION("""COMPUTED_VALUE"""),365.0)</f>
        <v>365</v>
      </c>
      <c r="C83" s="7">
        <f>IFERROR(__xludf.DUMMYFUNCTION("""COMPUTED_VALUE"""),374.0)</f>
        <v>374</v>
      </c>
      <c r="D83" s="7">
        <f>IFERROR(__xludf.DUMMYFUNCTION("""COMPUTED_VALUE"""),363.0)</f>
        <v>363</v>
      </c>
      <c r="E83" s="7">
        <f>IFERROR(__xludf.DUMMYFUNCTION("""COMPUTED_VALUE"""),369.25)</f>
        <v>369.25</v>
      </c>
      <c r="F83" s="7">
        <f>IFERROR(__xludf.DUMMYFUNCTION("""COMPUTED_VALUE"""),5698113.0)</f>
        <v>5698113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f>IFERROR(__xludf.DUMMYFUNCTION("""COMPUTED_VALUE"""),45672.64583333333)</f>
        <v>45672.64583</v>
      </c>
      <c r="B84" s="7">
        <f>IFERROR(__xludf.DUMMYFUNCTION("""COMPUTED_VALUE"""),371.9)</f>
        <v>371.9</v>
      </c>
      <c r="C84" s="7">
        <f>IFERROR(__xludf.DUMMYFUNCTION("""COMPUTED_VALUE"""),381.45)</f>
        <v>381.45</v>
      </c>
      <c r="D84" s="7">
        <f>IFERROR(__xludf.DUMMYFUNCTION("""COMPUTED_VALUE"""),369.3)</f>
        <v>369.3</v>
      </c>
      <c r="E84" s="7">
        <f>IFERROR(__xludf.DUMMYFUNCTION("""COMPUTED_VALUE"""),374.6)</f>
        <v>374.6</v>
      </c>
      <c r="F84" s="7">
        <f>IFERROR(__xludf.DUMMYFUNCTION("""COMPUTED_VALUE"""),1.1117714E7)</f>
        <v>11117714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f>IFERROR(__xludf.DUMMYFUNCTION("""COMPUTED_VALUE"""),45673.64583333333)</f>
        <v>45673.64583</v>
      </c>
      <c r="B85" s="7">
        <f>IFERROR(__xludf.DUMMYFUNCTION("""COMPUTED_VALUE"""),378.45)</f>
        <v>378.45</v>
      </c>
      <c r="C85" s="7">
        <f>IFERROR(__xludf.DUMMYFUNCTION("""COMPUTED_VALUE"""),381.5)</f>
        <v>381.5</v>
      </c>
      <c r="D85" s="7">
        <f>IFERROR(__xludf.DUMMYFUNCTION("""COMPUTED_VALUE"""),374.8)</f>
        <v>374.8</v>
      </c>
      <c r="E85" s="7">
        <f>IFERROR(__xludf.DUMMYFUNCTION("""COMPUTED_VALUE"""),378.85)</f>
        <v>378.85</v>
      </c>
      <c r="F85" s="7">
        <f>IFERROR(__xludf.DUMMYFUNCTION("""COMPUTED_VALUE"""),6923722.0)</f>
        <v>6923722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f>IFERROR(__xludf.DUMMYFUNCTION("""COMPUTED_VALUE"""),45674.64583333333)</f>
        <v>45674.64583</v>
      </c>
      <c r="B86" s="7">
        <f>IFERROR(__xludf.DUMMYFUNCTION("""COMPUTED_VALUE"""),380.0)</f>
        <v>380</v>
      </c>
      <c r="C86" s="7">
        <f>IFERROR(__xludf.DUMMYFUNCTION("""COMPUTED_VALUE"""),389.3)</f>
        <v>389.3</v>
      </c>
      <c r="D86" s="7">
        <f>IFERROR(__xludf.DUMMYFUNCTION("""COMPUTED_VALUE"""),378.55)</f>
        <v>378.55</v>
      </c>
      <c r="E86" s="7">
        <f>IFERROR(__xludf.DUMMYFUNCTION("""COMPUTED_VALUE"""),387.65)</f>
        <v>387.65</v>
      </c>
      <c r="F86" s="7">
        <f>IFERROR(__xludf.DUMMYFUNCTION("""COMPUTED_VALUE"""),8380692.0)</f>
        <v>8380692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f>IFERROR(__xludf.DUMMYFUNCTION("""COMPUTED_VALUE"""),45677.64583333333)</f>
        <v>45677.64583</v>
      </c>
      <c r="B87" s="7">
        <f>IFERROR(__xludf.DUMMYFUNCTION("""COMPUTED_VALUE"""),389.6)</f>
        <v>389.6</v>
      </c>
      <c r="C87" s="7">
        <f>IFERROR(__xludf.DUMMYFUNCTION("""COMPUTED_VALUE"""),391.0)</f>
        <v>391</v>
      </c>
      <c r="D87" s="7">
        <f>IFERROR(__xludf.DUMMYFUNCTION("""COMPUTED_VALUE"""),382.65)</f>
        <v>382.65</v>
      </c>
      <c r="E87" s="7">
        <f>IFERROR(__xludf.DUMMYFUNCTION("""COMPUTED_VALUE"""),387.05)</f>
        <v>387.05</v>
      </c>
      <c r="F87" s="7">
        <f>IFERROR(__xludf.DUMMYFUNCTION("""COMPUTED_VALUE"""),1.4597375E7)</f>
        <v>14597375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f>IFERROR(__xludf.DUMMYFUNCTION("""COMPUTED_VALUE"""),45678.64583333333)</f>
        <v>45678.64583</v>
      </c>
      <c r="B88" s="7">
        <f>IFERROR(__xludf.DUMMYFUNCTION("""COMPUTED_VALUE"""),388.0)</f>
        <v>388</v>
      </c>
      <c r="C88" s="7">
        <f>IFERROR(__xludf.DUMMYFUNCTION("""COMPUTED_VALUE"""),389.65)</f>
        <v>389.65</v>
      </c>
      <c r="D88" s="7">
        <f>IFERROR(__xludf.DUMMYFUNCTION("""COMPUTED_VALUE"""),381.0)</f>
        <v>381</v>
      </c>
      <c r="E88" s="7">
        <f>IFERROR(__xludf.DUMMYFUNCTION("""COMPUTED_VALUE"""),381.55)</f>
        <v>381.55</v>
      </c>
      <c r="F88" s="7">
        <f>IFERROR(__xludf.DUMMYFUNCTION("""COMPUTED_VALUE"""),2.0854879E7)</f>
        <v>20854879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f>IFERROR(__xludf.DUMMYFUNCTION("""COMPUTED_VALUE"""),45679.64583333333)</f>
        <v>45679.64583</v>
      </c>
      <c r="B89" s="7">
        <f>IFERROR(__xludf.DUMMYFUNCTION("""COMPUTED_VALUE"""),381.5)</f>
        <v>381.5</v>
      </c>
      <c r="C89" s="7">
        <f>IFERROR(__xludf.DUMMYFUNCTION("""COMPUTED_VALUE"""),383.9)</f>
        <v>383.9</v>
      </c>
      <c r="D89" s="7">
        <f>IFERROR(__xludf.DUMMYFUNCTION("""COMPUTED_VALUE"""),374.65)</f>
        <v>374.65</v>
      </c>
      <c r="E89" s="7">
        <f>IFERROR(__xludf.DUMMYFUNCTION("""COMPUTED_VALUE"""),379.2)</f>
        <v>379.2</v>
      </c>
      <c r="F89" s="7">
        <f>IFERROR(__xludf.DUMMYFUNCTION("""COMPUTED_VALUE"""),1.065369E7)</f>
        <v>10653690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f>IFERROR(__xludf.DUMMYFUNCTION("""COMPUTED_VALUE"""),45680.64583333333)</f>
        <v>45680.64583</v>
      </c>
      <c r="B90" s="7">
        <f>IFERROR(__xludf.DUMMYFUNCTION("""COMPUTED_VALUE"""),377.5)</f>
        <v>377.5</v>
      </c>
      <c r="C90" s="7">
        <f>IFERROR(__xludf.DUMMYFUNCTION("""COMPUTED_VALUE"""),388.2)</f>
        <v>388.2</v>
      </c>
      <c r="D90" s="7">
        <f>IFERROR(__xludf.DUMMYFUNCTION("""COMPUTED_VALUE"""),376.2)</f>
        <v>376.2</v>
      </c>
      <c r="E90" s="7">
        <f>IFERROR(__xludf.DUMMYFUNCTION("""COMPUTED_VALUE"""),385.8)</f>
        <v>385.8</v>
      </c>
      <c r="F90" s="7">
        <f>IFERROR(__xludf.DUMMYFUNCTION("""COMPUTED_VALUE"""),5844752.0)</f>
        <v>5844752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f>IFERROR(__xludf.DUMMYFUNCTION("""COMPUTED_VALUE"""),45681.64583333333)</f>
        <v>45681.64583</v>
      </c>
      <c r="B91" s="7">
        <f>IFERROR(__xludf.DUMMYFUNCTION("""COMPUTED_VALUE"""),386.05)</f>
        <v>386.05</v>
      </c>
      <c r="C91" s="7">
        <f>IFERROR(__xludf.DUMMYFUNCTION("""COMPUTED_VALUE"""),392.25)</f>
        <v>392.25</v>
      </c>
      <c r="D91" s="7">
        <f>IFERROR(__xludf.DUMMYFUNCTION("""COMPUTED_VALUE"""),381.7)</f>
        <v>381.7</v>
      </c>
      <c r="E91" s="7">
        <f>IFERROR(__xludf.DUMMYFUNCTION("""COMPUTED_VALUE"""),383.05)</f>
        <v>383.05</v>
      </c>
      <c r="F91" s="7">
        <f>IFERROR(__xludf.DUMMYFUNCTION("""COMPUTED_VALUE"""),5351964.0)</f>
        <v>5351964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f>IFERROR(__xludf.DUMMYFUNCTION("""COMPUTED_VALUE"""),45684.64583333333)</f>
        <v>45684.64583</v>
      </c>
      <c r="B92" s="7">
        <f>IFERROR(__xludf.DUMMYFUNCTION("""COMPUTED_VALUE"""),380.9)</f>
        <v>380.9</v>
      </c>
      <c r="C92" s="7">
        <f>IFERROR(__xludf.DUMMYFUNCTION("""COMPUTED_VALUE"""),383.0)</f>
        <v>383</v>
      </c>
      <c r="D92" s="7">
        <f>IFERROR(__xludf.DUMMYFUNCTION("""COMPUTED_VALUE"""),372.75)</f>
        <v>372.75</v>
      </c>
      <c r="E92" s="7">
        <f>IFERROR(__xludf.DUMMYFUNCTION("""COMPUTED_VALUE"""),375.75)</f>
        <v>375.75</v>
      </c>
      <c r="F92" s="7">
        <f>IFERROR(__xludf.DUMMYFUNCTION("""COMPUTED_VALUE"""),6645109.0)</f>
        <v>6645109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f>IFERROR(__xludf.DUMMYFUNCTION("""COMPUTED_VALUE"""),45685.64583333333)</f>
        <v>45685.64583</v>
      </c>
      <c r="B93" s="7">
        <f>IFERROR(__xludf.DUMMYFUNCTION("""COMPUTED_VALUE"""),376.0)</f>
        <v>376</v>
      </c>
      <c r="C93" s="7">
        <f>IFERROR(__xludf.DUMMYFUNCTION("""COMPUTED_VALUE"""),377.6)</f>
        <v>377.6</v>
      </c>
      <c r="D93" s="7">
        <f>IFERROR(__xludf.DUMMYFUNCTION("""COMPUTED_VALUE"""),367.75)</f>
        <v>367.75</v>
      </c>
      <c r="E93" s="7">
        <f>IFERROR(__xludf.DUMMYFUNCTION("""COMPUTED_VALUE"""),370.65)</f>
        <v>370.65</v>
      </c>
      <c r="F93" s="7">
        <f>IFERROR(__xludf.DUMMYFUNCTION("""COMPUTED_VALUE"""),1.0866038E7)</f>
        <v>10866038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f>IFERROR(__xludf.DUMMYFUNCTION("""COMPUTED_VALUE"""),45686.64583333333)</f>
        <v>45686.64583</v>
      </c>
      <c r="B94" s="7">
        <f>IFERROR(__xludf.DUMMYFUNCTION("""COMPUTED_VALUE"""),372.5)</f>
        <v>372.5</v>
      </c>
      <c r="C94" s="7">
        <f>IFERROR(__xludf.DUMMYFUNCTION("""COMPUTED_VALUE"""),385.0)</f>
        <v>385</v>
      </c>
      <c r="D94" s="7">
        <f>IFERROR(__xludf.DUMMYFUNCTION("""COMPUTED_VALUE"""),370.8)</f>
        <v>370.8</v>
      </c>
      <c r="E94" s="7">
        <f>IFERROR(__xludf.DUMMYFUNCTION("""COMPUTED_VALUE"""),379.45)</f>
        <v>379.45</v>
      </c>
      <c r="F94" s="7">
        <f>IFERROR(__xludf.DUMMYFUNCTION("""COMPUTED_VALUE"""),6680927.0)</f>
        <v>6680927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f>IFERROR(__xludf.DUMMYFUNCTION("""COMPUTED_VALUE"""),45687.64583333333)</f>
        <v>45687.64583</v>
      </c>
      <c r="B95" s="7">
        <f>IFERROR(__xludf.DUMMYFUNCTION("""COMPUTED_VALUE"""),381.7)</f>
        <v>381.7</v>
      </c>
      <c r="C95" s="7">
        <f>IFERROR(__xludf.DUMMYFUNCTION("""COMPUTED_VALUE"""),387.35)</f>
        <v>387.35</v>
      </c>
      <c r="D95" s="7">
        <f>IFERROR(__xludf.DUMMYFUNCTION("""COMPUTED_VALUE"""),380.4)</f>
        <v>380.4</v>
      </c>
      <c r="E95" s="7">
        <f>IFERROR(__xludf.DUMMYFUNCTION("""COMPUTED_VALUE"""),385.05)</f>
        <v>385.05</v>
      </c>
      <c r="F95" s="7">
        <f>IFERROR(__xludf.DUMMYFUNCTION("""COMPUTED_VALUE"""),6300164.0)</f>
        <v>6300164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f>IFERROR(__xludf.DUMMYFUNCTION("""COMPUTED_VALUE"""),45688.64583333333)</f>
        <v>45688.64583</v>
      </c>
      <c r="B96" s="7">
        <f>IFERROR(__xludf.DUMMYFUNCTION("""COMPUTED_VALUE"""),379.5)</f>
        <v>379.5</v>
      </c>
      <c r="C96" s="7">
        <f>IFERROR(__xludf.DUMMYFUNCTION("""COMPUTED_VALUE"""),396.95)</f>
        <v>396.95</v>
      </c>
      <c r="D96" s="7">
        <f>IFERROR(__xludf.DUMMYFUNCTION("""COMPUTED_VALUE"""),374.65)</f>
        <v>374.65</v>
      </c>
      <c r="E96" s="7">
        <f>IFERROR(__xludf.DUMMYFUNCTION("""COMPUTED_VALUE"""),395.9)</f>
        <v>395.9</v>
      </c>
      <c r="F96" s="7">
        <f>IFERROR(__xludf.DUMMYFUNCTION("""COMPUTED_VALUE"""),1.0339434E7)</f>
        <v>10339434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f>IFERROR(__xludf.DUMMYFUNCTION("""COMPUTED_VALUE"""),45691.64583333333)</f>
        <v>45691.64583</v>
      </c>
      <c r="B97" s="7">
        <f>IFERROR(__xludf.DUMMYFUNCTION("""COMPUTED_VALUE"""),384.0)</f>
        <v>384</v>
      </c>
      <c r="C97" s="7">
        <f>IFERROR(__xludf.DUMMYFUNCTION("""COMPUTED_VALUE"""),384.15)</f>
        <v>384.15</v>
      </c>
      <c r="D97" s="7">
        <f>IFERROR(__xludf.DUMMYFUNCTION("""COMPUTED_VALUE"""),366.5)</f>
        <v>366.5</v>
      </c>
      <c r="E97" s="7">
        <f>IFERROR(__xludf.DUMMYFUNCTION("""COMPUTED_VALUE"""),374.0)</f>
        <v>374</v>
      </c>
      <c r="F97" s="7">
        <f>IFERROR(__xludf.DUMMYFUNCTION("""COMPUTED_VALUE"""),7689700.0)</f>
        <v>7689700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f>IFERROR(__xludf.DUMMYFUNCTION("""COMPUTED_VALUE"""),45692.64583333333)</f>
        <v>45692.64583</v>
      </c>
      <c r="B98" s="7">
        <f>IFERROR(__xludf.DUMMYFUNCTION("""COMPUTED_VALUE"""),377.5)</f>
        <v>377.5</v>
      </c>
      <c r="C98" s="7">
        <f>IFERROR(__xludf.DUMMYFUNCTION("""COMPUTED_VALUE"""),380.7)</f>
        <v>380.7</v>
      </c>
      <c r="D98" s="7">
        <f>IFERROR(__xludf.DUMMYFUNCTION("""COMPUTED_VALUE"""),374.9)</f>
        <v>374.9</v>
      </c>
      <c r="E98" s="7">
        <f>IFERROR(__xludf.DUMMYFUNCTION("""COMPUTED_VALUE"""),376.55)</f>
        <v>376.55</v>
      </c>
      <c r="F98" s="7">
        <f>IFERROR(__xludf.DUMMYFUNCTION("""COMPUTED_VALUE"""),4649921.0)</f>
        <v>4649921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f>IFERROR(__xludf.DUMMYFUNCTION("""COMPUTED_VALUE"""),45693.64583333333)</f>
        <v>45693.64583</v>
      </c>
      <c r="B99" s="7">
        <f>IFERROR(__xludf.DUMMYFUNCTION("""COMPUTED_VALUE"""),378.0)</f>
        <v>378</v>
      </c>
      <c r="C99" s="7">
        <f>IFERROR(__xludf.DUMMYFUNCTION("""COMPUTED_VALUE"""),385.1)</f>
        <v>385.1</v>
      </c>
      <c r="D99" s="7">
        <f>IFERROR(__xludf.DUMMYFUNCTION("""COMPUTED_VALUE"""),377.9)</f>
        <v>377.9</v>
      </c>
      <c r="E99" s="7">
        <f>IFERROR(__xludf.DUMMYFUNCTION("""COMPUTED_VALUE"""),382.85)</f>
        <v>382.85</v>
      </c>
      <c r="F99" s="7">
        <f>IFERROR(__xludf.DUMMYFUNCTION("""COMPUTED_VALUE"""),5914200.0)</f>
        <v>5914200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f>IFERROR(__xludf.DUMMYFUNCTION("""COMPUTED_VALUE"""),45694.64583333333)</f>
        <v>45694.64583</v>
      </c>
      <c r="B100" s="7">
        <f>IFERROR(__xludf.DUMMYFUNCTION("""COMPUTED_VALUE"""),382.8)</f>
        <v>382.8</v>
      </c>
      <c r="C100" s="7">
        <f>IFERROR(__xludf.DUMMYFUNCTION("""COMPUTED_VALUE"""),384.65)</f>
        <v>384.65</v>
      </c>
      <c r="D100" s="7">
        <f>IFERROR(__xludf.DUMMYFUNCTION("""COMPUTED_VALUE"""),377.2)</f>
        <v>377.2</v>
      </c>
      <c r="E100" s="7">
        <f>IFERROR(__xludf.DUMMYFUNCTION("""COMPUTED_VALUE"""),379.6)</f>
        <v>379.6</v>
      </c>
      <c r="F100" s="7">
        <f>IFERROR(__xludf.DUMMYFUNCTION("""COMPUTED_VALUE"""),4652107.0)</f>
        <v>4652107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f>IFERROR(__xludf.DUMMYFUNCTION("""COMPUTED_VALUE"""),45695.64583333333)</f>
        <v>45695.64583</v>
      </c>
      <c r="B101" s="7">
        <f>IFERROR(__xludf.DUMMYFUNCTION("""COMPUTED_VALUE"""),379.5)</f>
        <v>379.5</v>
      </c>
      <c r="C101" s="7">
        <f>IFERROR(__xludf.DUMMYFUNCTION("""COMPUTED_VALUE"""),383.0)</f>
        <v>383</v>
      </c>
      <c r="D101" s="7">
        <f>IFERROR(__xludf.DUMMYFUNCTION("""COMPUTED_VALUE"""),376.0)</f>
        <v>376</v>
      </c>
      <c r="E101" s="7">
        <f>IFERROR(__xludf.DUMMYFUNCTION("""COMPUTED_VALUE"""),378.25)</f>
        <v>378.25</v>
      </c>
      <c r="F101" s="7">
        <f>IFERROR(__xludf.DUMMYFUNCTION("""COMPUTED_VALUE"""),3006598.0)</f>
        <v>3006598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f>IFERROR(__xludf.DUMMYFUNCTION("""COMPUTED_VALUE"""),45698.64583333333)</f>
        <v>45698.64583</v>
      </c>
      <c r="B102" s="7">
        <f>IFERROR(__xludf.DUMMYFUNCTION("""COMPUTED_VALUE"""),377.0)</f>
        <v>377</v>
      </c>
      <c r="C102" s="7">
        <f>IFERROR(__xludf.DUMMYFUNCTION("""COMPUTED_VALUE"""),379.85)</f>
        <v>379.85</v>
      </c>
      <c r="D102" s="7">
        <f>IFERROR(__xludf.DUMMYFUNCTION("""COMPUTED_VALUE"""),369.0)</f>
        <v>369</v>
      </c>
      <c r="E102" s="7">
        <f>IFERROR(__xludf.DUMMYFUNCTION("""COMPUTED_VALUE"""),370.5)</f>
        <v>370.5</v>
      </c>
      <c r="F102" s="7">
        <f>IFERROR(__xludf.DUMMYFUNCTION("""COMPUTED_VALUE"""),3380494.0)</f>
        <v>3380494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f>IFERROR(__xludf.DUMMYFUNCTION("""COMPUTED_VALUE"""),45699.64583333333)</f>
        <v>45699.64583</v>
      </c>
      <c r="B103" s="7">
        <f>IFERROR(__xludf.DUMMYFUNCTION("""COMPUTED_VALUE"""),370.0)</f>
        <v>370</v>
      </c>
      <c r="C103" s="7">
        <f>IFERROR(__xludf.DUMMYFUNCTION("""COMPUTED_VALUE"""),370.5)</f>
        <v>370.5</v>
      </c>
      <c r="D103" s="7">
        <f>IFERROR(__xludf.DUMMYFUNCTION("""COMPUTED_VALUE"""),357.5)</f>
        <v>357.5</v>
      </c>
      <c r="E103" s="7">
        <f>IFERROR(__xludf.DUMMYFUNCTION("""COMPUTED_VALUE"""),359.0)</f>
        <v>359</v>
      </c>
      <c r="F103" s="7">
        <f>IFERROR(__xludf.DUMMYFUNCTION("""COMPUTED_VALUE"""),6803431.0)</f>
        <v>6803431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f>IFERROR(__xludf.DUMMYFUNCTION("""COMPUTED_VALUE"""),45700.64583333333)</f>
        <v>45700.64583</v>
      </c>
      <c r="B104" s="7">
        <f>IFERROR(__xludf.DUMMYFUNCTION("""COMPUTED_VALUE"""),359.9)</f>
        <v>359.9</v>
      </c>
      <c r="C104" s="7">
        <f>IFERROR(__xludf.DUMMYFUNCTION("""COMPUTED_VALUE"""),361.8)</f>
        <v>361.8</v>
      </c>
      <c r="D104" s="7">
        <f>IFERROR(__xludf.DUMMYFUNCTION("""COMPUTED_VALUE"""),351.55)</f>
        <v>351.55</v>
      </c>
      <c r="E104" s="7">
        <f>IFERROR(__xludf.DUMMYFUNCTION("""COMPUTED_VALUE"""),360.35)</f>
        <v>360.35</v>
      </c>
      <c r="F104" s="7">
        <f>IFERROR(__xludf.DUMMYFUNCTION("""COMPUTED_VALUE"""),4565992.0)</f>
        <v>4565992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f>IFERROR(__xludf.DUMMYFUNCTION("""COMPUTED_VALUE"""),45701.64583333333)</f>
        <v>45701.64583</v>
      </c>
      <c r="B105" s="7">
        <f>IFERROR(__xludf.DUMMYFUNCTION("""COMPUTED_VALUE"""),362.0)</f>
        <v>362</v>
      </c>
      <c r="C105" s="7">
        <f>IFERROR(__xludf.DUMMYFUNCTION("""COMPUTED_VALUE"""),367.55)</f>
        <v>367.55</v>
      </c>
      <c r="D105" s="7">
        <f>IFERROR(__xludf.DUMMYFUNCTION("""COMPUTED_VALUE"""),358.6)</f>
        <v>358.6</v>
      </c>
      <c r="E105" s="7">
        <f>IFERROR(__xludf.DUMMYFUNCTION("""COMPUTED_VALUE"""),361.65)</f>
        <v>361.65</v>
      </c>
      <c r="F105" s="7">
        <f>IFERROR(__xludf.DUMMYFUNCTION("""COMPUTED_VALUE"""),3712240.0)</f>
        <v>3712240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f>IFERROR(__xludf.DUMMYFUNCTION("""COMPUTED_VALUE"""),45702.64583333333)</f>
        <v>45702.64583</v>
      </c>
      <c r="B106" s="7">
        <f>IFERROR(__xludf.DUMMYFUNCTION("""COMPUTED_VALUE"""),363.9)</f>
        <v>363.9</v>
      </c>
      <c r="C106" s="7">
        <f>IFERROR(__xludf.DUMMYFUNCTION("""COMPUTED_VALUE"""),365.0)</f>
        <v>365</v>
      </c>
      <c r="D106" s="7">
        <f>IFERROR(__xludf.DUMMYFUNCTION("""COMPUTED_VALUE"""),350.5)</f>
        <v>350.5</v>
      </c>
      <c r="E106" s="7">
        <f>IFERROR(__xludf.DUMMYFUNCTION("""COMPUTED_VALUE"""),354.2)</f>
        <v>354.2</v>
      </c>
      <c r="F106" s="7">
        <f>IFERROR(__xludf.DUMMYFUNCTION("""COMPUTED_VALUE"""),4464446.0)</f>
        <v>4464446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f>IFERROR(__xludf.DUMMYFUNCTION("""COMPUTED_VALUE"""),45705.64583333333)</f>
        <v>45705.64583</v>
      </c>
      <c r="B107" s="7">
        <f>IFERROR(__xludf.DUMMYFUNCTION("""COMPUTED_VALUE"""),354.2)</f>
        <v>354.2</v>
      </c>
      <c r="C107" s="7">
        <f>IFERROR(__xludf.DUMMYFUNCTION("""COMPUTED_VALUE"""),362.0)</f>
        <v>362</v>
      </c>
      <c r="D107" s="7">
        <f>IFERROR(__xludf.DUMMYFUNCTION("""COMPUTED_VALUE"""),349.25)</f>
        <v>349.25</v>
      </c>
      <c r="E107" s="7">
        <f>IFERROR(__xludf.DUMMYFUNCTION("""COMPUTED_VALUE"""),360.1)</f>
        <v>360.1</v>
      </c>
      <c r="F107" s="7">
        <f>IFERROR(__xludf.DUMMYFUNCTION("""COMPUTED_VALUE"""),6017586.0)</f>
        <v>6017586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f>IFERROR(__xludf.DUMMYFUNCTION("""COMPUTED_VALUE"""),45706.64583333333)</f>
        <v>45706.64583</v>
      </c>
      <c r="B108" s="7">
        <f>IFERROR(__xludf.DUMMYFUNCTION("""COMPUTED_VALUE"""),360.25)</f>
        <v>360.25</v>
      </c>
      <c r="C108" s="7">
        <f>IFERROR(__xludf.DUMMYFUNCTION("""COMPUTED_VALUE"""),362.35)</f>
        <v>362.35</v>
      </c>
      <c r="D108" s="7">
        <f>IFERROR(__xludf.DUMMYFUNCTION("""COMPUTED_VALUE"""),353.8)</f>
        <v>353.8</v>
      </c>
      <c r="E108" s="7">
        <f>IFERROR(__xludf.DUMMYFUNCTION("""COMPUTED_VALUE"""),361.1)</f>
        <v>361.1</v>
      </c>
      <c r="F108" s="7">
        <f>IFERROR(__xludf.DUMMYFUNCTION("""COMPUTED_VALUE"""),3843725.0)</f>
        <v>3843725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f>IFERROR(__xludf.DUMMYFUNCTION("""COMPUTED_VALUE"""),45707.64583333333)</f>
        <v>45707.64583</v>
      </c>
      <c r="B109" s="7">
        <f>IFERROR(__xludf.DUMMYFUNCTION("""COMPUTED_VALUE"""),360.0)</f>
        <v>360</v>
      </c>
      <c r="C109" s="7">
        <f>IFERROR(__xludf.DUMMYFUNCTION("""COMPUTED_VALUE"""),365.3)</f>
        <v>365.3</v>
      </c>
      <c r="D109" s="7">
        <f>IFERROR(__xludf.DUMMYFUNCTION("""COMPUTED_VALUE"""),358.0)</f>
        <v>358</v>
      </c>
      <c r="E109" s="7">
        <f>IFERROR(__xludf.DUMMYFUNCTION("""COMPUTED_VALUE"""),362.3)</f>
        <v>362.3</v>
      </c>
      <c r="F109" s="7">
        <f>IFERROR(__xludf.DUMMYFUNCTION("""COMPUTED_VALUE"""),3097726.0)</f>
        <v>3097726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f>IFERROR(__xludf.DUMMYFUNCTION("""COMPUTED_VALUE"""),45708.64583333333)</f>
        <v>45708.64583</v>
      </c>
      <c r="B110" s="7">
        <f>IFERROR(__xludf.DUMMYFUNCTION("""COMPUTED_VALUE"""),360.0)</f>
        <v>360</v>
      </c>
      <c r="C110" s="7">
        <f>IFERROR(__xludf.DUMMYFUNCTION("""COMPUTED_VALUE"""),369.45)</f>
        <v>369.45</v>
      </c>
      <c r="D110" s="7">
        <f>IFERROR(__xludf.DUMMYFUNCTION("""COMPUTED_VALUE"""),360.0)</f>
        <v>360</v>
      </c>
      <c r="E110" s="7">
        <f>IFERROR(__xludf.DUMMYFUNCTION("""COMPUTED_VALUE"""),367.95)</f>
        <v>367.95</v>
      </c>
      <c r="F110" s="7">
        <f>IFERROR(__xludf.DUMMYFUNCTION("""COMPUTED_VALUE"""),4624287.0)</f>
        <v>4624287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f>IFERROR(__xludf.DUMMYFUNCTION("""COMPUTED_VALUE"""),45709.64583333333)</f>
        <v>45709.64583</v>
      </c>
      <c r="B111" s="7">
        <f>IFERROR(__xludf.DUMMYFUNCTION("""COMPUTED_VALUE"""),367.55)</f>
        <v>367.55</v>
      </c>
      <c r="C111" s="7">
        <f>IFERROR(__xludf.DUMMYFUNCTION("""COMPUTED_VALUE"""),371.2)</f>
        <v>371.2</v>
      </c>
      <c r="D111" s="7">
        <f>IFERROR(__xludf.DUMMYFUNCTION("""COMPUTED_VALUE"""),365.3)</f>
        <v>365.3</v>
      </c>
      <c r="E111" s="7">
        <f>IFERROR(__xludf.DUMMYFUNCTION("""COMPUTED_VALUE"""),369.95)</f>
        <v>369.95</v>
      </c>
      <c r="F111" s="7">
        <f>IFERROR(__xludf.DUMMYFUNCTION("""COMPUTED_VALUE"""),5235241.0)</f>
        <v>5235241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f>IFERROR(__xludf.DUMMYFUNCTION("""COMPUTED_VALUE"""),45712.64583333333)</f>
        <v>45712.64583</v>
      </c>
      <c r="B112" s="7">
        <f>IFERROR(__xludf.DUMMYFUNCTION("""COMPUTED_VALUE"""),368.05)</f>
        <v>368.05</v>
      </c>
      <c r="C112" s="7">
        <f>IFERROR(__xludf.DUMMYFUNCTION("""COMPUTED_VALUE"""),368.5)</f>
        <v>368.5</v>
      </c>
      <c r="D112" s="7">
        <f>IFERROR(__xludf.DUMMYFUNCTION("""COMPUTED_VALUE"""),361.15)</f>
        <v>361.15</v>
      </c>
      <c r="E112" s="7">
        <f>IFERROR(__xludf.DUMMYFUNCTION("""COMPUTED_VALUE"""),364.8)</f>
        <v>364.8</v>
      </c>
      <c r="F112" s="7">
        <f>IFERROR(__xludf.DUMMYFUNCTION("""COMPUTED_VALUE"""),4533486.0)</f>
        <v>4533486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f>IFERROR(__xludf.DUMMYFUNCTION("""COMPUTED_VALUE"""),45713.64583333333)</f>
        <v>45713.64583</v>
      </c>
      <c r="B113" s="7">
        <f>IFERROR(__xludf.DUMMYFUNCTION("""COMPUTED_VALUE"""),364.0)</f>
        <v>364</v>
      </c>
      <c r="C113" s="7">
        <f>IFERROR(__xludf.DUMMYFUNCTION("""COMPUTED_VALUE"""),365.4)</f>
        <v>365.4</v>
      </c>
      <c r="D113" s="7">
        <f>IFERROR(__xludf.DUMMYFUNCTION("""COMPUTED_VALUE"""),358.7)</f>
        <v>358.7</v>
      </c>
      <c r="E113" s="7">
        <f>IFERROR(__xludf.DUMMYFUNCTION("""COMPUTED_VALUE"""),361.15)</f>
        <v>361.15</v>
      </c>
      <c r="F113" s="7">
        <f>IFERROR(__xludf.DUMMYFUNCTION("""COMPUTED_VALUE"""),4525493.0)</f>
        <v>4525493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f>IFERROR(__xludf.DUMMYFUNCTION("""COMPUTED_VALUE"""),45715.64583333333)</f>
        <v>45715.64583</v>
      </c>
      <c r="B114" s="7">
        <f>IFERROR(__xludf.DUMMYFUNCTION("""COMPUTED_VALUE"""),359.0)</f>
        <v>359</v>
      </c>
      <c r="C114" s="7">
        <f>IFERROR(__xludf.DUMMYFUNCTION("""COMPUTED_VALUE"""),367.8)</f>
        <v>367.8</v>
      </c>
      <c r="D114" s="7">
        <f>IFERROR(__xludf.DUMMYFUNCTION("""COMPUTED_VALUE"""),356.15)</f>
        <v>356.15</v>
      </c>
      <c r="E114" s="7">
        <f>IFERROR(__xludf.DUMMYFUNCTION("""COMPUTED_VALUE"""),363.85)</f>
        <v>363.85</v>
      </c>
      <c r="F114" s="7">
        <f>IFERROR(__xludf.DUMMYFUNCTION("""COMPUTED_VALUE"""),6196610.0)</f>
        <v>6196610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f>IFERROR(__xludf.DUMMYFUNCTION("""COMPUTED_VALUE"""),45716.64583333333)</f>
        <v>45716.64583</v>
      </c>
      <c r="B115" s="7">
        <f>IFERROR(__xludf.DUMMYFUNCTION("""COMPUTED_VALUE"""),366.8)</f>
        <v>366.8</v>
      </c>
      <c r="C115" s="7">
        <f>IFERROR(__xludf.DUMMYFUNCTION("""COMPUTED_VALUE"""),375.75)</f>
        <v>375.75</v>
      </c>
      <c r="D115" s="7">
        <f>IFERROR(__xludf.DUMMYFUNCTION("""COMPUTED_VALUE"""),365.3)</f>
        <v>365.3</v>
      </c>
      <c r="E115" s="7">
        <f>IFERROR(__xludf.DUMMYFUNCTION("""COMPUTED_VALUE"""),369.35)</f>
        <v>369.35</v>
      </c>
      <c r="F115" s="7">
        <f>IFERROR(__xludf.DUMMYFUNCTION("""COMPUTED_VALUE"""),2.1899478E7)</f>
        <v>21899478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f>IFERROR(__xludf.DUMMYFUNCTION("""COMPUTED_VALUE"""),45719.64583333333)</f>
        <v>45719.64583</v>
      </c>
      <c r="B116" s="7">
        <f>IFERROR(__xludf.DUMMYFUNCTION("""COMPUTED_VALUE"""),370.0)</f>
        <v>370</v>
      </c>
      <c r="C116" s="7">
        <f>IFERROR(__xludf.DUMMYFUNCTION("""COMPUTED_VALUE"""),371.0)</f>
        <v>371</v>
      </c>
      <c r="D116" s="7">
        <f>IFERROR(__xludf.DUMMYFUNCTION("""COMPUTED_VALUE"""),352.4)</f>
        <v>352.4</v>
      </c>
      <c r="E116" s="7">
        <f>IFERROR(__xludf.DUMMYFUNCTION("""COMPUTED_VALUE"""),360.35)</f>
        <v>360.35</v>
      </c>
      <c r="F116" s="7">
        <f>IFERROR(__xludf.DUMMYFUNCTION("""COMPUTED_VALUE"""),1.2675744E7)</f>
        <v>12675744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f>IFERROR(__xludf.DUMMYFUNCTION("""COMPUTED_VALUE"""),45720.64583333333)</f>
        <v>45720.64583</v>
      </c>
      <c r="B117" s="7">
        <f>IFERROR(__xludf.DUMMYFUNCTION("""COMPUTED_VALUE"""),356.1)</f>
        <v>356.1</v>
      </c>
      <c r="C117" s="7">
        <f>IFERROR(__xludf.DUMMYFUNCTION("""COMPUTED_VALUE"""),366.5)</f>
        <v>366.5</v>
      </c>
      <c r="D117" s="7">
        <f>IFERROR(__xludf.DUMMYFUNCTION("""COMPUTED_VALUE"""),352.6)</f>
        <v>352.6</v>
      </c>
      <c r="E117" s="7">
        <f>IFERROR(__xludf.DUMMYFUNCTION("""COMPUTED_VALUE"""),363.85)</f>
        <v>363.85</v>
      </c>
      <c r="F117" s="7">
        <f>IFERROR(__xludf.DUMMYFUNCTION("""COMPUTED_VALUE"""),5535218.0)</f>
        <v>5535218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f>IFERROR(__xludf.DUMMYFUNCTION("""COMPUTED_VALUE"""),45721.64583333333)</f>
        <v>45721.64583</v>
      </c>
      <c r="B118" s="7">
        <f>IFERROR(__xludf.DUMMYFUNCTION("""COMPUTED_VALUE"""),362.05)</f>
        <v>362.05</v>
      </c>
      <c r="C118" s="7">
        <f>IFERROR(__xludf.DUMMYFUNCTION("""COMPUTED_VALUE"""),368.9)</f>
        <v>368.9</v>
      </c>
      <c r="D118" s="7">
        <f>IFERROR(__xludf.DUMMYFUNCTION("""COMPUTED_VALUE"""),362.05)</f>
        <v>362.05</v>
      </c>
      <c r="E118" s="7">
        <f>IFERROR(__xludf.DUMMYFUNCTION("""COMPUTED_VALUE"""),368.25)</f>
        <v>368.25</v>
      </c>
      <c r="F118" s="7">
        <f>IFERROR(__xludf.DUMMYFUNCTION("""COMPUTED_VALUE"""),5730797.0)</f>
        <v>5730797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f>IFERROR(__xludf.DUMMYFUNCTION("""COMPUTED_VALUE"""),45722.64583333333)</f>
        <v>45722.64583</v>
      </c>
      <c r="B119" s="7">
        <f>IFERROR(__xludf.DUMMYFUNCTION("""COMPUTED_VALUE"""),370.05)</f>
        <v>370.05</v>
      </c>
      <c r="C119" s="7">
        <f>IFERROR(__xludf.DUMMYFUNCTION("""COMPUTED_VALUE"""),384.15)</f>
        <v>384.15</v>
      </c>
      <c r="D119" s="7">
        <f>IFERROR(__xludf.DUMMYFUNCTION("""COMPUTED_VALUE"""),368.1)</f>
        <v>368.1</v>
      </c>
      <c r="E119" s="7">
        <f>IFERROR(__xludf.DUMMYFUNCTION("""COMPUTED_VALUE"""),382.6)</f>
        <v>382.6</v>
      </c>
      <c r="F119" s="7">
        <f>IFERROR(__xludf.DUMMYFUNCTION("""COMPUTED_VALUE"""),1.1247215E7)</f>
        <v>11247215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f>IFERROR(__xludf.DUMMYFUNCTION("""COMPUTED_VALUE"""),45723.64583333333)</f>
        <v>45723.64583</v>
      </c>
      <c r="B120" s="7">
        <f>IFERROR(__xludf.DUMMYFUNCTION("""COMPUTED_VALUE"""),382.6)</f>
        <v>382.6</v>
      </c>
      <c r="C120" s="7">
        <f>IFERROR(__xludf.DUMMYFUNCTION("""COMPUTED_VALUE"""),389.6)</f>
        <v>389.6</v>
      </c>
      <c r="D120" s="7">
        <f>IFERROR(__xludf.DUMMYFUNCTION("""COMPUTED_VALUE"""),379.4)</f>
        <v>379.4</v>
      </c>
      <c r="E120" s="7">
        <f>IFERROR(__xludf.DUMMYFUNCTION("""COMPUTED_VALUE"""),380.65)</f>
        <v>380.65</v>
      </c>
      <c r="F120" s="7">
        <f>IFERROR(__xludf.DUMMYFUNCTION("""COMPUTED_VALUE"""),8321771.0)</f>
        <v>8321771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f>IFERROR(__xludf.DUMMYFUNCTION("""COMPUTED_VALUE"""),45726.64583333333)</f>
        <v>45726.64583</v>
      </c>
      <c r="B121" s="7">
        <f>IFERROR(__xludf.DUMMYFUNCTION("""COMPUTED_VALUE"""),380.7)</f>
        <v>380.7</v>
      </c>
      <c r="C121" s="7">
        <f>IFERROR(__xludf.DUMMYFUNCTION("""COMPUTED_VALUE"""),386.6)</f>
        <v>386.6</v>
      </c>
      <c r="D121" s="7">
        <f>IFERROR(__xludf.DUMMYFUNCTION("""COMPUTED_VALUE"""),374.05)</f>
        <v>374.05</v>
      </c>
      <c r="E121" s="7">
        <f>IFERROR(__xludf.DUMMYFUNCTION("""COMPUTED_VALUE"""),375.15)</f>
        <v>375.15</v>
      </c>
      <c r="F121" s="7">
        <f>IFERROR(__xludf.DUMMYFUNCTION("""COMPUTED_VALUE"""),5541001.0)</f>
        <v>5541001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f>IFERROR(__xludf.DUMMYFUNCTION("""COMPUTED_VALUE"""),45727.64583333333)</f>
        <v>45727.64583</v>
      </c>
      <c r="B122" s="7">
        <f>IFERROR(__xludf.DUMMYFUNCTION("""COMPUTED_VALUE"""),371.0)</f>
        <v>371</v>
      </c>
      <c r="C122" s="7">
        <f>IFERROR(__xludf.DUMMYFUNCTION("""COMPUTED_VALUE"""),380.0)</f>
        <v>380</v>
      </c>
      <c r="D122" s="7">
        <f>IFERROR(__xludf.DUMMYFUNCTION("""COMPUTED_VALUE"""),368.0)</f>
        <v>368</v>
      </c>
      <c r="E122" s="7">
        <f>IFERROR(__xludf.DUMMYFUNCTION("""COMPUTED_VALUE"""),379.05)</f>
        <v>379.05</v>
      </c>
      <c r="F122" s="7">
        <f>IFERROR(__xludf.DUMMYFUNCTION("""COMPUTED_VALUE"""),5340552.0)</f>
        <v>5340552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f>IFERROR(__xludf.DUMMYFUNCTION("""COMPUTED_VALUE"""),45728.64583333333)</f>
        <v>45728.64583</v>
      </c>
      <c r="B123" s="7">
        <f>IFERROR(__xludf.DUMMYFUNCTION("""COMPUTED_VALUE"""),379.55)</f>
        <v>379.55</v>
      </c>
      <c r="C123" s="7">
        <f>IFERROR(__xludf.DUMMYFUNCTION("""COMPUTED_VALUE"""),382.85)</f>
        <v>382.85</v>
      </c>
      <c r="D123" s="7">
        <f>IFERROR(__xludf.DUMMYFUNCTION("""COMPUTED_VALUE"""),373.8)</f>
        <v>373.8</v>
      </c>
      <c r="E123" s="7">
        <f>IFERROR(__xludf.DUMMYFUNCTION("""COMPUTED_VALUE"""),380.7)</f>
        <v>380.7</v>
      </c>
      <c r="F123" s="7">
        <f>IFERROR(__xludf.DUMMYFUNCTION("""COMPUTED_VALUE"""),3951912.0)</f>
        <v>3951912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f>IFERROR(__xludf.DUMMYFUNCTION("""COMPUTED_VALUE"""),45729.64583333333)</f>
        <v>45729.64583</v>
      </c>
      <c r="B124" s="7">
        <f>IFERROR(__xludf.DUMMYFUNCTION("""COMPUTED_VALUE"""),381.5)</f>
        <v>381.5</v>
      </c>
      <c r="C124" s="7">
        <f>IFERROR(__xludf.DUMMYFUNCTION("""COMPUTED_VALUE"""),383.0)</f>
        <v>383</v>
      </c>
      <c r="D124" s="7">
        <f>IFERROR(__xludf.DUMMYFUNCTION("""COMPUTED_VALUE"""),377.35)</f>
        <v>377.35</v>
      </c>
      <c r="E124" s="7">
        <f>IFERROR(__xludf.DUMMYFUNCTION("""COMPUTED_VALUE"""),378.3)</f>
        <v>378.3</v>
      </c>
      <c r="F124" s="7">
        <f>IFERROR(__xludf.DUMMYFUNCTION("""COMPUTED_VALUE"""),3918004.0)</f>
        <v>3918004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f>IFERROR(__xludf.DUMMYFUNCTION("""COMPUTED_VALUE"""),45733.64583333333)</f>
        <v>45733.64583</v>
      </c>
      <c r="B125" s="7">
        <f>IFERROR(__xludf.DUMMYFUNCTION("""COMPUTED_VALUE"""),380.2)</f>
        <v>380.2</v>
      </c>
      <c r="C125" s="7">
        <f>IFERROR(__xludf.DUMMYFUNCTION("""COMPUTED_VALUE"""),387.05)</f>
        <v>387.05</v>
      </c>
      <c r="D125" s="7">
        <f>IFERROR(__xludf.DUMMYFUNCTION("""COMPUTED_VALUE"""),379.05)</f>
        <v>379.05</v>
      </c>
      <c r="E125" s="7">
        <f>IFERROR(__xludf.DUMMYFUNCTION("""COMPUTED_VALUE"""),385.75)</f>
        <v>385.75</v>
      </c>
      <c r="F125" s="7">
        <f>IFERROR(__xludf.DUMMYFUNCTION("""COMPUTED_VALUE"""),5456631.0)</f>
        <v>5456631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f>IFERROR(__xludf.DUMMYFUNCTION("""COMPUTED_VALUE"""),45734.64583333333)</f>
        <v>45734.64583</v>
      </c>
      <c r="B126" s="7">
        <f>IFERROR(__xludf.DUMMYFUNCTION("""COMPUTED_VALUE"""),387.45)</f>
        <v>387.45</v>
      </c>
      <c r="C126" s="7">
        <f>IFERROR(__xludf.DUMMYFUNCTION("""COMPUTED_VALUE"""),393.15)</f>
        <v>393.15</v>
      </c>
      <c r="D126" s="7">
        <f>IFERROR(__xludf.DUMMYFUNCTION("""COMPUTED_VALUE"""),386.45)</f>
        <v>386.45</v>
      </c>
      <c r="E126" s="7">
        <f>IFERROR(__xludf.DUMMYFUNCTION("""COMPUTED_VALUE"""),389.3)</f>
        <v>389.3</v>
      </c>
      <c r="F126" s="7">
        <f>IFERROR(__xludf.DUMMYFUNCTION("""COMPUTED_VALUE"""),6211943.0)</f>
        <v>6211943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f>IFERROR(__xludf.DUMMYFUNCTION("""COMPUTED_VALUE"""),45735.64583333333)</f>
        <v>45735.64583</v>
      </c>
      <c r="B127" s="7">
        <f>IFERROR(__xludf.DUMMYFUNCTION("""COMPUTED_VALUE"""),390.05)</f>
        <v>390.05</v>
      </c>
      <c r="C127" s="7">
        <f>IFERROR(__xludf.DUMMYFUNCTION("""COMPUTED_VALUE"""),398.05)</f>
        <v>398.05</v>
      </c>
      <c r="D127" s="7">
        <f>IFERROR(__xludf.DUMMYFUNCTION("""COMPUTED_VALUE"""),388.8)</f>
        <v>388.8</v>
      </c>
      <c r="E127" s="7">
        <f>IFERROR(__xludf.DUMMYFUNCTION("""COMPUTED_VALUE"""),395.85)</f>
        <v>395.85</v>
      </c>
      <c r="F127" s="7">
        <f>IFERROR(__xludf.DUMMYFUNCTION("""COMPUTED_VALUE"""),5827114.0)</f>
        <v>5827114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f>IFERROR(__xludf.DUMMYFUNCTION("""COMPUTED_VALUE"""),45736.64583333333)</f>
        <v>45736.64583</v>
      </c>
      <c r="B128" s="7">
        <f>IFERROR(__xludf.DUMMYFUNCTION("""COMPUTED_VALUE"""),397.7)</f>
        <v>397.7</v>
      </c>
      <c r="C128" s="7">
        <f>IFERROR(__xludf.DUMMYFUNCTION("""COMPUTED_VALUE"""),398.1)</f>
        <v>398.1</v>
      </c>
      <c r="D128" s="7">
        <f>IFERROR(__xludf.DUMMYFUNCTION("""COMPUTED_VALUE"""),392.05)</f>
        <v>392.05</v>
      </c>
      <c r="E128" s="7">
        <f>IFERROR(__xludf.DUMMYFUNCTION("""COMPUTED_VALUE"""),396.4)</f>
        <v>396.4</v>
      </c>
      <c r="F128" s="7">
        <f>IFERROR(__xludf.DUMMYFUNCTION("""COMPUTED_VALUE"""),7025398.0)</f>
        <v>7025398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f>IFERROR(__xludf.DUMMYFUNCTION("""COMPUTED_VALUE"""),45737.64583333333)</f>
        <v>45737.64583</v>
      </c>
      <c r="B129" s="7">
        <f>IFERROR(__xludf.DUMMYFUNCTION("""COMPUTED_VALUE"""),396.4)</f>
        <v>396.4</v>
      </c>
      <c r="C129" s="7">
        <f>IFERROR(__xludf.DUMMYFUNCTION("""COMPUTED_VALUE"""),411.1)</f>
        <v>411.1</v>
      </c>
      <c r="D129" s="7">
        <f>IFERROR(__xludf.DUMMYFUNCTION("""COMPUTED_VALUE"""),395.1)</f>
        <v>395.1</v>
      </c>
      <c r="E129" s="7">
        <f>IFERROR(__xludf.DUMMYFUNCTION("""COMPUTED_VALUE"""),405.4)</f>
        <v>405.4</v>
      </c>
      <c r="F129" s="7">
        <f>IFERROR(__xludf.DUMMYFUNCTION("""COMPUTED_VALUE"""),1.6564019E7)</f>
        <v>16564019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f>IFERROR(__xludf.DUMMYFUNCTION("""COMPUTED_VALUE"""),45740.64583333333)</f>
        <v>45740.64583</v>
      </c>
      <c r="B130" s="7">
        <f>IFERROR(__xludf.DUMMYFUNCTION("""COMPUTED_VALUE"""),407.95)</f>
        <v>407.95</v>
      </c>
      <c r="C130" s="7">
        <f>IFERROR(__xludf.DUMMYFUNCTION("""COMPUTED_VALUE"""),411.8)</f>
        <v>411.8</v>
      </c>
      <c r="D130" s="7">
        <f>IFERROR(__xludf.DUMMYFUNCTION("""COMPUTED_VALUE"""),405.05)</f>
        <v>405.05</v>
      </c>
      <c r="E130" s="7">
        <f>IFERROR(__xludf.DUMMYFUNCTION("""COMPUTED_VALUE"""),406.0)</f>
        <v>406</v>
      </c>
      <c r="F130" s="7">
        <f>IFERROR(__xludf.DUMMYFUNCTION("""COMPUTED_VALUE"""),5260300.0)</f>
        <v>5260300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f>IFERROR(__xludf.DUMMYFUNCTION("""COMPUTED_VALUE"""),45741.64583333333)</f>
        <v>45741.64583</v>
      </c>
      <c r="B131" s="7">
        <f>IFERROR(__xludf.DUMMYFUNCTION("""COMPUTED_VALUE"""),408.0)</f>
        <v>408</v>
      </c>
      <c r="C131" s="7">
        <f>IFERROR(__xludf.DUMMYFUNCTION("""COMPUTED_VALUE"""),408.25)</f>
        <v>408.25</v>
      </c>
      <c r="D131" s="7">
        <f>IFERROR(__xludf.DUMMYFUNCTION("""COMPUTED_VALUE"""),397.1)</f>
        <v>397.1</v>
      </c>
      <c r="E131" s="7">
        <f>IFERROR(__xludf.DUMMYFUNCTION("""COMPUTED_VALUE"""),398.3)</f>
        <v>398.3</v>
      </c>
      <c r="F131" s="7">
        <f>IFERROR(__xludf.DUMMYFUNCTION("""COMPUTED_VALUE"""),5636291.0)</f>
        <v>5636291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f>IFERROR(__xludf.DUMMYFUNCTION("""COMPUTED_VALUE"""),45742.64583333333)</f>
        <v>45742.64583</v>
      </c>
      <c r="B132" s="7">
        <f>IFERROR(__xludf.DUMMYFUNCTION("""COMPUTED_VALUE"""),398.5)</f>
        <v>398.5</v>
      </c>
      <c r="C132" s="7">
        <f>IFERROR(__xludf.DUMMYFUNCTION("""COMPUTED_VALUE"""),402.45)</f>
        <v>402.45</v>
      </c>
      <c r="D132" s="7">
        <f>IFERROR(__xludf.DUMMYFUNCTION("""COMPUTED_VALUE"""),393.15)</f>
        <v>393.15</v>
      </c>
      <c r="E132" s="7">
        <f>IFERROR(__xludf.DUMMYFUNCTION("""COMPUTED_VALUE"""),394.8)</f>
        <v>394.8</v>
      </c>
      <c r="F132" s="7">
        <f>IFERROR(__xludf.DUMMYFUNCTION("""COMPUTED_VALUE"""),5025274.0)</f>
        <v>5025274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f>IFERROR(__xludf.DUMMYFUNCTION("""COMPUTED_VALUE"""),45743.64583333333)</f>
        <v>45743.64583</v>
      </c>
      <c r="B133" s="7">
        <f>IFERROR(__xludf.DUMMYFUNCTION("""COMPUTED_VALUE"""),393.25)</f>
        <v>393.25</v>
      </c>
      <c r="C133" s="7">
        <f>IFERROR(__xludf.DUMMYFUNCTION("""COMPUTED_VALUE"""),399.65)</f>
        <v>399.65</v>
      </c>
      <c r="D133" s="7">
        <f>IFERROR(__xludf.DUMMYFUNCTION("""COMPUTED_VALUE"""),392.05)</f>
        <v>392.05</v>
      </c>
      <c r="E133" s="7">
        <f>IFERROR(__xludf.DUMMYFUNCTION("""COMPUTED_VALUE"""),396.85)</f>
        <v>396.85</v>
      </c>
      <c r="F133" s="7">
        <f>IFERROR(__xludf.DUMMYFUNCTION("""COMPUTED_VALUE"""),7697174.0)</f>
        <v>7697174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f>IFERROR(__xludf.DUMMYFUNCTION("""COMPUTED_VALUE"""),45744.64583333333)</f>
        <v>45744.64583</v>
      </c>
      <c r="B134" s="7">
        <f>IFERROR(__xludf.DUMMYFUNCTION("""COMPUTED_VALUE"""),397.0)</f>
        <v>397</v>
      </c>
      <c r="C134" s="7">
        <f>IFERROR(__xludf.DUMMYFUNCTION("""COMPUTED_VALUE"""),401.9)</f>
        <v>401.9</v>
      </c>
      <c r="D134" s="7">
        <f>IFERROR(__xludf.DUMMYFUNCTION("""COMPUTED_VALUE"""),393.5)</f>
        <v>393.5</v>
      </c>
      <c r="E134" s="7">
        <f>IFERROR(__xludf.DUMMYFUNCTION("""COMPUTED_VALUE"""),398.2)</f>
        <v>398.2</v>
      </c>
      <c r="F134" s="7">
        <f>IFERROR(__xludf.DUMMYFUNCTION("""COMPUTED_VALUE"""),6923988.0)</f>
        <v>6923988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f>IFERROR(__xludf.DUMMYFUNCTION("""COMPUTED_VALUE"""),45748.64583333333)</f>
        <v>45748.64583</v>
      </c>
      <c r="B135" s="7">
        <f>IFERROR(__xludf.DUMMYFUNCTION("""COMPUTED_VALUE"""),397.8)</f>
        <v>397.8</v>
      </c>
      <c r="C135" s="7">
        <f>IFERROR(__xludf.DUMMYFUNCTION("""COMPUTED_VALUE"""),402.55)</f>
        <v>402.55</v>
      </c>
      <c r="D135" s="7">
        <f>IFERROR(__xludf.DUMMYFUNCTION("""COMPUTED_VALUE"""),395.05)</f>
        <v>395.05</v>
      </c>
      <c r="E135" s="7">
        <f>IFERROR(__xludf.DUMMYFUNCTION("""COMPUTED_VALUE"""),397.65)</f>
        <v>397.65</v>
      </c>
      <c r="F135" s="7">
        <f>IFERROR(__xludf.DUMMYFUNCTION("""COMPUTED_VALUE"""),4332950.0)</f>
        <v>4332950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f>IFERROR(__xludf.DUMMYFUNCTION("""COMPUTED_VALUE"""),45749.64583333333)</f>
        <v>45749.64583</v>
      </c>
      <c r="B136" s="7">
        <f>IFERROR(__xludf.DUMMYFUNCTION("""COMPUTED_VALUE"""),401.6)</f>
        <v>401.6</v>
      </c>
      <c r="C136" s="7">
        <f>IFERROR(__xludf.DUMMYFUNCTION("""COMPUTED_VALUE"""),401.6)</f>
        <v>401.6</v>
      </c>
      <c r="D136" s="7">
        <f>IFERROR(__xludf.DUMMYFUNCTION("""COMPUTED_VALUE"""),391.5)</f>
        <v>391.5</v>
      </c>
      <c r="E136" s="7">
        <f>IFERROR(__xludf.DUMMYFUNCTION("""COMPUTED_VALUE"""),397.5)</f>
        <v>397.5</v>
      </c>
      <c r="F136" s="7">
        <f>IFERROR(__xludf.DUMMYFUNCTION("""COMPUTED_VALUE"""),4197123.0)</f>
        <v>4197123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f>IFERROR(__xludf.DUMMYFUNCTION("""COMPUTED_VALUE"""),45750.64583333333)</f>
        <v>45750.64583</v>
      </c>
      <c r="B137" s="7">
        <f>IFERROR(__xludf.DUMMYFUNCTION("""COMPUTED_VALUE"""),395.0)</f>
        <v>395</v>
      </c>
      <c r="C137" s="7">
        <f>IFERROR(__xludf.DUMMYFUNCTION("""COMPUTED_VALUE"""),400.0)</f>
        <v>400</v>
      </c>
      <c r="D137" s="7">
        <f>IFERROR(__xludf.DUMMYFUNCTION("""COMPUTED_VALUE"""),393.2)</f>
        <v>393.2</v>
      </c>
      <c r="E137" s="7">
        <f>IFERROR(__xludf.DUMMYFUNCTION("""COMPUTED_VALUE"""),397.05)</f>
        <v>397.05</v>
      </c>
      <c r="F137" s="7">
        <f>IFERROR(__xludf.DUMMYFUNCTION("""COMPUTED_VALUE"""),4970602.0)</f>
        <v>4970602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f>IFERROR(__xludf.DUMMYFUNCTION("""COMPUTED_VALUE"""),45751.64583333333)</f>
        <v>45751.64583</v>
      </c>
      <c r="B138" s="7">
        <f>IFERROR(__xludf.DUMMYFUNCTION("""COMPUTED_VALUE"""),396.0)</f>
        <v>396</v>
      </c>
      <c r="C138" s="7">
        <f>IFERROR(__xludf.DUMMYFUNCTION("""COMPUTED_VALUE"""),396.0)</f>
        <v>396</v>
      </c>
      <c r="D138" s="7">
        <f>IFERROR(__xludf.DUMMYFUNCTION("""COMPUTED_VALUE"""),382.6)</f>
        <v>382.6</v>
      </c>
      <c r="E138" s="7">
        <f>IFERROR(__xludf.DUMMYFUNCTION("""COMPUTED_VALUE"""),385.05)</f>
        <v>385.05</v>
      </c>
      <c r="F138" s="7">
        <f>IFERROR(__xludf.DUMMYFUNCTION("""COMPUTED_VALUE"""),6718760.0)</f>
        <v>6718760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f>IFERROR(__xludf.DUMMYFUNCTION("""COMPUTED_VALUE"""),45754.64583333333)</f>
        <v>45754.64583</v>
      </c>
      <c r="B139" s="7">
        <f>IFERROR(__xludf.DUMMYFUNCTION("""COMPUTED_VALUE"""),358.85)</f>
        <v>358.85</v>
      </c>
      <c r="C139" s="7">
        <f>IFERROR(__xludf.DUMMYFUNCTION("""COMPUTED_VALUE"""),379.4)</f>
        <v>379.4</v>
      </c>
      <c r="D139" s="7">
        <f>IFERROR(__xludf.DUMMYFUNCTION("""COMPUTED_VALUE"""),356.0)</f>
        <v>356</v>
      </c>
      <c r="E139" s="7">
        <f>IFERROR(__xludf.DUMMYFUNCTION("""COMPUTED_VALUE"""),377.5)</f>
        <v>377.5</v>
      </c>
      <c r="F139" s="7">
        <f>IFERROR(__xludf.DUMMYFUNCTION("""COMPUTED_VALUE"""),1.02024E7)</f>
        <v>10202400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f>IFERROR(__xludf.DUMMYFUNCTION("""COMPUTED_VALUE"""),45755.64583333333)</f>
        <v>45755.64583</v>
      </c>
      <c r="B140" s="7">
        <f>IFERROR(__xludf.DUMMYFUNCTION("""COMPUTED_VALUE"""),385.0)</f>
        <v>385</v>
      </c>
      <c r="C140" s="7">
        <f>IFERROR(__xludf.DUMMYFUNCTION("""COMPUTED_VALUE"""),385.5)</f>
        <v>385.5</v>
      </c>
      <c r="D140" s="7">
        <f>IFERROR(__xludf.DUMMYFUNCTION("""COMPUTED_VALUE"""),376.65)</f>
        <v>376.65</v>
      </c>
      <c r="E140" s="7">
        <f>IFERROR(__xludf.DUMMYFUNCTION("""COMPUTED_VALUE"""),382.85)</f>
        <v>382.85</v>
      </c>
      <c r="F140" s="7">
        <f>IFERROR(__xludf.DUMMYFUNCTION("""COMPUTED_VALUE"""),3577328.0)</f>
        <v>3577328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f>IFERROR(__xludf.DUMMYFUNCTION("""COMPUTED_VALUE"""),45756.64583333333)</f>
        <v>45756.64583</v>
      </c>
      <c r="B141" s="7">
        <f>IFERROR(__xludf.DUMMYFUNCTION("""COMPUTED_VALUE"""),382.3)</f>
        <v>382.3</v>
      </c>
      <c r="C141" s="7">
        <f>IFERROR(__xludf.DUMMYFUNCTION("""COMPUTED_VALUE"""),382.7)</f>
        <v>382.7</v>
      </c>
      <c r="D141" s="7">
        <f>IFERROR(__xludf.DUMMYFUNCTION("""COMPUTED_VALUE"""),373.1)</f>
        <v>373.1</v>
      </c>
      <c r="E141" s="7">
        <f>IFERROR(__xludf.DUMMYFUNCTION("""COMPUTED_VALUE"""),374.6)</f>
        <v>374.6</v>
      </c>
      <c r="F141" s="7">
        <f>IFERROR(__xludf.DUMMYFUNCTION("""COMPUTED_VALUE"""),5781453.0)</f>
        <v>5781453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f>IFERROR(__xludf.DUMMYFUNCTION("""COMPUTED_VALUE"""),45758.64583333333)</f>
        <v>45758.64583</v>
      </c>
      <c r="B142" s="7">
        <f>IFERROR(__xludf.DUMMYFUNCTION("""COMPUTED_VALUE"""),389.95)</f>
        <v>389.95</v>
      </c>
      <c r="C142" s="7">
        <f>IFERROR(__xludf.DUMMYFUNCTION("""COMPUTED_VALUE"""),392.8)</f>
        <v>392.8</v>
      </c>
      <c r="D142" s="7">
        <f>IFERROR(__xludf.DUMMYFUNCTION("""COMPUTED_VALUE"""),382.15)</f>
        <v>382.15</v>
      </c>
      <c r="E142" s="7">
        <f>IFERROR(__xludf.DUMMYFUNCTION("""COMPUTED_VALUE"""),392.1)</f>
        <v>392.1</v>
      </c>
      <c r="F142" s="7">
        <f>IFERROR(__xludf.DUMMYFUNCTION("""COMPUTED_VALUE"""),6185984.0)</f>
        <v>6185984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f>IFERROR(__xludf.DUMMYFUNCTION("""COMPUTED_VALUE"""),45762.64583333333)</f>
        <v>45762.64583</v>
      </c>
      <c r="B143" s="7">
        <f>IFERROR(__xludf.DUMMYFUNCTION("""COMPUTED_VALUE"""),399.0)</f>
        <v>399</v>
      </c>
      <c r="C143" s="7">
        <f>IFERROR(__xludf.DUMMYFUNCTION("""COMPUTED_VALUE"""),399.0)</f>
        <v>399</v>
      </c>
      <c r="D143" s="7">
        <f>IFERROR(__xludf.DUMMYFUNCTION("""COMPUTED_VALUE"""),393.5)</f>
        <v>393.5</v>
      </c>
      <c r="E143" s="7">
        <f>IFERROR(__xludf.DUMMYFUNCTION("""COMPUTED_VALUE"""),395.25)</f>
        <v>395.25</v>
      </c>
      <c r="F143" s="7">
        <f>IFERROR(__xludf.DUMMYFUNCTION("""COMPUTED_VALUE"""),4371156.0)</f>
        <v>4371156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f>IFERROR(__xludf.DUMMYFUNCTION("""COMPUTED_VALUE"""),45763.64583333333)</f>
        <v>45763.64583</v>
      </c>
      <c r="B144" s="7">
        <f>IFERROR(__xludf.DUMMYFUNCTION("""COMPUTED_VALUE"""),395.25)</f>
        <v>395.25</v>
      </c>
      <c r="C144" s="7">
        <f>IFERROR(__xludf.DUMMYFUNCTION("""COMPUTED_VALUE"""),400.1)</f>
        <v>400.1</v>
      </c>
      <c r="D144" s="7">
        <f>IFERROR(__xludf.DUMMYFUNCTION("""COMPUTED_VALUE"""),392.5)</f>
        <v>392.5</v>
      </c>
      <c r="E144" s="7">
        <f>IFERROR(__xludf.DUMMYFUNCTION("""COMPUTED_VALUE"""),399.25)</f>
        <v>399.25</v>
      </c>
      <c r="F144" s="7">
        <f>IFERROR(__xludf.DUMMYFUNCTION("""COMPUTED_VALUE"""),4992290.0)</f>
        <v>4992290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f>IFERROR(__xludf.DUMMYFUNCTION("""COMPUTED_VALUE"""),45764.64583333333)</f>
        <v>45764.64583</v>
      </c>
      <c r="B145" s="7">
        <f>IFERROR(__xludf.DUMMYFUNCTION("""COMPUTED_VALUE"""),396.9)</f>
        <v>396.9</v>
      </c>
      <c r="C145" s="7">
        <f>IFERROR(__xludf.DUMMYFUNCTION("""COMPUTED_VALUE"""),399.55)</f>
        <v>399.55</v>
      </c>
      <c r="D145" s="7">
        <f>IFERROR(__xludf.DUMMYFUNCTION("""COMPUTED_VALUE"""),388.3)</f>
        <v>388.3</v>
      </c>
      <c r="E145" s="7">
        <f>IFERROR(__xludf.DUMMYFUNCTION("""COMPUTED_VALUE"""),398.85)</f>
        <v>398.85</v>
      </c>
      <c r="F145" s="7">
        <f>IFERROR(__xludf.DUMMYFUNCTION("""COMPUTED_VALUE"""),8364450.0)</f>
        <v>8364450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f>IFERROR(__xludf.DUMMYFUNCTION("""COMPUTED_VALUE"""),45768.64583333333)</f>
        <v>45768.64583</v>
      </c>
      <c r="B146" s="7">
        <f>IFERROR(__xludf.DUMMYFUNCTION("""COMPUTED_VALUE"""),399.25)</f>
        <v>399.25</v>
      </c>
      <c r="C146" s="7">
        <f>IFERROR(__xludf.DUMMYFUNCTION("""COMPUTED_VALUE"""),406.0)</f>
        <v>406</v>
      </c>
      <c r="D146" s="7">
        <f>IFERROR(__xludf.DUMMYFUNCTION("""COMPUTED_VALUE"""),395.65)</f>
        <v>395.65</v>
      </c>
      <c r="E146" s="7">
        <f>IFERROR(__xludf.DUMMYFUNCTION("""COMPUTED_VALUE"""),400.5)</f>
        <v>400.5</v>
      </c>
      <c r="F146" s="7">
        <f>IFERROR(__xludf.DUMMYFUNCTION("""COMPUTED_VALUE"""),8987570.0)</f>
        <v>8987570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f>IFERROR(__xludf.DUMMYFUNCTION("""COMPUTED_VALUE"""),45769.64583333333)</f>
        <v>45769.64583</v>
      </c>
      <c r="B147" s="7">
        <f>IFERROR(__xludf.DUMMYFUNCTION("""COMPUTED_VALUE"""),403.5)</f>
        <v>403.5</v>
      </c>
      <c r="C147" s="7">
        <f>IFERROR(__xludf.DUMMYFUNCTION("""COMPUTED_VALUE"""),405.8)</f>
        <v>405.8</v>
      </c>
      <c r="D147" s="7">
        <f>IFERROR(__xludf.DUMMYFUNCTION("""COMPUTED_VALUE"""),394.3)</f>
        <v>394.3</v>
      </c>
      <c r="E147" s="7">
        <f>IFERROR(__xludf.DUMMYFUNCTION("""COMPUTED_VALUE"""),398.6)</f>
        <v>398.6</v>
      </c>
      <c r="F147" s="7">
        <f>IFERROR(__xludf.DUMMYFUNCTION("""COMPUTED_VALUE"""),7558174.0)</f>
        <v>7558174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f>IFERROR(__xludf.DUMMYFUNCTION("""COMPUTED_VALUE"""),45770.64583333333)</f>
        <v>45770.64583</v>
      </c>
      <c r="B148" s="7">
        <f>IFERROR(__xludf.DUMMYFUNCTION("""COMPUTED_VALUE"""),400.0)</f>
        <v>400</v>
      </c>
      <c r="C148" s="7">
        <f>IFERROR(__xludf.DUMMYFUNCTION("""COMPUTED_VALUE"""),401.6)</f>
        <v>401.6</v>
      </c>
      <c r="D148" s="7">
        <f>IFERROR(__xludf.DUMMYFUNCTION("""COMPUTED_VALUE"""),394.0)</f>
        <v>394</v>
      </c>
      <c r="E148" s="7">
        <f>IFERROR(__xludf.DUMMYFUNCTION("""COMPUTED_VALUE"""),398.95)</f>
        <v>398.95</v>
      </c>
      <c r="F148" s="7">
        <f>IFERROR(__xludf.DUMMYFUNCTION("""COMPUTED_VALUE"""),7429142.0)</f>
        <v>7429142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f>IFERROR(__xludf.DUMMYFUNCTION("""COMPUTED_VALUE"""),45771.64583333333)</f>
        <v>45771.64583</v>
      </c>
      <c r="B149" s="7">
        <f>IFERROR(__xludf.DUMMYFUNCTION("""COMPUTED_VALUE"""),398.9)</f>
        <v>398.9</v>
      </c>
      <c r="C149" s="7">
        <f>IFERROR(__xludf.DUMMYFUNCTION("""COMPUTED_VALUE"""),401.3)</f>
        <v>401.3</v>
      </c>
      <c r="D149" s="7">
        <f>IFERROR(__xludf.DUMMYFUNCTION("""COMPUTED_VALUE"""),396.85)</f>
        <v>396.85</v>
      </c>
      <c r="E149" s="7">
        <f>IFERROR(__xludf.DUMMYFUNCTION("""COMPUTED_VALUE"""),399.85)</f>
        <v>399.85</v>
      </c>
      <c r="F149" s="7">
        <f>IFERROR(__xludf.DUMMYFUNCTION("""COMPUTED_VALUE"""),5762303.0)</f>
        <v>5762303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f>IFERROR(__xludf.DUMMYFUNCTION("""COMPUTED_VALUE"""),45772.64583333333)</f>
        <v>45772.64583</v>
      </c>
      <c r="B150" s="7">
        <f>IFERROR(__xludf.DUMMYFUNCTION("""COMPUTED_VALUE"""),400.3)</f>
        <v>400.3</v>
      </c>
      <c r="C150" s="7">
        <f>IFERROR(__xludf.DUMMYFUNCTION("""COMPUTED_VALUE"""),404.0)</f>
        <v>404</v>
      </c>
      <c r="D150" s="7">
        <f>IFERROR(__xludf.DUMMYFUNCTION("""COMPUTED_VALUE"""),389.65)</f>
        <v>389.65</v>
      </c>
      <c r="E150" s="7">
        <f>IFERROR(__xludf.DUMMYFUNCTION("""COMPUTED_VALUE"""),393.15)</f>
        <v>393.15</v>
      </c>
      <c r="F150" s="7">
        <f>IFERROR(__xludf.DUMMYFUNCTION("""COMPUTED_VALUE"""),7337588.0)</f>
        <v>7337588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f>IFERROR(__xludf.DUMMYFUNCTION("""COMPUTED_VALUE"""),45775.64583333333)</f>
        <v>45775.64583</v>
      </c>
      <c r="B151" s="7">
        <f>IFERROR(__xludf.DUMMYFUNCTION("""COMPUTED_VALUE"""),393.15)</f>
        <v>393.15</v>
      </c>
      <c r="C151" s="7">
        <f>IFERROR(__xludf.DUMMYFUNCTION("""COMPUTED_VALUE"""),398.8)</f>
        <v>398.8</v>
      </c>
      <c r="D151" s="7">
        <f>IFERROR(__xludf.DUMMYFUNCTION("""COMPUTED_VALUE"""),391.55)</f>
        <v>391.55</v>
      </c>
      <c r="E151" s="7">
        <f>IFERROR(__xludf.DUMMYFUNCTION("""COMPUTED_VALUE"""),397.15)</f>
        <v>397.15</v>
      </c>
      <c r="F151" s="7">
        <f>IFERROR(__xludf.DUMMYFUNCTION("""COMPUTED_VALUE"""),3458518.0)</f>
        <v>3458518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f>IFERROR(__xludf.DUMMYFUNCTION("""COMPUTED_VALUE"""),45776.64583333333)</f>
        <v>45776.64583</v>
      </c>
      <c r="B152" s="7">
        <f>IFERROR(__xludf.DUMMYFUNCTION("""COMPUTED_VALUE"""),397.15)</f>
        <v>397.15</v>
      </c>
      <c r="C152" s="7">
        <f>IFERROR(__xludf.DUMMYFUNCTION("""COMPUTED_VALUE"""),400.35)</f>
        <v>400.35</v>
      </c>
      <c r="D152" s="7">
        <f>IFERROR(__xludf.DUMMYFUNCTION("""COMPUTED_VALUE"""),388.45)</f>
        <v>388.45</v>
      </c>
      <c r="E152" s="7">
        <f>IFERROR(__xludf.DUMMYFUNCTION("""COMPUTED_VALUE"""),389.1)</f>
        <v>389.1</v>
      </c>
      <c r="F152" s="7">
        <f>IFERROR(__xludf.DUMMYFUNCTION("""COMPUTED_VALUE"""),6274213.0)</f>
        <v>6274213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f>IFERROR(__xludf.DUMMYFUNCTION("""COMPUTED_VALUE"""),45777.64583333333)</f>
        <v>45777.64583</v>
      </c>
      <c r="B153" s="7">
        <f>IFERROR(__xludf.DUMMYFUNCTION("""COMPUTED_VALUE"""),389.1)</f>
        <v>389.1</v>
      </c>
      <c r="C153" s="7">
        <f>IFERROR(__xludf.DUMMYFUNCTION("""COMPUTED_VALUE"""),390.35)</f>
        <v>390.35</v>
      </c>
      <c r="D153" s="7">
        <f>IFERROR(__xludf.DUMMYFUNCTION("""COMPUTED_VALUE"""),383.1)</f>
        <v>383.1</v>
      </c>
      <c r="E153" s="7">
        <f>IFERROR(__xludf.DUMMYFUNCTION("""COMPUTED_VALUE"""),385.3)</f>
        <v>385.3</v>
      </c>
      <c r="F153" s="7">
        <f>IFERROR(__xludf.DUMMYFUNCTION("""COMPUTED_VALUE"""),4559122.0)</f>
        <v>4559122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f>IFERROR(__xludf.DUMMYFUNCTION("""COMPUTED_VALUE"""),45779.64583333333)</f>
        <v>45779.64583</v>
      </c>
      <c r="B154" s="7">
        <f>IFERROR(__xludf.DUMMYFUNCTION("""COMPUTED_VALUE"""),385.5)</f>
        <v>385.5</v>
      </c>
      <c r="C154" s="7">
        <f>IFERROR(__xludf.DUMMYFUNCTION("""COMPUTED_VALUE"""),390.95)</f>
        <v>390.95</v>
      </c>
      <c r="D154" s="7">
        <f>IFERROR(__xludf.DUMMYFUNCTION("""COMPUTED_VALUE"""),381.4)</f>
        <v>381.4</v>
      </c>
      <c r="E154" s="7">
        <f>IFERROR(__xludf.DUMMYFUNCTION("""COMPUTED_VALUE"""),384.4)</f>
        <v>384.4</v>
      </c>
      <c r="F154" s="7">
        <f>IFERROR(__xludf.DUMMYFUNCTION("""COMPUTED_VALUE"""),5045851.0)</f>
        <v>5045851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f>IFERROR(__xludf.DUMMYFUNCTION("""COMPUTED_VALUE"""),45782.64583333333)</f>
        <v>45782.64583</v>
      </c>
      <c r="B155" s="7">
        <f>IFERROR(__xludf.DUMMYFUNCTION("""COMPUTED_VALUE"""),385.95)</f>
        <v>385.95</v>
      </c>
      <c r="C155" s="7">
        <f>IFERROR(__xludf.DUMMYFUNCTION("""COMPUTED_VALUE"""),387.9)</f>
        <v>387.9</v>
      </c>
      <c r="D155" s="7">
        <f>IFERROR(__xludf.DUMMYFUNCTION("""COMPUTED_VALUE"""),381.75)</f>
        <v>381.75</v>
      </c>
      <c r="E155" s="7">
        <f>IFERROR(__xludf.DUMMYFUNCTION("""COMPUTED_VALUE"""),385.6)</f>
        <v>385.6</v>
      </c>
      <c r="F155" s="7">
        <f>IFERROR(__xludf.DUMMYFUNCTION("""COMPUTED_VALUE"""),6395704.0)</f>
        <v>6395704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f>IFERROR(__xludf.DUMMYFUNCTION("""COMPUTED_VALUE"""),45783.64583333333)</f>
        <v>45783.64583</v>
      </c>
      <c r="B156" s="7">
        <f>IFERROR(__xludf.DUMMYFUNCTION("""COMPUTED_VALUE"""),386.5)</f>
        <v>386.5</v>
      </c>
      <c r="C156" s="7">
        <f>IFERROR(__xludf.DUMMYFUNCTION("""COMPUTED_VALUE"""),387.65)</f>
        <v>387.65</v>
      </c>
      <c r="D156" s="7">
        <f>IFERROR(__xludf.DUMMYFUNCTION("""COMPUTED_VALUE"""),377.4)</f>
        <v>377.4</v>
      </c>
      <c r="E156" s="7">
        <f>IFERROR(__xludf.DUMMYFUNCTION("""COMPUTED_VALUE"""),378.25)</f>
        <v>378.25</v>
      </c>
      <c r="F156" s="7">
        <f>IFERROR(__xludf.DUMMYFUNCTION("""COMPUTED_VALUE"""),5982166.0)</f>
        <v>5982166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f>IFERROR(__xludf.DUMMYFUNCTION("""COMPUTED_VALUE"""),45784.64583333333)</f>
        <v>45784.64583</v>
      </c>
      <c r="B157" s="7">
        <f>IFERROR(__xludf.DUMMYFUNCTION("""COMPUTED_VALUE"""),370.3)</f>
        <v>370.3</v>
      </c>
      <c r="C157" s="7">
        <f>IFERROR(__xludf.DUMMYFUNCTION("""COMPUTED_VALUE"""),387.3)</f>
        <v>387.3</v>
      </c>
      <c r="D157" s="7">
        <f>IFERROR(__xludf.DUMMYFUNCTION("""COMPUTED_VALUE"""),370.3)</f>
        <v>370.3</v>
      </c>
      <c r="E157" s="7">
        <f>IFERROR(__xludf.DUMMYFUNCTION("""COMPUTED_VALUE"""),383.3)</f>
        <v>383.3</v>
      </c>
      <c r="F157" s="7">
        <f>IFERROR(__xludf.DUMMYFUNCTION("""COMPUTED_VALUE"""),9162368.0)</f>
        <v>9162368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f>IFERROR(__xludf.DUMMYFUNCTION("""COMPUTED_VALUE"""),45785.64583333333)</f>
        <v>45785.64583</v>
      </c>
      <c r="B158" s="7">
        <f>IFERROR(__xludf.DUMMYFUNCTION("""COMPUTED_VALUE"""),390.0)</f>
        <v>390</v>
      </c>
      <c r="C158" s="7">
        <f>IFERROR(__xludf.DUMMYFUNCTION("""COMPUTED_VALUE"""),394.95)</f>
        <v>394.95</v>
      </c>
      <c r="D158" s="7">
        <f>IFERROR(__xludf.DUMMYFUNCTION("""COMPUTED_VALUE"""),382.25)</f>
        <v>382.25</v>
      </c>
      <c r="E158" s="7">
        <f>IFERROR(__xludf.DUMMYFUNCTION("""COMPUTED_VALUE"""),385.45)</f>
        <v>385.45</v>
      </c>
      <c r="F158" s="7">
        <f>IFERROR(__xludf.DUMMYFUNCTION("""COMPUTED_VALUE"""),1.4258083E7)</f>
        <v>14258083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f>IFERROR(__xludf.DUMMYFUNCTION("""COMPUTED_VALUE"""),45786.64583333333)</f>
        <v>45786.64583</v>
      </c>
      <c r="B159" s="7">
        <f>IFERROR(__xludf.DUMMYFUNCTION("""COMPUTED_VALUE"""),379.1)</f>
        <v>379.1</v>
      </c>
      <c r="C159" s="7">
        <f>IFERROR(__xludf.DUMMYFUNCTION("""COMPUTED_VALUE"""),383.25)</f>
        <v>383.25</v>
      </c>
      <c r="D159" s="7">
        <f>IFERROR(__xludf.DUMMYFUNCTION("""COMPUTED_VALUE"""),377.05)</f>
        <v>377.05</v>
      </c>
      <c r="E159" s="7">
        <f>IFERROR(__xludf.DUMMYFUNCTION("""COMPUTED_VALUE"""),382.4)</f>
        <v>382.4</v>
      </c>
      <c r="F159" s="7">
        <f>IFERROR(__xludf.DUMMYFUNCTION("""COMPUTED_VALUE"""),3809943.0)</f>
        <v>3809943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f>IFERROR(__xludf.DUMMYFUNCTION("""COMPUTED_VALUE"""),45789.64583333333)</f>
        <v>45789.64583</v>
      </c>
      <c r="B160" s="7">
        <f>IFERROR(__xludf.DUMMYFUNCTION("""COMPUTED_VALUE"""),391.95)</f>
        <v>391.95</v>
      </c>
      <c r="C160" s="7">
        <f>IFERROR(__xludf.DUMMYFUNCTION("""COMPUTED_VALUE"""),396.1)</f>
        <v>396.1</v>
      </c>
      <c r="D160" s="7">
        <f>IFERROR(__xludf.DUMMYFUNCTION("""COMPUTED_VALUE"""),387.5)</f>
        <v>387.5</v>
      </c>
      <c r="E160" s="7">
        <f>IFERROR(__xludf.DUMMYFUNCTION("""COMPUTED_VALUE"""),395.5)</f>
        <v>395.5</v>
      </c>
      <c r="F160" s="7">
        <f>IFERROR(__xludf.DUMMYFUNCTION("""COMPUTED_VALUE"""),6743279.0)</f>
        <v>6743279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f>IFERROR(__xludf.DUMMYFUNCTION("""COMPUTED_VALUE"""),45790.64583333333)</f>
        <v>45790.64583</v>
      </c>
      <c r="B161" s="7">
        <f>IFERROR(__xludf.DUMMYFUNCTION("""COMPUTED_VALUE"""),395.5)</f>
        <v>395.5</v>
      </c>
      <c r="C161" s="7">
        <f>IFERROR(__xludf.DUMMYFUNCTION("""COMPUTED_VALUE"""),399.6)</f>
        <v>399.6</v>
      </c>
      <c r="D161" s="7">
        <f>IFERROR(__xludf.DUMMYFUNCTION("""COMPUTED_VALUE"""),394.05)</f>
        <v>394.05</v>
      </c>
      <c r="E161" s="7">
        <f>IFERROR(__xludf.DUMMYFUNCTION("""COMPUTED_VALUE"""),395.15)</f>
        <v>395.15</v>
      </c>
      <c r="F161" s="7">
        <f>IFERROR(__xludf.DUMMYFUNCTION("""COMPUTED_VALUE"""),6307140.0)</f>
        <v>6307140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f>IFERROR(__xludf.DUMMYFUNCTION("""COMPUTED_VALUE"""),45791.64583333333)</f>
        <v>45791.64583</v>
      </c>
      <c r="B162" s="7">
        <f>IFERROR(__xludf.DUMMYFUNCTION("""COMPUTED_VALUE"""),396.75)</f>
        <v>396.75</v>
      </c>
      <c r="C162" s="7">
        <f>IFERROR(__xludf.DUMMYFUNCTION("""COMPUTED_VALUE"""),404.05)</f>
        <v>404.05</v>
      </c>
      <c r="D162" s="7">
        <f>IFERROR(__xludf.DUMMYFUNCTION("""COMPUTED_VALUE"""),396.45)</f>
        <v>396.45</v>
      </c>
      <c r="E162" s="7">
        <f>IFERROR(__xludf.DUMMYFUNCTION("""COMPUTED_VALUE"""),403.1)</f>
        <v>403.1</v>
      </c>
      <c r="F162" s="7">
        <f>IFERROR(__xludf.DUMMYFUNCTION("""COMPUTED_VALUE"""),6822756.0)</f>
        <v>6822756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f>IFERROR(__xludf.DUMMYFUNCTION("""COMPUTED_VALUE"""),45792.64583333333)</f>
        <v>45792.64583</v>
      </c>
      <c r="B163" s="7">
        <f>IFERROR(__xludf.DUMMYFUNCTION("""COMPUTED_VALUE"""),403.75)</f>
        <v>403.75</v>
      </c>
      <c r="C163" s="7">
        <f>IFERROR(__xludf.DUMMYFUNCTION("""COMPUTED_VALUE"""),406.4)</f>
        <v>406.4</v>
      </c>
      <c r="D163" s="7">
        <f>IFERROR(__xludf.DUMMYFUNCTION("""COMPUTED_VALUE"""),399.6)</f>
        <v>399.6</v>
      </c>
      <c r="E163" s="7">
        <f>IFERROR(__xludf.DUMMYFUNCTION("""COMPUTED_VALUE"""),404.65)</f>
        <v>404.65</v>
      </c>
      <c r="F163" s="7">
        <f>IFERROR(__xludf.DUMMYFUNCTION("""COMPUTED_VALUE"""),1.0511989E7)</f>
        <v>10511989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f>IFERROR(__xludf.DUMMYFUNCTION("""COMPUTED_VALUE"""),45793.64583333333)</f>
        <v>45793.64583</v>
      </c>
      <c r="B164" s="7">
        <f>IFERROR(__xludf.DUMMYFUNCTION("""COMPUTED_VALUE"""),406.0)</f>
        <v>406</v>
      </c>
      <c r="C164" s="7">
        <f>IFERROR(__xludf.DUMMYFUNCTION("""COMPUTED_VALUE"""),409.0)</f>
        <v>409</v>
      </c>
      <c r="D164" s="7">
        <f>IFERROR(__xludf.DUMMYFUNCTION("""COMPUTED_VALUE"""),403.6)</f>
        <v>403.6</v>
      </c>
      <c r="E164" s="7">
        <f>IFERROR(__xludf.DUMMYFUNCTION("""COMPUTED_VALUE"""),404.8)</f>
        <v>404.8</v>
      </c>
      <c r="F164" s="7">
        <f>IFERROR(__xludf.DUMMYFUNCTION("""COMPUTED_VALUE"""),4702603.0)</f>
        <v>4702603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f>IFERROR(__xludf.DUMMYFUNCTION("""COMPUTED_VALUE"""),45796.64583333333)</f>
        <v>45796.64583</v>
      </c>
      <c r="B165" s="7">
        <f>IFERROR(__xludf.DUMMYFUNCTION("""COMPUTED_VALUE"""),405.95)</f>
        <v>405.95</v>
      </c>
      <c r="C165" s="7">
        <f>IFERROR(__xludf.DUMMYFUNCTION("""COMPUTED_VALUE"""),407.45)</f>
        <v>407.45</v>
      </c>
      <c r="D165" s="7">
        <f>IFERROR(__xludf.DUMMYFUNCTION("""COMPUTED_VALUE"""),401.05)</f>
        <v>401.05</v>
      </c>
      <c r="E165" s="7">
        <f>IFERROR(__xludf.DUMMYFUNCTION("""COMPUTED_VALUE"""),402.7)</f>
        <v>402.7</v>
      </c>
      <c r="F165" s="7">
        <f>IFERROR(__xludf.DUMMYFUNCTION("""COMPUTED_VALUE"""),5446656.0)</f>
        <v>5446656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f>IFERROR(__xludf.DUMMYFUNCTION("""COMPUTED_VALUE"""),45797.64583333333)</f>
        <v>45797.64583</v>
      </c>
      <c r="B166" s="7">
        <f>IFERROR(__xludf.DUMMYFUNCTION("""COMPUTED_VALUE"""),405.5)</f>
        <v>405.5</v>
      </c>
      <c r="C166" s="7">
        <f>IFERROR(__xludf.DUMMYFUNCTION("""COMPUTED_VALUE"""),417.25)</f>
        <v>417.25</v>
      </c>
      <c r="D166" s="7">
        <f>IFERROR(__xludf.DUMMYFUNCTION("""COMPUTED_VALUE"""),404.0)</f>
        <v>404</v>
      </c>
      <c r="E166" s="7">
        <f>IFERROR(__xludf.DUMMYFUNCTION("""COMPUTED_VALUE"""),408.1)</f>
        <v>408.1</v>
      </c>
      <c r="F166" s="7">
        <f>IFERROR(__xludf.DUMMYFUNCTION("""COMPUTED_VALUE"""),1.8755291E7)</f>
        <v>18755291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f>IFERROR(__xludf.DUMMYFUNCTION("""COMPUTED_VALUE"""),45798.64583333333)</f>
        <v>45798.64583</v>
      </c>
      <c r="B167" s="7">
        <f>IFERROR(__xludf.DUMMYFUNCTION("""COMPUTED_VALUE"""),411.65)</f>
        <v>411.65</v>
      </c>
      <c r="C167" s="7">
        <f>IFERROR(__xludf.DUMMYFUNCTION("""COMPUTED_VALUE"""),413.55)</f>
        <v>413.55</v>
      </c>
      <c r="D167" s="7">
        <f>IFERROR(__xludf.DUMMYFUNCTION("""COMPUTED_VALUE"""),404.25)</f>
        <v>404.25</v>
      </c>
      <c r="E167" s="7">
        <f>IFERROR(__xludf.DUMMYFUNCTION("""COMPUTED_VALUE"""),405.35)</f>
        <v>405.35</v>
      </c>
      <c r="F167" s="7">
        <f>IFERROR(__xludf.DUMMYFUNCTION("""COMPUTED_VALUE"""),7393102.0)</f>
        <v>7393102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f>IFERROR(__xludf.DUMMYFUNCTION("""COMPUTED_VALUE"""),45799.64583333333)</f>
        <v>45799.64583</v>
      </c>
      <c r="B168" s="7">
        <f>IFERROR(__xludf.DUMMYFUNCTION("""COMPUTED_VALUE"""),405.0)</f>
        <v>405</v>
      </c>
      <c r="C168" s="7">
        <f>IFERROR(__xludf.DUMMYFUNCTION("""COMPUTED_VALUE"""),406.65)</f>
        <v>406.65</v>
      </c>
      <c r="D168" s="7">
        <f>IFERROR(__xludf.DUMMYFUNCTION("""COMPUTED_VALUE"""),393.2)</f>
        <v>393.2</v>
      </c>
      <c r="E168" s="7">
        <f>IFERROR(__xludf.DUMMYFUNCTION("""COMPUTED_VALUE"""),398.85)</f>
        <v>398.85</v>
      </c>
      <c r="F168" s="7">
        <f>IFERROR(__xludf.DUMMYFUNCTION("""COMPUTED_VALUE"""),7936875.0)</f>
        <v>7936875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f>IFERROR(__xludf.DUMMYFUNCTION("""COMPUTED_VALUE"""),45800.64583333333)</f>
        <v>45800.64583</v>
      </c>
      <c r="B169" s="7">
        <f>IFERROR(__xludf.DUMMYFUNCTION("""COMPUTED_VALUE"""),400.2)</f>
        <v>400.2</v>
      </c>
      <c r="C169" s="7">
        <f>IFERROR(__xludf.DUMMYFUNCTION("""COMPUTED_VALUE"""),403.0)</f>
        <v>403</v>
      </c>
      <c r="D169" s="7">
        <f>IFERROR(__xludf.DUMMYFUNCTION("""COMPUTED_VALUE"""),399.0)</f>
        <v>399</v>
      </c>
      <c r="E169" s="7">
        <f>IFERROR(__xludf.DUMMYFUNCTION("""COMPUTED_VALUE"""),401.5)</f>
        <v>401.5</v>
      </c>
      <c r="F169" s="7">
        <f>IFERROR(__xludf.DUMMYFUNCTION("""COMPUTED_VALUE"""),4178408.0)</f>
        <v>4178408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f>IFERROR(__xludf.DUMMYFUNCTION("""COMPUTED_VALUE"""),45803.64583333333)</f>
        <v>45803.64583</v>
      </c>
      <c r="B170" s="7">
        <f>IFERROR(__xludf.DUMMYFUNCTION("""COMPUTED_VALUE"""),402.55)</f>
        <v>402.55</v>
      </c>
      <c r="C170" s="7">
        <f>IFERROR(__xludf.DUMMYFUNCTION("""COMPUTED_VALUE"""),405.8)</f>
        <v>405.8</v>
      </c>
      <c r="D170" s="7">
        <f>IFERROR(__xludf.DUMMYFUNCTION("""COMPUTED_VALUE"""),401.75)</f>
        <v>401.75</v>
      </c>
      <c r="E170" s="7">
        <f>IFERROR(__xludf.DUMMYFUNCTION("""COMPUTED_VALUE"""),402.7)</f>
        <v>402.7</v>
      </c>
      <c r="F170" s="7">
        <f>IFERROR(__xludf.DUMMYFUNCTION("""COMPUTED_VALUE"""),6067873.0)</f>
        <v>6067873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f>IFERROR(__xludf.DUMMYFUNCTION("""COMPUTED_VALUE"""),45804.64583333333)</f>
        <v>45804.64583</v>
      </c>
      <c r="B171" s="7">
        <f>IFERROR(__xludf.DUMMYFUNCTION("""COMPUTED_VALUE"""),402.5)</f>
        <v>402.5</v>
      </c>
      <c r="C171" s="7">
        <f>IFERROR(__xludf.DUMMYFUNCTION("""COMPUTED_VALUE"""),403.55)</f>
        <v>403.55</v>
      </c>
      <c r="D171" s="7">
        <f>IFERROR(__xludf.DUMMYFUNCTION("""COMPUTED_VALUE"""),398.3)</f>
        <v>398.3</v>
      </c>
      <c r="E171" s="7">
        <f>IFERROR(__xludf.DUMMYFUNCTION("""COMPUTED_VALUE"""),399.95)</f>
        <v>399.95</v>
      </c>
      <c r="F171" s="7">
        <f>IFERROR(__xludf.DUMMYFUNCTION("""COMPUTED_VALUE"""),6553758.0)</f>
        <v>6553758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f>IFERROR(__xludf.DUMMYFUNCTION("""COMPUTED_VALUE"""),45805.64583333333)</f>
        <v>45805.64583</v>
      </c>
      <c r="B172" s="7">
        <f>IFERROR(__xludf.DUMMYFUNCTION("""COMPUTED_VALUE"""),401.0)</f>
        <v>401</v>
      </c>
      <c r="C172" s="7">
        <f>IFERROR(__xludf.DUMMYFUNCTION("""COMPUTED_VALUE"""),401.85)</f>
        <v>401.85</v>
      </c>
      <c r="D172" s="7">
        <f>IFERROR(__xludf.DUMMYFUNCTION("""COMPUTED_VALUE"""),396.5)</f>
        <v>396.5</v>
      </c>
      <c r="E172" s="7">
        <f>IFERROR(__xludf.DUMMYFUNCTION("""COMPUTED_VALUE"""),398.2)</f>
        <v>398.2</v>
      </c>
      <c r="F172" s="7">
        <f>IFERROR(__xludf.DUMMYFUNCTION("""COMPUTED_VALUE"""),6002200.0)</f>
        <v>6002200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f>IFERROR(__xludf.DUMMYFUNCTION("""COMPUTED_VALUE"""),45806.64583333333)</f>
        <v>45806.64583</v>
      </c>
      <c r="B173" s="7">
        <f>IFERROR(__xludf.DUMMYFUNCTION("""COMPUTED_VALUE"""),400.0)</f>
        <v>400</v>
      </c>
      <c r="C173" s="7">
        <f>IFERROR(__xludf.DUMMYFUNCTION("""COMPUTED_VALUE"""),401.2)</f>
        <v>401.2</v>
      </c>
      <c r="D173" s="7">
        <f>IFERROR(__xludf.DUMMYFUNCTION("""COMPUTED_VALUE"""),397.0)</f>
        <v>397</v>
      </c>
      <c r="E173" s="7">
        <f>IFERROR(__xludf.DUMMYFUNCTION("""COMPUTED_VALUE"""),398.2)</f>
        <v>398.2</v>
      </c>
      <c r="F173" s="7">
        <f>IFERROR(__xludf.DUMMYFUNCTION("""COMPUTED_VALUE"""),7724668.0)</f>
        <v>7724668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f>IFERROR(__xludf.DUMMYFUNCTION("""COMPUTED_VALUE"""),45807.64583333333)</f>
        <v>45807.64583</v>
      </c>
      <c r="B174" s="7">
        <f>IFERROR(__xludf.DUMMYFUNCTION("""COMPUTED_VALUE"""),398.95)</f>
        <v>398.95</v>
      </c>
      <c r="C174" s="7">
        <f>IFERROR(__xludf.DUMMYFUNCTION("""COMPUTED_VALUE"""),404.75)</f>
        <v>404.75</v>
      </c>
      <c r="D174" s="7">
        <f>IFERROR(__xludf.DUMMYFUNCTION("""COMPUTED_VALUE"""),396.35)</f>
        <v>396.35</v>
      </c>
      <c r="E174" s="7">
        <f>IFERROR(__xludf.DUMMYFUNCTION("""COMPUTED_VALUE"""),397.3)</f>
        <v>397.3</v>
      </c>
      <c r="F174" s="7">
        <f>IFERROR(__xludf.DUMMYFUNCTION("""COMPUTED_VALUE"""),6565658.0)</f>
        <v>6565658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f>IFERROR(__xludf.DUMMYFUNCTION("""COMPUTED_VALUE"""),45810.64583333333)</f>
        <v>45810.64583</v>
      </c>
      <c r="B175" s="7">
        <f>IFERROR(__xludf.DUMMYFUNCTION("""COMPUTED_VALUE"""),398.95)</f>
        <v>398.95</v>
      </c>
      <c r="C175" s="7">
        <f>IFERROR(__xludf.DUMMYFUNCTION("""COMPUTED_VALUE"""),401.4)</f>
        <v>401.4</v>
      </c>
      <c r="D175" s="7">
        <f>IFERROR(__xludf.DUMMYFUNCTION("""COMPUTED_VALUE"""),395.5)</f>
        <v>395.5</v>
      </c>
      <c r="E175" s="7">
        <f>IFERROR(__xludf.DUMMYFUNCTION("""COMPUTED_VALUE"""),399.7)</f>
        <v>399.7</v>
      </c>
      <c r="F175" s="7">
        <f>IFERROR(__xludf.DUMMYFUNCTION("""COMPUTED_VALUE"""),6119571.0)</f>
        <v>6119571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f>IFERROR(__xludf.DUMMYFUNCTION("""COMPUTED_VALUE"""),45811.64583333333)</f>
        <v>45811.64583</v>
      </c>
      <c r="B176" s="7">
        <f>IFERROR(__xludf.DUMMYFUNCTION("""COMPUTED_VALUE"""),399.7)</f>
        <v>399.7</v>
      </c>
      <c r="C176" s="7">
        <f>IFERROR(__xludf.DUMMYFUNCTION("""COMPUTED_VALUE"""),400.5)</f>
        <v>400.5</v>
      </c>
      <c r="D176" s="7">
        <f>IFERROR(__xludf.DUMMYFUNCTION("""COMPUTED_VALUE"""),390.5)</f>
        <v>390.5</v>
      </c>
      <c r="E176" s="7">
        <f>IFERROR(__xludf.DUMMYFUNCTION("""COMPUTED_VALUE"""),392.85)</f>
        <v>392.85</v>
      </c>
      <c r="F176" s="7">
        <f>IFERROR(__xludf.DUMMYFUNCTION("""COMPUTED_VALUE"""),7360608.0)</f>
        <v>7360608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f>IFERROR(__xludf.DUMMYFUNCTION("""COMPUTED_VALUE"""),45812.64583333333)</f>
        <v>45812.64583</v>
      </c>
      <c r="B177" s="7">
        <f>IFERROR(__xludf.DUMMYFUNCTION("""COMPUTED_VALUE"""),392.85)</f>
        <v>392.85</v>
      </c>
      <c r="C177" s="7">
        <f>IFERROR(__xludf.DUMMYFUNCTION("""COMPUTED_VALUE"""),395.0)</f>
        <v>395</v>
      </c>
      <c r="D177" s="7">
        <f>IFERROR(__xludf.DUMMYFUNCTION("""COMPUTED_VALUE"""),389.6)</f>
        <v>389.6</v>
      </c>
      <c r="E177" s="7">
        <f>IFERROR(__xludf.DUMMYFUNCTION("""COMPUTED_VALUE"""),394.6)</f>
        <v>394.6</v>
      </c>
      <c r="F177" s="7">
        <f>IFERROR(__xludf.DUMMYFUNCTION("""COMPUTED_VALUE"""),3861957.0)</f>
        <v>3861957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f>IFERROR(__xludf.DUMMYFUNCTION("""COMPUTED_VALUE"""),45813.64583333333)</f>
        <v>45813.64583</v>
      </c>
      <c r="B178" s="7">
        <f>IFERROR(__xludf.DUMMYFUNCTION("""COMPUTED_VALUE"""),394.6)</f>
        <v>394.6</v>
      </c>
      <c r="C178" s="7">
        <f>IFERROR(__xludf.DUMMYFUNCTION("""COMPUTED_VALUE"""),397.8)</f>
        <v>397.8</v>
      </c>
      <c r="D178" s="7">
        <f>IFERROR(__xludf.DUMMYFUNCTION("""COMPUTED_VALUE"""),392.55)</f>
        <v>392.55</v>
      </c>
      <c r="E178" s="7">
        <f>IFERROR(__xludf.DUMMYFUNCTION("""COMPUTED_VALUE"""),394.9)</f>
        <v>394.9</v>
      </c>
      <c r="F178" s="7">
        <f>IFERROR(__xludf.DUMMYFUNCTION("""COMPUTED_VALUE"""),6097293.0)</f>
        <v>6097293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f>IFERROR(__xludf.DUMMYFUNCTION("""COMPUTED_VALUE"""),45814.64583333333)</f>
        <v>45814.64583</v>
      </c>
      <c r="B179" s="7">
        <f>IFERROR(__xludf.DUMMYFUNCTION("""COMPUTED_VALUE"""),397.85)</f>
        <v>397.85</v>
      </c>
      <c r="C179" s="7">
        <f>IFERROR(__xludf.DUMMYFUNCTION("""COMPUTED_VALUE"""),400.6)</f>
        <v>400.6</v>
      </c>
      <c r="D179" s="7">
        <f>IFERROR(__xludf.DUMMYFUNCTION("""COMPUTED_VALUE"""),396.05)</f>
        <v>396.05</v>
      </c>
      <c r="E179" s="7">
        <f>IFERROR(__xludf.DUMMYFUNCTION("""COMPUTED_VALUE"""),398.95)</f>
        <v>398.95</v>
      </c>
      <c r="F179" s="7">
        <f>IFERROR(__xludf.DUMMYFUNCTION("""COMPUTED_VALUE"""),7633919.0)</f>
        <v>7633919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f>IFERROR(__xludf.DUMMYFUNCTION("""COMPUTED_VALUE"""),45817.64583333333)</f>
        <v>45817.64583</v>
      </c>
      <c r="B180" s="7">
        <f>IFERROR(__xludf.DUMMYFUNCTION("""COMPUTED_VALUE"""),400.9)</f>
        <v>400.9</v>
      </c>
      <c r="C180" s="7">
        <f>IFERROR(__xludf.DUMMYFUNCTION("""COMPUTED_VALUE"""),406.2)</f>
        <v>406.2</v>
      </c>
      <c r="D180" s="7">
        <f>IFERROR(__xludf.DUMMYFUNCTION("""COMPUTED_VALUE"""),400.0)</f>
        <v>400</v>
      </c>
      <c r="E180" s="7">
        <f>IFERROR(__xludf.DUMMYFUNCTION("""COMPUTED_VALUE"""),401.0)</f>
        <v>401</v>
      </c>
      <c r="F180" s="7">
        <f>IFERROR(__xludf.DUMMYFUNCTION("""COMPUTED_VALUE"""),9626374.0)</f>
        <v>9626374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f>IFERROR(__xludf.DUMMYFUNCTION("""COMPUTED_VALUE"""),45818.64583333333)</f>
        <v>45818.64583</v>
      </c>
      <c r="B181" s="7">
        <f>IFERROR(__xludf.DUMMYFUNCTION("""COMPUTED_VALUE"""),403.0)</f>
        <v>403</v>
      </c>
      <c r="C181" s="7">
        <f>IFERROR(__xludf.DUMMYFUNCTION("""COMPUTED_VALUE"""),404.5)</f>
        <v>404.5</v>
      </c>
      <c r="D181" s="7">
        <f>IFERROR(__xludf.DUMMYFUNCTION("""COMPUTED_VALUE"""),398.85)</f>
        <v>398.85</v>
      </c>
      <c r="E181" s="7">
        <f>IFERROR(__xludf.DUMMYFUNCTION("""COMPUTED_VALUE"""),399.55)</f>
        <v>399.55</v>
      </c>
      <c r="F181" s="7">
        <f>IFERROR(__xludf.DUMMYFUNCTION("""COMPUTED_VALUE"""),6362912.0)</f>
        <v>6362912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f>IFERROR(__xludf.DUMMYFUNCTION("""COMPUTED_VALUE"""),45819.64583333333)</f>
        <v>45819.64583</v>
      </c>
      <c r="B182" s="7">
        <f>IFERROR(__xludf.DUMMYFUNCTION("""COMPUTED_VALUE"""),400.1)</f>
        <v>400.1</v>
      </c>
      <c r="C182" s="7">
        <f>IFERROR(__xludf.DUMMYFUNCTION("""COMPUTED_VALUE"""),409.5)</f>
        <v>409.5</v>
      </c>
      <c r="D182" s="7">
        <f>IFERROR(__xludf.DUMMYFUNCTION("""COMPUTED_VALUE"""),398.4)</f>
        <v>398.4</v>
      </c>
      <c r="E182" s="7">
        <f>IFERROR(__xludf.DUMMYFUNCTION("""COMPUTED_VALUE"""),402.1)</f>
        <v>402.1</v>
      </c>
      <c r="F182" s="7">
        <f>IFERROR(__xludf.DUMMYFUNCTION("""COMPUTED_VALUE"""),1.1946342E7)</f>
        <v>11946342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f>IFERROR(__xludf.DUMMYFUNCTION("""COMPUTED_VALUE"""),45820.64583333333)</f>
        <v>45820.64583</v>
      </c>
      <c r="B183" s="7">
        <f>IFERROR(__xludf.DUMMYFUNCTION("""COMPUTED_VALUE"""),402.0)</f>
        <v>402</v>
      </c>
      <c r="C183" s="7">
        <f>IFERROR(__xludf.DUMMYFUNCTION("""COMPUTED_VALUE"""),402.35)</f>
        <v>402.35</v>
      </c>
      <c r="D183" s="7">
        <f>IFERROR(__xludf.DUMMYFUNCTION("""COMPUTED_VALUE"""),391.5)</f>
        <v>391.5</v>
      </c>
      <c r="E183" s="7">
        <f>IFERROR(__xludf.DUMMYFUNCTION("""COMPUTED_VALUE"""),392.7)</f>
        <v>392.7</v>
      </c>
      <c r="F183" s="7">
        <f>IFERROR(__xludf.DUMMYFUNCTION("""COMPUTED_VALUE"""),1.1262656E7)</f>
        <v>11262656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f>IFERROR(__xludf.DUMMYFUNCTION("""COMPUTED_VALUE"""),45821.64583333333)</f>
        <v>45821.64583</v>
      </c>
      <c r="B184" s="7">
        <f>IFERROR(__xludf.DUMMYFUNCTION("""COMPUTED_VALUE"""),390.0)</f>
        <v>390</v>
      </c>
      <c r="C184" s="7">
        <f>IFERROR(__xludf.DUMMYFUNCTION("""COMPUTED_VALUE"""),392.35)</f>
        <v>392.35</v>
      </c>
      <c r="D184" s="7">
        <f>IFERROR(__xludf.DUMMYFUNCTION("""COMPUTED_VALUE"""),386.0)</f>
        <v>386</v>
      </c>
      <c r="E184" s="7">
        <f>IFERROR(__xludf.DUMMYFUNCTION("""COMPUTED_VALUE"""),391.2)</f>
        <v>391.2</v>
      </c>
      <c r="F184" s="7">
        <f>IFERROR(__xludf.DUMMYFUNCTION("""COMPUTED_VALUE"""),5253032.0)</f>
        <v>5253032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f>IFERROR(__xludf.DUMMYFUNCTION("""COMPUTED_VALUE"""),45824.64583333333)</f>
        <v>45824.64583</v>
      </c>
      <c r="B185" s="7">
        <f>IFERROR(__xludf.DUMMYFUNCTION("""COMPUTED_VALUE"""),391.0)</f>
        <v>391</v>
      </c>
      <c r="C185" s="7">
        <f>IFERROR(__xludf.DUMMYFUNCTION("""COMPUTED_VALUE"""),394.6)</f>
        <v>394.6</v>
      </c>
      <c r="D185" s="7">
        <f>IFERROR(__xludf.DUMMYFUNCTION("""COMPUTED_VALUE"""),386.2)</f>
        <v>386.2</v>
      </c>
      <c r="E185" s="7">
        <f>IFERROR(__xludf.DUMMYFUNCTION("""COMPUTED_VALUE"""),394.35)</f>
        <v>394.35</v>
      </c>
      <c r="F185" s="7">
        <f>IFERROR(__xludf.DUMMYFUNCTION("""COMPUTED_VALUE"""),3706240.0)</f>
        <v>3706240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f>IFERROR(__xludf.DUMMYFUNCTION("""COMPUTED_VALUE"""),45825.64583333333)</f>
        <v>45825.64583</v>
      </c>
      <c r="B186" s="7">
        <f>IFERROR(__xludf.DUMMYFUNCTION("""COMPUTED_VALUE"""),394.0)</f>
        <v>394</v>
      </c>
      <c r="C186" s="7">
        <f>IFERROR(__xludf.DUMMYFUNCTION("""COMPUTED_VALUE"""),395.85)</f>
        <v>395.85</v>
      </c>
      <c r="D186" s="7">
        <f>IFERROR(__xludf.DUMMYFUNCTION("""COMPUTED_VALUE"""),390.1)</f>
        <v>390.1</v>
      </c>
      <c r="E186" s="7">
        <f>IFERROR(__xludf.DUMMYFUNCTION("""COMPUTED_VALUE"""),391.3)</f>
        <v>391.3</v>
      </c>
      <c r="F186" s="7">
        <f>IFERROR(__xludf.DUMMYFUNCTION("""COMPUTED_VALUE"""),3248476.0)</f>
        <v>3248476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f>IFERROR(__xludf.DUMMYFUNCTION("""COMPUTED_VALUE"""),45826.64583333333)</f>
        <v>45826.64583</v>
      </c>
      <c r="B187" s="7">
        <f>IFERROR(__xludf.DUMMYFUNCTION("""COMPUTED_VALUE"""),391.3)</f>
        <v>391.3</v>
      </c>
      <c r="C187" s="7">
        <f>IFERROR(__xludf.DUMMYFUNCTION("""COMPUTED_VALUE"""),393.4)</f>
        <v>393.4</v>
      </c>
      <c r="D187" s="7">
        <f>IFERROR(__xludf.DUMMYFUNCTION("""COMPUTED_VALUE"""),388.1)</f>
        <v>388.1</v>
      </c>
      <c r="E187" s="7">
        <f>IFERROR(__xludf.DUMMYFUNCTION("""COMPUTED_VALUE"""),390.35)</f>
        <v>390.35</v>
      </c>
      <c r="F187" s="7">
        <f>IFERROR(__xludf.DUMMYFUNCTION("""COMPUTED_VALUE"""),4118145.0)</f>
        <v>4118145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f>IFERROR(__xludf.DUMMYFUNCTION("""COMPUTED_VALUE"""),45827.64583333333)</f>
        <v>45827.64583</v>
      </c>
      <c r="B188" s="7">
        <f>IFERROR(__xludf.DUMMYFUNCTION("""COMPUTED_VALUE"""),390.35)</f>
        <v>390.35</v>
      </c>
      <c r="C188" s="7">
        <f>IFERROR(__xludf.DUMMYFUNCTION("""COMPUTED_VALUE"""),391.5)</f>
        <v>391.5</v>
      </c>
      <c r="D188" s="7">
        <f>IFERROR(__xludf.DUMMYFUNCTION("""COMPUTED_VALUE"""),383.5)</f>
        <v>383.5</v>
      </c>
      <c r="E188" s="7">
        <f>IFERROR(__xludf.DUMMYFUNCTION("""COMPUTED_VALUE"""),384.25)</f>
        <v>384.25</v>
      </c>
      <c r="F188" s="7">
        <f>IFERROR(__xludf.DUMMYFUNCTION("""COMPUTED_VALUE"""),4416367.0)</f>
        <v>4416367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f>IFERROR(__xludf.DUMMYFUNCTION("""COMPUTED_VALUE"""),45828.64583333333)</f>
        <v>45828.64583</v>
      </c>
      <c r="B189" s="7">
        <f>IFERROR(__xludf.DUMMYFUNCTION("""COMPUTED_VALUE"""),384.2)</f>
        <v>384.2</v>
      </c>
      <c r="C189" s="7">
        <f>IFERROR(__xludf.DUMMYFUNCTION("""COMPUTED_VALUE"""),391.8)</f>
        <v>391.8</v>
      </c>
      <c r="D189" s="7">
        <f>IFERROR(__xludf.DUMMYFUNCTION("""COMPUTED_VALUE"""),384.15)</f>
        <v>384.15</v>
      </c>
      <c r="E189" s="7">
        <f>IFERROR(__xludf.DUMMYFUNCTION("""COMPUTED_VALUE"""),389.05)</f>
        <v>389.05</v>
      </c>
      <c r="F189" s="7">
        <f>IFERROR(__xludf.DUMMYFUNCTION("""COMPUTED_VALUE"""),6531957.0)</f>
        <v>6531957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f>IFERROR(__xludf.DUMMYFUNCTION("""COMPUTED_VALUE"""),45831.64583333333)</f>
        <v>45831.64583</v>
      </c>
      <c r="B190" s="7">
        <f>IFERROR(__xludf.DUMMYFUNCTION("""COMPUTED_VALUE"""),387.0)</f>
        <v>387</v>
      </c>
      <c r="C190" s="7">
        <f>IFERROR(__xludf.DUMMYFUNCTION("""COMPUTED_VALUE"""),393.1)</f>
        <v>393.1</v>
      </c>
      <c r="D190" s="7">
        <f>IFERROR(__xludf.DUMMYFUNCTION("""COMPUTED_VALUE"""),384.7)</f>
        <v>384.7</v>
      </c>
      <c r="E190" s="7">
        <f>IFERROR(__xludf.DUMMYFUNCTION("""COMPUTED_VALUE"""),392.5)</f>
        <v>392.5</v>
      </c>
      <c r="F190" s="7">
        <f>IFERROR(__xludf.DUMMYFUNCTION("""COMPUTED_VALUE"""),3359491.0)</f>
        <v>3359491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f>IFERROR(__xludf.DUMMYFUNCTION("""COMPUTED_VALUE"""),45832.64583333333)</f>
        <v>45832.64583</v>
      </c>
      <c r="B191" s="7">
        <f>IFERROR(__xludf.DUMMYFUNCTION("""COMPUTED_VALUE"""),394.45)</f>
        <v>394.45</v>
      </c>
      <c r="C191" s="7">
        <f>IFERROR(__xludf.DUMMYFUNCTION("""COMPUTED_VALUE"""),395.4)</f>
        <v>395.4</v>
      </c>
      <c r="D191" s="7">
        <f>IFERROR(__xludf.DUMMYFUNCTION("""COMPUTED_VALUE"""),390.7)</f>
        <v>390.7</v>
      </c>
      <c r="E191" s="7">
        <f>IFERROR(__xludf.DUMMYFUNCTION("""COMPUTED_VALUE"""),392.65)</f>
        <v>392.65</v>
      </c>
      <c r="F191" s="7">
        <f>IFERROR(__xludf.DUMMYFUNCTION("""COMPUTED_VALUE"""),4606984.0)</f>
        <v>4606984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f>IFERROR(__xludf.DUMMYFUNCTION("""COMPUTED_VALUE"""),45833.64583333333)</f>
        <v>45833.64583</v>
      </c>
      <c r="B192" s="7">
        <f>IFERROR(__xludf.DUMMYFUNCTION("""COMPUTED_VALUE"""),393.85)</f>
        <v>393.85</v>
      </c>
      <c r="C192" s="7">
        <f>IFERROR(__xludf.DUMMYFUNCTION("""COMPUTED_VALUE"""),395.4)</f>
        <v>395.4</v>
      </c>
      <c r="D192" s="7">
        <f>IFERROR(__xludf.DUMMYFUNCTION("""COMPUTED_VALUE"""),391.0)</f>
        <v>391</v>
      </c>
      <c r="E192" s="7">
        <f>IFERROR(__xludf.DUMMYFUNCTION("""COMPUTED_VALUE"""),391.75)</f>
        <v>391.75</v>
      </c>
      <c r="F192" s="7">
        <f>IFERROR(__xludf.DUMMYFUNCTION("""COMPUTED_VALUE"""),4672204.0)</f>
        <v>4672204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f>IFERROR(__xludf.DUMMYFUNCTION("""COMPUTED_VALUE"""),45834.64583333333)</f>
        <v>45834.64583</v>
      </c>
      <c r="B193" s="7">
        <f>IFERROR(__xludf.DUMMYFUNCTION("""COMPUTED_VALUE"""),392.0)</f>
        <v>392</v>
      </c>
      <c r="C193" s="7">
        <f>IFERROR(__xludf.DUMMYFUNCTION("""COMPUTED_VALUE"""),394.7)</f>
        <v>394.7</v>
      </c>
      <c r="D193" s="7">
        <f>IFERROR(__xludf.DUMMYFUNCTION("""COMPUTED_VALUE"""),390.65)</f>
        <v>390.65</v>
      </c>
      <c r="E193" s="7">
        <f>IFERROR(__xludf.DUMMYFUNCTION("""COMPUTED_VALUE"""),394.15)</f>
        <v>394.15</v>
      </c>
      <c r="F193" s="7">
        <f>IFERROR(__xludf.DUMMYFUNCTION("""COMPUTED_VALUE"""),5569101.0)</f>
        <v>5569101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f>IFERROR(__xludf.DUMMYFUNCTION("""COMPUTED_VALUE"""),45835.64583333333)</f>
        <v>45835.64583</v>
      </c>
      <c r="B194" s="7">
        <f>IFERROR(__xludf.DUMMYFUNCTION("""COMPUTED_VALUE"""),395.0)</f>
        <v>395</v>
      </c>
      <c r="C194" s="7">
        <f>IFERROR(__xludf.DUMMYFUNCTION("""COMPUTED_VALUE"""),397.7)</f>
        <v>397.7</v>
      </c>
      <c r="D194" s="7">
        <f>IFERROR(__xludf.DUMMYFUNCTION("""COMPUTED_VALUE"""),392.1)</f>
        <v>392.1</v>
      </c>
      <c r="E194" s="7">
        <f>IFERROR(__xludf.DUMMYFUNCTION("""COMPUTED_VALUE"""),394.15)</f>
        <v>394.15</v>
      </c>
      <c r="F194" s="7">
        <f>IFERROR(__xludf.DUMMYFUNCTION("""COMPUTED_VALUE"""),1.6253653E7)</f>
        <v>16253653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f>IFERROR(__xludf.DUMMYFUNCTION("""COMPUTED_VALUE"""),45838.64583333333)</f>
        <v>45838.64583</v>
      </c>
      <c r="B195" s="7">
        <f>IFERROR(__xludf.DUMMYFUNCTION("""COMPUTED_VALUE"""),395.5)</f>
        <v>395.5</v>
      </c>
      <c r="C195" s="7">
        <f>IFERROR(__xludf.DUMMYFUNCTION("""COMPUTED_VALUE"""),397.4)</f>
        <v>397.4</v>
      </c>
      <c r="D195" s="7">
        <f>IFERROR(__xludf.DUMMYFUNCTION("""COMPUTED_VALUE"""),390.8)</f>
        <v>390.8</v>
      </c>
      <c r="E195" s="7">
        <f>IFERROR(__xludf.DUMMYFUNCTION("""COMPUTED_VALUE"""),391.95)</f>
        <v>391.95</v>
      </c>
      <c r="F195" s="7">
        <f>IFERROR(__xludf.DUMMYFUNCTION("""COMPUTED_VALUE"""),4870935.0)</f>
        <v>4870935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f>IFERROR(__xludf.DUMMYFUNCTION("""COMPUTED_VALUE"""),45839.64583333333)</f>
        <v>45839.64583</v>
      </c>
      <c r="B196" s="7">
        <f>IFERROR(__xludf.DUMMYFUNCTION("""COMPUTED_VALUE"""),392.5)</f>
        <v>392.5</v>
      </c>
      <c r="C196" s="7">
        <f>IFERROR(__xludf.DUMMYFUNCTION("""COMPUTED_VALUE"""),393.9)</f>
        <v>393.9</v>
      </c>
      <c r="D196" s="7">
        <f>IFERROR(__xludf.DUMMYFUNCTION("""COMPUTED_VALUE"""),389.0)</f>
        <v>389</v>
      </c>
      <c r="E196" s="7">
        <f>IFERROR(__xludf.DUMMYFUNCTION("""COMPUTED_VALUE"""),389.75)</f>
        <v>389.75</v>
      </c>
      <c r="F196" s="7">
        <f>IFERROR(__xludf.DUMMYFUNCTION("""COMPUTED_VALUE"""),5997283.0)</f>
        <v>5997283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f>IFERROR(__xludf.DUMMYFUNCTION("""COMPUTED_VALUE"""),45840.64583333333)</f>
        <v>45840.64583</v>
      </c>
      <c r="B197" s="7">
        <f>IFERROR(__xludf.DUMMYFUNCTION("""COMPUTED_VALUE"""),390.0)</f>
        <v>390</v>
      </c>
      <c r="C197" s="7">
        <f>IFERROR(__xludf.DUMMYFUNCTION("""COMPUTED_VALUE"""),391.7)</f>
        <v>391.7</v>
      </c>
      <c r="D197" s="7">
        <f>IFERROR(__xludf.DUMMYFUNCTION("""COMPUTED_VALUE"""),385.45)</f>
        <v>385.45</v>
      </c>
      <c r="E197" s="7">
        <f>IFERROR(__xludf.DUMMYFUNCTION("""COMPUTED_VALUE"""),386.9)</f>
        <v>386.9</v>
      </c>
      <c r="F197" s="7">
        <f>IFERROR(__xludf.DUMMYFUNCTION("""COMPUTED_VALUE"""),7752338.0)</f>
        <v>7752338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f>IFERROR(__xludf.DUMMYFUNCTION("""COMPUTED_VALUE"""),45841.64583333333)</f>
        <v>45841.64583</v>
      </c>
      <c r="B198" s="7">
        <f>IFERROR(__xludf.DUMMYFUNCTION("""COMPUTED_VALUE"""),387.9)</f>
        <v>387.9</v>
      </c>
      <c r="C198" s="7">
        <f>IFERROR(__xludf.DUMMYFUNCTION("""COMPUTED_VALUE"""),389.0)</f>
        <v>389</v>
      </c>
      <c r="D198" s="7">
        <f>IFERROR(__xludf.DUMMYFUNCTION("""COMPUTED_VALUE"""),385.5)</f>
        <v>385.5</v>
      </c>
      <c r="E198" s="7">
        <f>IFERROR(__xludf.DUMMYFUNCTION("""COMPUTED_VALUE"""),386.45)</f>
        <v>386.45</v>
      </c>
      <c r="F198" s="7">
        <f>IFERROR(__xludf.DUMMYFUNCTION("""COMPUTED_VALUE"""),3851213.0)</f>
        <v>3851213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f>IFERROR(__xludf.DUMMYFUNCTION("""COMPUTED_VALUE"""),45842.64583333333)</f>
        <v>45842.64583</v>
      </c>
      <c r="B199" s="7">
        <f>IFERROR(__xludf.DUMMYFUNCTION("""COMPUTED_VALUE"""),387.7)</f>
        <v>387.7</v>
      </c>
      <c r="C199" s="7">
        <f>IFERROR(__xludf.DUMMYFUNCTION("""COMPUTED_VALUE"""),387.9)</f>
        <v>387.9</v>
      </c>
      <c r="D199" s="7">
        <f>IFERROR(__xludf.DUMMYFUNCTION("""COMPUTED_VALUE"""),383.4)</f>
        <v>383.4</v>
      </c>
      <c r="E199" s="7">
        <f>IFERROR(__xludf.DUMMYFUNCTION("""COMPUTED_VALUE"""),386.1)</f>
        <v>386.1</v>
      </c>
      <c r="F199" s="7">
        <f>IFERROR(__xludf.DUMMYFUNCTION("""COMPUTED_VALUE"""),3990767.0)</f>
        <v>3990767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f>IFERROR(__xludf.DUMMYFUNCTION("""COMPUTED_VALUE"""),45845.64583333333)</f>
        <v>45845.64583</v>
      </c>
      <c r="B200" s="7">
        <f>IFERROR(__xludf.DUMMYFUNCTION("""COMPUTED_VALUE"""),386.5)</f>
        <v>386.5</v>
      </c>
      <c r="C200" s="7">
        <f>IFERROR(__xludf.DUMMYFUNCTION("""COMPUTED_VALUE"""),386.5)</f>
        <v>386.5</v>
      </c>
      <c r="D200" s="7">
        <f>IFERROR(__xludf.DUMMYFUNCTION("""COMPUTED_VALUE"""),384.0)</f>
        <v>384</v>
      </c>
      <c r="E200" s="7">
        <f>IFERROR(__xludf.DUMMYFUNCTION("""COMPUTED_VALUE"""),384.25)</f>
        <v>384.25</v>
      </c>
      <c r="F200" s="7">
        <f>IFERROR(__xludf.DUMMYFUNCTION("""COMPUTED_VALUE"""),2810768.0)</f>
        <v>2810768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f>IFERROR(__xludf.DUMMYFUNCTION("""COMPUTED_VALUE"""),45846.64583333333)</f>
        <v>45846.64583</v>
      </c>
      <c r="B201" s="7">
        <f>IFERROR(__xludf.DUMMYFUNCTION("""COMPUTED_VALUE"""),384.95)</f>
        <v>384.95</v>
      </c>
      <c r="C201" s="7">
        <f>IFERROR(__xludf.DUMMYFUNCTION("""COMPUTED_VALUE"""),385.5)</f>
        <v>385.5</v>
      </c>
      <c r="D201" s="7">
        <f>IFERROR(__xludf.DUMMYFUNCTION("""COMPUTED_VALUE"""),382.3)</f>
        <v>382.3</v>
      </c>
      <c r="E201" s="7">
        <f>IFERROR(__xludf.DUMMYFUNCTION("""COMPUTED_VALUE"""),382.85)</f>
        <v>382.85</v>
      </c>
      <c r="F201" s="7">
        <f>IFERROR(__xludf.DUMMYFUNCTION("""COMPUTED_VALUE"""),5231160.0)</f>
        <v>5231160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f>IFERROR(__xludf.DUMMYFUNCTION("""COMPUTED_VALUE"""),45847.64583333333)</f>
        <v>45847.64583</v>
      </c>
      <c r="B202" s="7">
        <f>IFERROR(__xludf.DUMMYFUNCTION("""COMPUTED_VALUE"""),383.05)</f>
        <v>383.05</v>
      </c>
      <c r="C202" s="7">
        <f>IFERROR(__xludf.DUMMYFUNCTION("""COMPUTED_VALUE"""),388.15)</f>
        <v>388.15</v>
      </c>
      <c r="D202" s="7">
        <f>IFERROR(__xludf.DUMMYFUNCTION("""COMPUTED_VALUE"""),382.85)</f>
        <v>382.85</v>
      </c>
      <c r="E202" s="7">
        <f>IFERROR(__xludf.DUMMYFUNCTION("""COMPUTED_VALUE"""),387.45)</f>
        <v>387.45</v>
      </c>
      <c r="F202" s="7">
        <f>IFERROR(__xludf.DUMMYFUNCTION("""COMPUTED_VALUE"""),4497121.0)</f>
        <v>4497121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f>IFERROR(__xludf.DUMMYFUNCTION("""COMPUTED_VALUE"""),45848.64583333333)</f>
        <v>45848.64583</v>
      </c>
      <c r="B203" s="7">
        <f>IFERROR(__xludf.DUMMYFUNCTION("""COMPUTED_VALUE"""),388.05)</f>
        <v>388.05</v>
      </c>
      <c r="C203" s="7">
        <f>IFERROR(__xludf.DUMMYFUNCTION("""COMPUTED_VALUE"""),388.85)</f>
        <v>388.85</v>
      </c>
      <c r="D203" s="7">
        <f>IFERROR(__xludf.DUMMYFUNCTION("""COMPUTED_VALUE"""),382.55)</f>
        <v>382.55</v>
      </c>
      <c r="E203" s="7">
        <f>IFERROR(__xludf.DUMMYFUNCTION("""COMPUTED_VALUE"""),384.05)</f>
        <v>384.05</v>
      </c>
      <c r="F203" s="7">
        <f>IFERROR(__xludf.DUMMYFUNCTION("""COMPUTED_VALUE"""),4668066.0)</f>
        <v>4668066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f>IFERROR(__xludf.DUMMYFUNCTION("""COMPUTED_VALUE"""),45849.64583333333)</f>
        <v>45849.64583</v>
      </c>
      <c r="B204" s="7">
        <f>IFERROR(__xludf.DUMMYFUNCTION("""COMPUTED_VALUE"""),384.05)</f>
        <v>384.05</v>
      </c>
      <c r="C204" s="7">
        <f>IFERROR(__xludf.DUMMYFUNCTION("""COMPUTED_VALUE"""),384.3)</f>
        <v>384.3</v>
      </c>
      <c r="D204" s="7">
        <f>IFERROR(__xludf.DUMMYFUNCTION("""COMPUTED_VALUE"""),380.6)</f>
        <v>380.6</v>
      </c>
      <c r="E204" s="7">
        <f>IFERROR(__xludf.DUMMYFUNCTION("""COMPUTED_VALUE"""),380.95)</f>
        <v>380.95</v>
      </c>
      <c r="F204" s="7">
        <f>IFERROR(__xludf.DUMMYFUNCTION("""COMPUTED_VALUE"""),4677164.0)</f>
        <v>4677164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f>IFERROR(__xludf.DUMMYFUNCTION("""COMPUTED_VALUE"""),45852.64583333333)</f>
        <v>45852.64583</v>
      </c>
      <c r="B205" s="7">
        <f>IFERROR(__xludf.DUMMYFUNCTION("""COMPUTED_VALUE"""),382.0)</f>
        <v>382</v>
      </c>
      <c r="C205" s="7">
        <f>IFERROR(__xludf.DUMMYFUNCTION("""COMPUTED_VALUE"""),385.9)</f>
        <v>385.9</v>
      </c>
      <c r="D205" s="7">
        <f>IFERROR(__xludf.DUMMYFUNCTION("""COMPUTED_VALUE"""),381.5)</f>
        <v>381.5</v>
      </c>
      <c r="E205" s="7">
        <f>IFERROR(__xludf.DUMMYFUNCTION("""COMPUTED_VALUE"""),383.85)</f>
        <v>383.85</v>
      </c>
      <c r="F205" s="7">
        <f>IFERROR(__xludf.DUMMYFUNCTION("""COMPUTED_VALUE"""),5109504.0)</f>
        <v>5109504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f>IFERROR(__xludf.DUMMYFUNCTION("""COMPUTED_VALUE"""),45853.64583333333)</f>
        <v>45853.64583</v>
      </c>
      <c r="B206" s="7">
        <f>IFERROR(__xludf.DUMMYFUNCTION("""COMPUTED_VALUE"""),383.9)</f>
        <v>383.9</v>
      </c>
      <c r="C206" s="7">
        <f>IFERROR(__xludf.DUMMYFUNCTION("""COMPUTED_VALUE"""),387.25)</f>
        <v>387.25</v>
      </c>
      <c r="D206" s="7">
        <f>IFERROR(__xludf.DUMMYFUNCTION("""COMPUTED_VALUE"""),383.45)</f>
        <v>383.45</v>
      </c>
      <c r="E206" s="7">
        <f>IFERROR(__xludf.DUMMYFUNCTION("""COMPUTED_VALUE"""),386.45)</f>
        <v>386.45</v>
      </c>
      <c r="F206" s="7">
        <f>IFERROR(__xludf.DUMMYFUNCTION("""COMPUTED_VALUE"""),4586811.0)</f>
        <v>4586811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f>IFERROR(__xludf.DUMMYFUNCTION("""COMPUTED_VALUE"""),45854.64583333333)</f>
        <v>45854.64583</v>
      </c>
      <c r="B207" s="7">
        <f>IFERROR(__xludf.DUMMYFUNCTION("""COMPUTED_VALUE"""),386.65)</f>
        <v>386.65</v>
      </c>
      <c r="C207" s="7">
        <f>IFERROR(__xludf.DUMMYFUNCTION("""COMPUTED_VALUE"""),388.0)</f>
        <v>388</v>
      </c>
      <c r="D207" s="7">
        <f>IFERROR(__xludf.DUMMYFUNCTION("""COMPUTED_VALUE"""),384.95)</f>
        <v>384.95</v>
      </c>
      <c r="E207" s="7">
        <f>IFERROR(__xludf.DUMMYFUNCTION("""COMPUTED_VALUE"""),386.45)</f>
        <v>386.45</v>
      </c>
      <c r="F207" s="7">
        <f>IFERROR(__xludf.DUMMYFUNCTION("""COMPUTED_VALUE"""),5205724.0)</f>
        <v>5205724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f>IFERROR(__xludf.DUMMYFUNCTION("""COMPUTED_VALUE"""),45855.64583333333)</f>
        <v>45855.64583</v>
      </c>
      <c r="B208" s="7">
        <f>IFERROR(__xludf.DUMMYFUNCTION("""COMPUTED_VALUE"""),387.05)</f>
        <v>387.05</v>
      </c>
      <c r="C208" s="7">
        <f>IFERROR(__xludf.DUMMYFUNCTION("""COMPUTED_VALUE"""),388.2)</f>
        <v>388.2</v>
      </c>
      <c r="D208" s="7">
        <f>IFERROR(__xludf.DUMMYFUNCTION("""COMPUTED_VALUE"""),384.9)</f>
        <v>384.9</v>
      </c>
      <c r="E208" s="7">
        <f>IFERROR(__xludf.DUMMYFUNCTION("""COMPUTED_VALUE"""),385.9)</f>
        <v>385.9</v>
      </c>
      <c r="F208" s="7">
        <f>IFERROR(__xludf.DUMMYFUNCTION("""COMPUTED_VALUE"""),3749218.0)</f>
        <v>3749218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f>IFERROR(__xludf.DUMMYFUNCTION("""COMPUTED_VALUE"""),45856.64583333333)</f>
        <v>45856.64583</v>
      </c>
      <c r="B209" s="7">
        <f>IFERROR(__xludf.DUMMYFUNCTION("""COMPUTED_VALUE"""),387.0)</f>
        <v>387</v>
      </c>
      <c r="C209" s="7">
        <f>IFERROR(__xludf.DUMMYFUNCTION("""COMPUTED_VALUE"""),389.25)</f>
        <v>389.25</v>
      </c>
      <c r="D209" s="7">
        <f>IFERROR(__xludf.DUMMYFUNCTION("""COMPUTED_VALUE"""),384.1)</f>
        <v>384.1</v>
      </c>
      <c r="E209" s="7">
        <f>IFERROR(__xludf.DUMMYFUNCTION("""COMPUTED_VALUE"""),388.5)</f>
        <v>388.5</v>
      </c>
      <c r="F209" s="7">
        <f>IFERROR(__xludf.DUMMYFUNCTION("""COMPUTED_VALUE"""),5172481.0)</f>
        <v>5172481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f>IFERROR(__xludf.DUMMYFUNCTION("""COMPUTED_VALUE"""),45859.64583333333)</f>
        <v>45859.64583</v>
      </c>
      <c r="B210" s="7">
        <f>IFERROR(__xludf.DUMMYFUNCTION("""COMPUTED_VALUE"""),389.0)</f>
        <v>389</v>
      </c>
      <c r="C210" s="7">
        <f>IFERROR(__xludf.DUMMYFUNCTION("""COMPUTED_VALUE"""),389.4)</f>
        <v>389.4</v>
      </c>
      <c r="D210" s="7">
        <f>IFERROR(__xludf.DUMMYFUNCTION("""COMPUTED_VALUE"""),385.4)</f>
        <v>385.4</v>
      </c>
      <c r="E210" s="7">
        <f>IFERROR(__xludf.DUMMYFUNCTION("""COMPUTED_VALUE"""),386.8)</f>
        <v>386.8</v>
      </c>
      <c r="F210" s="7">
        <f>IFERROR(__xludf.DUMMYFUNCTION("""COMPUTED_VALUE"""),4396850.0)</f>
        <v>4396850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f>IFERROR(__xludf.DUMMYFUNCTION("""COMPUTED_VALUE"""),45860.64583333333)</f>
        <v>45860.64583</v>
      </c>
      <c r="B211" s="7">
        <f>IFERROR(__xludf.DUMMYFUNCTION("""COMPUTED_VALUE"""),386.8)</f>
        <v>386.8</v>
      </c>
      <c r="C211" s="7">
        <f>IFERROR(__xludf.DUMMYFUNCTION("""COMPUTED_VALUE"""),391.75)</f>
        <v>391.75</v>
      </c>
      <c r="D211" s="7">
        <f>IFERROR(__xludf.DUMMYFUNCTION("""COMPUTED_VALUE"""),385.5)</f>
        <v>385.5</v>
      </c>
      <c r="E211" s="7">
        <f>IFERROR(__xludf.DUMMYFUNCTION("""COMPUTED_VALUE"""),389.1)</f>
        <v>389.1</v>
      </c>
      <c r="F211" s="7">
        <f>IFERROR(__xludf.DUMMYFUNCTION("""COMPUTED_VALUE"""),5043629.0)</f>
        <v>5043629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f>IFERROR(__xludf.DUMMYFUNCTION("""COMPUTED_VALUE"""),45861.64583333333)</f>
        <v>45861.64583</v>
      </c>
      <c r="B212" s="7">
        <f>IFERROR(__xludf.DUMMYFUNCTION("""COMPUTED_VALUE"""),389.4)</f>
        <v>389.4</v>
      </c>
      <c r="C212" s="7">
        <f>IFERROR(__xludf.DUMMYFUNCTION("""COMPUTED_VALUE"""),392.45)</f>
        <v>392.45</v>
      </c>
      <c r="D212" s="7">
        <f>IFERROR(__xludf.DUMMYFUNCTION("""COMPUTED_VALUE"""),388.85)</f>
        <v>388.85</v>
      </c>
      <c r="E212" s="7">
        <f>IFERROR(__xludf.DUMMYFUNCTION("""COMPUTED_VALUE"""),390.75)</f>
        <v>390.75</v>
      </c>
      <c r="F212" s="7">
        <f>IFERROR(__xludf.DUMMYFUNCTION("""COMPUTED_VALUE"""),3670943.0)</f>
        <v>3670943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f>IFERROR(__xludf.DUMMYFUNCTION("""COMPUTED_VALUE"""),45862.64583333333)</f>
        <v>45862.64583</v>
      </c>
      <c r="B213" s="7">
        <f>IFERROR(__xludf.DUMMYFUNCTION("""COMPUTED_VALUE"""),390.1)</f>
        <v>390.1</v>
      </c>
      <c r="C213" s="7">
        <f>IFERROR(__xludf.DUMMYFUNCTION("""COMPUTED_VALUE"""),390.75)</f>
        <v>390.75</v>
      </c>
      <c r="D213" s="7">
        <f>IFERROR(__xludf.DUMMYFUNCTION("""COMPUTED_VALUE"""),383.9)</f>
        <v>383.9</v>
      </c>
      <c r="E213" s="7">
        <f>IFERROR(__xludf.DUMMYFUNCTION("""COMPUTED_VALUE"""),385.55)</f>
        <v>385.55</v>
      </c>
      <c r="F213" s="7">
        <f>IFERROR(__xludf.DUMMYFUNCTION("""COMPUTED_VALUE"""),4022204.0)</f>
        <v>4022204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f>IFERROR(__xludf.DUMMYFUNCTION("""COMPUTED_VALUE"""),45863.64583333333)</f>
        <v>45863.64583</v>
      </c>
      <c r="B214" s="7">
        <f>IFERROR(__xludf.DUMMYFUNCTION("""COMPUTED_VALUE"""),385.55)</f>
        <v>385.55</v>
      </c>
      <c r="C214" s="7">
        <f>IFERROR(__xludf.DUMMYFUNCTION("""COMPUTED_VALUE"""),385.9)</f>
        <v>385.9</v>
      </c>
      <c r="D214" s="7">
        <f>IFERROR(__xludf.DUMMYFUNCTION("""COMPUTED_VALUE"""),380.0)</f>
        <v>380</v>
      </c>
      <c r="E214" s="7">
        <f>IFERROR(__xludf.DUMMYFUNCTION("""COMPUTED_VALUE"""),380.8)</f>
        <v>380.8</v>
      </c>
      <c r="F214" s="7">
        <f>IFERROR(__xludf.DUMMYFUNCTION("""COMPUTED_VALUE"""),4616856.0)</f>
        <v>4616856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f>IFERROR(__xludf.DUMMYFUNCTION("""COMPUTED_VALUE"""),45866.64583333333)</f>
        <v>45866.64583</v>
      </c>
      <c r="B215" s="7">
        <f>IFERROR(__xludf.DUMMYFUNCTION("""COMPUTED_VALUE"""),381.2)</f>
        <v>381.2</v>
      </c>
      <c r="C215" s="7">
        <f>IFERROR(__xludf.DUMMYFUNCTION("""COMPUTED_VALUE"""),383.85)</f>
        <v>383.85</v>
      </c>
      <c r="D215" s="7">
        <f>IFERROR(__xludf.DUMMYFUNCTION("""COMPUTED_VALUE"""),377.0)</f>
        <v>377</v>
      </c>
      <c r="E215" s="7">
        <f>IFERROR(__xludf.DUMMYFUNCTION("""COMPUTED_VALUE"""),378.35)</f>
        <v>378.35</v>
      </c>
      <c r="F215" s="7">
        <f>IFERROR(__xludf.DUMMYFUNCTION("""COMPUTED_VALUE"""),4521716.0)</f>
        <v>4521716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f>IFERROR(__xludf.DUMMYFUNCTION("""COMPUTED_VALUE"""),45867.64583333333)</f>
        <v>45867.64583</v>
      </c>
      <c r="B216" s="7">
        <f>IFERROR(__xludf.DUMMYFUNCTION("""COMPUTED_VALUE"""),376.95)</f>
        <v>376.95</v>
      </c>
      <c r="C216" s="7">
        <f>IFERROR(__xludf.DUMMYFUNCTION("""COMPUTED_VALUE"""),384.25)</f>
        <v>384.25</v>
      </c>
      <c r="D216" s="7">
        <f>IFERROR(__xludf.DUMMYFUNCTION("""COMPUTED_VALUE"""),376.95)</f>
        <v>376.95</v>
      </c>
      <c r="E216" s="7">
        <f>IFERROR(__xludf.DUMMYFUNCTION("""COMPUTED_VALUE"""),383.65)</f>
        <v>383.65</v>
      </c>
      <c r="F216" s="7">
        <f>IFERROR(__xludf.DUMMYFUNCTION("""COMPUTED_VALUE"""),4872086.0)</f>
        <v>4872086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f>IFERROR(__xludf.DUMMYFUNCTION("""COMPUTED_VALUE"""),45868.64583333333)</f>
        <v>45868.64583</v>
      </c>
      <c r="B217" s="7">
        <f>IFERROR(__xludf.DUMMYFUNCTION("""COMPUTED_VALUE"""),384.0)</f>
        <v>384</v>
      </c>
      <c r="C217" s="7">
        <f>IFERROR(__xludf.DUMMYFUNCTION("""COMPUTED_VALUE"""),384.05)</f>
        <v>384.05</v>
      </c>
      <c r="D217" s="7">
        <f>IFERROR(__xludf.DUMMYFUNCTION("""COMPUTED_VALUE"""),379.05)</f>
        <v>379.05</v>
      </c>
      <c r="E217" s="7">
        <f>IFERROR(__xludf.DUMMYFUNCTION("""COMPUTED_VALUE"""),379.9)</f>
        <v>379.9</v>
      </c>
      <c r="F217" s="7">
        <f>IFERROR(__xludf.DUMMYFUNCTION("""COMPUTED_VALUE"""),5107774.0)</f>
        <v>5107774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f>IFERROR(__xludf.DUMMYFUNCTION("""COMPUTED_VALUE"""),45869.64583333333)</f>
        <v>45869.64583</v>
      </c>
      <c r="B218" s="7">
        <f>IFERROR(__xludf.DUMMYFUNCTION("""COMPUTED_VALUE"""),378.0)</f>
        <v>378</v>
      </c>
      <c r="C218" s="7">
        <f>IFERROR(__xludf.DUMMYFUNCTION("""COMPUTED_VALUE"""),379.0)</f>
        <v>379</v>
      </c>
      <c r="D218" s="7">
        <f>IFERROR(__xludf.DUMMYFUNCTION("""COMPUTED_VALUE"""),374.7)</f>
        <v>374.7</v>
      </c>
      <c r="E218" s="7">
        <f>IFERROR(__xludf.DUMMYFUNCTION("""COMPUTED_VALUE"""),376.35)</f>
        <v>376.35</v>
      </c>
      <c r="F218" s="7">
        <f>IFERROR(__xludf.DUMMYFUNCTION("""COMPUTED_VALUE"""),6461803.0)</f>
        <v>6461803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f>IFERROR(__xludf.DUMMYFUNCTION("""COMPUTED_VALUE"""),45870.64583333333)</f>
        <v>45870.64583</v>
      </c>
      <c r="B219" s="7">
        <f>IFERROR(__xludf.DUMMYFUNCTION("""COMPUTED_VALUE"""),375.0)</f>
        <v>375</v>
      </c>
      <c r="C219" s="7">
        <f>IFERROR(__xludf.DUMMYFUNCTION("""COMPUTED_VALUE"""),381.15)</f>
        <v>381.15</v>
      </c>
      <c r="D219" s="7">
        <f>IFERROR(__xludf.DUMMYFUNCTION("""COMPUTED_VALUE"""),370.7)</f>
        <v>370.7</v>
      </c>
      <c r="E219" s="7">
        <f>IFERROR(__xludf.DUMMYFUNCTION("""COMPUTED_VALUE"""),372.5)</f>
        <v>372.5</v>
      </c>
      <c r="F219" s="7">
        <f>IFERROR(__xludf.DUMMYFUNCTION("""COMPUTED_VALUE"""),1.3769152E7)</f>
        <v>13769152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f>IFERROR(__xludf.DUMMYFUNCTION("""COMPUTED_VALUE"""),45873.64583333333)</f>
        <v>45873.64583</v>
      </c>
      <c r="B220" s="7">
        <f>IFERROR(__xludf.DUMMYFUNCTION("""COMPUTED_VALUE"""),372.45)</f>
        <v>372.45</v>
      </c>
      <c r="C220" s="7">
        <f>IFERROR(__xludf.DUMMYFUNCTION("""COMPUTED_VALUE"""),378.75)</f>
        <v>378.75</v>
      </c>
      <c r="D220" s="7">
        <f>IFERROR(__xludf.DUMMYFUNCTION("""COMPUTED_VALUE"""),370.2)</f>
        <v>370.2</v>
      </c>
      <c r="E220" s="7">
        <f>IFERROR(__xludf.DUMMYFUNCTION("""COMPUTED_VALUE"""),374.7)</f>
        <v>374.7</v>
      </c>
      <c r="F220" s="7">
        <f>IFERROR(__xludf.DUMMYFUNCTION("""COMPUTED_VALUE"""),1.975693E7)</f>
        <v>19756930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f>IFERROR(__xludf.DUMMYFUNCTION("""COMPUTED_VALUE"""),45874.64583333333)</f>
        <v>45874.64583</v>
      </c>
      <c r="B221" s="7">
        <f>IFERROR(__xludf.DUMMYFUNCTION("""COMPUTED_VALUE"""),376.0)</f>
        <v>376</v>
      </c>
      <c r="C221" s="7">
        <f>IFERROR(__xludf.DUMMYFUNCTION("""COMPUTED_VALUE"""),380.7)</f>
        <v>380.7</v>
      </c>
      <c r="D221" s="7">
        <f>IFERROR(__xludf.DUMMYFUNCTION("""COMPUTED_VALUE"""),374.5)</f>
        <v>374.5</v>
      </c>
      <c r="E221" s="7">
        <f>IFERROR(__xludf.DUMMYFUNCTION("""COMPUTED_VALUE"""),379.5)</f>
        <v>379.5</v>
      </c>
      <c r="F221" s="7">
        <f>IFERROR(__xludf.DUMMYFUNCTION("""COMPUTED_VALUE"""),6846687.0)</f>
        <v>6846687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f>IFERROR(__xludf.DUMMYFUNCTION("""COMPUTED_VALUE"""),45875.64583333333)</f>
        <v>45875.64583</v>
      </c>
      <c r="B222" s="7">
        <f>IFERROR(__xludf.DUMMYFUNCTION("""COMPUTED_VALUE"""),374.0)</f>
        <v>374</v>
      </c>
      <c r="C222" s="7">
        <f>IFERROR(__xludf.DUMMYFUNCTION("""COMPUTED_VALUE"""),378.05)</f>
        <v>378.05</v>
      </c>
      <c r="D222" s="7">
        <f>IFERROR(__xludf.DUMMYFUNCTION("""COMPUTED_VALUE"""),373.55)</f>
        <v>373.55</v>
      </c>
      <c r="E222" s="7">
        <f>IFERROR(__xludf.DUMMYFUNCTION("""COMPUTED_VALUE"""),376.85)</f>
        <v>376.85</v>
      </c>
      <c r="F222" s="7">
        <f>IFERROR(__xludf.DUMMYFUNCTION("""COMPUTED_VALUE"""),5808208.0)</f>
        <v>5808208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f>IFERROR(__xludf.DUMMYFUNCTION("""COMPUTED_VALUE"""),45876.64583333333)</f>
        <v>45876.64583</v>
      </c>
      <c r="B223" s="7">
        <f>IFERROR(__xludf.DUMMYFUNCTION("""COMPUTED_VALUE"""),375.0)</f>
        <v>375</v>
      </c>
      <c r="C223" s="7">
        <f>IFERROR(__xludf.DUMMYFUNCTION("""COMPUTED_VALUE"""),380.25)</f>
        <v>380.25</v>
      </c>
      <c r="D223" s="7">
        <f>IFERROR(__xludf.DUMMYFUNCTION("""COMPUTED_VALUE"""),373.6)</f>
        <v>373.6</v>
      </c>
      <c r="E223" s="7">
        <f>IFERROR(__xludf.DUMMYFUNCTION("""COMPUTED_VALUE"""),379.55)</f>
        <v>379.55</v>
      </c>
      <c r="F223" s="7">
        <f>IFERROR(__xludf.DUMMYFUNCTION("""COMPUTED_VALUE"""),3468573.0)</f>
        <v>3468573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f>IFERROR(__xludf.DUMMYFUNCTION("""COMPUTED_VALUE"""),45877.64583333333)</f>
        <v>45877.64583</v>
      </c>
      <c r="B224" s="7">
        <f>IFERROR(__xludf.DUMMYFUNCTION("""COMPUTED_VALUE"""),379.0)</f>
        <v>379</v>
      </c>
      <c r="C224" s="7">
        <f>IFERROR(__xludf.DUMMYFUNCTION("""COMPUTED_VALUE"""),382.1)</f>
        <v>382.1</v>
      </c>
      <c r="D224" s="7">
        <f>IFERROR(__xludf.DUMMYFUNCTION("""COMPUTED_VALUE"""),378.15)</f>
        <v>378.15</v>
      </c>
      <c r="E224" s="7">
        <f>IFERROR(__xludf.DUMMYFUNCTION("""COMPUTED_VALUE"""),379.7)</f>
        <v>379.7</v>
      </c>
      <c r="F224" s="7">
        <f>IFERROR(__xludf.DUMMYFUNCTION("""COMPUTED_VALUE"""),4172600.0)</f>
        <v>4172600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f>IFERROR(__xludf.DUMMYFUNCTION("""COMPUTED_VALUE"""),45880.64583333333)</f>
        <v>45880.64583</v>
      </c>
      <c r="B225" s="7">
        <f>IFERROR(__xludf.DUMMYFUNCTION("""COMPUTED_VALUE"""),378.0)</f>
        <v>378</v>
      </c>
      <c r="C225" s="7">
        <f>IFERROR(__xludf.DUMMYFUNCTION("""COMPUTED_VALUE"""),384.7)</f>
        <v>384.7</v>
      </c>
      <c r="D225" s="7">
        <f>IFERROR(__xludf.DUMMYFUNCTION("""COMPUTED_VALUE"""),376.55)</f>
        <v>376.55</v>
      </c>
      <c r="E225" s="7">
        <f>IFERROR(__xludf.DUMMYFUNCTION("""COMPUTED_VALUE"""),382.5)</f>
        <v>382.5</v>
      </c>
      <c r="F225" s="7">
        <f>IFERROR(__xludf.DUMMYFUNCTION("""COMPUTED_VALUE"""),5740719.0)</f>
        <v>5740719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f>IFERROR(__xludf.DUMMYFUNCTION("""COMPUTED_VALUE"""),45881.64583333333)</f>
        <v>45881.64583</v>
      </c>
      <c r="B226" s="7">
        <f>IFERROR(__xludf.DUMMYFUNCTION("""COMPUTED_VALUE"""),381.55)</f>
        <v>381.55</v>
      </c>
      <c r="C226" s="7">
        <f>IFERROR(__xludf.DUMMYFUNCTION("""COMPUTED_VALUE"""),386.45)</f>
        <v>386.45</v>
      </c>
      <c r="D226" s="7">
        <f>IFERROR(__xludf.DUMMYFUNCTION("""COMPUTED_VALUE"""),381.2)</f>
        <v>381.2</v>
      </c>
      <c r="E226" s="7">
        <f>IFERROR(__xludf.DUMMYFUNCTION("""COMPUTED_VALUE"""),385.35)</f>
        <v>385.35</v>
      </c>
      <c r="F226" s="7">
        <f>IFERROR(__xludf.DUMMYFUNCTION("""COMPUTED_VALUE"""),4860757.0)</f>
        <v>4860757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f>IFERROR(__xludf.DUMMYFUNCTION("""COMPUTED_VALUE"""),45882.64583333333)</f>
        <v>45882.64583</v>
      </c>
      <c r="B227" s="7">
        <f>IFERROR(__xludf.DUMMYFUNCTION("""COMPUTED_VALUE"""),385.95)</f>
        <v>385.95</v>
      </c>
      <c r="C227" s="7">
        <f>IFERROR(__xludf.DUMMYFUNCTION("""COMPUTED_VALUE"""),388.0)</f>
        <v>388</v>
      </c>
      <c r="D227" s="7">
        <f>IFERROR(__xludf.DUMMYFUNCTION("""COMPUTED_VALUE"""),385.1)</f>
        <v>385.1</v>
      </c>
      <c r="E227" s="7">
        <f>IFERROR(__xludf.DUMMYFUNCTION("""COMPUTED_VALUE"""),386.1)</f>
        <v>386.1</v>
      </c>
      <c r="F227" s="7">
        <f>IFERROR(__xludf.DUMMYFUNCTION("""COMPUTED_VALUE"""),4216888.0)</f>
        <v>4216888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f>IFERROR(__xludf.DUMMYFUNCTION("""COMPUTED_VALUE"""),45883.64583333333)</f>
        <v>45883.64583</v>
      </c>
      <c r="B228" s="7">
        <f>IFERROR(__xludf.DUMMYFUNCTION("""COMPUTED_VALUE"""),386.1)</f>
        <v>386.1</v>
      </c>
      <c r="C228" s="7">
        <f>IFERROR(__xludf.DUMMYFUNCTION("""COMPUTED_VALUE"""),386.85)</f>
        <v>386.85</v>
      </c>
      <c r="D228" s="7">
        <f>IFERROR(__xludf.DUMMYFUNCTION("""COMPUTED_VALUE"""),382.55)</f>
        <v>382.55</v>
      </c>
      <c r="E228" s="7">
        <f>IFERROR(__xludf.DUMMYFUNCTION("""COMPUTED_VALUE"""),384.45)</f>
        <v>384.45</v>
      </c>
      <c r="F228" s="7">
        <f>IFERROR(__xludf.DUMMYFUNCTION("""COMPUTED_VALUE"""),4034887.0)</f>
        <v>4034887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f>IFERROR(__xludf.DUMMYFUNCTION("""COMPUTED_VALUE"""),45887.64583333333)</f>
        <v>45887.64583</v>
      </c>
      <c r="B229" s="7">
        <f>IFERROR(__xludf.DUMMYFUNCTION("""COMPUTED_VALUE"""),386.65)</f>
        <v>386.65</v>
      </c>
      <c r="C229" s="7">
        <f>IFERROR(__xludf.DUMMYFUNCTION("""COMPUTED_VALUE"""),388.55)</f>
        <v>388.55</v>
      </c>
      <c r="D229" s="7">
        <f>IFERROR(__xludf.DUMMYFUNCTION("""COMPUTED_VALUE"""),384.05)</f>
        <v>384.05</v>
      </c>
      <c r="E229" s="7">
        <f>IFERROR(__xludf.DUMMYFUNCTION("""COMPUTED_VALUE"""),387.8)</f>
        <v>387.8</v>
      </c>
      <c r="F229" s="7">
        <f>IFERROR(__xludf.DUMMYFUNCTION("""COMPUTED_VALUE"""),3520271.0)</f>
        <v>3520271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f>IFERROR(__xludf.DUMMYFUNCTION("""COMPUTED_VALUE"""),45888.64583333333)</f>
        <v>45888.64583</v>
      </c>
      <c r="B230" s="7">
        <f>IFERROR(__xludf.DUMMYFUNCTION("""COMPUTED_VALUE"""),388.5)</f>
        <v>388.5</v>
      </c>
      <c r="C230" s="7">
        <f>IFERROR(__xludf.DUMMYFUNCTION("""COMPUTED_VALUE"""),388.5)</f>
        <v>388.5</v>
      </c>
      <c r="D230" s="7">
        <f>IFERROR(__xludf.DUMMYFUNCTION("""COMPUTED_VALUE"""),384.25)</f>
        <v>384.25</v>
      </c>
      <c r="E230" s="7">
        <f>IFERROR(__xludf.DUMMYFUNCTION("""COMPUTED_VALUE"""),385.35)</f>
        <v>385.35</v>
      </c>
      <c r="F230" s="7">
        <f>IFERROR(__xludf.DUMMYFUNCTION("""COMPUTED_VALUE"""),5219052.0)</f>
        <v>5219052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f>IFERROR(__xludf.DUMMYFUNCTION("""COMPUTED_VALUE"""),45889.64583333333)</f>
        <v>45889.64583</v>
      </c>
      <c r="B231" s="7">
        <f>IFERROR(__xludf.DUMMYFUNCTION("""COMPUTED_VALUE"""),386.0)</f>
        <v>386</v>
      </c>
      <c r="C231" s="7">
        <f>IFERROR(__xludf.DUMMYFUNCTION("""COMPUTED_VALUE"""),386.85)</f>
        <v>386.85</v>
      </c>
      <c r="D231" s="7">
        <f>IFERROR(__xludf.DUMMYFUNCTION("""COMPUTED_VALUE"""),383.55)</f>
        <v>383.55</v>
      </c>
      <c r="E231" s="7">
        <f>IFERROR(__xludf.DUMMYFUNCTION("""COMPUTED_VALUE"""),384.7)</f>
        <v>384.7</v>
      </c>
      <c r="F231" s="7">
        <f>IFERROR(__xludf.DUMMYFUNCTION("""COMPUTED_VALUE"""),4904231.0)</f>
        <v>4904231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f>IFERROR(__xludf.DUMMYFUNCTION("""COMPUTED_VALUE"""),45890.64583333333)</f>
        <v>45890.64583</v>
      </c>
      <c r="B232" s="7">
        <f>IFERROR(__xludf.DUMMYFUNCTION("""COMPUTED_VALUE"""),380.95)</f>
        <v>380.95</v>
      </c>
      <c r="C232" s="7">
        <f>IFERROR(__xludf.DUMMYFUNCTION("""COMPUTED_VALUE"""),381.55)</f>
        <v>381.55</v>
      </c>
      <c r="D232" s="7">
        <f>IFERROR(__xludf.DUMMYFUNCTION("""COMPUTED_VALUE"""),377.25)</f>
        <v>377.25</v>
      </c>
      <c r="E232" s="7">
        <f>IFERROR(__xludf.DUMMYFUNCTION("""COMPUTED_VALUE"""),378.15)</f>
        <v>378.15</v>
      </c>
      <c r="F232" s="7">
        <f>IFERROR(__xludf.DUMMYFUNCTION("""COMPUTED_VALUE"""),6212604.0)</f>
        <v>6212604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f>IFERROR(__xludf.DUMMYFUNCTION("""COMPUTED_VALUE"""),45891.64583333333)</f>
        <v>45891.64583</v>
      </c>
      <c r="B233" s="7">
        <f>IFERROR(__xludf.DUMMYFUNCTION("""COMPUTED_VALUE"""),378.15)</f>
        <v>378.15</v>
      </c>
      <c r="C233" s="7">
        <f>IFERROR(__xludf.DUMMYFUNCTION("""COMPUTED_VALUE"""),379.0)</f>
        <v>379</v>
      </c>
      <c r="D233" s="7">
        <f>IFERROR(__xludf.DUMMYFUNCTION("""COMPUTED_VALUE"""),374.05)</f>
        <v>374.05</v>
      </c>
      <c r="E233" s="7">
        <f>IFERROR(__xludf.DUMMYFUNCTION("""COMPUTED_VALUE"""),374.45)</f>
        <v>374.45</v>
      </c>
      <c r="F233" s="7">
        <f>IFERROR(__xludf.DUMMYFUNCTION("""COMPUTED_VALUE"""),4699261.0)</f>
        <v>4699261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f>IFERROR(__xludf.DUMMYFUNCTION("""COMPUTED_VALUE"""),45894.64583333333)</f>
        <v>45894.64583</v>
      </c>
      <c r="B234" s="7">
        <f>IFERROR(__xludf.DUMMYFUNCTION("""COMPUTED_VALUE"""),375.0)</f>
        <v>375</v>
      </c>
      <c r="C234" s="7">
        <f>IFERROR(__xludf.DUMMYFUNCTION("""COMPUTED_VALUE"""),380.75)</f>
        <v>380.75</v>
      </c>
      <c r="D234" s="7">
        <f>IFERROR(__xludf.DUMMYFUNCTION("""COMPUTED_VALUE"""),374.8)</f>
        <v>374.8</v>
      </c>
      <c r="E234" s="7">
        <f>IFERROR(__xludf.DUMMYFUNCTION("""COMPUTED_VALUE"""),380.0)</f>
        <v>380</v>
      </c>
      <c r="F234" s="7">
        <f>IFERROR(__xludf.DUMMYFUNCTION("""COMPUTED_VALUE"""),4349832.0)</f>
        <v>4349832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f>IFERROR(__xludf.DUMMYFUNCTION("""COMPUTED_VALUE"""),45895.64583333333)</f>
        <v>45895.64583</v>
      </c>
      <c r="B235" s="7">
        <f>IFERROR(__xludf.DUMMYFUNCTION("""COMPUTED_VALUE"""),379.0)</f>
        <v>379</v>
      </c>
      <c r="C235" s="7">
        <f>IFERROR(__xludf.DUMMYFUNCTION("""COMPUTED_VALUE"""),379.85)</f>
        <v>379.85</v>
      </c>
      <c r="D235" s="7">
        <f>IFERROR(__xludf.DUMMYFUNCTION("""COMPUTED_VALUE"""),371.4)</f>
        <v>371.4</v>
      </c>
      <c r="E235" s="7">
        <f>IFERROR(__xludf.DUMMYFUNCTION("""COMPUTED_VALUE"""),372.45)</f>
        <v>372.45</v>
      </c>
      <c r="F235" s="7">
        <f>IFERROR(__xludf.DUMMYFUNCTION("""COMPUTED_VALUE"""),6381642.0)</f>
        <v>6381642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f>IFERROR(__xludf.DUMMYFUNCTION("""COMPUTED_VALUE"""),45897.64583333333)</f>
        <v>45897.64583</v>
      </c>
      <c r="B236" s="7">
        <f>IFERROR(__xludf.DUMMYFUNCTION("""COMPUTED_VALUE"""),372.5)</f>
        <v>372.5</v>
      </c>
      <c r="C236" s="7">
        <f>IFERROR(__xludf.DUMMYFUNCTION("""COMPUTED_VALUE"""),375.9)</f>
        <v>375.9</v>
      </c>
      <c r="D236" s="7">
        <f>IFERROR(__xludf.DUMMYFUNCTION("""COMPUTED_VALUE"""),368.65)</f>
        <v>368.65</v>
      </c>
      <c r="E236" s="7">
        <f>IFERROR(__xludf.DUMMYFUNCTION("""COMPUTED_VALUE"""),374.3)</f>
        <v>374.3</v>
      </c>
      <c r="F236" s="7">
        <f>IFERROR(__xludf.DUMMYFUNCTION("""COMPUTED_VALUE"""),4372269.0)</f>
        <v>4372269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f>IFERROR(__xludf.DUMMYFUNCTION("""COMPUTED_VALUE"""),45898.64583333333)</f>
        <v>45898.64583</v>
      </c>
      <c r="B237" s="7">
        <f>IFERROR(__xludf.DUMMYFUNCTION("""COMPUTED_VALUE"""),372.65)</f>
        <v>372.65</v>
      </c>
      <c r="C237" s="7">
        <f>IFERROR(__xludf.DUMMYFUNCTION("""COMPUTED_VALUE"""),379.0)</f>
        <v>379</v>
      </c>
      <c r="D237" s="7">
        <f>IFERROR(__xludf.DUMMYFUNCTION("""COMPUTED_VALUE"""),372.65)</f>
        <v>372.65</v>
      </c>
      <c r="E237" s="7">
        <f>IFERROR(__xludf.DUMMYFUNCTION("""COMPUTED_VALUE"""),374.8)</f>
        <v>374.8</v>
      </c>
      <c r="F237" s="7">
        <f>IFERROR(__xludf.DUMMYFUNCTION("""COMPUTED_VALUE"""),4578400.0)</f>
        <v>4578400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f>IFERROR(__xludf.DUMMYFUNCTION("""COMPUTED_VALUE"""),45901.64583333333)</f>
        <v>45901.64583</v>
      </c>
      <c r="B238" s="7">
        <f>IFERROR(__xludf.DUMMYFUNCTION("""COMPUTED_VALUE"""),375.3)</f>
        <v>375.3</v>
      </c>
      <c r="C238" s="7">
        <f>IFERROR(__xludf.DUMMYFUNCTION("""COMPUTED_VALUE"""),378.6)</f>
        <v>378.6</v>
      </c>
      <c r="D238" s="7">
        <f>IFERROR(__xludf.DUMMYFUNCTION("""COMPUTED_VALUE"""),375.1)</f>
        <v>375.1</v>
      </c>
      <c r="E238" s="7">
        <f>IFERROR(__xludf.DUMMYFUNCTION("""COMPUTED_VALUE"""),377.9)</f>
        <v>377.9</v>
      </c>
      <c r="F238" s="7">
        <f>IFERROR(__xludf.DUMMYFUNCTION("""COMPUTED_VALUE"""),2829114.0)</f>
        <v>2829114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f>IFERROR(__xludf.DUMMYFUNCTION("""COMPUTED_VALUE"""),45902.64583333333)</f>
        <v>45902.64583</v>
      </c>
      <c r="B239" s="7">
        <f>IFERROR(__xludf.DUMMYFUNCTION("""COMPUTED_VALUE"""),381.15)</f>
        <v>381.15</v>
      </c>
      <c r="C239" s="7">
        <f>IFERROR(__xludf.DUMMYFUNCTION("""COMPUTED_VALUE"""),385.0)</f>
        <v>385</v>
      </c>
      <c r="D239" s="7">
        <f>IFERROR(__xludf.DUMMYFUNCTION("""COMPUTED_VALUE"""),379.05)</f>
        <v>379.05</v>
      </c>
      <c r="E239" s="7">
        <f>IFERROR(__xludf.DUMMYFUNCTION("""COMPUTED_VALUE"""),380.1)</f>
        <v>380.1</v>
      </c>
      <c r="F239" s="7">
        <f>IFERROR(__xludf.DUMMYFUNCTION("""COMPUTED_VALUE"""),7511709.0)</f>
        <v>7511709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f>IFERROR(__xludf.DUMMYFUNCTION("""COMPUTED_VALUE"""),45903.64583333333)</f>
        <v>45903.64583</v>
      </c>
      <c r="B240" s="7">
        <f>IFERROR(__xludf.DUMMYFUNCTION("""COMPUTED_VALUE"""),380.95)</f>
        <v>380.95</v>
      </c>
      <c r="C240" s="7">
        <f>IFERROR(__xludf.DUMMYFUNCTION("""COMPUTED_VALUE"""),393.3)</f>
        <v>393.3</v>
      </c>
      <c r="D240" s="7">
        <f>IFERROR(__xludf.DUMMYFUNCTION("""COMPUTED_VALUE"""),380.0)</f>
        <v>380</v>
      </c>
      <c r="E240" s="7">
        <f>IFERROR(__xludf.DUMMYFUNCTION("""COMPUTED_VALUE"""),389.8)</f>
        <v>389.8</v>
      </c>
      <c r="F240" s="7">
        <f>IFERROR(__xludf.DUMMYFUNCTION("""COMPUTED_VALUE"""),8111851.0)</f>
        <v>8111851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f>IFERROR(__xludf.DUMMYFUNCTION("""COMPUTED_VALUE"""),45904.64583333333)</f>
        <v>45904.64583</v>
      </c>
      <c r="B241" s="7">
        <f>IFERROR(__xludf.DUMMYFUNCTION("""COMPUTED_VALUE"""),391.8)</f>
        <v>391.8</v>
      </c>
      <c r="C241" s="7">
        <f>IFERROR(__xludf.DUMMYFUNCTION("""COMPUTED_VALUE"""),392.1)</f>
        <v>392.1</v>
      </c>
      <c r="D241" s="7">
        <f>IFERROR(__xludf.DUMMYFUNCTION("""COMPUTED_VALUE"""),385.7)</f>
        <v>385.7</v>
      </c>
      <c r="E241" s="7">
        <f>IFERROR(__xludf.DUMMYFUNCTION("""COMPUTED_VALUE"""),391.45)</f>
        <v>391.45</v>
      </c>
      <c r="F241" s="7">
        <f>IFERROR(__xludf.DUMMYFUNCTION("""COMPUTED_VALUE"""),5515006.0)</f>
        <v>5515006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f>IFERROR(__xludf.DUMMYFUNCTION("""COMPUTED_VALUE"""),45905.64583333333)</f>
        <v>45905.64583</v>
      </c>
      <c r="B242" s="7">
        <f>IFERROR(__xludf.DUMMYFUNCTION("""COMPUTED_VALUE"""),392.4)</f>
        <v>392.4</v>
      </c>
      <c r="C242" s="7">
        <f>IFERROR(__xludf.DUMMYFUNCTION("""COMPUTED_VALUE"""),393.25)</f>
        <v>393.25</v>
      </c>
      <c r="D242" s="7">
        <f>IFERROR(__xludf.DUMMYFUNCTION("""COMPUTED_VALUE"""),389.0)</f>
        <v>389</v>
      </c>
      <c r="E242" s="7">
        <f>IFERROR(__xludf.DUMMYFUNCTION("""COMPUTED_VALUE"""),392.65)</f>
        <v>392.65</v>
      </c>
      <c r="F242" s="7">
        <f>IFERROR(__xludf.DUMMYFUNCTION("""COMPUTED_VALUE"""),4535470.0)</f>
        <v>4535470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f>IFERROR(__xludf.DUMMYFUNCTION("""COMPUTED_VALUE"""),45908.64583333333)</f>
        <v>45908.64583</v>
      </c>
      <c r="B243" s="7">
        <f>IFERROR(__xludf.DUMMYFUNCTION("""COMPUTED_VALUE"""),394.0)</f>
        <v>394</v>
      </c>
      <c r="C243" s="7">
        <f>IFERROR(__xludf.DUMMYFUNCTION("""COMPUTED_VALUE"""),395.9)</f>
        <v>395.9</v>
      </c>
      <c r="D243" s="7">
        <f>IFERROR(__xludf.DUMMYFUNCTION("""COMPUTED_VALUE"""),386.3)</f>
        <v>386.3</v>
      </c>
      <c r="E243" s="7">
        <f>IFERROR(__xludf.DUMMYFUNCTION("""COMPUTED_VALUE"""),387.05)</f>
        <v>387.05</v>
      </c>
      <c r="F243" s="7">
        <f>IFERROR(__xludf.DUMMYFUNCTION("""COMPUTED_VALUE"""),4607020.0)</f>
        <v>4607020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f>IFERROR(__xludf.DUMMYFUNCTION("""COMPUTED_VALUE"""),45909.64583333333)</f>
        <v>45909.64583</v>
      </c>
      <c r="B244" s="7">
        <f>IFERROR(__xludf.DUMMYFUNCTION("""COMPUTED_VALUE"""),388.7)</f>
        <v>388.7</v>
      </c>
      <c r="C244" s="7">
        <f>IFERROR(__xludf.DUMMYFUNCTION("""COMPUTED_VALUE"""),389.4)</f>
        <v>389.4</v>
      </c>
      <c r="D244" s="7">
        <f>IFERROR(__xludf.DUMMYFUNCTION("""COMPUTED_VALUE"""),386.75)</f>
        <v>386.75</v>
      </c>
      <c r="E244" s="7">
        <f>IFERROR(__xludf.DUMMYFUNCTION("""COMPUTED_VALUE"""),387.95)</f>
        <v>387.95</v>
      </c>
      <c r="F244" s="7">
        <f>IFERROR(__xludf.DUMMYFUNCTION("""COMPUTED_VALUE"""),4376579.0)</f>
        <v>4376579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f>IFERROR(__xludf.DUMMYFUNCTION("""COMPUTED_VALUE"""),45910.64583333333)</f>
        <v>45910.64583</v>
      </c>
      <c r="B245" s="7">
        <f>IFERROR(__xludf.DUMMYFUNCTION("""COMPUTED_VALUE"""),388.5)</f>
        <v>388.5</v>
      </c>
      <c r="C245" s="7">
        <f>IFERROR(__xludf.DUMMYFUNCTION("""COMPUTED_VALUE"""),392.65)</f>
        <v>392.65</v>
      </c>
      <c r="D245" s="7">
        <f>IFERROR(__xludf.DUMMYFUNCTION("""COMPUTED_VALUE"""),388.05)</f>
        <v>388.05</v>
      </c>
      <c r="E245" s="7">
        <f>IFERROR(__xludf.DUMMYFUNCTION("""COMPUTED_VALUE"""),391.9)</f>
        <v>391.9</v>
      </c>
      <c r="F245" s="7">
        <f>IFERROR(__xludf.DUMMYFUNCTION("""COMPUTED_VALUE"""),4285507.0)</f>
        <v>4285507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f>IFERROR(__xludf.DUMMYFUNCTION("""COMPUTED_VALUE"""),45911.64583333333)</f>
        <v>45911.64583</v>
      </c>
      <c r="B246" s="7">
        <f>IFERROR(__xludf.DUMMYFUNCTION("""COMPUTED_VALUE"""),393.65)</f>
        <v>393.65</v>
      </c>
      <c r="C246" s="7">
        <f>IFERROR(__xludf.DUMMYFUNCTION("""COMPUTED_VALUE"""),394.5)</f>
        <v>394.5</v>
      </c>
      <c r="D246" s="7">
        <f>IFERROR(__xludf.DUMMYFUNCTION("""COMPUTED_VALUE"""),390.5)</f>
        <v>390.5</v>
      </c>
      <c r="E246" s="7">
        <f>IFERROR(__xludf.DUMMYFUNCTION("""COMPUTED_VALUE"""),393.35)</f>
        <v>393.35</v>
      </c>
      <c r="F246" s="7">
        <f>IFERROR(__xludf.DUMMYFUNCTION("""COMPUTED_VALUE"""),3442373.0)</f>
        <v>3442373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f>IFERROR(__xludf.DUMMYFUNCTION("""COMPUTED_VALUE"""),45912.64583333333)</f>
        <v>45912.64583</v>
      </c>
      <c r="B247" s="7">
        <f>IFERROR(__xludf.DUMMYFUNCTION("""COMPUTED_VALUE"""),393.55)</f>
        <v>393.55</v>
      </c>
      <c r="C247" s="7">
        <f>IFERROR(__xludf.DUMMYFUNCTION("""COMPUTED_VALUE"""),396.2)</f>
        <v>396.2</v>
      </c>
      <c r="D247" s="7">
        <f>IFERROR(__xludf.DUMMYFUNCTION("""COMPUTED_VALUE"""),393.2)</f>
        <v>393.2</v>
      </c>
      <c r="E247" s="7">
        <f>IFERROR(__xludf.DUMMYFUNCTION("""COMPUTED_VALUE"""),394.35)</f>
        <v>394.35</v>
      </c>
      <c r="F247" s="7">
        <f>IFERROR(__xludf.DUMMYFUNCTION("""COMPUTED_VALUE"""),4276055.0)</f>
        <v>4276055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f>IFERROR(__xludf.DUMMYFUNCTION("""COMPUTED_VALUE"""),45915.64583333333)</f>
        <v>45915.64583</v>
      </c>
      <c r="B248" s="7">
        <f>IFERROR(__xludf.DUMMYFUNCTION("""COMPUTED_VALUE"""),394.35)</f>
        <v>394.35</v>
      </c>
      <c r="C248" s="7">
        <f>IFERROR(__xludf.DUMMYFUNCTION("""COMPUTED_VALUE"""),400.65)</f>
        <v>400.65</v>
      </c>
      <c r="D248" s="7">
        <f>IFERROR(__xludf.DUMMYFUNCTION("""COMPUTED_VALUE"""),394.3)</f>
        <v>394.3</v>
      </c>
      <c r="E248" s="7">
        <f>IFERROR(__xludf.DUMMYFUNCTION("""COMPUTED_VALUE"""),394.75)</f>
        <v>394.75</v>
      </c>
      <c r="F248" s="7">
        <f>IFERROR(__xludf.DUMMYFUNCTION("""COMPUTED_VALUE"""),4618798.0)</f>
        <v>4618798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IFERROR(__xludf.DUMMYFUNCTION("IFERROR(GOOGLEFINANCE(""NSE:IOC"",""all"",EDATE(TODAY(),-12),TODAY(),""DAILY""))
"),"Date")</f>
        <v>Date</v>
      </c>
      <c r="B1" s="11" t="str">
        <f>IFERROR(__xludf.DUMMYFUNCTION("""COMPUTED_VALUE"""),"Open")</f>
        <v>Open</v>
      </c>
      <c r="C1" s="11" t="str">
        <f>IFERROR(__xludf.DUMMYFUNCTION("""COMPUTED_VALUE"""),"High")</f>
        <v>High</v>
      </c>
      <c r="D1" s="11" t="str">
        <f>IFERROR(__xludf.DUMMYFUNCTION("""COMPUTED_VALUE"""),"Low")</f>
        <v>Low</v>
      </c>
      <c r="E1" s="11" t="str">
        <f>IFERROR(__xludf.DUMMYFUNCTION("""COMPUTED_VALUE"""),"Close")</f>
        <v>Close</v>
      </c>
      <c r="F1" s="11" t="str">
        <f>IFERROR(__xludf.DUMMYFUNCTION("""COMPUTED_VALUE"""),"Volume")</f>
        <v>Volume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>
        <f>IFERROR(__xludf.DUMMYFUNCTION("""COMPUTED_VALUE"""),45551.64583333333)</f>
        <v>45551.64583</v>
      </c>
      <c r="B2" s="7">
        <f>IFERROR(__xludf.DUMMYFUNCTION("""COMPUTED_VALUE"""),173.8)</f>
        <v>173.8</v>
      </c>
      <c r="C2" s="7">
        <f>IFERROR(__xludf.DUMMYFUNCTION("""COMPUTED_VALUE"""),174.11)</f>
        <v>174.11</v>
      </c>
      <c r="D2" s="7">
        <f>IFERROR(__xludf.DUMMYFUNCTION("""COMPUTED_VALUE"""),171.59)</f>
        <v>171.59</v>
      </c>
      <c r="E2" s="7">
        <f>IFERROR(__xludf.DUMMYFUNCTION("""COMPUTED_VALUE"""),171.82)</f>
        <v>171.82</v>
      </c>
      <c r="F2" s="7">
        <f>IFERROR(__xludf.DUMMYFUNCTION("""COMPUTED_VALUE"""),8492383.0)</f>
        <v>8492383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f>IFERROR(__xludf.DUMMYFUNCTION("""COMPUTED_VALUE"""),45552.64583333333)</f>
        <v>45552.64583</v>
      </c>
      <c r="B3" s="7">
        <f>IFERROR(__xludf.DUMMYFUNCTION("""COMPUTED_VALUE"""),171.32)</f>
        <v>171.32</v>
      </c>
      <c r="C3" s="7">
        <f>IFERROR(__xludf.DUMMYFUNCTION("""COMPUTED_VALUE"""),171.95)</f>
        <v>171.95</v>
      </c>
      <c r="D3" s="7">
        <f>IFERROR(__xludf.DUMMYFUNCTION("""COMPUTED_VALUE"""),170.05)</f>
        <v>170.05</v>
      </c>
      <c r="E3" s="7">
        <f>IFERROR(__xludf.DUMMYFUNCTION("""COMPUTED_VALUE"""),170.51)</f>
        <v>170.51</v>
      </c>
      <c r="F3" s="7">
        <f>IFERROR(__xludf.DUMMYFUNCTION("""COMPUTED_VALUE"""),6417946.0)</f>
        <v>6417946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f>IFERROR(__xludf.DUMMYFUNCTION("""COMPUTED_VALUE"""),45553.64583333333)</f>
        <v>45553.64583</v>
      </c>
      <c r="B4" s="7">
        <f>IFERROR(__xludf.DUMMYFUNCTION("""COMPUTED_VALUE"""),170.6)</f>
        <v>170.6</v>
      </c>
      <c r="C4" s="7">
        <f>IFERROR(__xludf.DUMMYFUNCTION("""COMPUTED_VALUE"""),171.06)</f>
        <v>171.06</v>
      </c>
      <c r="D4" s="7">
        <f>IFERROR(__xludf.DUMMYFUNCTION("""COMPUTED_VALUE"""),167.6)</f>
        <v>167.6</v>
      </c>
      <c r="E4" s="7">
        <f>IFERROR(__xludf.DUMMYFUNCTION("""COMPUTED_VALUE"""),168.45)</f>
        <v>168.45</v>
      </c>
      <c r="F4" s="7">
        <f>IFERROR(__xludf.DUMMYFUNCTION("""COMPUTED_VALUE"""),1.072665E7)</f>
        <v>10726650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f>IFERROR(__xludf.DUMMYFUNCTION("""COMPUTED_VALUE"""),45554.64583333333)</f>
        <v>45554.64583</v>
      </c>
      <c r="B5" s="7">
        <f>IFERROR(__xludf.DUMMYFUNCTION("""COMPUTED_VALUE"""),168.89)</f>
        <v>168.89</v>
      </c>
      <c r="C5" s="7">
        <f>IFERROR(__xludf.DUMMYFUNCTION("""COMPUTED_VALUE"""),169.94)</f>
        <v>169.94</v>
      </c>
      <c r="D5" s="7">
        <f>IFERROR(__xludf.DUMMYFUNCTION("""COMPUTED_VALUE"""),162.19)</f>
        <v>162.19</v>
      </c>
      <c r="E5" s="7">
        <f>IFERROR(__xludf.DUMMYFUNCTION("""COMPUTED_VALUE"""),165.04)</f>
        <v>165.04</v>
      </c>
      <c r="F5" s="7">
        <f>IFERROR(__xludf.DUMMYFUNCTION("""COMPUTED_VALUE"""),1.9197503E7)</f>
        <v>19197503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f>IFERROR(__xludf.DUMMYFUNCTION("""COMPUTED_VALUE"""),45555.64583333333)</f>
        <v>45555.64583</v>
      </c>
      <c r="B6" s="7">
        <f>IFERROR(__xludf.DUMMYFUNCTION("""COMPUTED_VALUE"""),165.4)</f>
        <v>165.4</v>
      </c>
      <c r="C6" s="7">
        <f>IFERROR(__xludf.DUMMYFUNCTION("""COMPUTED_VALUE"""),167.75)</f>
        <v>167.75</v>
      </c>
      <c r="D6" s="7">
        <f>IFERROR(__xludf.DUMMYFUNCTION("""COMPUTED_VALUE"""),165.0)</f>
        <v>165</v>
      </c>
      <c r="E6" s="7">
        <f>IFERROR(__xludf.DUMMYFUNCTION("""COMPUTED_VALUE"""),167.05)</f>
        <v>167.05</v>
      </c>
      <c r="F6" s="7">
        <f>IFERROR(__xludf.DUMMYFUNCTION("""COMPUTED_VALUE"""),2.0652037E7)</f>
        <v>20652037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f>IFERROR(__xludf.DUMMYFUNCTION("""COMPUTED_VALUE"""),45558.64583333333)</f>
        <v>45558.64583</v>
      </c>
      <c r="B7" s="7">
        <f>IFERROR(__xludf.DUMMYFUNCTION("""COMPUTED_VALUE"""),167.55)</f>
        <v>167.55</v>
      </c>
      <c r="C7" s="7">
        <f>IFERROR(__xludf.DUMMYFUNCTION("""COMPUTED_VALUE"""),170.2)</f>
        <v>170.2</v>
      </c>
      <c r="D7" s="7">
        <f>IFERROR(__xludf.DUMMYFUNCTION("""COMPUTED_VALUE"""),167.0)</f>
        <v>167</v>
      </c>
      <c r="E7" s="7">
        <f>IFERROR(__xludf.DUMMYFUNCTION("""COMPUTED_VALUE"""),169.73)</f>
        <v>169.73</v>
      </c>
      <c r="F7" s="7">
        <f>IFERROR(__xludf.DUMMYFUNCTION("""COMPUTED_VALUE"""),9393577.0)</f>
        <v>9393577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f>IFERROR(__xludf.DUMMYFUNCTION("""COMPUTED_VALUE"""),45559.64583333333)</f>
        <v>45559.64583</v>
      </c>
      <c r="B8" s="7">
        <f>IFERROR(__xludf.DUMMYFUNCTION("""COMPUTED_VALUE"""),169.17)</f>
        <v>169.17</v>
      </c>
      <c r="C8" s="7">
        <f>IFERROR(__xludf.DUMMYFUNCTION("""COMPUTED_VALUE"""),170.95)</f>
        <v>170.95</v>
      </c>
      <c r="D8" s="7">
        <f>IFERROR(__xludf.DUMMYFUNCTION("""COMPUTED_VALUE"""),168.8)</f>
        <v>168.8</v>
      </c>
      <c r="E8" s="7">
        <f>IFERROR(__xludf.DUMMYFUNCTION("""COMPUTED_VALUE"""),169.89)</f>
        <v>169.89</v>
      </c>
      <c r="F8" s="7">
        <f>IFERROR(__xludf.DUMMYFUNCTION("""COMPUTED_VALUE"""),1.0027795E7)</f>
        <v>10027795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f>IFERROR(__xludf.DUMMYFUNCTION("""COMPUTED_VALUE"""),45560.64583333333)</f>
        <v>45560.64583</v>
      </c>
      <c r="B9" s="7">
        <f>IFERROR(__xludf.DUMMYFUNCTION("""COMPUTED_VALUE"""),169.6)</f>
        <v>169.6</v>
      </c>
      <c r="C9" s="7">
        <f>IFERROR(__xludf.DUMMYFUNCTION("""COMPUTED_VALUE"""),170.94)</f>
        <v>170.94</v>
      </c>
      <c r="D9" s="7">
        <f>IFERROR(__xludf.DUMMYFUNCTION("""COMPUTED_VALUE"""),168.5)</f>
        <v>168.5</v>
      </c>
      <c r="E9" s="7">
        <f>IFERROR(__xludf.DUMMYFUNCTION("""COMPUTED_VALUE"""),169.82)</f>
        <v>169.82</v>
      </c>
      <c r="F9" s="7">
        <f>IFERROR(__xludf.DUMMYFUNCTION("""COMPUTED_VALUE"""),8749024.0)</f>
        <v>8749024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f>IFERROR(__xludf.DUMMYFUNCTION("""COMPUTED_VALUE"""),45561.64583333333)</f>
        <v>45561.64583</v>
      </c>
      <c r="B10" s="7">
        <f>IFERROR(__xludf.DUMMYFUNCTION("""COMPUTED_VALUE"""),170.21)</f>
        <v>170.21</v>
      </c>
      <c r="C10" s="7">
        <f>IFERROR(__xludf.DUMMYFUNCTION("""COMPUTED_VALUE"""),171.9)</f>
        <v>171.9</v>
      </c>
      <c r="D10" s="7">
        <f>IFERROR(__xludf.DUMMYFUNCTION("""COMPUTED_VALUE"""),168.61)</f>
        <v>168.61</v>
      </c>
      <c r="E10" s="7">
        <f>IFERROR(__xludf.DUMMYFUNCTION("""COMPUTED_VALUE"""),171.36)</f>
        <v>171.36</v>
      </c>
      <c r="F10" s="7">
        <f>IFERROR(__xludf.DUMMYFUNCTION("""COMPUTED_VALUE"""),1.1349547E7)</f>
        <v>11349547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f>IFERROR(__xludf.DUMMYFUNCTION("""COMPUTED_VALUE"""),45562.64583333333)</f>
        <v>45562.64583</v>
      </c>
      <c r="B11" s="7">
        <f>IFERROR(__xludf.DUMMYFUNCTION("""COMPUTED_VALUE"""),171.6)</f>
        <v>171.6</v>
      </c>
      <c r="C11" s="7">
        <f>IFERROR(__xludf.DUMMYFUNCTION("""COMPUTED_VALUE"""),180.75)</f>
        <v>180.75</v>
      </c>
      <c r="D11" s="7">
        <f>IFERROR(__xludf.DUMMYFUNCTION("""COMPUTED_VALUE"""),171.5)</f>
        <v>171.5</v>
      </c>
      <c r="E11" s="7">
        <f>IFERROR(__xludf.DUMMYFUNCTION("""COMPUTED_VALUE"""),180.01)</f>
        <v>180.01</v>
      </c>
      <c r="F11" s="7">
        <f>IFERROR(__xludf.DUMMYFUNCTION("""COMPUTED_VALUE"""),5.2095985E7)</f>
        <v>52095985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f>IFERROR(__xludf.DUMMYFUNCTION("""COMPUTED_VALUE"""),45565.64583333333)</f>
        <v>45565.64583</v>
      </c>
      <c r="B12" s="7">
        <f>IFERROR(__xludf.DUMMYFUNCTION("""COMPUTED_VALUE"""),179.71)</f>
        <v>179.71</v>
      </c>
      <c r="C12" s="7">
        <f>IFERROR(__xludf.DUMMYFUNCTION("""COMPUTED_VALUE"""),182.46)</f>
        <v>182.46</v>
      </c>
      <c r="D12" s="7">
        <f>IFERROR(__xludf.DUMMYFUNCTION("""COMPUTED_VALUE"""),176.17)</f>
        <v>176.17</v>
      </c>
      <c r="E12" s="7">
        <f>IFERROR(__xludf.DUMMYFUNCTION("""COMPUTED_VALUE"""),180.15)</f>
        <v>180.15</v>
      </c>
      <c r="F12" s="7">
        <f>IFERROR(__xludf.DUMMYFUNCTION("""COMPUTED_VALUE"""),3.3375167E7)</f>
        <v>33375167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f>IFERROR(__xludf.DUMMYFUNCTION("""COMPUTED_VALUE"""),45566.64583333333)</f>
        <v>45566.64583</v>
      </c>
      <c r="B13" s="7">
        <f>IFERROR(__xludf.DUMMYFUNCTION("""COMPUTED_VALUE"""),180.0)</f>
        <v>180</v>
      </c>
      <c r="C13" s="7">
        <f>IFERROR(__xludf.DUMMYFUNCTION("""COMPUTED_VALUE"""),181.34)</f>
        <v>181.34</v>
      </c>
      <c r="D13" s="7">
        <f>IFERROR(__xludf.DUMMYFUNCTION("""COMPUTED_VALUE"""),177.27)</f>
        <v>177.27</v>
      </c>
      <c r="E13" s="7">
        <f>IFERROR(__xludf.DUMMYFUNCTION("""COMPUTED_VALUE"""),179.06)</f>
        <v>179.06</v>
      </c>
      <c r="F13" s="7">
        <f>IFERROR(__xludf.DUMMYFUNCTION("""COMPUTED_VALUE"""),1.7390545E7)</f>
        <v>17390545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f>IFERROR(__xludf.DUMMYFUNCTION("""COMPUTED_VALUE"""),45568.64583333333)</f>
        <v>45568.64583</v>
      </c>
      <c r="B14" s="7">
        <f>IFERROR(__xludf.DUMMYFUNCTION("""COMPUTED_VALUE"""),173.22)</f>
        <v>173.22</v>
      </c>
      <c r="C14" s="7">
        <f>IFERROR(__xludf.DUMMYFUNCTION("""COMPUTED_VALUE"""),176.2)</f>
        <v>176.2</v>
      </c>
      <c r="D14" s="7">
        <f>IFERROR(__xludf.DUMMYFUNCTION("""COMPUTED_VALUE"""),170.73)</f>
        <v>170.73</v>
      </c>
      <c r="E14" s="7">
        <f>IFERROR(__xludf.DUMMYFUNCTION("""COMPUTED_VALUE"""),171.33)</f>
        <v>171.33</v>
      </c>
      <c r="F14" s="7">
        <f>IFERROR(__xludf.DUMMYFUNCTION("""COMPUTED_VALUE"""),2.5392543E7)</f>
        <v>25392543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f>IFERROR(__xludf.DUMMYFUNCTION("""COMPUTED_VALUE"""),45569.64583333333)</f>
        <v>45569.64583</v>
      </c>
      <c r="B15" s="7">
        <f>IFERROR(__xludf.DUMMYFUNCTION("""COMPUTED_VALUE"""),169.5)</f>
        <v>169.5</v>
      </c>
      <c r="C15" s="7">
        <f>IFERROR(__xludf.DUMMYFUNCTION("""COMPUTED_VALUE"""),170.49)</f>
        <v>170.49</v>
      </c>
      <c r="D15" s="7">
        <f>IFERROR(__xludf.DUMMYFUNCTION("""COMPUTED_VALUE"""),165.6)</f>
        <v>165.6</v>
      </c>
      <c r="E15" s="7">
        <f>IFERROR(__xludf.DUMMYFUNCTION("""COMPUTED_VALUE"""),168.65)</f>
        <v>168.65</v>
      </c>
      <c r="F15" s="7">
        <f>IFERROR(__xludf.DUMMYFUNCTION("""COMPUTED_VALUE"""),2.5223563E7)</f>
        <v>25223563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f>IFERROR(__xludf.DUMMYFUNCTION("""COMPUTED_VALUE"""),45572.64583333333)</f>
        <v>45572.64583</v>
      </c>
      <c r="B16" s="7">
        <f>IFERROR(__xludf.DUMMYFUNCTION("""COMPUTED_VALUE"""),170.79)</f>
        <v>170.79</v>
      </c>
      <c r="C16" s="7">
        <f>IFERROR(__xludf.DUMMYFUNCTION("""COMPUTED_VALUE"""),170.79)</f>
        <v>170.79</v>
      </c>
      <c r="D16" s="7">
        <f>IFERROR(__xludf.DUMMYFUNCTION("""COMPUTED_VALUE"""),162.1)</f>
        <v>162.1</v>
      </c>
      <c r="E16" s="7">
        <f>IFERROR(__xludf.DUMMYFUNCTION("""COMPUTED_VALUE"""),162.74)</f>
        <v>162.74</v>
      </c>
      <c r="F16" s="7">
        <f>IFERROR(__xludf.DUMMYFUNCTION("""COMPUTED_VALUE"""),1.9798152E7)</f>
        <v>19798152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f>IFERROR(__xludf.DUMMYFUNCTION("""COMPUTED_VALUE"""),45573.64583333333)</f>
        <v>45573.64583</v>
      </c>
      <c r="B17" s="7">
        <f>IFERROR(__xludf.DUMMYFUNCTION("""COMPUTED_VALUE"""),162.05)</f>
        <v>162.05</v>
      </c>
      <c r="C17" s="7">
        <f>IFERROR(__xludf.DUMMYFUNCTION("""COMPUTED_VALUE"""),165.0)</f>
        <v>165</v>
      </c>
      <c r="D17" s="7">
        <f>IFERROR(__xludf.DUMMYFUNCTION("""COMPUTED_VALUE"""),160.76)</f>
        <v>160.76</v>
      </c>
      <c r="E17" s="7">
        <f>IFERROR(__xludf.DUMMYFUNCTION("""COMPUTED_VALUE"""),164.24)</f>
        <v>164.24</v>
      </c>
      <c r="F17" s="7">
        <f>IFERROR(__xludf.DUMMYFUNCTION("""COMPUTED_VALUE"""),1.4948163E7)</f>
        <v>14948163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f>IFERROR(__xludf.DUMMYFUNCTION("""COMPUTED_VALUE"""),45574.64583333333)</f>
        <v>45574.64583</v>
      </c>
      <c r="B18" s="7">
        <f>IFERROR(__xludf.DUMMYFUNCTION("""COMPUTED_VALUE"""),167.79)</f>
        <v>167.79</v>
      </c>
      <c r="C18" s="7">
        <f>IFERROR(__xludf.DUMMYFUNCTION("""COMPUTED_VALUE"""),169.24)</f>
        <v>169.24</v>
      </c>
      <c r="D18" s="7">
        <f>IFERROR(__xludf.DUMMYFUNCTION("""COMPUTED_VALUE"""),164.46)</f>
        <v>164.46</v>
      </c>
      <c r="E18" s="7">
        <f>IFERROR(__xludf.DUMMYFUNCTION("""COMPUTED_VALUE"""),164.74)</f>
        <v>164.74</v>
      </c>
      <c r="F18" s="7">
        <f>IFERROR(__xludf.DUMMYFUNCTION("""COMPUTED_VALUE"""),2.0278252E7)</f>
        <v>20278252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f>IFERROR(__xludf.DUMMYFUNCTION("""COMPUTED_VALUE"""),45575.64583333333)</f>
        <v>45575.64583</v>
      </c>
      <c r="B19" s="7">
        <f>IFERROR(__xludf.DUMMYFUNCTION("""COMPUTED_VALUE"""),165.17)</f>
        <v>165.17</v>
      </c>
      <c r="C19" s="7">
        <f>IFERROR(__xludf.DUMMYFUNCTION("""COMPUTED_VALUE"""),167.2)</f>
        <v>167.2</v>
      </c>
      <c r="D19" s="7">
        <f>IFERROR(__xludf.DUMMYFUNCTION("""COMPUTED_VALUE"""),164.01)</f>
        <v>164.01</v>
      </c>
      <c r="E19" s="7">
        <f>IFERROR(__xludf.DUMMYFUNCTION("""COMPUTED_VALUE"""),164.39)</f>
        <v>164.39</v>
      </c>
      <c r="F19" s="7">
        <f>IFERROR(__xludf.DUMMYFUNCTION("""COMPUTED_VALUE"""),1.0145184E7)</f>
        <v>10145184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f>IFERROR(__xludf.DUMMYFUNCTION("""COMPUTED_VALUE"""),45576.64583333333)</f>
        <v>45576.64583</v>
      </c>
      <c r="B20" s="7">
        <f>IFERROR(__xludf.DUMMYFUNCTION("""COMPUTED_VALUE"""),164.39)</f>
        <v>164.39</v>
      </c>
      <c r="C20" s="7">
        <f>IFERROR(__xludf.DUMMYFUNCTION("""COMPUTED_VALUE"""),164.74)</f>
        <v>164.74</v>
      </c>
      <c r="D20" s="7">
        <f>IFERROR(__xludf.DUMMYFUNCTION("""COMPUTED_VALUE"""),162.6)</f>
        <v>162.6</v>
      </c>
      <c r="E20" s="7">
        <f>IFERROR(__xludf.DUMMYFUNCTION("""COMPUTED_VALUE"""),163.15)</f>
        <v>163.15</v>
      </c>
      <c r="F20" s="7">
        <f>IFERROR(__xludf.DUMMYFUNCTION("""COMPUTED_VALUE"""),8750905.0)</f>
        <v>8750905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f>IFERROR(__xludf.DUMMYFUNCTION("""COMPUTED_VALUE"""),45579.64583333333)</f>
        <v>45579.64583</v>
      </c>
      <c r="B21" s="7">
        <f>IFERROR(__xludf.DUMMYFUNCTION("""COMPUTED_VALUE"""),164.15)</f>
        <v>164.15</v>
      </c>
      <c r="C21" s="7">
        <f>IFERROR(__xludf.DUMMYFUNCTION("""COMPUTED_VALUE"""),166.01)</f>
        <v>166.01</v>
      </c>
      <c r="D21" s="7">
        <f>IFERROR(__xludf.DUMMYFUNCTION("""COMPUTED_VALUE"""),162.85)</f>
        <v>162.85</v>
      </c>
      <c r="E21" s="7">
        <f>IFERROR(__xludf.DUMMYFUNCTION("""COMPUTED_VALUE"""),165.47)</f>
        <v>165.47</v>
      </c>
      <c r="F21" s="7">
        <f>IFERROR(__xludf.DUMMYFUNCTION("""COMPUTED_VALUE"""),1.434512E7)</f>
        <v>14345120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f>IFERROR(__xludf.DUMMYFUNCTION("""COMPUTED_VALUE"""),45580.64583333333)</f>
        <v>45580.64583</v>
      </c>
      <c r="B22" s="7">
        <f>IFERROR(__xludf.DUMMYFUNCTION("""COMPUTED_VALUE"""),168.0)</f>
        <v>168</v>
      </c>
      <c r="C22" s="7">
        <f>IFERROR(__xludf.DUMMYFUNCTION("""COMPUTED_VALUE"""),169.65)</f>
        <v>169.65</v>
      </c>
      <c r="D22" s="7">
        <f>IFERROR(__xludf.DUMMYFUNCTION("""COMPUTED_VALUE"""),166.5)</f>
        <v>166.5</v>
      </c>
      <c r="E22" s="7">
        <f>IFERROR(__xludf.DUMMYFUNCTION("""COMPUTED_VALUE"""),167.93)</f>
        <v>167.93</v>
      </c>
      <c r="F22" s="7">
        <f>IFERROR(__xludf.DUMMYFUNCTION("""COMPUTED_VALUE"""),2.2551022E7)</f>
        <v>22551022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f>IFERROR(__xludf.DUMMYFUNCTION("""COMPUTED_VALUE"""),45581.64583333333)</f>
        <v>45581.64583</v>
      </c>
      <c r="B23" s="7">
        <f>IFERROR(__xludf.DUMMYFUNCTION("""COMPUTED_VALUE"""),168.25)</f>
        <v>168.25</v>
      </c>
      <c r="C23" s="7">
        <f>IFERROR(__xludf.DUMMYFUNCTION("""COMPUTED_VALUE"""),171.65)</f>
        <v>171.65</v>
      </c>
      <c r="D23" s="7">
        <f>IFERROR(__xludf.DUMMYFUNCTION("""COMPUTED_VALUE"""),167.61)</f>
        <v>167.61</v>
      </c>
      <c r="E23" s="7">
        <f>IFERROR(__xludf.DUMMYFUNCTION("""COMPUTED_VALUE"""),168.39)</f>
        <v>168.39</v>
      </c>
      <c r="F23" s="7">
        <f>IFERROR(__xludf.DUMMYFUNCTION("""COMPUTED_VALUE"""),2.1433632E7)</f>
        <v>21433632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f>IFERROR(__xludf.DUMMYFUNCTION("""COMPUTED_VALUE"""),45582.64583333333)</f>
        <v>45582.64583</v>
      </c>
      <c r="B24" s="7">
        <f>IFERROR(__xludf.DUMMYFUNCTION("""COMPUTED_VALUE"""),168.0)</f>
        <v>168</v>
      </c>
      <c r="C24" s="7">
        <f>IFERROR(__xludf.DUMMYFUNCTION("""COMPUTED_VALUE"""),168.6)</f>
        <v>168.6</v>
      </c>
      <c r="D24" s="7">
        <f>IFERROR(__xludf.DUMMYFUNCTION("""COMPUTED_VALUE"""),164.0)</f>
        <v>164</v>
      </c>
      <c r="E24" s="7">
        <f>IFERROR(__xludf.DUMMYFUNCTION("""COMPUTED_VALUE"""),164.28)</f>
        <v>164.28</v>
      </c>
      <c r="F24" s="7">
        <f>IFERROR(__xludf.DUMMYFUNCTION("""COMPUTED_VALUE"""),1.3215492E7)</f>
        <v>13215492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f>IFERROR(__xludf.DUMMYFUNCTION("""COMPUTED_VALUE"""),45583.64583333333)</f>
        <v>45583.64583</v>
      </c>
      <c r="B25" s="7">
        <f>IFERROR(__xludf.DUMMYFUNCTION("""COMPUTED_VALUE"""),163.3)</f>
        <v>163.3</v>
      </c>
      <c r="C25" s="7">
        <f>IFERROR(__xludf.DUMMYFUNCTION("""COMPUTED_VALUE"""),165.97)</f>
        <v>165.97</v>
      </c>
      <c r="D25" s="7">
        <f>IFERROR(__xludf.DUMMYFUNCTION("""COMPUTED_VALUE"""),161.74)</f>
        <v>161.74</v>
      </c>
      <c r="E25" s="7">
        <f>IFERROR(__xludf.DUMMYFUNCTION("""COMPUTED_VALUE"""),165.35)</f>
        <v>165.35</v>
      </c>
      <c r="F25" s="7">
        <f>IFERROR(__xludf.DUMMYFUNCTION("""COMPUTED_VALUE"""),1.1701011E7)</f>
        <v>11701011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f>IFERROR(__xludf.DUMMYFUNCTION("""COMPUTED_VALUE"""),45586.64583333333)</f>
        <v>45586.64583</v>
      </c>
      <c r="B26" s="7">
        <f>IFERROR(__xludf.DUMMYFUNCTION("""COMPUTED_VALUE"""),165.1)</f>
        <v>165.1</v>
      </c>
      <c r="C26" s="7">
        <f>IFERROR(__xludf.DUMMYFUNCTION("""COMPUTED_VALUE"""),166.68)</f>
        <v>166.68</v>
      </c>
      <c r="D26" s="7">
        <f>IFERROR(__xludf.DUMMYFUNCTION("""COMPUTED_VALUE"""),159.75)</f>
        <v>159.75</v>
      </c>
      <c r="E26" s="7">
        <f>IFERROR(__xludf.DUMMYFUNCTION("""COMPUTED_VALUE"""),160.12)</f>
        <v>160.12</v>
      </c>
      <c r="F26" s="7">
        <f>IFERROR(__xludf.DUMMYFUNCTION("""COMPUTED_VALUE"""),2.0627025E7)</f>
        <v>20627025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f>IFERROR(__xludf.DUMMYFUNCTION("""COMPUTED_VALUE"""),45587.64583333333)</f>
        <v>45587.64583</v>
      </c>
      <c r="B27" s="7">
        <f>IFERROR(__xludf.DUMMYFUNCTION("""COMPUTED_VALUE"""),160.0)</f>
        <v>160</v>
      </c>
      <c r="C27" s="7">
        <f>IFERROR(__xludf.DUMMYFUNCTION("""COMPUTED_VALUE"""),160.74)</f>
        <v>160.74</v>
      </c>
      <c r="D27" s="7">
        <f>IFERROR(__xludf.DUMMYFUNCTION("""COMPUTED_VALUE"""),154.86)</f>
        <v>154.86</v>
      </c>
      <c r="E27" s="7">
        <f>IFERROR(__xludf.DUMMYFUNCTION("""COMPUTED_VALUE"""),155.31)</f>
        <v>155.31</v>
      </c>
      <c r="F27" s="7">
        <f>IFERROR(__xludf.DUMMYFUNCTION("""COMPUTED_VALUE"""),1.5190259E7)</f>
        <v>15190259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f>IFERROR(__xludf.DUMMYFUNCTION("""COMPUTED_VALUE"""),45588.64583333333)</f>
        <v>45588.64583</v>
      </c>
      <c r="B28" s="7">
        <f>IFERROR(__xludf.DUMMYFUNCTION("""COMPUTED_VALUE"""),154.9)</f>
        <v>154.9</v>
      </c>
      <c r="C28" s="7">
        <f>IFERROR(__xludf.DUMMYFUNCTION("""COMPUTED_VALUE"""),155.54)</f>
        <v>155.54</v>
      </c>
      <c r="D28" s="7">
        <f>IFERROR(__xludf.DUMMYFUNCTION("""COMPUTED_VALUE"""),150.15)</f>
        <v>150.15</v>
      </c>
      <c r="E28" s="7">
        <f>IFERROR(__xludf.DUMMYFUNCTION("""COMPUTED_VALUE"""),152.94)</f>
        <v>152.94</v>
      </c>
      <c r="F28" s="7">
        <f>IFERROR(__xludf.DUMMYFUNCTION("""COMPUTED_VALUE"""),1.650329E7)</f>
        <v>16503290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f>IFERROR(__xludf.DUMMYFUNCTION("""COMPUTED_VALUE"""),45589.64583333333)</f>
        <v>45589.64583</v>
      </c>
      <c r="B29" s="7">
        <f>IFERROR(__xludf.DUMMYFUNCTION("""COMPUTED_VALUE"""),152.94)</f>
        <v>152.94</v>
      </c>
      <c r="C29" s="7">
        <f>IFERROR(__xludf.DUMMYFUNCTION("""COMPUTED_VALUE"""),154.34)</f>
        <v>154.34</v>
      </c>
      <c r="D29" s="7">
        <f>IFERROR(__xludf.DUMMYFUNCTION("""COMPUTED_VALUE"""),152.52)</f>
        <v>152.52</v>
      </c>
      <c r="E29" s="7">
        <f>IFERROR(__xludf.DUMMYFUNCTION("""COMPUTED_VALUE"""),153.27)</f>
        <v>153.27</v>
      </c>
      <c r="F29" s="7">
        <f>IFERROR(__xludf.DUMMYFUNCTION("""COMPUTED_VALUE"""),8648491.0)</f>
        <v>8648491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f>IFERROR(__xludf.DUMMYFUNCTION("""COMPUTED_VALUE"""),45590.64583333333)</f>
        <v>45590.64583</v>
      </c>
      <c r="B30" s="7">
        <f>IFERROR(__xludf.DUMMYFUNCTION("""COMPUTED_VALUE"""),153.5)</f>
        <v>153.5</v>
      </c>
      <c r="C30" s="7">
        <f>IFERROR(__xludf.DUMMYFUNCTION("""COMPUTED_VALUE"""),153.95)</f>
        <v>153.95</v>
      </c>
      <c r="D30" s="7">
        <f>IFERROR(__xludf.DUMMYFUNCTION("""COMPUTED_VALUE"""),145.45)</f>
        <v>145.45</v>
      </c>
      <c r="E30" s="7">
        <f>IFERROR(__xludf.DUMMYFUNCTION("""COMPUTED_VALUE"""),146.31)</f>
        <v>146.31</v>
      </c>
      <c r="F30" s="7">
        <f>IFERROR(__xludf.DUMMYFUNCTION("""COMPUTED_VALUE"""),2.0505003E7)</f>
        <v>20505003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f>IFERROR(__xludf.DUMMYFUNCTION("""COMPUTED_VALUE"""),45593.64583333333)</f>
        <v>45593.64583</v>
      </c>
      <c r="B31" s="7">
        <f>IFERROR(__xludf.DUMMYFUNCTION("""COMPUTED_VALUE"""),148.6)</f>
        <v>148.6</v>
      </c>
      <c r="C31" s="7">
        <f>IFERROR(__xludf.DUMMYFUNCTION("""COMPUTED_VALUE"""),149.73)</f>
        <v>149.73</v>
      </c>
      <c r="D31" s="7">
        <f>IFERROR(__xludf.DUMMYFUNCTION("""COMPUTED_VALUE"""),145.0)</f>
        <v>145</v>
      </c>
      <c r="E31" s="7">
        <f>IFERROR(__xludf.DUMMYFUNCTION("""COMPUTED_VALUE"""),147.02)</f>
        <v>147.02</v>
      </c>
      <c r="F31" s="7">
        <f>IFERROR(__xludf.DUMMYFUNCTION("""COMPUTED_VALUE"""),2.1349891E7)</f>
        <v>21349891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f>IFERROR(__xludf.DUMMYFUNCTION("""COMPUTED_VALUE"""),45594.64583333333)</f>
        <v>45594.64583</v>
      </c>
      <c r="B32" s="7">
        <f>IFERROR(__xludf.DUMMYFUNCTION("""COMPUTED_VALUE"""),141.01)</f>
        <v>141.01</v>
      </c>
      <c r="C32" s="7">
        <f>IFERROR(__xludf.DUMMYFUNCTION("""COMPUTED_VALUE"""),145.1)</f>
        <v>145.1</v>
      </c>
      <c r="D32" s="7">
        <f>IFERROR(__xludf.DUMMYFUNCTION("""COMPUTED_VALUE"""),140.56)</f>
        <v>140.56</v>
      </c>
      <c r="E32" s="7">
        <f>IFERROR(__xludf.DUMMYFUNCTION("""COMPUTED_VALUE"""),144.12)</f>
        <v>144.12</v>
      </c>
      <c r="F32" s="7">
        <f>IFERROR(__xludf.DUMMYFUNCTION("""COMPUTED_VALUE"""),3.5275184E7)</f>
        <v>35275184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f>IFERROR(__xludf.DUMMYFUNCTION("""COMPUTED_VALUE"""),45595.64583333333)</f>
        <v>45595.64583</v>
      </c>
      <c r="B33" s="7">
        <f>IFERROR(__xludf.DUMMYFUNCTION("""COMPUTED_VALUE"""),143.6)</f>
        <v>143.6</v>
      </c>
      <c r="C33" s="7">
        <f>IFERROR(__xludf.DUMMYFUNCTION("""COMPUTED_VALUE"""),145.44)</f>
        <v>145.44</v>
      </c>
      <c r="D33" s="7">
        <f>IFERROR(__xludf.DUMMYFUNCTION("""COMPUTED_VALUE"""),142.25)</f>
        <v>142.25</v>
      </c>
      <c r="E33" s="7">
        <f>IFERROR(__xludf.DUMMYFUNCTION("""COMPUTED_VALUE"""),143.4)</f>
        <v>143.4</v>
      </c>
      <c r="F33" s="7">
        <f>IFERROR(__xludf.DUMMYFUNCTION("""COMPUTED_VALUE"""),1.7388536E7)</f>
        <v>17388536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f>IFERROR(__xludf.DUMMYFUNCTION("""COMPUTED_VALUE"""),45596.64583333333)</f>
        <v>45596.64583</v>
      </c>
      <c r="B34" s="7">
        <f>IFERROR(__xludf.DUMMYFUNCTION("""COMPUTED_VALUE"""),143.4)</f>
        <v>143.4</v>
      </c>
      <c r="C34" s="7">
        <f>IFERROR(__xludf.DUMMYFUNCTION("""COMPUTED_VALUE"""),144.4)</f>
        <v>144.4</v>
      </c>
      <c r="D34" s="7">
        <f>IFERROR(__xludf.DUMMYFUNCTION("""COMPUTED_VALUE"""),141.6)</f>
        <v>141.6</v>
      </c>
      <c r="E34" s="7">
        <f>IFERROR(__xludf.DUMMYFUNCTION("""COMPUTED_VALUE"""),142.62)</f>
        <v>142.62</v>
      </c>
      <c r="F34" s="7">
        <f>IFERROR(__xludf.DUMMYFUNCTION("""COMPUTED_VALUE"""),1.865793E7)</f>
        <v>18657930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f>IFERROR(__xludf.DUMMYFUNCTION("""COMPUTED_VALUE"""),45600.64583333333)</f>
        <v>45600.64583</v>
      </c>
      <c r="B35" s="7">
        <f>IFERROR(__xludf.DUMMYFUNCTION("""COMPUTED_VALUE"""),144.58)</f>
        <v>144.58</v>
      </c>
      <c r="C35" s="7">
        <f>IFERROR(__xludf.DUMMYFUNCTION("""COMPUTED_VALUE"""),144.58)</f>
        <v>144.58</v>
      </c>
      <c r="D35" s="7">
        <f>IFERROR(__xludf.DUMMYFUNCTION("""COMPUTED_VALUE"""),136.36)</f>
        <v>136.36</v>
      </c>
      <c r="E35" s="7">
        <f>IFERROR(__xludf.DUMMYFUNCTION("""COMPUTED_VALUE"""),138.93)</f>
        <v>138.93</v>
      </c>
      <c r="F35" s="7">
        <f>IFERROR(__xludf.DUMMYFUNCTION("""COMPUTED_VALUE"""),4.6651179E7)</f>
        <v>46651179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f>IFERROR(__xludf.DUMMYFUNCTION("""COMPUTED_VALUE"""),45601.64583333333)</f>
        <v>45601.64583</v>
      </c>
      <c r="B36" s="7">
        <f>IFERROR(__xludf.DUMMYFUNCTION("""COMPUTED_VALUE"""),137.99)</f>
        <v>137.99</v>
      </c>
      <c r="C36" s="7">
        <f>IFERROR(__xludf.DUMMYFUNCTION("""COMPUTED_VALUE"""),141.1)</f>
        <v>141.1</v>
      </c>
      <c r="D36" s="7">
        <f>IFERROR(__xludf.DUMMYFUNCTION("""COMPUTED_VALUE"""),137.67)</f>
        <v>137.67</v>
      </c>
      <c r="E36" s="7">
        <f>IFERROR(__xludf.DUMMYFUNCTION("""COMPUTED_VALUE"""),140.8)</f>
        <v>140.8</v>
      </c>
      <c r="F36" s="7">
        <f>IFERROR(__xludf.DUMMYFUNCTION("""COMPUTED_VALUE"""),1.8594095E7)</f>
        <v>18594095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f>IFERROR(__xludf.DUMMYFUNCTION("""COMPUTED_VALUE"""),45602.64583333333)</f>
        <v>45602.64583</v>
      </c>
      <c r="B37" s="7">
        <f>IFERROR(__xludf.DUMMYFUNCTION("""COMPUTED_VALUE"""),141.61)</f>
        <v>141.61</v>
      </c>
      <c r="C37" s="7">
        <f>IFERROR(__xludf.DUMMYFUNCTION("""COMPUTED_VALUE"""),145.14)</f>
        <v>145.14</v>
      </c>
      <c r="D37" s="7">
        <f>IFERROR(__xludf.DUMMYFUNCTION("""COMPUTED_VALUE"""),141.37)</f>
        <v>141.37</v>
      </c>
      <c r="E37" s="7">
        <f>IFERROR(__xludf.DUMMYFUNCTION("""COMPUTED_VALUE"""),144.61)</f>
        <v>144.61</v>
      </c>
      <c r="F37" s="7">
        <f>IFERROR(__xludf.DUMMYFUNCTION("""COMPUTED_VALUE"""),1.8107864E7)</f>
        <v>18107864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f>IFERROR(__xludf.DUMMYFUNCTION("""COMPUTED_VALUE"""),45603.64583333333)</f>
        <v>45603.64583</v>
      </c>
      <c r="B38" s="7">
        <f>IFERROR(__xludf.DUMMYFUNCTION("""COMPUTED_VALUE"""),144.66)</f>
        <v>144.66</v>
      </c>
      <c r="C38" s="7">
        <f>IFERROR(__xludf.DUMMYFUNCTION("""COMPUTED_VALUE"""),145.74)</f>
        <v>145.74</v>
      </c>
      <c r="D38" s="7">
        <f>IFERROR(__xludf.DUMMYFUNCTION("""COMPUTED_VALUE"""),143.12)</f>
        <v>143.12</v>
      </c>
      <c r="E38" s="7">
        <f>IFERROR(__xludf.DUMMYFUNCTION("""COMPUTED_VALUE"""),144.15)</f>
        <v>144.15</v>
      </c>
      <c r="F38" s="7">
        <f>IFERROR(__xludf.DUMMYFUNCTION("""COMPUTED_VALUE"""),1.4637973E7)</f>
        <v>14637973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f>IFERROR(__xludf.DUMMYFUNCTION("""COMPUTED_VALUE"""),45604.64583333333)</f>
        <v>45604.64583</v>
      </c>
      <c r="B39" s="7">
        <f>IFERROR(__xludf.DUMMYFUNCTION("""COMPUTED_VALUE"""),143.81)</f>
        <v>143.81</v>
      </c>
      <c r="C39" s="7">
        <f>IFERROR(__xludf.DUMMYFUNCTION("""COMPUTED_VALUE"""),144.39)</f>
        <v>144.39</v>
      </c>
      <c r="D39" s="7">
        <f>IFERROR(__xludf.DUMMYFUNCTION("""COMPUTED_VALUE"""),140.0)</f>
        <v>140</v>
      </c>
      <c r="E39" s="7">
        <f>IFERROR(__xludf.DUMMYFUNCTION("""COMPUTED_VALUE"""),140.34)</f>
        <v>140.34</v>
      </c>
      <c r="F39" s="7">
        <f>IFERROR(__xludf.DUMMYFUNCTION("""COMPUTED_VALUE"""),1.5316464E7)</f>
        <v>15316464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f>IFERROR(__xludf.DUMMYFUNCTION("""COMPUTED_VALUE"""),45607.64583333333)</f>
        <v>45607.64583</v>
      </c>
      <c r="B40" s="7">
        <f>IFERROR(__xludf.DUMMYFUNCTION("""COMPUTED_VALUE"""),138.8)</f>
        <v>138.8</v>
      </c>
      <c r="C40" s="7">
        <f>IFERROR(__xludf.DUMMYFUNCTION("""COMPUTED_VALUE"""),140.7)</f>
        <v>140.7</v>
      </c>
      <c r="D40" s="7">
        <f>IFERROR(__xludf.DUMMYFUNCTION("""COMPUTED_VALUE"""),137.67)</f>
        <v>137.67</v>
      </c>
      <c r="E40" s="7">
        <f>IFERROR(__xludf.DUMMYFUNCTION("""COMPUTED_VALUE"""),139.43)</f>
        <v>139.43</v>
      </c>
      <c r="F40" s="7">
        <f>IFERROR(__xludf.DUMMYFUNCTION("""COMPUTED_VALUE"""),1.7669364E7)</f>
        <v>17669364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f>IFERROR(__xludf.DUMMYFUNCTION("""COMPUTED_VALUE"""),45608.64583333333)</f>
        <v>45608.64583</v>
      </c>
      <c r="B41" s="7">
        <f>IFERROR(__xludf.DUMMYFUNCTION("""COMPUTED_VALUE"""),139.6)</f>
        <v>139.6</v>
      </c>
      <c r="C41" s="7">
        <f>IFERROR(__xludf.DUMMYFUNCTION("""COMPUTED_VALUE"""),141.96)</f>
        <v>141.96</v>
      </c>
      <c r="D41" s="7">
        <f>IFERROR(__xludf.DUMMYFUNCTION("""COMPUTED_VALUE"""),138.5)</f>
        <v>138.5</v>
      </c>
      <c r="E41" s="7">
        <f>IFERROR(__xludf.DUMMYFUNCTION("""COMPUTED_VALUE"""),138.79)</f>
        <v>138.79</v>
      </c>
      <c r="F41" s="7">
        <f>IFERROR(__xludf.DUMMYFUNCTION("""COMPUTED_VALUE"""),1.0561738E7)</f>
        <v>10561738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f>IFERROR(__xludf.DUMMYFUNCTION("""COMPUTED_VALUE"""),45609.64583333333)</f>
        <v>45609.64583</v>
      </c>
      <c r="B42" s="7">
        <f>IFERROR(__xludf.DUMMYFUNCTION("""COMPUTED_VALUE"""),138.24)</f>
        <v>138.24</v>
      </c>
      <c r="C42" s="7">
        <f>IFERROR(__xludf.DUMMYFUNCTION("""COMPUTED_VALUE"""),139.3)</f>
        <v>139.3</v>
      </c>
      <c r="D42" s="7">
        <f>IFERROR(__xludf.DUMMYFUNCTION("""COMPUTED_VALUE"""),135.5)</f>
        <v>135.5</v>
      </c>
      <c r="E42" s="7">
        <f>IFERROR(__xludf.DUMMYFUNCTION("""COMPUTED_VALUE"""),135.99)</f>
        <v>135.99</v>
      </c>
      <c r="F42" s="7">
        <f>IFERROR(__xludf.DUMMYFUNCTION("""COMPUTED_VALUE"""),1.2503679E7)</f>
        <v>12503679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f>IFERROR(__xludf.DUMMYFUNCTION("""COMPUTED_VALUE"""),45610.64583333333)</f>
        <v>45610.64583</v>
      </c>
      <c r="B43" s="7">
        <f>IFERROR(__xludf.DUMMYFUNCTION("""COMPUTED_VALUE"""),135.5)</f>
        <v>135.5</v>
      </c>
      <c r="C43" s="7">
        <f>IFERROR(__xludf.DUMMYFUNCTION("""COMPUTED_VALUE"""),136.84)</f>
        <v>136.84</v>
      </c>
      <c r="D43" s="7">
        <f>IFERROR(__xludf.DUMMYFUNCTION("""COMPUTED_VALUE"""),133.75)</f>
        <v>133.75</v>
      </c>
      <c r="E43" s="7">
        <f>IFERROR(__xludf.DUMMYFUNCTION("""COMPUTED_VALUE"""),134.76)</f>
        <v>134.76</v>
      </c>
      <c r="F43" s="7">
        <f>IFERROR(__xludf.DUMMYFUNCTION("""COMPUTED_VALUE"""),1.7425507E7)</f>
        <v>17425507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f>IFERROR(__xludf.DUMMYFUNCTION("""COMPUTED_VALUE"""),45614.64583333333)</f>
        <v>45614.64583</v>
      </c>
      <c r="B44" s="7">
        <f>IFERROR(__xludf.DUMMYFUNCTION("""COMPUTED_VALUE"""),135.13)</f>
        <v>135.13</v>
      </c>
      <c r="C44" s="7">
        <f>IFERROR(__xludf.DUMMYFUNCTION("""COMPUTED_VALUE"""),135.82)</f>
        <v>135.82</v>
      </c>
      <c r="D44" s="7">
        <f>IFERROR(__xludf.DUMMYFUNCTION("""COMPUTED_VALUE"""),133.33)</f>
        <v>133.33</v>
      </c>
      <c r="E44" s="7">
        <f>IFERROR(__xludf.DUMMYFUNCTION("""COMPUTED_VALUE"""),134.14)</f>
        <v>134.14</v>
      </c>
      <c r="F44" s="7">
        <f>IFERROR(__xludf.DUMMYFUNCTION("""COMPUTED_VALUE"""),1.2693551E7)</f>
        <v>12693551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f>IFERROR(__xludf.DUMMYFUNCTION("""COMPUTED_VALUE"""),45615.64583333333)</f>
        <v>45615.64583</v>
      </c>
      <c r="B45" s="7">
        <f>IFERROR(__xludf.DUMMYFUNCTION("""COMPUTED_VALUE"""),134.86)</f>
        <v>134.86</v>
      </c>
      <c r="C45" s="7">
        <f>IFERROR(__xludf.DUMMYFUNCTION("""COMPUTED_VALUE"""),136.68)</f>
        <v>136.68</v>
      </c>
      <c r="D45" s="7">
        <f>IFERROR(__xludf.DUMMYFUNCTION("""COMPUTED_VALUE"""),132.65)</f>
        <v>132.65</v>
      </c>
      <c r="E45" s="7">
        <f>IFERROR(__xludf.DUMMYFUNCTION("""COMPUTED_VALUE"""),133.12)</f>
        <v>133.12</v>
      </c>
      <c r="F45" s="7">
        <f>IFERROR(__xludf.DUMMYFUNCTION("""COMPUTED_VALUE"""),1.2696762E7)</f>
        <v>12696762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f>IFERROR(__xludf.DUMMYFUNCTION("""COMPUTED_VALUE"""),45617.64583333333)</f>
        <v>45617.64583</v>
      </c>
      <c r="B46" s="7">
        <f>IFERROR(__xludf.DUMMYFUNCTION("""COMPUTED_VALUE"""),133.12)</f>
        <v>133.12</v>
      </c>
      <c r="C46" s="7">
        <f>IFERROR(__xludf.DUMMYFUNCTION("""COMPUTED_VALUE"""),133.4)</f>
        <v>133.4</v>
      </c>
      <c r="D46" s="7">
        <f>IFERROR(__xludf.DUMMYFUNCTION("""COMPUTED_VALUE"""),129.5)</f>
        <v>129.5</v>
      </c>
      <c r="E46" s="7">
        <f>IFERROR(__xludf.DUMMYFUNCTION("""COMPUTED_VALUE"""),130.71)</f>
        <v>130.71</v>
      </c>
      <c r="F46" s="7">
        <f>IFERROR(__xludf.DUMMYFUNCTION("""COMPUTED_VALUE"""),1.578741E7)</f>
        <v>15787410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f>IFERROR(__xludf.DUMMYFUNCTION("""COMPUTED_VALUE"""),45618.64583333333)</f>
        <v>45618.64583</v>
      </c>
      <c r="B47" s="7">
        <f>IFERROR(__xludf.DUMMYFUNCTION("""COMPUTED_VALUE"""),131.49)</f>
        <v>131.49</v>
      </c>
      <c r="C47" s="7">
        <f>IFERROR(__xludf.DUMMYFUNCTION("""COMPUTED_VALUE"""),133.1)</f>
        <v>133.1</v>
      </c>
      <c r="D47" s="7">
        <f>IFERROR(__xludf.DUMMYFUNCTION("""COMPUTED_VALUE"""),130.73)</f>
        <v>130.73</v>
      </c>
      <c r="E47" s="7">
        <f>IFERROR(__xludf.DUMMYFUNCTION("""COMPUTED_VALUE"""),132.61)</f>
        <v>132.61</v>
      </c>
      <c r="F47" s="7">
        <f>IFERROR(__xludf.DUMMYFUNCTION("""COMPUTED_VALUE"""),1.2070416E7)</f>
        <v>12070416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f>IFERROR(__xludf.DUMMYFUNCTION("""COMPUTED_VALUE"""),45621.64583333333)</f>
        <v>45621.64583</v>
      </c>
      <c r="B48" s="7">
        <f>IFERROR(__xludf.DUMMYFUNCTION("""COMPUTED_VALUE"""),135.77)</f>
        <v>135.77</v>
      </c>
      <c r="C48" s="7">
        <f>IFERROR(__xludf.DUMMYFUNCTION("""COMPUTED_VALUE"""),137.96)</f>
        <v>137.96</v>
      </c>
      <c r="D48" s="7">
        <f>IFERROR(__xludf.DUMMYFUNCTION("""COMPUTED_VALUE"""),135.18)</f>
        <v>135.18</v>
      </c>
      <c r="E48" s="7">
        <f>IFERROR(__xludf.DUMMYFUNCTION("""COMPUTED_VALUE"""),136.4)</f>
        <v>136.4</v>
      </c>
      <c r="F48" s="7">
        <f>IFERROR(__xludf.DUMMYFUNCTION("""COMPUTED_VALUE"""),2.2201129E7)</f>
        <v>22201129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f>IFERROR(__xludf.DUMMYFUNCTION("""COMPUTED_VALUE"""),45622.64583333333)</f>
        <v>45622.64583</v>
      </c>
      <c r="B49" s="7">
        <f>IFERROR(__xludf.DUMMYFUNCTION("""COMPUTED_VALUE"""),137.3)</f>
        <v>137.3</v>
      </c>
      <c r="C49" s="7">
        <f>IFERROR(__xludf.DUMMYFUNCTION("""COMPUTED_VALUE"""),137.75)</f>
        <v>137.75</v>
      </c>
      <c r="D49" s="7">
        <f>IFERROR(__xludf.DUMMYFUNCTION("""COMPUTED_VALUE"""),136.14)</f>
        <v>136.14</v>
      </c>
      <c r="E49" s="7">
        <f>IFERROR(__xludf.DUMMYFUNCTION("""COMPUTED_VALUE"""),136.96)</f>
        <v>136.96</v>
      </c>
      <c r="F49" s="7">
        <f>IFERROR(__xludf.DUMMYFUNCTION("""COMPUTED_VALUE"""),9265539.0)</f>
        <v>9265539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f>IFERROR(__xludf.DUMMYFUNCTION("""COMPUTED_VALUE"""),45623.64583333333)</f>
        <v>45623.64583</v>
      </c>
      <c r="B50" s="7">
        <f>IFERROR(__xludf.DUMMYFUNCTION("""COMPUTED_VALUE"""),138.14)</f>
        <v>138.14</v>
      </c>
      <c r="C50" s="7">
        <f>IFERROR(__xludf.DUMMYFUNCTION("""COMPUTED_VALUE"""),139.75)</f>
        <v>139.75</v>
      </c>
      <c r="D50" s="7">
        <f>IFERROR(__xludf.DUMMYFUNCTION("""COMPUTED_VALUE"""),135.25)</f>
        <v>135.25</v>
      </c>
      <c r="E50" s="7">
        <f>IFERROR(__xludf.DUMMYFUNCTION("""COMPUTED_VALUE"""),139.0)</f>
        <v>139</v>
      </c>
      <c r="F50" s="7">
        <f>IFERROR(__xludf.DUMMYFUNCTION("""COMPUTED_VALUE"""),1.8242345E7)</f>
        <v>18242345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f>IFERROR(__xludf.DUMMYFUNCTION("""COMPUTED_VALUE"""),45624.64583333333)</f>
        <v>45624.64583</v>
      </c>
      <c r="B51" s="7">
        <f>IFERROR(__xludf.DUMMYFUNCTION("""COMPUTED_VALUE"""),139.2)</f>
        <v>139.2</v>
      </c>
      <c r="C51" s="7">
        <f>IFERROR(__xludf.DUMMYFUNCTION("""COMPUTED_VALUE"""),141.1)</f>
        <v>141.1</v>
      </c>
      <c r="D51" s="7">
        <f>IFERROR(__xludf.DUMMYFUNCTION("""COMPUTED_VALUE"""),137.25)</f>
        <v>137.25</v>
      </c>
      <c r="E51" s="7">
        <f>IFERROR(__xludf.DUMMYFUNCTION("""COMPUTED_VALUE"""),137.75)</f>
        <v>137.75</v>
      </c>
      <c r="F51" s="7">
        <f>IFERROR(__xludf.DUMMYFUNCTION("""COMPUTED_VALUE"""),1.7331637E7)</f>
        <v>17331637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f>IFERROR(__xludf.DUMMYFUNCTION("""COMPUTED_VALUE"""),45625.64583333333)</f>
        <v>45625.64583</v>
      </c>
      <c r="B52" s="7">
        <f>IFERROR(__xludf.DUMMYFUNCTION("""COMPUTED_VALUE"""),137.0)</f>
        <v>137</v>
      </c>
      <c r="C52" s="7">
        <f>IFERROR(__xludf.DUMMYFUNCTION("""COMPUTED_VALUE"""),139.26)</f>
        <v>139.26</v>
      </c>
      <c r="D52" s="7">
        <f>IFERROR(__xludf.DUMMYFUNCTION("""COMPUTED_VALUE"""),136.87)</f>
        <v>136.87</v>
      </c>
      <c r="E52" s="7">
        <f>IFERROR(__xludf.DUMMYFUNCTION("""COMPUTED_VALUE"""),138.63)</f>
        <v>138.63</v>
      </c>
      <c r="F52" s="7">
        <f>IFERROR(__xludf.DUMMYFUNCTION("""COMPUTED_VALUE"""),1.4012364E7)</f>
        <v>14012364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f>IFERROR(__xludf.DUMMYFUNCTION("""COMPUTED_VALUE"""),45628.64583333333)</f>
        <v>45628.64583</v>
      </c>
      <c r="B53" s="7">
        <f>IFERROR(__xludf.DUMMYFUNCTION("""COMPUTED_VALUE"""),138.22)</f>
        <v>138.22</v>
      </c>
      <c r="C53" s="7">
        <f>IFERROR(__xludf.DUMMYFUNCTION("""COMPUTED_VALUE"""),138.65)</f>
        <v>138.65</v>
      </c>
      <c r="D53" s="7">
        <f>IFERROR(__xludf.DUMMYFUNCTION("""COMPUTED_VALUE"""),136.88)</f>
        <v>136.88</v>
      </c>
      <c r="E53" s="7">
        <f>IFERROR(__xludf.DUMMYFUNCTION("""COMPUTED_VALUE"""),137.65)</f>
        <v>137.65</v>
      </c>
      <c r="F53" s="7">
        <f>IFERROR(__xludf.DUMMYFUNCTION("""COMPUTED_VALUE"""),1.6069119E7)</f>
        <v>16069119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f>IFERROR(__xludf.DUMMYFUNCTION("""COMPUTED_VALUE"""),45629.64583333333)</f>
        <v>45629.64583</v>
      </c>
      <c r="B54" s="7">
        <f>IFERROR(__xludf.DUMMYFUNCTION("""COMPUTED_VALUE"""),138.0)</f>
        <v>138</v>
      </c>
      <c r="C54" s="7">
        <f>IFERROR(__xludf.DUMMYFUNCTION("""COMPUTED_VALUE"""),139.75)</f>
        <v>139.75</v>
      </c>
      <c r="D54" s="7">
        <f>IFERROR(__xludf.DUMMYFUNCTION("""COMPUTED_VALUE"""),137.92)</f>
        <v>137.92</v>
      </c>
      <c r="E54" s="7">
        <f>IFERROR(__xludf.DUMMYFUNCTION("""COMPUTED_VALUE"""),139.51)</f>
        <v>139.51</v>
      </c>
      <c r="F54" s="7">
        <f>IFERROR(__xludf.DUMMYFUNCTION("""COMPUTED_VALUE"""),1.308977E7)</f>
        <v>13089770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f>IFERROR(__xludf.DUMMYFUNCTION("""COMPUTED_VALUE"""),45630.64583333333)</f>
        <v>45630.64583</v>
      </c>
      <c r="B55" s="7">
        <f>IFERROR(__xludf.DUMMYFUNCTION("""COMPUTED_VALUE"""),139.51)</f>
        <v>139.51</v>
      </c>
      <c r="C55" s="7">
        <f>IFERROR(__xludf.DUMMYFUNCTION("""COMPUTED_VALUE"""),141.1)</f>
        <v>141.1</v>
      </c>
      <c r="D55" s="7">
        <f>IFERROR(__xludf.DUMMYFUNCTION("""COMPUTED_VALUE"""),139.15)</f>
        <v>139.15</v>
      </c>
      <c r="E55" s="7">
        <f>IFERROR(__xludf.DUMMYFUNCTION("""COMPUTED_VALUE"""),139.86)</f>
        <v>139.86</v>
      </c>
      <c r="F55" s="7">
        <f>IFERROR(__xludf.DUMMYFUNCTION("""COMPUTED_VALUE"""),1.274561E7)</f>
        <v>12745610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f>IFERROR(__xludf.DUMMYFUNCTION("""COMPUTED_VALUE"""),45631.64583333333)</f>
        <v>45631.64583</v>
      </c>
      <c r="B56" s="7">
        <f>IFERROR(__xludf.DUMMYFUNCTION("""COMPUTED_VALUE"""),140.39)</f>
        <v>140.39</v>
      </c>
      <c r="C56" s="7">
        <f>IFERROR(__xludf.DUMMYFUNCTION("""COMPUTED_VALUE"""),140.39)</f>
        <v>140.39</v>
      </c>
      <c r="D56" s="7">
        <f>IFERROR(__xludf.DUMMYFUNCTION("""COMPUTED_VALUE"""),138.06)</f>
        <v>138.06</v>
      </c>
      <c r="E56" s="7">
        <f>IFERROR(__xludf.DUMMYFUNCTION("""COMPUTED_VALUE"""),139.44)</f>
        <v>139.44</v>
      </c>
      <c r="F56" s="7">
        <f>IFERROR(__xludf.DUMMYFUNCTION("""COMPUTED_VALUE"""),1.4056789E7)</f>
        <v>14056789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f>IFERROR(__xludf.DUMMYFUNCTION("""COMPUTED_VALUE"""),45632.64583333333)</f>
        <v>45632.64583</v>
      </c>
      <c r="B57" s="7">
        <f>IFERROR(__xludf.DUMMYFUNCTION("""COMPUTED_VALUE"""),140.65)</f>
        <v>140.65</v>
      </c>
      <c r="C57" s="7">
        <f>IFERROR(__xludf.DUMMYFUNCTION("""COMPUTED_VALUE"""),143.54)</f>
        <v>143.54</v>
      </c>
      <c r="D57" s="7">
        <f>IFERROR(__xludf.DUMMYFUNCTION("""COMPUTED_VALUE"""),140.3)</f>
        <v>140.3</v>
      </c>
      <c r="E57" s="7">
        <f>IFERROR(__xludf.DUMMYFUNCTION("""COMPUTED_VALUE"""),141.96)</f>
        <v>141.96</v>
      </c>
      <c r="F57" s="7">
        <f>IFERROR(__xludf.DUMMYFUNCTION("""COMPUTED_VALUE"""),2.0687458E7)</f>
        <v>20687458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f>IFERROR(__xludf.DUMMYFUNCTION("""COMPUTED_VALUE"""),45635.64583333333)</f>
        <v>45635.64583</v>
      </c>
      <c r="B58" s="7">
        <f>IFERROR(__xludf.DUMMYFUNCTION("""COMPUTED_VALUE"""),141.96)</f>
        <v>141.96</v>
      </c>
      <c r="C58" s="7">
        <f>IFERROR(__xludf.DUMMYFUNCTION("""COMPUTED_VALUE"""),143.15)</f>
        <v>143.15</v>
      </c>
      <c r="D58" s="7">
        <f>IFERROR(__xludf.DUMMYFUNCTION("""COMPUTED_VALUE"""),141.31)</f>
        <v>141.31</v>
      </c>
      <c r="E58" s="7">
        <f>IFERROR(__xludf.DUMMYFUNCTION("""COMPUTED_VALUE"""),142.33)</f>
        <v>142.33</v>
      </c>
      <c r="F58" s="7">
        <f>IFERROR(__xludf.DUMMYFUNCTION("""COMPUTED_VALUE"""),1.6119047E7)</f>
        <v>16119047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f>IFERROR(__xludf.DUMMYFUNCTION("""COMPUTED_VALUE"""),45636.64583333333)</f>
        <v>45636.64583</v>
      </c>
      <c r="B59" s="7">
        <f>IFERROR(__xludf.DUMMYFUNCTION("""COMPUTED_VALUE"""),142.1)</f>
        <v>142.1</v>
      </c>
      <c r="C59" s="7">
        <f>IFERROR(__xludf.DUMMYFUNCTION("""COMPUTED_VALUE"""),144.44)</f>
        <v>144.44</v>
      </c>
      <c r="D59" s="7">
        <f>IFERROR(__xludf.DUMMYFUNCTION("""COMPUTED_VALUE"""),141.93)</f>
        <v>141.93</v>
      </c>
      <c r="E59" s="7">
        <f>IFERROR(__xludf.DUMMYFUNCTION("""COMPUTED_VALUE"""),143.54)</f>
        <v>143.54</v>
      </c>
      <c r="F59" s="7">
        <f>IFERROR(__xludf.DUMMYFUNCTION("""COMPUTED_VALUE"""),1.3694082E7)</f>
        <v>13694082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f>IFERROR(__xludf.DUMMYFUNCTION("""COMPUTED_VALUE"""),45637.64583333333)</f>
        <v>45637.64583</v>
      </c>
      <c r="B60" s="7">
        <f>IFERROR(__xludf.DUMMYFUNCTION("""COMPUTED_VALUE"""),143.49)</f>
        <v>143.49</v>
      </c>
      <c r="C60" s="7">
        <f>IFERROR(__xludf.DUMMYFUNCTION("""COMPUTED_VALUE"""),144.44)</f>
        <v>144.44</v>
      </c>
      <c r="D60" s="7">
        <f>IFERROR(__xludf.DUMMYFUNCTION("""COMPUTED_VALUE"""),142.94)</f>
        <v>142.94</v>
      </c>
      <c r="E60" s="7">
        <f>IFERROR(__xludf.DUMMYFUNCTION("""COMPUTED_VALUE"""),143.19)</f>
        <v>143.19</v>
      </c>
      <c r="F60" s="7">
        <f>IFERROR(__xludf.DUMMYFUNCTION("""COMPUTED_VALUE"""),9714837.0)</f>
        <v>9714837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f>IFERROR(__xludf.DUMMYFUNCTION("""COMPUTED_VALUE"""),45638.64583333333)</f>
        <v>45638.64583</v>
      </c>
      <c r="B61" s="7">
        <f>IFERROR(__xludf.DUMMYFUNCTION("""COMPUTED_VALUE"""),142.25)</f>
        <v>142.25</v>
      </c>
      <c r="C61" s="7">
        <f>IFERROR(__xludf.DUMMYFUNCTION("""COMPUTED_VALUE"""),143.19)</f>
        <v>143.19</v>
      </c>
      <c r="D61" s="7">
        <f>IFERROR(__xludf.DUMMYFUNCTION("""COMPUTED_VALUE"""),140.87)</f>
        <v>140.87</v>
      </c>
      <c r="E61" s="7">
        <f>IFERROR(__xludf.DUMMYFUNCTION("""COMPUTED_VALUE"""),141.48)</f>
        <v>141.48</v>
      </c>
      <c r="F61" s="7">
        <f>IFERROR(__xludf.DUMMYFUNCTION("""COMPUTED_VALUE"""),1.4929334E7)</f>
        <v>14929334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f>IFERROR(__xludf.DUMMYFUNCTION("""COMPUTED_VALUE"""),45639.64583333333)</f>
        <v>45639.64583</v>
      </c>
      <c r="B62" s="7">
        <f>IFERROR(__xludf.DUMMYFUNCTION("""COMPUTED_VALUE"""),144.74)</f>
        <v>144.74</v>
      </c>
      <c r="C62" s="7">
        <f>IFERROR(__xludf.DUMMYFUNCTION("""COMPUTED_VALUE"""),145.1)</f>
        <v>145.1</v>
      </c>
      <c r="D62" s="7">
        <f>IFERROR(__xludf.DUMMYFUNCTION("""COMPUTED_VALUE"""),140.88)</f>
        <v>140.88</v>
      </c>
      <c r="E62" s="7">
        <f>IFERROR(__xludf.DUMMYFUNCTION("""COMPUTED_VALUE"""),144.24)</f>
        <v>144.24</v>
      </c>
      <c r="F62" s="7">
        <f>IFERROR(__xludf.DUMMYFUNCTION("""COMPUTED_VALUE"""),3.6825429E7)</f>
        <v>36825429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f>IFERROR(__xludf.DUMMYFUNCTION("""COMPUTED_VALUE"""),45642.64583333333)</f>
        <v>45642.64583</v>
      </c>
      <c r="B63" s="7">
        <f>IFERROR(__xludf.DUMMYFUNCTION("""COMPUTED_VALUE"""),144.32)</f>
        <v>144.32</v>
      </c>
      <c r="C63" s="7">
        <f>IFERROR(__xludf.DUMMYFUNCTION("""COMPUTED_VALUE"""),144.95)</f>
        <v>144.95</v>
      </c>
      <c r="D63" s="7">
        <f>IFERROR(__xludf.DUMMYFUNCTION("""COMPUTED_VALUE"""),142.2)</f>
        <v>142.2</v>
      </c>
      <c r="E63" s="7">
        <f>IFERROR(__xludf.DUMMYFUNCTION("""COMPUTED_VALUE"""),143.16)</f>
        <v>143.16</v>
      </c>
      <c r="F63" s="7">
        <f>IFERROR(__xludf.DUMMYFUNCTION("""COMPUTED_VALUE"""),1.2428446E7)</f>
        <v>12428446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f>IFERROR(__xludf.DUMMYFUNCTION("""COMPUTED_VALUE"""),45643.64583333333)</f>
        <v>45643.64583</v>
      </c>
      <c r="B64" s="7">
        <f>IFERROR(__xludf.DUMMYFUNCTION("""COMPUTED_VALUE"""),143.0)</f>
        <v>143</v>
      </c>
      <c r="C64" s="7">
        <f>IFERROR(__xludf.DUMMYFUNCTION("""COMPUTED_VALUE"""),143.2)</f>
        <v>143.2</v>
      </c>
      <c r="D64" s="7">
        <f>IFERROR(__xludf.DUMMYFUNCTION("""COMPUTED_VALUE"""),140.0)</f>
        <v>140</v>
      </c>
      <c r="E64" s="7">
        <f>IFERROR(__xludf.DUMMYFUNCTION("""COMPUTED_VALUE"""),140.32)</f>
        <v>140.32</v>
      </c>
      <c r="F64" s="7">
        <f>IFERROR(__xludf.DUMMYFUNCTION("""COMPUTED_VALUE"""),1.1896291E7)</f>
        <v>11896291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f>IFERROR(__xludf.DUMMYFUNCTION("""COMPUTED_VALUE"""),45644.64583333333)</f>
        <v>45644.64583</v>
      </c>
      <c r="B65" s="7">
        <f>IFERROR(__xludf.DUMMYFUNCTION("""COMPUTED_VALUE"""),139.15)</f>
        <v>139.15</v>
      </c>
      <c r="C65" s="7">
        <f>IFERROR(__xludf.DUMMYFUNCTION("""COMPUTED_VALUE"""),140.69)</f>
        <v>140.69</v>
      </c>
      <c r="D65" s="7">
        <f>IFERROR(__xludf.DUMMYFUNCTION("""COMPUTED_VALUE"""),136.33)</f>
        <v>136.33</v>
      </c>
      <c r="E65" s="7">
        <f>IFERROR(__xludf.DUMMYFUNCTION("""COMPUTED_VALUE"""),136.71)</f>
        <v>136.71</v>
      </c>
      <c r="F65" s="7">
        <f>IFERROR(__xludf.DUMMYFUNCTION("""COMPUTED_VALUE"""),1.2013629E7)</f>
        <v>12013629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f>IFERROR(__xludf.DUMMYFUNCTION("""COMPUTED_VALUE"""),45645.64583333333)</f>
        <v>45645.64583</v>
      </c>
      <c r="B66" s="7">
        <f>IFERROR(__xludf.DUMMYFUNCTION("""COMPUTED_VALUE"""),134.0)</f>
        <v>134</v>
      </c>
      <c r="C66" s="7">
        <f>IFERROR(__xludf.DUMMYFUNCTION("""COMPUTED_VALUE"""),140.3)</f>
        <v>140.3</v>
      </c>
      <c r="D66" s="7">
        <f>IFERROR(__xludf.DUMMYFUNCTION("""COMPUTED_VALUE"""),133.54)</f>
        <v>133.54</v>
      </c>
      <c r="E66" s="7">
        <f>IFERROR(__xludf.DUMMYFUNCTION("""COMPUTED_VALUE"""),139.62)</f>
        <v>139.62</v>
      </c>
      <c r="F66" s="7">
        <f>IFERROR(__xludf.DUMMYFUNCTION("""COMPUTED_VALUE"""),1.8879012E7)</f>
        <v>18879012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f>IFERROR(__xludf.DUMMYFUNCTION("""COMPUTED_VALUE"""),45646.64583333333)</f>
        <v>45646.64583</v>
      </c>
      <c r="B67" s="7">
        <f>IFERROR(__xludf.DUMMYFUNCTION("""COMPUTED_VALUE"""),139.68)</f>
        <v>139.68</v>
      </c>
      <c r="C67" s="7">
        <f>IFERROR(__xludf.DUMMYFUNCTION("""COMPUTED_VALUE"""),141.65)</f>
        <v>141.65</v>
      </c>
      <c r="D67" s="7">
        <f>IFERROR(__xludf.DUMMYFUNCTION("""COMPUTED_VALUE"""),136.6)</f>
        <v>136.6</v>
      </c>
      <c r="E67" s="7">
        <f>IFERROR(__xludf.DUMMYFUNCTION("""COMPUTED_VALUE"""),137.08)</f>
        <v>137.08</v>
      </c>
      <c r="F67" s="7">
        <f>IFERROR(__xludf.DUMMYFUNCTION("""COMPUTED_VALUE"""),1.9545043E7)</f>
        <v>19545043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f>IFERROR(__xludf.DUMMYFUNCTION("""COMPUTED_VALUE"""),45649.64583333333)</f>
        <v>45649.64583</v>
      </c>
      <c r="B68" s="7">
        <f>IFERROR(__xludf.DUMMYFUNCTION("""COMPUTED_VALUE"""),138.08)</f>
        <v>138.08</v>
      </c>
      <c r="C68" s="7">
        <f>IFERROR(__xludf.DUMMYFUNCTION("""COMPUTED_VALUE"""),139.8)</f>
        <v>139.8</v>
      </c>
      <c r="D68" s="7">
        <f>IFERROR(__xludf.DUMMYFUNCTION("""COMPUTED_VALUE"""),137.27)</f>
        <v>137.27</v>
      </c>
      <c r="E68" s="7">
        <f>IFERROR(__xludf.DUMMYFUNCTION("""COMPUTED_VALUE"""),137.78)</f>
        <v>137.78</v>
      </c>
      <c r="F68" s="7">
        <f>IFERROR(__xludf.DUMMYFUNCTION("""COMPUTED_VALUE"""),1.2517478E7)</f>
        <v>12517478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f>IFERROR(__xludf.DUMMYFUNCTION("""COMPUTED_VALUE"""),45650.64583333333)</f>
        <v>45650.64583</v>
      </c>
      <c r="B69" s="7">
        <f>IFERROR(__xludf.DUMMYFUNCTION("""COMPUTED_VALUE"""),137.91)</f>
        <v>137.91</v>
      </c>
      <c r="C69" s="7">
        <f>IFERROR(__xludf.DUMMYFUNCTION("""COMPUTED_VALUE"""),139.46)</f>
        <v>139.46</v>
      </c>
      <c r="D69" s="7">
        <f>IFERROR(__xludf.DUMMYFUNCTION("""COMPUTED_VALUE"""),137.41)</f>
        <v>137.41</v>
      </c>
      <c r="E69" s="7">
        <f>IFERROR(__xludf.DUMMYFUNCTION("""COMPUTED_VALUE"""),138.27)</f>
        <v>138.27</v>
      </c>
      <c r="F69" s="7">
        <f>IFERROR(__xludf.DUMMYFUNCTION("""COMPUTED_VALUE"""),7802858.0)</f>
        <v>7802858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f>IFERROR(__xludf.DUMMYFUNCTION("""COMPUTED_VALUE"""),45652.64583333333)</f>
        <v>45652.64583</v>
      </c>
      <c r="B70" s="7">
        <f>IFERROR(__xludf.DUMMYFUNCTION("""COMPUTED_VALUE"""),138.3)</f>
        <v>138.3</v>
      </c>
      <c r="C70" s="7">
        <f>IFERROR(__xludf.DUMMYFUNCTION("""COMPUTED_VALUE"""),139.62)</f>
        <v>139.62</v>
      </c>
      <c r="D70" s="7">
        <f>IFERROR(__xludf.DUMMYFUNCTION("""COMPUTED_VALUE"""),137.11)</f>
        <v>137.11</v>
      </c>
      <c r="E70" s="7">
        <f>IFERROR(__xludf.DUMMYFUNCTION("""COMPUTED_VALUE"""),137.85)</f>
        <v>137.85</v>
      </c>
      <c r="F70" s="7">
        <f>IFERROR(__xludf.DUMMYFUNCTION("""COMPUTED_VALUE"""),8620779.0)</f>
        <v>8620779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f>IFERROR(__xludf.DUMMYFUNCTION("""COMPUTED_VALUE"""),45653.64583333333)</f>
        <v>45653.64583</v>
      </c>
      <c r="B71" s="7">
        <f>IFERROR(__xludf.DUMMYFUNCTION("""COMPUTED_VALUE"""),138.05)</f>
        <v>138.05</v>
      </c>
      <c r="C71" s="7">
        <f>IFERROR(__xludf.DUMMYFUNCTION("""COMPUTED_VALUE"""),138.79)</f>
        <v>138.79</v>
      </c>
      <c r="D71" s="7">
        <f>IFERROR(__xludf.DUMMYFUNCTION("""COMPUTED_VALUE"""),136.1)</f>
        <v>136.1</v>
      </c>
      <c r="E71" s="7">
        <f>IFERROR(__xludf.DUMMYFUNCTION("""COMPUTED_VALUE"""),136.25)</f>
        <v>136.25</v>
      </c>
      <c r="F71" s="7">
        <f>IFERROR(__xludf.DUMMYFUNCTION("""COMPUTED_VALUE"""),6146307.0)</f>
        <v>6146307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f>IFERROR(__xludf.DUMMYFUNCTION("""COMPUTED_VALUE"""),45656.64583333333)</f>
        <v>45656.64583</v>
      </c>
      <c r="B72" s="7">
        <f>IFERROR(__xludf.DUMMYFUNCTION("""COMPUTED_VALUE"""),136.25)</f>
        <v>136.25</v>
      </c>
      <c r="C72" s="7">
        <f>IFERROR(__xludf.DUMMYFUNCTION("""COMPUTED_VALUE"""),136.83)</f>
        <v>136.83</v>
      </c>
      <c r="D72" s="7">
        <f>IFERROR(__xludf.DUMMYFUNCTION("""COMPUTED_VALUE"""),134.1)</f>
        <v>134.1</v>
      </c>
      <c r="E72" s="7">
        <f>IFERROR(__xludf.DUMMYFUNCTION("""COMPUTED_VALUE"""),134.61)</f>
        <v>134.61</v>
      </c>
      <c r="F72" s="7">
        <f>IFERROR(__xludf.DUMMYFUNCTION("""COMPUTED_VALUE"""),2.922952E7)</f>
        <v>29229520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f>IFERROR(__xludf.DUMMYFUNCTION("""COMPUTED_VALUE"""),45657.64583333333)</f>
        <v>45657.64583</v>
      </c>
      <c r="B73" s="7">
        <f>IFERROR(__xludf.DUMMYFUNCTION("""COMPUTED_VALUE"""),134.52)</f>
        <v>134.52</v>
      </c>
      <c r="C73" s="7">
        <f>IFERROR(__xludf.DUMMYFUNCTION("""COMPUTED_VALUE"""),137.24)</f>
        <v>137.24</v>
      </c>
      <c r="D73" s="7">
        <f>IFERROR(__xludf.DUMMYFUNCTION("""COMPUTED_VALUE"""),134.22)</f>
        <v>134.22</v>
      </c>
      <c r="E73" s="7">
        <f>IFERROR(__xludf.DUMMYFUNCTION("""COMPUTED_VALUE"""),136.41)</f>
        <v>136.41</v>
      </c>
      <c r="F73" s="7">
        <f>IFERROR(__xludf.DUMMYFUNCTION("""COMPUTED_VALUE"""),8243910.0)</f>
        <v>8243910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f>IFERROR(__xludf.DUMMYFUNCTION("""COMPUTED_VALUE"""),45658.64583333333)</f>
        <v>45658.64583</v>
      </c>
      <c r="B74" s="7">
        <f>IFERROR(__xludf.DUMMYFUNCTION("""COMPUTED_VALUE"""),135.8)</f>
        <v>135.8</v>
      </c>
      <c r="C74" s="7">
        <f>IFERROR(__xludf.DUMMYFUNCTION("""COMPUTED_VALUE"""),137.36)</f>
        <v>137.36</v>
      </c>
      <c r="D74" s="7">
        <f>IFERROR(__xludf.DUMMYFUNCTION("""COMPUTED_VALUE"""),135.7)</f>
        <v>135.7</v>
      </c>
      <c r="E74" s="7">
        <f>IFERROR(__xludf.DUMMYFUNCTION("""COMPUTED_VALUE"""),137.04)</f>
        <v>137.04</v>
      </c>
      <c r="F74" s="7">
        <f>IFERROR(__xludf.DUMMYFUNCTION("""COMPUTED_VALUE"""),4144374.0)</f>
        <v>4144374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f>IFERROR(__xludf.DUMMYFUNCTION("""COMPUTED_VALUE"""),45659.64583333333)</f>
        <v>45659.64583</v>
      </c>
      <c r="B75" s="7">
        <f>IFERROR(__xludf.DUMMYFUNCTION("""COMPUTED_VALUE"""),136.41)</f>
        <v>136.41</v>
      </c>
      <c r="C75" s="7">
        <f>IFERROR(__xludf.DUMMYFUNCTION("""COMPUTED_VALUE"""),138.21)</f>
        <v>138.21</v>
      </c>
      <c r="D75" s="7">
        <f>IFERROR(__xludf.DUMMYFUNCTION("""COMPUTED_VALUE"""),135.65)</f>
        <v>135.65</v>
      </c>
      <c r="E75" s="7">
        <f>IFERROR(__xludf.DUMMYFUNCTION("""COMPUTED_VALUE"""),137.96)</f>
        <v>137.96</v>
      </c>
      <c r="F75" s="7">
        <f>IFERROR(__xludf.DUMMYFUNCTION("""COMPUTED_VALUE"""),1.0625223E7)</f>
        <v>10625223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f>IFERROR(__xludf.DUMMYFUNCTION("""COMPUTED_VALUE"""),45660.64583333333)</f>
        <v>45660.64583</v>
      </c>
      <c r="B76" s="7">
        <f>IFERROR(__xludf.DUMMYFUNCTION("""COMPUTED_VALUE"""),137.72)</f>
        <v>137.72</v>
      </c>
      <c r="C76" s="7">
        <f>IFERROR(__xludf.DUMMYFUNCTION("""COMPUTED_VALUE"""),139.83)</f>
        <v>139.83</v>
      </c>
      <c r="D76" s="7">
        <f>IFERROR(__xludf.DUMMYFUNCTION("""COMPUTED_VALUE"""),137.13)</f>
        <v>137.13</v>
      </c>
      <c r="E76" s="7">
        <f>IFERROR(__xludf.DUMMYFUNCTION("""COMPUTED_VALUE"""),138.14)</f>
        <v>138.14</v>
      </c>
      <c r="F76" s="7">
        <f>IFERROR(__xludf.DUMMYFUNCTION("""COMPUTED_VALUE"""),1.456705E7)</f>
        <v>14567050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f>IFERROR(__xludf.DUMMYFUNCTION("""COMPUTED_VALUE"""),45663.64583333333)</f>
        <v>45663.64583</v>
      </c>
      <c r="B77" s="7">
        <f>IFERROR(__xludf.DUMMYFUNCTION("""COMPUTED_VALUE"""),138.14)</f>
        <v>138.14</v>
      </c>
      <c r="C77" s="7">
        <f>IFERROR(__xludf.DUMMYFUNCTION("""COMPUTED_VALUE"""),138.48)</f>
        <v>138.48</v>
      </c>
      <c r="D77" s="7">
        <f>IFERROR(__xludf.DUMMYFUNCTION("""COMPUTED_VALUE"""),132.05)</f>
        <v>132.05</v>
      </c>
      <c r="E77" s="7">
        <f>IFERROR(__xludf.DUMMYFUNCTION("""COMPUTED_VALUE"""),132.88)</f>
        <v>132.88</v>
      </c>
      <c r="F77" s="7">
        <f>IFERROR(__xludf.DUMMYFUNCTION("""COMPUTED_VALUE"""),1.9711596E7)</f>
        <v>19711596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f>IFERROR(__xludf.DUMMYFUNCTION("""COMPUTED_VALUE"""),45664.64583333333)</f>
        <v>45664.64583</v>
      </c>
      <c r="B78" s="7">
        <f>IFERROR(__xludf.DUMMYFUNCTION("""COMPUTED_VALUE"""),133.49)</f>
        <v>133.49</v>
      </c>
      <c r="C78" s="7">
        <f>IFERROR(__xludf.DUMMYFUNCTION("""COMPUTED_VALUE"""),136.28)</f>
        <v>136.28</v>
      </c>
      <c r="D78" s="7">
        <f>IFERROR(__xludf.DUMMYFUNCTION("""COMPUTED_VALUE"""),133.2)</f>
        <v>133.2</v>
      </c>
      <c r="E78" s="7">
        <f>IFERROR(__xludf.DUMMYFUNCTION("""COMPUTED_VALUE"""),134.33)</f>
        <v>134.33</v>
      </c>
      <c r="F78" s="7">
        <f>IFERROR(__xludf.DUMMYFUNCTION("""COMPUTED_VALUE"""),1.3658286E7)</f>
        <v>13658286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f>IFERROR(__xludf.DUMMYFUNCTION("""COMPUTED_VALUE"""),45665.64583333333)</f>
        <v>45665.64583</v>
      </c>
      <c r="B79" s="7">
        <f>IFERROR(__xludf.DUMMYFUNCTION("""COMPUTED_VALUE"""),134.15)</f>
        <v>134.15</v>
      </c>
      <c r="C79" s="7">
        <f>IFERROR(__xludf.DUMMYFUNCTION("""COMPUTED_VALUE"""),135.5)</f>
        <v>135.5</v>
      </c>
      <c r="D79" s="7">
        <f>IFERROR(__xludf.DUMMYFUNCTION("""COMPUTED_VALUE"""),133.09)</f>
        <v>133.09</v>
      </c>
      <c r="E79" s="7">
        <f>IFERROR(__xludf.DUMMYFUNCTION("""COMPUTED_VALUE"""),134.6)</f>
        <v>134.6</v>
      </c>
      <c r="F79" s="7">
        <f>IFERROR(__xludf.DUMMYFUNCTION("""COMPUTED_VALUE"""),1.4259056E7)</f>
        <v>14259056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f>IFERROR(__xludf.DUMMYFUNCTION("""COMPUTED_VALUE"""),45666.64583333333)</f>
        <v>45666.64583</v>
      </c>
      <c r="B80" s="7">
        <f>IFERROR(__xludf.DUMMYFUNCTION("""COMPUTED_VALUE"""),134.64)</f>
        <v>134.64</v>
      </c>
      <c r="C80" s="7">
        <f>IFERROR(__xludf.DUMMYFUNCTION("""COMPUTED_VALUE"""),134.8)</f>
        <v>134.8</v>
      </c>
      <c r="D80" s="7">
        <f>IFERROR(__xludf.DUMMYFUNCTION("""COMPUTED_VALUE"""),132.0)</f>
        <v>132</v>
      </c>
      <c r="E80" s="7">
        <f>IFERROR(__xludf.DUMMYFUNCTION("""COMPUTED_VALUE"""),132.2)</f>
        <v>132.2</v>
      </c>
      <c r="F80" s="7">
        <f>IFERROR(__xludf.DUMMYFUNCTION("""COMPUTED_VALUE"""),9734279.0)</f>
        <v>9734279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f>IFERROR(__xludf.DUMMYFUNCTION("""COMPUTED_VALUE"""),45667.64583333333)</f>
        <v>45667.64583</v>
      </c>
      <c r="B81" s="7">
        <f>IFERROR(__xludf.DUMMYFUNCTION("""COMPUTED_VALUE"""),132.2)</f>
        <v>132.2</v>
      </c>
      <c r="C81" s="7">
        <f>IFERROR(__xludf.DUMMYFUNCTION("""COMPUTED_VALUE"""),133.0)</f>
        <v>133</v>
      </c>
      <c r="D81" s="7">
        <f>IFERROR(__xludf.DUMMYFUNCTION("""COMPUTED_VALUE"""),129.75)</f>
        <v>129.75</v>
      </c>
      <c r="E81" s="7">
        <f>IFERROR(__xludf.DUMMYFUNCTION("""COMPUTED_VALUE"""),130.28)</f>
        <v>130.28</v>
      </c>
      <c r="F81" s="7">
        <f>IFERROR(__xludf.DUMMYFUNCTION("""COMPUTED_VALUE"""),1.2948066E7)</f>
        <v>12948066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f>IFERROR(__xludf.DUMMYFUNCTION("""COMPUTED_VALUE"""),45670.64583333333)</f>
        <v>45670.64583</v>
      </c>
      <c r="B82" s="7">
        <f>IFERROR(__xludf.DUMMYFUNCTION("""COMPUTED_VALUE"""),128.03)</f>
        <v>128.03</v>
      </c>
      <c r="C82" s="7">
        <f>IFERROR(__xludf.DUMMYFUNCTION("""COMPUTED_VALUE"""),128.39)</f>
        <v>128.39</v>
      </c>
      <c r="D82" s="7">
        <f>IFERROR(__xludf.DUMMYFUNCTION("""COMPUTED_VALUE"""),121.16)</f>
        <v>121.16</v>
      </c>
      <c r="E82" s="7">
        <f>IFERROR(__xludf.DUMMYFUNCTION("""COMPUTED_VALUE"""),121.99)</f>
        <v>121.99</v>
      </c>
      <c r="F82" s="7">
        <f>IFERROR(__xludf.DUMMYFUNCTION("""COMPUTED_VALUE"""),3.0291583E7)</f>
        <v>30291583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f>IFERROR(__xludf.DUMMYFUNCTION("""COMPUTED_VALUE"""),45671.64583333333)</f>
        <v>45671.64583</v>
      </c>
      <c r="B83" s="7">
        <f>IFERROR(__xludf.DUMMYFUNCTION("""COMPUTED_VALUE"""),123.0)</f>
        <v>123</v>
      </c>
      <c r="C83" s="7">
        <f>IFERROR(__xludf.DUMMYFUNCTION("""COMPUTED_VALUE"""),127.2)</f>
        <v>127.2</v>
      </c>
      <c r="D83" s="7">
        <f>IFERROR(__xludf.DUMMYFUNCTION("""COMPUTED_VALUE"""),122.72)</f>
        <v>122.72</v>
      </c>
      <c r="E83" s="7">
        <f>IFERROR(__xludf.DUMMYFUNCTION("""COMPUTED_VALUE"""),126.63)</f>
        <v>126.63</v>
      </c>
      <c r="F83" s="7">
        <f>IFERROR(__xludf.DUMMYFUNCTION("""COMPUTED_VALUE"""),1.7430438E7)</f>
        <v>17430438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f>IFERROR(__xludf.DUMMYFUNCTION("""COMPUTED_VALUE"""),45672.64583333333)</f>
        <v>45672.64583</v>
      </c>
      <c r="B84" s="7">
        <f>IFERROR(__xludf.DUMMYFUNCTION("""COMPUTED_VALUE"""),128.26)</f>
        <v>128.26</v>
      </c>
      <c r="C84" s="7">
        <f>IFERROR(__xludf.DUMMYFUNCTION("""COMPUTED_VALUE"""),128.87)</f>
        <v>128.87</v>
      </c>
      <c r="D84" s="7">
        <f>IFERROR(__xludf.DUMMYFUNCTION("""COMPUTED_VALUE"""),126.22)</f>
        <v>126.22</v>
      </c>
      <c r="E84" s="7">
        <f>IFERROR(__xludf.DUMMYFUNCTION("""COMPUTED_VALUE"""),126.95)</f>
        <v>126.95</v>
      </c>
      <c r="F84" s="7">
        <f>IFERROR(__xludf.DUMMYFUNCTION("""COMPUTED_VALUE"""),1.1472116E7)</f>
        <v>11472116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f>IFERROR(__xludf.DUMMYFUNCTION("""COMPUTED_VALUE"""),45673.64583333333)</f>
        <v>45673.64583</v>
      </c>
      <c r="B85" s="7">
        <f>IFERROR(__xludf.DUMMYFUNCTION("""COMPUTED_VALUE"""),127.95)</f>
        <v>127.95</v>
      </c>
      <c r="C85" s="7">
        <f>IFERROR(__xludf.DUMMYFUNCTION("""COMPUTED_VALUE"""),128.27)</f>
        <v>128.27</v>
      </c>
      <c r="D85" s="7">
        <f>IFERROR(__xludf.DUMMYFUNCTION("""COMPUTED_VALUE"""),126.55)</f>
        <v>126.55</v>
      </c>
      <c r="E85" s="7">
        <f>IFERROR(__xludf.DUMMYFUNCTION("""COMPUTED_VALUE"""),127.1)</f>
        <v>127.1</v>
      </c>
      <c r="F85" s="7">
        <f>IFERROR(__xludf.DUMMYFUNCTION("""COMPUTED_VALUE"""),1.1843193E7)</f>
        <v>11843193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f>IFERROR(__xludf.DUMMYFUNCTION("""COMPUTED_VALUE"""),45674.64583333333)</f>
        <v>45674.64583</v>
      </c>
      <c r="B86" s="7">
        <f>IFERROR(__xludf.DUMMYFUNCTION("""COMPUTED_VALUE"""),127.0)</f>
        <v>127</v>
      </c>
      <c r="C86" s="7">
        <f>IFERROR(__xludf.DUMMYFUNCTION("""COMPUTED_VALUE"""),128.49)</f>
        <v>128.49</v>
      </c>
      <c r="D86" s="7">
        <f>IFERROR(__xludf.DUMMYFUNCTION("""COMPUTED_VALUE"""),126.3)</f>
        <v>126.3</v>
      </c>
      <c r="E86" s="7">
        <f>IFERROR(__xludf.DUMMYFUNCTION("""COMPUTED_VALUE"""),128.07)</f>
        <v>128.07</v>
      </c>
      <c r="F86" s="7">
        <f>IFERROR(__xludf.DUMMYFUNCTION("""COMPUTED_VALUE"""),2.4617689E7)</f>
        <v>24617689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f>IFERROR(__xludf.DUMMYFUNCTION("""COMPUTED_VALUE"""),45677.64583333333)</f>
        <v>45677.64583</v>
      </c>
      <c r="B87" s="7">
        <f>IFERROR(__xludf.DUMMYFUNCTION("""COMPUTED_VALUE"""),128.85)</f>
        <v>128.85</v>
      </c>
      <c r="C87" s="7">
        <f>IFERROR(__xludf.DUMMYFUNCTION("""COMPUTED_VALUE"""),131.18)</f>
        <v>131.18</v>
      </c>
      <c r="D87" s="7">
        <f>IFERROR(__xludf.DUMMYFUNCTION("""COMPUTED_VALUE"""),126.81)</f>
        <v>126.81</v>
      </c>
      <c r="E87" s="7">
        <f>IFERROR(__xludf.DUMMYFUNCTION("""COMPUTED_VALUE"""),130.5)</f>
        <v>130.5</v>
      </c>
      <c r="F87" s="7">
        <f>IFERROR(__xludf.DUMMYFUNCTION("""COMPUTED_VALUE"""),8234561.0)</f>
        <v>8234561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f>IFERROR(__xludf.DUMMYFUNCTION("""COMPUTED_VALUE"""),45678.64583333333)</f>
        <v>45678.64583</v>
      </c>
      <c r="B88" s="7">
        <f>IFERROR(__xludf.DUMMYFUNCTION("""COMPUTED_VALUE"""),131.7)</f>
        <v>131.7</v>
      </c>
      <c r="C88" s="7">
        <f>IFERROR(__xludf.DUMMYFUNCTION("""COMPUTED_VALUE"""),133.66)</f>
        <v>133.66</v>
      </c>
      <c r="D88" s="7">
        <f>IFERROR(__xludf.DUMMYFUNCTION("""COMPUTED_VALUE"""),130.65)</f>
        <v>130.65</v>
      </c>
      <c r="E88" s="7">
        <f>IFERROR(__xludf.DUMMYFUNCTION("""COMPUTED_VALUE"""),131.08)</f>
        <v>131.08</v>
      </c>
      <c r="F88" s="7">
        <f>IFERROR(__xludf.DUMMYFUNCTION("""COMPUTED_VALUE"""),2.0272605E7)</f>
        <v>20272605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f>IFERROR(__xludf.DUMMYFUNCTION("""COMPUTED_VALUE"""),45679.64583333333)</f>
        <v>45679.64583</v>
      </c>
      <c r="B89" s="7">
        <f>IFERROR(__xludf.DUMMYFUNCTION("""COMPUTED_VALUE"""),132.2)</f>
        <v>132.2</v>
      </c>
      <c r="C89" s="7">
        <f>IFERROR(__xludf.DUMMYFUNCTION("""COMPUTED_VALUE"""),132.6)</f>
        <v>132.6</v>
      </c>
      <c r="D89" s="7">
        <f>IFERROR(__xludf.DUMMYFUNCTION("""COMPUTED_VALUE"""),128.44)</f>
        <v>128.44</v>
      </c>
      <c r="E89" s="7">
        <f>IFERROR(__xludf.DUMMYFUNCTION("""COMPUTED_VALUE"""),130.52)</f>
        <v>130.52</v>
      </c>
      <c r="F89" s="7">
        <f>IFERROR(__xludf.DUMMYFUNCTION("""COMPUTED_VALUE"""),9202153.0)</f>
        <v>9202153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f>IFERROR(__xludf.DUMMYFUNCTION("""COMPUTED_VALUE"""),45680.64583333333)</f>
        <v>45680.64583</v>
      </c>
      <c r="B90" s="7">
        <f>IFERROR(__xludf.DUMMYFUNCTION("""COMPUTED_VALUE"""),130.4)</f>
        <v>130.4</v>
      </c>
      <c r="C90" s="7">
        <f>IFERROR(__xludf.DUMMYFUNCTION("""COMPUTED_VALUE"""),130.69)</f>
        <v>130.69</v>
      </c>
      <c r="D90" s="7">
        <f>IFERROR(__xludf.DUMMYFUNCTION("""COMPUTED_VALUE"""),128.84)</f>
        <v>128.84</v>
      </c>
      <c r="E90" s="7">
        <f>IFERROR(__xludf.DUMMYFUNCTION("""COMPUTED_VALUE"""),129.83)</f>
        <v>129.83</v>
      </c>
      <c r="F90" s="7">
        <f>IFERROR(__xludf.DUMMYFUNCTION("""COMPUTED_VALUE"""),7058477.0)</f>
        <v>7058477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f>IFERROR(__xludf.DUMMYFUNCTION("""COMPUTED_VALUE"""),45681.64583333333)</f>
        <v>45681.64583</v>
      </c>
      <c r="B91" s="7">
        <f>IFERROR(__xludf.DUMMYFUNCTION("""COMPUTED_VALUE"""),130.99)</f>
        <v>130.99</v>
      </c>
      <c r="C91" s="7">
        <f>IFERROR(__xludf.DUMMYFUNCTION("""COMPUTED_VALUE"""),132.75)</f>
        <v>132.75</v>
      </c>
      <c r="D91" s="7">
        <f>IFERROR(__xludf.DUMMYFUNCTION("""COMPUTED_VALUE"""),127.9)</f>
        <v>127.9</v>
      </c>
      <c r="E91" s="7">
        <f>IFERROR(__xludf.DUMMYFUNCTION("""COMPUTED_VALUE"""),128.26)</f>
        <v>128.26</v>
      </c>
      <c r="F91" s="7">
        <f>IFERROR(__xludf.DUMMYFUNCTION("""COMPUTED_VALUE"""),1.2630632E7)</f>
        <v>12630632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f>IFERROR(__xludf.DUMMYFUNCTION("""COMPUTED_VALUE"""),45684.64583333333)</f>
        <v>45684.64583</v>
      </c>
      <c r="B92" s="7">
        <f>IFERROR(__xludf.DUMMYFUNCTION("""COMPUTED_VALUE"""),127.97)</f>
        <v>127.97</v>
      </c>
      <c r="C92" s="7">
        <f>IFERROR(__xludf.DUMMYFUNCTION("""COMPUTED_VALUE"""),127.97)</f>
        <v>127.97</v>
      </c>
      <c r="D92" s="7">
        <f>IFERROR(__xludf.DUMMYFUNCTION("""COMPUTED_VALUE"""),122.5)</f>
        <v>122.5</v>
      </c>
      <c r="E92" s="7">
        <f>IFERROR(__xludf.DUMMYFUNCTION("""COMPUTED_VALUE"""),124.17)</f>
        <v>124.17</v>
      </c>
      <c r="F92" s="7">
        <f>IFERROR(__xludf.DUMMYFUNCTION("""COMPUTED_VALUE"""),1.8934026E7)</f>
        <v>18934026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f>IFERROR(__xludf.DUMMYFUNCTION("""COMPUTED_VALUE"""),45685.64583333333)</f>
        <v>45685.64583</v>
      </c>
      <c r="B93" s="7">
        <f>IFERROR(__xludf.DUMMYFUNCTION("""COMPUTED_VALUE"""),124.17)</f>
        <v>124.17</v>
      </c>
      <c r="C93" s="7">
        <f>IFERROR(__xludf.DUMMYFUNCTION("""COMPUTED_VALUE"""),125.85)</f>
        <v>125.85</v>
      </c>
      <c r="D93" s="7">
        <f>IFERROR(__xludf.DUMMYFUNCTION("""COMPUTED_VALUE"""),121.84)</f>
        <v>121.84</v>
      </c>
      <c r="E93" s="7">
        <f>IFERROR(__xludf.DUMMYFUNCTION("""COMPUTED_VALUE"""),122.58)</f>
        <v>122.58</v>
      </c>
      <c r="F93" s="7">
        <f>IFERROR(__xludf.DUMMYFUNCTION("""COMPUTED_VALUE"""),1.9861475E7)</f>
        <v>19861475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f>IFERROR(__xludf.DUMMYFUNCTION("""COMPUTED_VALUE"""),45686.64583333333)</f>
        <v>45686.64583</v>
      </c>
      <c r="B94" s="7">
        <f>IFERROR(__xludf.DUMMYFUNCTION("""COMPUTED_VALUE"""),123.19)</f>
        <v>123.19</v>
      </c>
      <c r="C94" s="7">
        <f>IFERROR(__xludf.DUMMYFUNCTION("""COMPUTED_VALUE"""),124.39)</f>
        <v>124.39</v>
      </c>
      <c r="D94" s="7">
        <f>IFERROR(__xludf.DUMMYFUNCTION("""COMPUTED_VALUE"""),122.9)</f>
        <v>122.9</v>
      </c>
      <c r="E94" s="7">
        <f>IFERROR(__xludf.DUMMYFUNCTION("""COMPUTED_VALUE"""),123.64)</f>
        <v>123.64</v>
      </c>
      <c r="F94" s="7">
        <f>IFERROR(__xludf.DUMMYFUNCTION("""COMPUTED_VALUE"""),1.2017314E7)</f>
        <v>12017314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f>IFERROR(__xludf.DUMMYFUNCTION("""COMPUTED_VALUE"""),45687.64583333333)</f>
        <v>45687.64583</v>
      </c>
      <c r="B95" s="7">
        <f>IFERROR(__xludf.DUMMYFUNCTION("""COMPUTED_VALUE"""),124.4)</f>
        <v>124.4</v>
      </c>
      <c r="C95" s="7">
        <f>IFERROR(__xludf.DUMMYFUNCTION("""COMPUTED_VALUE"""),128.5)</f>
        <v>128.5</v>
      </c>
      <c r="D95" s="7">
        <f>IFERROR(__xludf.DUMMYFUNCTION("""COMPUTED_VALUE"""),123.86)</f>
        <v>123.86</v>
      </c>
      <c r="E95" s="7">
        <f>IFERROR(__xludf.DUMMYFUNCTION("""COMPUTED_VALUE"""),127.12)</f>
        <v>127.12</v>
      </c>
      <c r="F95" s="7">
        <f>IFERROR(__xludf.DUMMYFUNCTION("""COMPUTED_VALUE"""),1.7776744E7)</f>
        <v>17776744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f>IFERROR(__xludf.DUMMYFUNCTION("""COMPUTED_VALUE"""),45688.64583333333)</f>
        <v>45688.64583</v>
      </c>
      <c r="B96" s="7">
        <f>IFERROR(__xludf.DUMMYFUNCTION("""COMPUTED_VALUE"""),127.12)</f>
        <v>127.12</v>
      </c>
      <c r="C96" s="7">
        <f>IFERROR(__xludf.DUMMYFUNCTION("""COMPUTED_VALUE"""),128.85)</f>
        <v>128.85</v>
      </c>
      <c r="D96" s="7">
        <f>IFERROR(__xludf.DUMMYFUNCTION("""COMPUTED_VALUE"""),126.15)</f>
        <v>126.15</v>
      </c>
      <c r="E96" s="7">
        <f>IFERROR(__xludf.DUMMYFUNCTION("""COMPUTED_VALUE"""),128.49)</f>
        <v>128.49</v>
      </c>
      <c r="F96" s="7">
        <f>IFERROR(__xludf.DUMMYFUNCTION("""COMPUTED_VALUE"""),9686000.0)</f>
        <v>9686000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f>IFERROR(__xludf.DUMMYFUNCTION("""COMPUTED_VALUE"""),45691.64583333333)</f>
        <v>45691.64583</v>
      </c>
      <c r="B97" s="7">
        <f>IFERROR(__xludf.DUMMYFUNCTION("""COMPUTED_VALUE"""),124.11)</f>
        <v>124.11</v>
      </c>
      <c r="C97" s="7">
        <f>IFERROR(__xludf.DUMMYFUNCTION("""COMPUTED_VALUE"""),124.2)</f>
        <v>124.2</v>
      </c>
      <c r="D97" s="7">
        <f>IFERROR(__xludf.DUMMYFUNCTION("""COMPUTED_VALUE"""),120.1)</f>
        <v>120.1</v>
      </c>
      <c r="E97" s="7">
        <f>IFERROR(__xludf.DUMMYFUNCTION("""COMPUTED_VALUE"""),120.96)</f>
        <v>120.96</v>
      </c>
      <c r="F97" s="7">
        <f>IFERROR(__xludf.DUMMYFUNCTION("""COMPUTED_VALUE"""),2.6047332E7)</f>
        <v>26047332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f>IFERROR(__xludf.DUMMYFUNCTION("""COMPUTED_VALUE"""),45692.64583333333)</f>
        <v>45692.64583</v>
      </c>
      <c r="B98" s="7">
        <f>IFERROR(__xludf.DUMMYFUNCTION("""COMPUTED_VALUE"""),122.7)</f>
        <v>122.7</v>
      </c>
      <c r="C98" s="7">
        <f>IFERROR(__xludf.DUMMYFUNCTION("""COMPUTED_VALUE"""),124.68)</f>
        <v>124.68</v>
      </c>
      <c r="D98" s="7">
        <f>IFERROR(__xludf.DUMMYFUNCTION("""COMPUTED_VALUE"""),122.5)</f>
        <v>122.5</v>
      </c>
      <c r="E98" s="7">
        <f>IFERROR(__xludf.DUMMYFUNCTION("""COMPUTED_VALUE"""),124.46)</f>
        <v>124.46</v>
      </c>
      <c r="F98" s="7">
        <f>IFERROR(__xludf.DUMMYFUNCTION("""COMPUTED_VALUE"""),1.4405748E7)</f>
        <v>14405748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f>IFERROR(__xludf.DUMMYFUNCTION("""COMPUTED_VALUE"""),45693.64583333333)</f>
        <v>45693.64583</v>
      </c>
      <c r="B99" s="7">
        <f>IFERROR(__xludf.DUMMYFUNCTION("""COMPUTED_VALUE"""),125.49)</f>
        <v>125.49</v>
      </c>
      <c r="C99" s="7">
        <f>IFERROR(__xludf.DUMMYFUNCTION("""COMPUTED_VALUE"""),128.48)</f>
        <v>128.48</v>
      </c>
      <c r="D99" s="7">
        <f>IFERROR(__xludf.DUMMYFUNCTION("""COMPUTED_VALUE"""),125.46)</f>
        <v>125.46</v>
      </c>
      <c r="E99" s="7">
        <f>IFERROR(__xludf.DUMMYFUNCTION("""COMPUTED_VALUE"""),126.43)</f>
        <v>126.43</v>
      </c>
      <c r="F99" s="7">
        <f>IFERROR(__xludf.DUMMYFUNCTION("""COMPUTED_VALUE"""),1.1469878E7)</f>
        <v>11469878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f>IFERROR(__xludf.DUMMYFUNCTION("""COMPUTED_VALUE"""),45694.64583333333)</f>
        <v>45694.64583</v>
      </c>
      <c r="B100" s="7">
        <f>IFERROR(__xludf.DUMMYFUNCTION("""COMPUTED_VALUE"""),128.05)</f>
        <v>128.05</v>
      </c>
      <c r="C100" s="7">
        <f>IFERROR(__xludf.DUMMYFUNCTION("""COMPUTED_VALUE"""),128.22)</f>
        <v>128.22</v>
      </c>
      <c r="D100" s="7">
        <f>IFERROR(__xludf.DUMMYFUNCTION("""COMPUTED_VALUE"""),125.32)</f>
        <v>125.32</v>
      </c>
      <c r="E100" s="7">
        <f>IFERROR(__xludf.DUMMYFUNCTION("""COMPUTED_VALUE"""),126.02)</f>
        <v>126.02</v>
      </c>
      <c r="F100" s="7">
        <f>IFERROR(__xludf.DUMMYFUNCTION("""COMPUTED_VALUE"""),9804040.0)</f>
        <v>9804040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f>IFERROR(__xludf.DUMMYFUNCTION("""COMPUTED_VALUE"""),45695.64583333333)</f>
        <v>45695.64583</v>
      </c>
      <c r="B101" s="7">
        <f>IFERROR(__xludf.DUMMYFUNCTION("""COMPUTED_VALUE"""),126.03)</f>
        <v>126.03</v>
      </c>
      <c r="C101" s="7">
        <f>IFERROR(__xludf.DUMMYFUNCTION("""COMPUTED_VALUE"""),126.75)</f>
        <v>126.75</v>
      </c>
      <c r="D101" s="7">
        <f>IFERROR(__xludf.DUMMYFUNCTION("""COMPUTED_VALUE"""),124.43)</f>
        <v>124.43</v>
      </c>
      <c r="E101" s="7">
        <f>IFERROR(__xludf.DUMMYFUNCTION("""COMPUTED_VALUE"""),125.11)</f>
        <v>125.11</v>
      </c>
      <c r="F101" s="7">
        <f>IFERROR(__xludf.DUMMYFUNCTION("""COMPUTED_VALUE"""),8892600.0)</f>
        <v>8892600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f>IFERROR(__xludf.DUMMYFUNCTION("""COMPUTED_VALUE"""),45698.64583333333)</f>
        <v>45698.64583</v>
      </c>
      <c r="B102" s="7">
        <f>IFERROR(__xludf.DUMMYFUNCTION("""COMPUTED_VALUE"""),125.0)</f>
        <v>125</v>
      </c>
      <c r="C102" s="7">
        <f>IFERROR(__xludf.DUMMYFUNCTION("""COMPUTED_VALUE"""),126.62)</f>
        <v>126.62</v>
      </c>
      <c r="D102" s="7">
        <f>IFERROR(__xludf.DUMMYFUNCTION("""COMPUTED_VALUE"""),122.86)</f>
        <v>122.86</v>
      </c>
      <c r="E102" s="7">
        <f>IFERROR(__xludf.DUMMYFUNCTION("""COMPUTED_VALUE"""),123.18)</f>
        <v>123.18</v>
      </c>
      <c r="F102" s="7">
        <f>IFERROR(__xludf.DUMMYFUNCTION("""COMPUTED_VALUE"""),1.2773729E7)</f>
        <v>12773729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f>IFERROR(__xludf.DUMMYFUNCTION("""COMPUTED_VALUE"""),45699.64583333333)</f>
        <v>45699.64583</v>
      </c>
      <c r="B103" s="7">
        <f>IFERROR(__xludf.DUMMYFUNCTION("""COMPUTED_VALUE"""),123.18)</f>
        <v>123.18</v>
      </c>
      <c r="C103" s="7">
        <f>IFERROR(__xludf.DUMMYFUNCTION("""COMPUTED_VALUE"""),123.74)</f>
        <v>123.74</v>
      </c>
      <c r="D103" s="7">
        <f>IFERROR(__xludf.DUMMYFUNCTION("""COMPUTED_VALUE"""),120.0)</f>
        <v>120</v>
      </c>
      <c r="E103" s="7">
        <f>IFERROR(__xludf.DUMMYFUNCTION("""COMPUTED_VALUE"""),120.47)</f>
        <v>120.47</v>
      </c>
      <c r="F103" s="7">
        <f>IFERROR(__xludf.DUMMYFUNCTION("""COMPUTED_VALUE"""),1.453281E7)</f>
        <v>14532810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f>IFERROR(__xludf.DUMMYFUNCTION("""COMPUTED_VALUE"""),45700.64583333333)</f>
        <v>45700.64583</v>
      </c>
      <c r="B104" s="7">
        <f>IFERROR(__xludf.DUMMYFUNCTION("""COMPUTED_VALUE"""),120.69)</f>
        <v>120.69</v>
      </c>
      <c r="C104" s="7">
        <f>IFERROR(__xludf.DUMMYFUNCTION("""COMPUTED_VALUE"""),121.2)</f>
        <v>121.2</v>
      </c>
      <c r="D104" s="7">
        <f>IFERROR(__xludf.DUMMYFUNCTION("""COMPUTED_VALUE"""),117.28)</f>
        <v>117.28</v>
      </c>
      <c r="E104" s="7">
        <f>IFERROR(__xludf.DUMMYFUNCTION("""COMPUTED_VALUE"""),120.42)</f>
        <v>120.42</v>
      </c>
      <c r="F104" s="7">
        <f>IFERROR(__xludf.DUMMYFUNCTION("""COMPUTED_VALUE"""),1.4799271E7)</f>
        <v>14799271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f>IFERROR(__xludf.DUMMYFUNCTION("""COMPUTED_VALUE"""),45701.64583333333)</f>
        <v>45701.64583</v>
      </c>
      <c r="B105" s="7">
        <f>IFERROR(__xludf.DUMMYFUNCTION("""COMPUTED_VALUE"""),121.0)</f>
        <v>121</v>
      </c>
      <c r="C105" s="7">
        <f>IFERROR(__xludf.DUMMYFUNCTION("""COMPUTED_VALUE"""),122.0)</f>
        <v>122</v>
      </c>
      <c r="D105" s="7">
        <f>IFERROR(__xludf.DUMMYFUNCTION("""COMPUTED_VALUE"""),119.95)</f>
        <v>119.95</v>
      </c>
      <c r="E105" s="7">
        <f>IFERROR(__xludf.DUMMYFUNCTION("""COMPUTED_VALUE"""),120.08)</f>
        <v>120.08</v>
      </c>
      <c r="F105" s="7">
        <f>IFERROR(__xludf.DUMMYFUNCTION("""COMPUTED_VALUE"""),1.0136689E7)</f>
        <v>10136689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f>IFERROR(__xludf.DUMMYFUNCTION("""COMPUTED_VALUE"""),45702.64583333333)</f>
        <v>45702.64583</v>
      </c>
      <c r="B106" s="7">
        <f>IFERROR(__xludf.DUMMYFUNCTION("""COMPUTED_VALUE"""),120.5)</f>
        <v>120.5</v>
      </c>
      <c r="C106" s="7">
        <f>IFERROR(__xludf.DUMMYFUNCTION("""COMPUTED_VALUE"""),121.24)</f>
        <v>121.24</v>
      </c>
      <c r="D106" s="7">
        <f>IFERROR(__xludf.DUMMYFUNCTION("""COMPUTED_VALUE"""),116.0)</f>
        <v>116</v>
      </c>
      <c r="E106" s="7">
        <f>IFERROR(__xludf.DUMMYFUNCTION("""COMPUTED_VALUE"""),117.25)</f>
        <v>117.25</v>
      </c>
      <c r="F106" s="7">
        <f>IFERROR(__xludf.DUMMYFUNCTION("""COMPUTED_VALUE"""),1.2351973E7)</f>
        <v>12351973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f>IFERROR(__xludf.DUMMYFUNCTION("""COMPUTED_VALUE"""),45705.64583333333)</f>
        <v>45705.64583</v>
      </c>
      <c r="B107" s="7">
        <f>IFERROR(__xludf.DUMMYFUNCTION("""COMPUTED_VALUE"""),117.25)</f>
        <v>117.25</v>
      </c>
      <c r="C107" s="7">
        <f>IFERROR(__xludf.DUMMYFUNCTION("""COMPUTED_VALUE"""),118.8)</f>
        <v>118.8</v>
      </c>
      <c r="D107" s="7">
        <f>IFERROR(__xludf.DUMMYFUNCTION("""COMPUTED_VALUE"""),114.4)</f>
        <v>114.4</v>
      </c>
      <c r="E107" s="7">
        <f>IFERROR(__xludf.DUMMYFUNCTION("""COMPUTED_VALUE"""),118.45)</f>
        <v>118.45</v>
      </c>
      <c r="F107" s="7">
        <f>IFERROR(__xludf.DUMMYFUNCTION("""COMPUTED_VALUE"""),1.2518983E7)</f>
        <v>12518983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f>IFERROR(__xludf.DUMMYFUNCTION("""COMPUTED_VALUE"""),45706.64583333333)</f>
        <v>45706.64583</v>
      </c>
      <c r="B108" s="7">
        <f>IFERROR(__xludf.DUMMYFUNCTION("""COMPUTED_VALUE"""),118.45)</f>
        <v>118.45</v>
      </c>
      <c r="C108" s="7">
        <f>IFERROR(__xludf.DUMMYFUNCTION("""COMPUTED_VALUE"""),119.25)</f>
        <v>119.25</v>
      </c>
      <c r="D108" s="7">
        <f>IFERROR(__xludf.DUMMYFUNCTION("""COMPUTED_VALUE"""),116.31)</f>
        <v>116.31</v>
      </c>
      <c r="E108" s="7">
        <f>IFERROR(__xludf.DUMMYFUNCTION("""COMPUTED_VALUE"""),119.0)</f>
        <v>119</v>
      </c>
      <c r="F108" s="7">
        <f>IFERROR(__xludf.DUMMYFUNCTION("""COMPUTED_VALUE"""),8678689.0)</f>
        <v>8678689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f>IFERROR(__xludf.DUMMYFUNCTION("""COMPUTED_VALUE"""),45707.64583333333)</f>
        <v>45707.64583</v>
      </c>
      <c r="B109" s="7">
        <f>IFERROR(__xludf.DUMMYFUNCTION("""COMPUTED_VALUE"""),118.11)</f>
        <v>118.11</v>
      </c>
      <c r="C109" s="7">
        <f>IFERROR(__xludf.DUMMYFUNCTION("""COMPUTED_VALUE"""),120.17)</f>
        <v>120.17</v>
      </c>
      <c r="D109" s="7">
        <f>IFERROR(__xludf.DUMMYFUNCTION("""COMPUTED_VALUE"""),117.9)</f>
        <v>117.9</v>
      </c>
      <c r="E109" s="7">
        <f>IFERROR(__xludf.DUMMYFUNCTION("""COMPUTED_VALUE"""),119.87)</f>
        <v>119.87</v>
      </c>
      <c r="F109" s="7">
        <f>IFERROR(__xludf.DUMMYFUNCTION("""COMPUTED_VALUE"""),9158990.0)</f>
        <v>9158990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f>IFERROR(__xludf.DUMMYFUNCTION("""COMPUTED_VALUE"""),45708.64583333333)</f>
        <v>45708.64583</v>
      </c>
      <c r="B110" s="7">
        <f>IFERROR(__xludf.DUMMYFUNCTION("""COMPUTED_VALUE"""),119.84)</f>
        <v>119.84</v>
      </c>
      <c r="C110" s="7">
        <f>IFERROR(__xludf.DUMMYFUNCTION("""COMPUTED_VALUE"""),122.95)</f>
        <v>122.95</v>
      </c>
      <c r="D110" s="7">
        <f>IFERROR(__xludf.DUMMYFUNCTION("""COMPUTED_VALUE"""),118.98)</f>
        <v>118.98</v>
      </c>
      <c r="E110" s="7">
        <f>IFERROR(__xludf.DUMMYFUNCTION("""COMPUTED_VALUE"""),122.79)</f>
        <v>122.79</v>
      </c>
      <c r="F110" s="7">
        <f>IFERROR(__xludf.DUMMYFUNCTION("""COMPUTED_VALUE"""),9940851.0)</f>
        <v>9940851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f>IFERROR(__xludf.DUMMYFUNCTION("""COMPUTED_VALUE"""),45709.64583333333)</f>
        <v>45709.64583</v>
      </c>
      <c r="B111" s="7">
        <f>IFERROR(__xludf.DUMMYFUNCTION("""COMPUTED_VALUE"""),122.0)</f>
        <v>122</v>
      </c>
      <c r="C111" s="7">
        <f>IFERROR(__xludf.DUMMYFUNCTION("""COMPUTED_VALUE"""),123.71)</f>
        <v>123.71</v>
      </c>
      <c r="D111" s="7">
        <f>IFERROR(__xludf.DUMMYFUNCTION("""COMPUTED_VALUE"""),120.83)</f>
        <v>120.83</v>
      </c>
      <c r="E111" s="7">
        <f>IFERROR(__xludf.DUMMYFUNCTION("""COMPUTED_VALUE"""),121.33)</f>
        <v>121.33</v>
      </c>
      <c r="F111" s="7">
        <f>IFERROR(__xludf.DUMMYFUNCTION("""COMPUTED_VALUE"""),9657933.0)</f>
        <v>9657933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f>IFERROR(__xludf.DUMMYFUNCTION("""COMPUTED_VALUE"""),45712.64583333333)</f>
        <v>45712.64583</v>
      </c>
      <c r="B112" s="7">
        <f>IFERROR(__xludf.DUMMYFUNCTION("""COMPUTED_VALUE"""),120.25)</f>
        <v>120.25</v>
      </c>
      <c r="C112" s="7">
        <f>IFERROR(__xludf.DUMMYFUNCTION("""COMPUTED_VALUE"""),121.31)</f>
        <v>121.31</v>
      </c>
      <c r="D112" s="7">
        <f>IFERROR(__xludf.DUMMYFUNCTION("""COMPUTED_VALUE"""),119.4)</f>
        <v>119.4</v>
      </c>
      <c r="E112" s="7">
        <f>IFERROR(__xludf.DUMMYFUNCTION("""COMPUTED_VALUE"""),120.22)</f>
        <v>120.22</v>
      </c>
      <c r="F112" s="7">
        <f>IFERROR(__xludf.DUMMYFUNCTION("""COMPUTED_VALUE"""),8764985.0)</f>
        <v>8764985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f>IFERROR(__xludf.DUMMYFUNCTION("""COMPUTED_VALUE"""),45713.64583333333)</f>
        <v>45713.64583</v>
      </c>
      <c r="B113" s="7">
        <f>IFERROR(__xludf.DUMMYFUNCTION("""COMPUTED_VALUE"""),120.22)</f>
        <v>120.22</v>
      </c>
      <c r="C113" s="7">
        <f>IFERROR(__xludf.DUMMYFUNCTION("""COMPUTED_VALUE"""),120.71)</f>
        <v>120.71</v>
      </c>
      <c r="D113" s="7">
        <f>IFERROR(__xludf.DUMMYFUNCTION("""COMPUTED_VALUE"""),118.4)</f>
        <v>118.4</v>
      </c>
      <c r="E113" s="7">
        <f>IFERROR(__xludf.DUMMYFUNCTION("""COMPUTED_VALUE"""),118.65)</f>
        <v>118.65</v>
      </c>
      <c r="F113" s="7">
        <f>IFERROR(__xludf.DUMMYFUNCTION("""COMPUTED_VALUE"""),7607411.0)</f>
        <v>7607411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f>IFERROR(__xludf.DUMMYFUNCTION("""COMPUTED_VALUE"""),45715.64583333333)</f>
        <v>45715.64583</v>
      </c>
      <c r="B114" s="7">
        <f>IFERROR(__xludf.DUMMYFUNCTION("""COMPUTED_VALUE"""),118.26)</f>
        <v>118.26</v>
      </c>
      <c r="C114" s="7">
        <f>IFERROR(__xludf.DUMMYFUNCTION("""COMPUTED_VALUE"""),119.0)</f>
        <v>119</v>
      </c>
      <c r="D114" s="7">
        <f>IFERROR(__xludf.DUMMYFUNCTION("""COMPUTED_VALUE"""),116.09)</f>
        <v>116.09</v>
      </c>
      <c r="E114" s="7">
        <f>IFERROR(__xludf.DUMMYFUNCTION("""COMPUTED_VALUE"""),116.42)</f>
        <v>116.42</v>
      </c>
      <c r="F114" s="7">
        <f>IFERROR(__xludf.DUMMYFUNCTION("""COMPUTED_VALUE"""),1.0709253E7)</f>
        <v>10709253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f>IFERROR(__xludf.DUMMYFUNCTION("""COMPUTED_VALUE"""),45716.64583333333)</f>
        <v>45716.64583</v>
      </c>
      <c r="B115" s="7">
        <f>IFERROR(__xludf.DUMMYFUNCTION("""COMPUTED_VALUE"""),116.0)</f>
        <v>116</v>
      </c>
      <c r="C115" s="7">
        <f>IFERROR(__xludf.DUMMYFUNCTION("""COMPUTED_VALUE"""),116.21)</f>
        <v>116.21</v>
      </c>
      <c r="D115" s="7">
        <f>IFERROR(__xludf.DUMMYFUNCTION("""COMPUTED_VALUE"""),112.92)</f>
        <v>112.92</v>
      </c>
      <c r="E115" s="7">
        <f>IFERROR(__xludf.DUMMYFUNCTION("""COMPUTED_VALUE"""),113.49)</f>
        <v>113.49</v>
      </c>
      <c r="F115" s="7">
        <f>IFERROR(__xludf.DUMMYFUNCTION("""COMPUTED_VALUE"""),2.4161878E7)</f>
        <v>24161878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f>IFERROR(__xludf.DUMMYFUNCTION("""COMPUTED_VALUE"""),45719.64583333333)</f>
        <v>45719.64583</v>
      </c>
      <c r="B116" s="7">
        <f>IFERROR(__xludf.DUMMYFUNCTION("""COMPUTED_VALUE"""),114.7)</f>
        <v>114.7</v>
      </c>
      <c r="C116" s="7">
        <f>IFERROR(__xludf.DUMMYFUNCTION("""COMPUTED_VALUE"""),115.35)</f>
        <v>115.35</v>
      </c>
      <c r="D116" s="7">
        <f>IFERROR(__xludf.DUMMYFUNCTION("""COMPUTED_VALUE"""),110.72)</f>
        <v>110.72</v>
      </c>
      <c r="E116" s="7">
        <f>IFERROR(__xludf.DUMMYFUNCTION("""COMPUTED_VALUE"""),114.56)</f>
        <v>114.56</v>
      </c>
      <c r="F116" s="7">
        <f>IFERROR(__xludf.DUMMYFUNCTION("""COMPUTED_VALUE"""),1.8881646E7)</f>
        <v>18881646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f>IFERROR(__xludf.DUMMYFUNCTION("""COMPUTED_VALUE"""),45720.64583333333)</f>
        <v>45720.64583</v>
      </c>
      <c r="B117" s="7">
        <f>IFERROR(__xludf.DUMMYFUNCTION("""COMPUTED_VALUE"""),113.1)</f>
        <v>113.1</v>
      </c>
      <c r="C117" s="7">
        <f>IFERROR(__xludf.DUMMYFUNCTION("""COMPUTED_VALUE"""),118.45)</f>
        <v>118.45</v>
      </c>
      <c r="D117" s="7">
        <f>IFERROR(__xludf.DUMMYFUNCTION("""COMPUTED_VALUE"""),111.91)</f>
        <v>111.91</v>
      </c>
      <c r="E117" s="7">
        <f>IFERROR(__xludf.DUMMYFUNCTION("""COMPUTED_VALUE"""),118.04)</f>
        <v>118.04</v>
      </c>
      <c r="F117" s="7">
        <f>IFERROR(__xludf.DUMMYFUNCTION("""COMPUTED_VALUE"""),1.4145658E7)</f>
        <v>14145658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f>IFERROR(__xludf.DUMMYFUNCTION("""COMPUTED_VALUE"""),45721.64583333333)</f>
        <v>45721.64583</v>
      </c>
      <c r="B118" s="7">
        <f>IFERROR(__xludf.DUMMYFUNCTION("""COMPUTED_VALUE"""),118.04)</f>
        <v>118.04</v>
      </c>
      <c r="C118" s="7">
        <f>IFERROR(__xludf.DUMMYFUNCTION("""COMPUTED_VALUE"""),122.58)</f>
        <v>122.58</v>
      </c>
      <c r="D118" s="7">
        <f>IFERROR(__xludf.DUMMYFUNCTION("""COMPUTED_VALUE"""),117.75)</f>
        <v>117.75</v>
      </c>
      <c r="E118" s="7">
        <f>IFERROR(__xludf.DUMMYFUNCTION("""COMPUTED_VALUE"""),122.25)</f>
        <v>122.25</v>
      </c>
      <c r="F118" s="7">
        <f>IFERROR(__xludf.DUMMYFUNCTION("""COMPUTED_VALUE"""),1.9577861E7)</f>
        <v>19577861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f>IFERROR(__xludf.DUMMYFUNCTION("""COMPUTED_VALUE"""),45722.64583333333)</f>
        <v>45722.64583</v>
      </c>
      <c r="B119" s="7">
        <f>IFERROR(__xludf.DUMMYFUNCTION("""COMPUTED_VALUE"""),124.6)</f>
        <v>124.6</v>
      </c>
      <c r="C119" s="7">
        <f>IFERROR(__xludf.DUMMYFUNCTION("""COMPUTED_VALUE"""),126.88)</f>
        <v>126.88</v>
      </c>
      <c r="D119" s="7">
        <f>IFERROR(__xludf.DUMMYFUNCTION("""COMPUTED_VALUE"""),123.95)</f>
        <v>123.95</v>
      </c>
      <c r="E119" s="7">
        <f>IFERROR(__xludf.DUMMYFUNCTION("""COMPUTED_VALUE"""),125.84)</f>
        <v>125.84</v>
      </c>
      <c r="F119" s="7">
        <f>IFERROR(__xludf.DUMMYFUNCTION("""COMPUTED_VALUE"""),1.9384187E7)</f>
        <v>19384187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f>IFERROR(__xludf.DUMMYFUNCTION("""COMPUTED_VALUE"""),45723.64583333333)</f>
        <v>45723.64583</v>
      </c>
      <c r="B120" s="7">
        <f>IFERROR(__xludf.DUMMYFUNCTION("""COMPUTED_VALUE"""),125.75)</f>
        <v>125.75</v>
      </c>
      <c r="C120" s="7">
        <f>IFERROR(__xludf.DUMMYFUNCTION("""COMPUTED_VALUE"""),126.3)</f>
        <v>126.3</v>
      </c>
      <c r="D120" s="7">
        <f>IFERROR(__xludf.DUMMYFUNCTION("""COMPUTED_VALUE"""),123.7)</f>
        <v>123.7</v>
      </c>
      <c r="E120" s="7">
        <f>IFERROR(__xludf.DUMMYFUNCTION("""COMPUTED_VALUE"""),124.84)</f>
        <v>124.84</v>
      </c>
      <c r="F120" s="7">
        <f>IFERROR(__xludf.DUMMYFUNCTION("""COMPUTED_VALUE"""),1.4763396E7)</f>
        <v>14763396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f>IFERROR(__xludf.DUMMYFUNCTION("""COMPUTED_VALUE"""),45726.64583333333)</f>
        <v>45726.64583</v>
      </c>
      <c r="B121" s="7">
        <f>IFERROR(__xludf.DUMMYFUNCTION("""COMPUTED_VALUE"""),124.0)</f>
        <v>124</v>
      </c>
      <c r="C121" s="7">
        <f>IFERROR(__xludf.DUMMYFUNCTION("""COMPUTED_VALUE"""),125.44)</f>
        <v>125.44</v>
      </c>
      <c r="D121" s="7">
        <f>IFERROR(__xludf.DUMMYFUNCTION("""COMPUTED_VALUE"""),121.1)</f>
        <v>121.1</v>
      </c>
      <c r="E121" s="7">
        <f>IFERROR(__xludf.DUMMYFUNCTION("""COMPUTED_VALUE"""),121.59)</f>
        <v>121.59</v>
      </c>
      <c r="F121" s="7">
        <f>IFERROR(__xludf.DUMMYFUNCTION("""COMPUTED_VALUE"""),1.27273E7)</f>
        <v>12727300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f>IFERROR(__xludf.DUMMYFUNCTION("""COMPUTED_VALUE"""),45727.64583333333)</f>
        <v>45727.64583</v>
      </c>
      <c r="B122" s="7">
        <f>IFERROR(__xludf.DUMMYFUNCTION("""COMPUTED_VALUE"""),121.19)</f>
        <v>121.19</v>
      </c>
      <c r="C122" s="7">
        <f>IFERROR(__xludf.DUMMYFUNCTION("""COMPUTED_VALUE"""),125.25)</f>
        <v>125.25</v>
      </c>
      <c r="D122" s="7">
        <f>IFERROR(__xludf.DUMMYFUNCTION("""COMPUTED_VALUE"""),120.34)</f>
        <v>120.34</v>
      </c>
      <c r="E122" s="7">
        <f>IFERROR(__xludf.DUMMYFUNCTION("""COMPUTED_VALUE"""),124.82)</f>
        <v>124.82</v>
      </c>
      <c r="F122" s="7">
        <f>IFERROR(__xludf.DUMMYFUNCTION("""COMPUTED_VALUE"""),1.8090217E7)</f>
        <v>18090217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f>IFERROR(__xludf.DUMMYFUNCTION("""COMPUTED_VALUE"""),45728.64583333333)</f>
        <v>45728.64583</v>
      </c>
      <c r="B123" s="7">
        <f>IFERROR(__xludf.DUMMYFUNCTION("""COMPUTED_VALUE"""),125.0)</f>
        <v>125</v>
      </c>
      <c r="C123" s="7">
        <f>IFERROR(__xludf.DUMMYFUNCTION("""COMPUTED_VALUE"""),127.8)</f>
        <v>127.8</v>
      </c>
      <c r="D123" s="7">
        <f>IFERROR(__xludf.DUMMYFUNCTION("""COMPUTED_VALUE"""),124.18)</f>
        <v>124.18</v>
      </c>
      <c r="E123" s="7">
        <f>IFERROR(__xludf.DUMMYFUNCTION("""COMPUTED_VALUE"""),125.29)</f>
        <v>125.29</v>
      </c>
      <c r="F123" s="7">
        <f>IFERROR(__xludf.DUMMYFUNCTION("""COMPUTED_VALUE"""),1.4079943E7)</f>
        <v>14079943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f>IFERROR(__xludf.DUMMYFUNCTION("""COMPUTED_VALUE"""),45729.64583333333)</f>
        <v>45729.64583</v>
      </c>
      <c r="B124" s="7">
        <f>IFERROR(__xludf.DUMMYFUNCTION("""COMPUTED_VALUE"""),125.0)</f>
        <v>125</v>
      </c>
      <c r="C124" s="7">
        <f>IFERROR(__xludf.DUMMYFUNCTION("""COMPUTED_VALUE"""),126.47)</f>
        <v>126.47</v>
      </c>
      <c r="D124" s="7">
        <f>IFERROR(__xludf.DUMMYFUNCTION("""COMPUTED_VALUE"""),124.33)</f>
        <v>124.33</v>
      </c>
      <c r="E124" s="7">
        <f>IFERROR(__xludf.DUMMYFUNCTION("""COMPUTED_VALUE"""),125.67)</f>
        <v>125.67</v>
      </c>
      <c r="F124" s="7">
        <f>IFERROR(__xludf.DUMMYFUNCTION("""COMPUTED_VALUE"""),1.0882226E7)</f>
        <v>10882226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f>IFERROR(__xludf.DUMMYFUNCTION("""COMPUTED_VALUE"""),45734.64583333333)</f>
        <v>45734.64583</v>
      </c>
      <c r="B125" s="7">
        <f>IFERROR(__xludf.DUMMYFUNCTION("""COMPUTED_VALUE"""),124.5)</f>
        <v>124.5</v>
      </c>
      <c r="C125" s="7">
        <f>IFERROR(__xludf.DUMMYFUNCTION("""COMPUTED_VALUE"""),125.5)</f>
        <v>125.5</v>
      </c>
      <c r="D125" s="7">
        <f>IFERROR(__xludf.DUMMYFUNCTION("""COMPUTED_VALUE"""),123.68)</f>
        <v>123.68</v>
      </c>
      <c r="E125" s="7">
        <f>IFERROR(__xludf.DUMMYFUNCTION("""COMPUTED_VALUE"""),125.15)</f>
        <v>125.15</v>
      </c>
      <c r="F125" s="7">
        <f>IFERROR(__xludf.DUMMYFUNCTION("""COMPUTED_VALUE"""),8940367.0)</f>
        <v>8940367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f>IFERROR(__xludf.DUMMYFUNCTION("""COMPUTED_VALUE"""),45735.64583333333)</f>
        <v>45735.64583</v>
      </c>
      <c r="B126" s="7">
        <f>IFERROR(__xludf.DUMMYFUNCTION("""COMPUTED_VALUE"""),125.31)</f>
        <v>125.31</v>
      </c>
      <c r="C126" s="7">
        <f>IFERROR(__xludf.DUMMYFUNCTION("""COMPUTED_VALUE"""),127.9)</f>
        <v>127.9</v>
      </c>
      <c r="D126" s="7">
        <f>IFERROR(__xludf.DUMMYFUNCTION("""COMPUTED_VALUE"""),125.31)</f>
        <v>125.31</v>
      </c>
      <c r="E126" s="7">
        <f>IFERROR(__xludf.DUMMYFUNCTION("""COMPUTED_VALUE"""),127.75)</f>
        <v>127.75</v>
      </c>
      <c r="F126" s="7">
        <f>IFERROR(__xludf.DUMMYFUNCTION("""COMPUTED_VALUE"""),1.1273526E7)</f>
        <v>11273526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f>IFERROR(__xludf.DUMMYFUNCTION("""COMPUTED_VALUE"""),45736.64583333333)</f>
        <v>45736.64583</v>
      </c>
      <c r="B127" s="7">
        <f>IFERROR(__xludf.DUMMYFUNCTION("""COMPUTED_VALUE"""),128.4)</f>
        <v>128.4</v>
      </c>
      <c r="C127" s="7">
        <f>IFERROR(__xludf.DUMMYFUNCTION("""COMPUTED_VALUE"""),131.0)</f>
        <v>131</v>
      </c>
      <c r="D127" s="7">
        <f>IFERROR(__xludf.DUMMYFUNCTION("""COMPUTED_VALUE"""),127.42)</f>
        <v>127.42</v>
      </c>
      <c r="E127" s="7">
        <f>IFERROR(__xludf.DUMMYFUNCTION("""COMPUTED_VALUE"""),129.21)</f>
        <v>129.21</v>
      </c>
      <c r="F127" s="7">
        <f>IFERROR(__xludf.DUMMYFUNCTION("""COMPUTED_VALUE"""),1.3947925E7)</f>
        <v>13947925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f>IFERROR(__xludf.DUMMYFUNCTION("""COMPUTED_VALUE"""),45737.64583333333)</f>
        <v>45737.64583</v>
      </c>
      <c r="B128" s="7">
        <f>IFERROR(__xludf.DUMMYFUNCTION("""COMPUTED_VALUE"""),129.26)</f>
        <v>129.26</v>
      </c>
      <c r="C128" s="7">
        <f>IFERROR(__xludf.DUMMYFUNCTION("""COMPUTED_VALUE"""),133.45)</f>
        <v>133.45</v>
      </c>
      <c r="D128" s="7">
        <f>IFERROR(__xludf.DUMMYFUNCTION("""COMPUTED_VALUE"""),128.75)</f>
        <v>128.75</v>
      </c>
      <c r="E128" s="7">
        <f>IFERROR(__xludf.DUMMYFUNCTION("""COMPUTED_VALUE"""),131.51)</f>
        <v>131.51</v>
      </c>
      <c r="F128" s="7">
        <f>IFERROR(__xludf.DUMMYFUNCTION("""COMPUTED_VALUE"""),4.292851E7)</f>
        <v>42928510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f>IFERROR(__xludf.DUMMYFUNCTION("""COMPUTED_VALUE"""),45740.64583333333)</f>
        <v>45740.64583</v>
      </c>
      <c r="B129" s="7">
        <f>IFERROR(__xludf.DUMMYFUNCTION("""COMPUTED_VALUE"""),133.0)</f>
        <v>133</v>
      </c>
      <c r="C129" s="7">
        <f>IFERROR(__xludf.DUMMYFUNCTION("""COMPUTED_VALUE"""),134.33)</f>
        <v>134.33</v>
      </c>
      <c r="D129" s="7">
        <f>IFERROR(__xludf.DUMMYFUNCTION("""COMPUTED_VALUE"""),131.37)</f>
        <v>131.37</v>
      </c>
      <c r="E129" s="7">
        <f>IFERROR(__xludf.DUMMYFUNCTION("""COMPUTED_VALUE"""),133.67)</f>
        <v>133.67</v>
      </c>
      <c r="F129" s="7">
        <f>IFERROR(__xludf.DUMMYFUNCTION("""COMPUTED_VALUE"""),1.3965745E7)</f>
        <v>13965745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f>IFERROR(__xludf.DUMMYFUNCTION("""COMPUTED_VALUE"""),45741.64583333333)</f>
        <v>45741.64583</v>
      </c>
      <c r="B130" s="7">
        <f>IFERROR(__xludf.DUMMYFUNCTION("""COMPUTED_VALUE"""),134.0)</f>
        <v>134</v>
      </c>
      <c r="C130" s="7">
        <f>IFERROR(__xludf.DUMMYFUNCTION("""COMPUTED_VALUE"""),134.23)</f>
        <v>134.23</v>
      </c>
      <c r="D130" s="7">
        <f>IFERROR(__xludf.DUMMYFUNCTION("""COMPUTED_VALUE"""),130.45)</f>
        <v>130.45</v>
      </c>
      <c r="E130" s="7">
        <f>IFERROR(__xludf.DUMMYFUNCTION("""COMPUTED_VALUE"""),131.03)</f>
        <v>131.03</v>
      </c>
      <c r="F130" s="7">
        <f>IFERROR(__xludf.DUMMYFUNCTION("""COMPUTED_VALUE"""),1.2380949E7)</f>
        <v>12380949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f>IFERROR(__xludf.DUMMYFUNCTION("""COMPUTED_VALUE"""),45742.64583333333)</f>
        <v>45742.64583</v>
      </c>
      <c r="B131" s="7">
        <f>IFERROR(__xludf.DUMMYFUNCTION("""COMPUTED_VALUE"""),130.9)</f>
        <v>130.9</v>
      </c>
      <c r="C131" s="7">
        <f>IFERROR(__xludf.DUMMYFUNCTION("""COMPUTED_VALUE"""),133.3)</f>
        <v>133.3</v>
      </c>
      <c r="D131" s="7">
        <f>IFERROR(__xludf.DUMMYFUNCTION("""COMPUTED_VALUE"""),128.9)</f>
        <v>128.9</v>
      </c>
      <c r="E131" s="7">
        <f>IFERROR(__xludf.DUMMYFUNCTION("""COMPUTED_VALUE"""),129.09)</f>
        <v>129.09</v>
      </c>
      <c r="F131" s="7">
        <f>IFERROR(__xludf.DUMMYFUNCTION("""COMPUTED_VALUE"""),1.6379725E7)</f>
        <v>16379725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f>IFERROR(__xludf.DUMMYFUNCTION("""COMPUTED_VALUE"""),45743.64583333333)</f>
        <v>45743.64583</v>
      </c>
      <c r="B132" s="7">
        <f>IFERROR(__xludf.DUMMYFUNCTION("""COMPUTED_VALUE"""),129.05)</f>
        <v>129.05</v>
      </c>
      <c r="C132" s="7">
        <f>IFERROR(__xludf.DUMMYFUNCTION("""COMPUTED_VALUE"""),130.95)</f>
        <v>130.95</v>
      </c>
      <c r="D132" s="7">
        <f>IFERROR(__xludf.DUMMYFUNCTION("""COMPUTED_VALUE"""),128.52)</f>
        <v>128.52</v>
      </c>
      <c r="E132" s="7">
        <f>IFERROR(__xludf.DUMMYFUNCTION("""COMPUTED_VALUE"""),130.36)</f>
        <v>130.36</v>
      </c>
      <c r="F132" s="7">
        <f>IFERROR(__xludf.DUMMYFUNCTION("""COMPUTED_VALUE"""),1.3141045E7)</f>
        <v>13141045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f>IFERROR(__xludf.DUMMYFUNCTION("""COMPUTED_VALUE"""),45744.64583333333)</f>
        <v>45744.64583</v>
      </c>
      <c r="B133" s="7">
        <f>IFERROR(__xludf.DUMMYFUNCTION("""COMPUTED_VALUE"""),130.0)</f>
        <v>130</v>
      </c>
      <c r="C133" s="7">
        <f>IFERROR(__xludf.DUMMYFUNCTION("""COMPUTED_VALUE"""),131.27)</f>
        <v>131.27</v>
      </c>
      <c r="D133" s="7">
        <f>IFERROR(__xludf.DUMMYFUNCTION("""COMPUTED_VALUE"""),127.5)</f>
        <v>127.5</v>
      </c>
      <c r="E133" s="7">
        <f>IFERROR(__xludf.DUMMYFUNCTION("""COMPUTED_VALUE"""),127.7)</f>
        <v>127.7</v>
      </c>
      <c r="F133" s="7">
        <f>IFERROR(__xludf.DUMMYFUNCTION("""COMPUTED_VALUE"""),1.5396398E7)</f>
        <v>15396398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f>IFERROR(__xludf.DUMMYFUNCTION("""COMPUTED_VALUE"""),45748.64583333333)</f>
        <v>45748.64583</v>
      </c>
      <c r="B134" s="7">
        <f>IFERROR(__xludf.DUMMYFUNCTION("""COMPUTED_VALUE"""),128.0)</f>
        <v>128</v>
      </c>
      <c r="C134" s="7">
        <f>IFERROR(__xludf.DUMMYFUNCTION("""COMPUTED_VALUE"""),131.5)</f>
        <v>131.5</v>
      </c>
      <c r="D134" s="7">
        <f>IFERROR(__xludf.DUMMYFUNCTION("""COMPUTED_VALUE"""),127.25)</f>
        <v>127.25</v>
      </c>
      <c r="E134" s="7">
        <f>IFERROR(__xludf.DUMMYFUNCTION("""COMPUTED_VALUE"""),131.24)</f>
        <v>131.24</v>
      </c>
      <c r="F134" s="7">
        <f>IFERROR(__xludf.DUMMYFUNCTION("""COMPUTED_VALUE"""),1.2740476E7)</f>
        <v>12740476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f>IFERROR(__xludf.DUMMYFUNCTION("""COMPUTED_VALUE"""),45749.64583333333)</f>
        <v>45749.64583</v>
      </c>
      <c r="B135" s="7">
        <f>IFERROR(__xludf.DUMMYFUNCTION("""COMPUTED_VALUE"""),130.82)</f>
        <v>130.82</v>
      </c>
      <c r="C135" s="7">
        <f>IFERROR(__xludf.DUMMYFUNCTION("""COMPUTED_VALUE"""),131.5)</f>
        <v>131.5</v>
      </c>
      <c r="D135" s="7">
        <f>IFERROR(__xludf.DUMMYFUNCTION("""COMPUTED_VALUE"""),128.0)</f>
        <v>128</v>
      </c>
      <c r="E135" s="7">
        <f>IFERROR(__xludf.DUMMYFUNCTION("""COMPUTED_VALUE"""),131.31)</f>
        <v>131.31</v>
      </c>
      <c r="F135" s="7">
        <f>IFERROR(__xludf.DUMMYFUNCTION("""COMPUTED_VALUE"""),8531198.0)</f>
        <v>8531198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f>IFERROR(__xludf.DUMMYFUNCTION("""COMPUTED_VALUE"""),45750.64583333333)</f>
        <v>45750.64583</v>
      </c>
      <c r="B136" s="7">
        <f>IFERROR(__xludf.DUMMYFUNCTION("""COMPUTED_VALUE"""),130.1)</f>
        <v>130.1</v>
      </c>
      <c r="C136" s="7">
        <f>IFERROR(__xludf.DUMMYFUNCTION("""COMPUTED_VALUE"""),133.2)</f>
        <v>133.2</v>
      </c>
      <c r="D136" s="7">
        <f>IFERROR(__xludf.DUMMYFUNCTION("""COMPUTED_VALUE"""),129.88)</f>
        <v>129.88</v>
      </c>
      <c r="E136" s="7">
        <f>IFERROR(__xludf.DUMMYFUNCTION("""COMPUTED_VALUE"""),131.06)</f>
        <v>131.06</v>
      </c>
      <c r="F136" s="7">
        <f>IFERROR(__xludf.DUMMYFUNCTION("""COMPUTED_VALUE"""),9909642.0)</f>
        <v>9909642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f>IFERROR(__xludf.DUMMYFUNCTION("""COMPUTED_VALUE"""),45751.64583333333)</f>
        <v>45751.64583</v>
      </c>
      <c r="B137" s="7">
        <f>IFERROR(__xludf.DUMMYFUNCTION("""COMPUTED_VALUE"""),132.91)</f>
        <v>132.91</v>
      </c>
      <c r="C137" s="7">
        <f>IFERROR(__xludf.DUMMYFUNCTION("""COMPUTED_VALUE"""),134.25)</f>
        <v>134.25</v>
      </c>
      <c r="D137" s="7">
        <f>IFERROR(__xludf.DUMMYFUNCTION("""COMPUTED_VALUE"""),128.88)</f>
        <v>128.88</v>
      </c>
      <c r="E137" s="7">
        <f>IFERROR(__xludf.DUMMYFUNCTION("""COMPUTED_VALUE"""),130.14)</f>
        <v>130.14</v>
      </c>
      <c r="F137" s="7">
        <f>IFERROR(__xludf.DUMMYFUNCTION("""COMPUTED_VALUE"""),2.1497796E7)</f>
        <v>21497796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f>IFERROR(__xludf.DUMMYFUNCTION("""COMPUTED_VALUE"""),45754.64583333333)</f>
        <v>45754.64583</v>
      </c>
      <c r="B138" s="7">
        <f>IFERROR(__xludf.DUMMYFUNCTION("""COMPUTED_VALUE"""),122.45)</f>
        <v>122.45</v>
      </c>
      <c r="C138" s="7">
        <f>IFERROR(__xludf.DUMMYFUNCTION("""COMPUTED_VALUE"""),129.61)</f>
        <v>129.61</v>
      </c>
      <c r="D138" s="7">
        <f>IFERROR(__xludf.DUMMYFUNCTION("""COMPUTED_VALUE"""),122.35)</f>
        <v>122.35</v>
      </c>
      <c r="E138" s="7">
        <f>IFERROR(__xludf.DUMMYFUNCTION("""COMPUTED_VALUE"""),128.09)</f>
        <v>128.09</v>
      </c>
      <c r="F138" s="7">
        <f>IFERROR(__xludf.DUMMYFUNCTION("""COMPUTED_VALUE"""),2.4739154E7)</f>
        <v>24739154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f>IFERROR(__xludf.DUMMYFUNCTION("""COMPUTED_VALUE"""),45755.64583333333)</f>
        <v>45755.64583</v>
      </c>
      <c r="B139" s="7">
        <f>IFERROR(__xludf.DUMMYFUNCTION("""COMPUTED_VALUE"""),129.48)</f>
        <v>129.48</v>
      </c>
      <c r="C139" s="7">
        <f>IFERROR(__xludf.DUMMYFUNCTION("""COMPUTED_VALUE"""),131.72)</f>
        <v>131.72</v>
      </c>
      <c r="D139" s="7">
        <f>IFERROR(__xludf.DUMMYFUNCTION("""COMPUTED_VALUE"""),128.2)</f>
        <v>128.2</v>
      </c>
      <c r="E139" s="7">
        <f>IFERROR(__xludf.DUMMYFUNCTION("""COMPUTED_VALUE"""),130.98)</f>
        <v>130.98</v>
      </c>
      <c r="F139" s="7">
        <f>IFERROR(__xludf.DUMMYFUNCTION("""COMPUTED_VALUE"""),1.2634136E7)</f>
        <v>12634136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f>IFERROR(__xludf.DUMMYFUNCTION("""COMPUTED_VALUE"""),45756.64583333333)</f>
        <v>45756.64583</v>
      </c>
      <c r="B140" s="7">
        <f>IFERROR(__xludf.DUMMYFUNCTION("""COMPUTED_VALUE"""),132.0)</f>
        <v>132</v>
      </c>
      <c r="C140" s="7">
        <f>IFERROR(__xludf.DUMMYFUNCTION("""COMPUTED_VALUE"""),132.5)</f>
        <v>132.5</v>
      </c>
      <c r="D140" s="7">
        <f>IFERROR(__xludf.DUMMYFUNCTION("""COMPUTED_VALUE"""),128.78)</f>
        <v>128.78</v>
      </c>
      <c r="E140" s="7">
        <f>IFERROR(__xludf.DUMMYFUNCTION("""COMPUTED_VALUE"""),131.62)</f>
        <v>131.62</v>
      </c>
      <c r="F140" s="7">
        <f>IFERROR(__xludf.DUMMYFUNCTION("""COMPUTED_VALUE"""),1.4769184E7)</f>
        <v>14769184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f>IFERROR(__xludf.DUMMYFUNCTION("""COMPUTED_VALUE"""),45758.64583333333)</f>
        <v>45758.64583</v>
      </c>
      <c r="B141" s="7">
        <f>IFERROR(__xludf.DUMMYFUNCTION("""COMPUTED_VALUE"""),132.5)</f>
        <v>132.5</v>
      </c>
      <c r="C141" s="7">
        <f>IFERROR(__xludf.DUMMYFUNCTION("""COMPUTED_VALUE"""),132.6)</f>
        <v>132.6</v>
      </c>
      <c r="D141" s="7">
        <f>IFERROR(__xludf.DUMMYFUNCTION("""COMPUTED_VALUE"""),131.06)</f>
        <v>131.06</v>
      </c>
      <c r="E141" s="7">
        <f>IFERROR(__xludf.DUMMYFUNCTION("""COMPUTED_VALUE"""),131.83)</f>
        <v>131.83</v>
      </c>
      <c r="F141" s="7">
        <f>IFERROR(__xludf.DUMMYFUNCTION("""COMPUTED_VALUE"""),1.0020795E7)</f>
        <v>10020795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f>IFERROR(__xludf.DUMMYFUNCTION("""COMPUTED_VALUE"""),45762.64583333333)</f>
        <v>45762.64583</v>
      </c>
      <c r="B142" s="7">
        <f>IFERROR(__xludf.DUMMYFUNCTION("""COMPUTED_VALUE"""),133.4)</f>
        <v>133.4</v>
      </c>
      <c r="C142" s="7">
        <f>IFERROR(__xludf.DUMMYFUNCTION("""COMPUTED_VALUE"""),133.4)</f>
        <v>133.4</v>
      </c>
      <c r="D142" s="7">
        <f>IFERROR(__xludf.DUMMYFUNCTION("""COMPUTED_VALUE"""),132.0)</f>
        <v>132</v>
      </c>
      <c r="E142" s="7">
        <f>IFERROR(__xludf.DUMMYFUNCTION("""COMPUTED_VALUE"""),132.87)</f>
        <v>132.87</v>
      </c>
      <c r="F142" s="7">
        <f>IFERROR(__xludf.DUMMYFUNCTION("""COMPUTED_VALUE"""),1.0142685E7)</f>
        <v>10142685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f>IFERROR(__xludf.DUMMYFUNCTION("""COMPUTED_VALUE"""),45763.64583333333)</f>
        <v>45763.64583</v>
      </c>
      <c r="B143" s="7">
        <f>IFERROR(__xludf.DUMMYFUNCTION("""COMPUTED_VALUE"""),132.99)</f>
        <v>132.99</v>
      </c>
      <c r="C143" s="7">
        <f>IFERROR(__xludf.DUMMYFUNCTION("""COMPUTED_VALUE"""),134.15)</f>
        <v>134.15</v>
      </c>
      <c r="D143" s="7">
        <f>IFERROR(__xludf.DUMMYFUNCTION("""COMPUTED_VALUE"""),132.31)</f>
        <v>132.31</v>
      </c>
      <c r="E143" s="7">
        <f>IFERROR(__xludf.DUMMYFUNCTION("""COMPUTED_VALUE"""),133.83)</f>
        <v>133.83</v>
      </c>
      <c r="F143" s="7">
        <f>IFERROR(__xludf.DUMMYFUNCTION("""COMPUTED_VALUE"""),9200167.0)</f>
        <v>9200167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f>IFERROR(__xludf.DUMMYFUNCTION("""COMPUTED_VALUE"""),45764.64583333333)</f>
        <v>45764.64583</v>
      </c>
      <c r="B144" s="7">
        <f>IFERROR(__xludf.DUMMYFUNCTION("""COMPUTED_VALUE"""),133.5)</f>
        <v>133.5</v>
      </c>
      <c r="C144" s="7">
        <f>IFERROR(__xludf.DUMMYFUNCTION("""COMPUTED_VALUE"""),134.8)</f>
        <v>134.8</v>
      </c>
      <c r="D144" s="7">
        <f>IFERROR(__xludf.DUMMYFUNCTION("""COMPUTED_VALUE"""),132.9)</f>
        <v>132.9</v>
      </c>
      <c r="E144" s="7">
        <f>IFERROR(__xludf.DUMMYFUNCTION("""COMPUTED_VALUE"""),134.3)</f>
        <v>134.3</v>
      </c>
      <c r="F144" s="7">
        <f>IFERROR(__xludf.DUMMYFUNCTION("""COMPUTED_VALUE"""),1.0404917E7)</f>
        <v>10404917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f>IFERROR(__xludf.DUMMYFUNCTION("""COMPUTED_VALUE"""),45768.64583333333)</f>
        <v>45768.64583</v>
      </c>
      <c r="B145" s="7">
        <f>IFERROR(__xludf.DUMMYFUNCTION("""COMPUTED_VALUE"""),135.17)</f>
        <v>135.17</v>
      </c>
      <c r="C145" s="7">
        <f>IFERROR(__xludf.DUMMYFUNCTION("""COMPUTED_VALUE"""),139.7)</f>
        <v>139.7</v>
      </c>
      <c r="D145" s="7">
        <f>IFERROR(__xludf.DUMMYFUNCTION("""COMPUTED_VALUE"""),134.31)</f>
        <v>134.31</v>
      </c>
      <c r="E145" s="7">
        <f>IFERROR(__xludf.DUMMYFUNCTION("""COMPUTED_VALUE"""),138.68)</f>
        <v>138.68</v>
      </c>
      <c r="F145" s="7">
        <f>IFERROR(__xludf.DUMMYFUNCTION("""COMPUTED_VALUE"""),2.0249817E7)</f>
        <v>20249817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f>IFERROR(__xludf.DUMMYFUNCTION("""COMPUTED_VALUE"""),45769.64583333333)</f>
        <v>45769.64583</v>
      </c>
      <c r="B146" s="7">
        <f>IFERROR(__xludf.DUMMYFUNCTION("""COMPUTED_VALUE"""),139.15)</f>
        <v>139.15</v>
      </c>
      <c r="C146" s="7">
        <f>IFERROR(__xludf.DUMMYFUNCTION("""COMPUTED_VALUE"""),139.43)</f>
        <v>139.43</v>
      </c>
      <c r="D146" s="7">
        <f>IFERROR(__xludf.DUMMYFUNCTION("""COMPUTED_VALUE"""),137.2)</f>
        <v>137.2</v>
      </c>
      <c r="E146" s="7">
        <f>IFERROR(__xludf.DUMMYFUNCTION("""COMPUTED_VALUE"""),138.31)</f>
        <v>138.31</v>
      </c>
      <c r="F146" s="7">
        <f>IFERROR(__xludf.DUMMYFUNCTION("""COMPUTED_VALUE"""),1.2648948E7)</f>
        <v>12648948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f>IFERROR(__xludf.DUMMYFUNCTION("""COMPUTED_VALUE"""),45770.64583333333)</f>
        <v>45770.64583</v>
      </c>
      <c r="B147" s="7">
        <f>IFERROR(__xludf.DUMMYFUNCTION("""COMPUTED_VALUE"""),138.95)</f>
        <v>138.95</v>
      </c>
      <c r="C147" s="7">
        <f>IFERROR(__xludf.DUMMYFUNCTION("""COMPUTED_VALUE"""),139.18)</f>
        <v>139.18</v>
      </c>
      <c r="D147" s="7">
        <f>IFERROR(__xludf.DUMMYFUNCTION("""COMPUTED_VALUE"""),135.77)</f>
        <v>135.77</v>
      </c>
      <c r="E147" s="7">
        <f>IFERROR(__xludf.DUMMYFUNCTION("""COMPUTED_VALUE"""),137.65)</f>
        <v>137.65</v>
      </c>
      <c r="F147" s="7">
        <f>IFERROR(__xludf.DUMMYFUNCTION("""COMPUTED_VALUE"""),1.2689457E7)</f>
        <v>12689457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f>IFERROR(__xludf.DUMMYFUNCTION("""COMPUTED_VALUE"""),45771.64583333333)</f>
        <v>45771.64583</v>
      </c>
      <c r="B148" s="7">
        <f>IFERROR(__xludf.DUMMYFUNCTION("""COMPUTED_VALUE"""),137.65)</f>
        <v>137.65</v>
      </c>
      <c r="C148" s="7">
        <f>IFERROR(__xludf.DUMMYFUNCTION("""COMPUTED_VALUE"""),139.33)</f>
        <v>139.33</v>
      </c>
      <c r="D148" s="7">
        <f>IFERROR(__xludf.DUMMYFUNCTION("""COMPUTED_VALUE"""),137.31)</f>
        <v>137.31</v>
      </c>
      <c r="E148" s="7">
        <f>IFERROR(__xludf.DUMMYFUNCTION("""COMPUTED_VALUE"""),138.39)</f>
        <v>138.39</v>
      </c>
      <c r="F148" s="7">
        <f>IFERROR(__xludf.DUMMYFUNCTION("""COMPUTED_VALUE"""),8177419.0)</f>
        <v>8177419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f>IFERROR(__xludf.DUMMYFUNCTION("""COMPUTED_VALUE"""),45772.64583333333)</f>
        <v>45772.64583</v>
      </c>
      <c r="B149" s="7">
        <f>IFERROR(__xludf.DUMMYFUNCTION("""COMPUTED_VALUE"""),138.4)</f>
        <v>138.4</v>
      </c>
      <c r="C149" s="7">
        <f>IFERROR(__xludf.DUMMYFUNCTION("""COMPUTED_VALUE"""),139.5)</f>
        <v>139.5</v>
      </c>
      <c r="D149" s="7">
        <f>IFERROR(__xludf.DUMMYFUNCTION("""COMPUTED_VALUE"""),132.82)</f>
        <v>132.82</v>
      </c>
      <c r="E149" s="7">
        <f>IFERROR(__xludf.DUMMYFUNCTION("""COMPUTED_VALUE"""),134.65)</f>
        <v>134.65</v>
      </c>
      <c r="F149" s="7">
        <f>IFERROR(__xludf.DUMMYFUNCTION("""COMPUTED_VALUE"""),1.4663542E7)</f>
        <v>14663542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f>IFERROR(__xludf.DUMMYFUNCTION("""COMPUTED_VALUE"""),45775.64583333333)</f>
        <v>45775.64583</v>
      </c>
      <c r="B150" s="7">
        <f>IFERROR(__xludf.DUMMYFUNCTION("""COMPUTED_VALUE"""),133.81)</f>
        <v>133.81</v>
      </c>
      <c r="C150" s="7">
        <f>IFERROR(__xludf.DUMMYFUNCTION("""COMPUTED_VALUE"""),137.35)</f>
        <v>137.35</v>
      </c>
      <c r="D150" s="7">
        <f>IFERROR(__xludf.DUMMYFUNCTION("""COMPUTED_VALUE"""),133.65)</f>
        <v>133.65</v>
      </c>
      <c r="E150" s="7">
        <f>IFERROR(__xludf.DUMMYFUNCTION("""COMPUTED_VALUE"""),136.49)</f>
        <v>136.49</v>
      </c>
      <c r="F150" s="7">
        <f>IFERROR(__xludf.DUMMYFUNCTION("""COMPUTED_VALUE"""),1.0943944E7)</f>
        <v>10943944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f>IFERROR(__xludf.DUMMYFUNCTION("""COMPUTED_VALUE"""),45776.64583333333)</f>
        <v>45776.64583</v>
      </c>
      <c r="B151" s="7">
        <f>IFERROR(__xludf.DUMMYFUNCTION("""COMPUTED_VALUE"""),137.3)</f>
        <v>137.3</v>
      </c>
      <c r="C151" s="7">
        <f>IFERROR(__xludf.DUMMYFUNCTION("""COMPUTED_VALUE"""),138.25)</f>
        <v>138.25</v>
      </c>
      <c r="D151" s="7">
        <f>IFERROR(__xludf.DUMMYFUNCTION("""COMPUTED_VALUE"""),135.53)</f>
        <v>135.53</v>
      </c>
      <c r="E151" s="7">
        <f>IFERROR(__xludf.DUMMYFUNCTION("""COMPUTED_VALUE"""),135.78)</f>
        <v>135.78</v>
      </c>
      <c r="F151" s="7">
        <f>IFERROR(__xludf.DUMMYFUNCTION("""COMPUTED_VALUE"""),1.5222917E7)</f>
        <v>15222917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f>IFERROR(__xludf.DUMMYFUNCTION("""COMPUTED_VALUE"""),45777.64583333333)</f>
        <v>45777.64583</v>
      </c>
      <c r="B152" s="7">
        <f>IFERROR(__xludf.DUMMYFUNCTION("""COMPUTED_VALUE"""),136.5)</f>
        <v>136.5</v>
      </c>
      <c r="C152" s="7">
        <f>IFERROR(__xludf.DUMMYFUNCTION("""COMPUTED_VALUE"""),139.9)</f>
        <v>139.9</v>
      </c>
      <c r="D152" s="7">
        <f>IFERROR(__xludf.DUMMYFUNCTION("""COMPUTED_VALUE"""),136.45)</f>
        <v>136.45</v>
      </c>
      <c r="E152" s="7">
        <f>IFERROR(__xludf.DUMMYFUNCTION("""COMPUTED_VALUE"""),137.86)</f>
        <v>137.86</v>
      </c>
      <c r="F152" s="7">
        <f>IFERROR(__xludf.DUMMYFUNCTION("""COMPUTED_VALUE"""),3.9902398E7)</f>
        <v>39902398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f>IFERROR(__xludf.DUMMYFUNCTION("""COMPUTED_VALUE"""),45779.64583333333)</f>
        <v>45779.64583</v>
      </c>
      <c r="B153" s="7">
        <f>IFERROR(__xludf.DUMMYFUNCTION("""COMPUTED_VALUE"""),139.79)</f>
        <v>139.79</v>
      </c>
      <c r="C153" s="7">
        <f>IFERROR(__xludf.DUMMYFUNCTION("""COMPUTED_VALUE"""),144.09)</f>
        <v>144.09</v>
      </c>
      <c r="D153" s="7">
        <f>IFERROR(__xludf.DUMMYFUNCTION("""COMPUTED_VALUE"""),138.11)</f>
        <v>138.11</v>
      </c>
      <c r="E153" s="7">
        <f>IFERROR(__xludf.DUMMYFUNCTION("""COMPUTED_VALUE"""),143.28)</f>
        <v>143.28</v>
      </c>
      <c r="F153" s="7">
        <f>IFERROR(__xludf.DUMMYFUNCTION("""COMPUTED_VALUE"""),4.5858781E7)</f>
        <v>45858781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f>IFERROR(__xludf.DUMMYFUNCTION("""COMPUTED_VALUE"""),45782.64583333333)</f>
        <v>45782.64583</v>
      </c>
      <c r="B154" s="7">
        <f>IFERROR(__xludf.DUMMYFUNCTION("""COMPUTED_VALUE"""),145.0)</f>
        <v>145</v>
      </c>
      <c r="C154" s="7">
        <f>IFERROR(__xludf.DUMMYFUNCTION("""COMPUTED_VALUE"""),149.74)</f>
        <v>149.74</v>
      </c>
      <c r="D154" s="7">
        <f>IFERROR(__xludf.DUMMYFUNCTION("""COMPUTED_VALUE"""),144.75)</f>
        <v>144.75</v>
      </c>
      <c r="E154" s="7">
        <f>IFERROR(__xludf.DUMMYFUNCTION("""COMPUTED_VALUE"""),148.56)</f>
        <v>148.56</v>
      </c>
      <c r="F154" s="7">
        <f>IFERROR(__xludf.DUMMYFUNCTION("""COMPUTED_VALUE"""),4.7549493E7)</f>
        <v>47549493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f>IFERROR(__xludf.DUMMYFUNCTION("""COMPUTED_VALUE"""),45783.64583333333)</f>
        <v>45783.64583</v>
      </c>
      <c r="B155" s="7">
        <f>IFERROR(__xludf.DUMMYFUNCTION("""COMPUTED_VALUE"""),149.3)</f>
        <v>149.3</v>
      </c>
      <c r="C155" s="7">
        <f>IFERROR(__xludf.DUMMYFUNCTION("""COMPUTED_VALUE"""),149.8)</f>
        <v>149.8</v>
      </c>
      <c r="D155" s="7">
        <f>IFERROR(__xludf.DUMMYFUNCTION("""COMPUTED_VALUE"""),143.63)</f>
        <v>143.63</v>
      </c>
      <c r="E155" s="7">
        <f>IFERROR(__xludf.DUMMYFUNCTION("""COMPUTED_VALUE"""),144.08)</f>
        <v>144.08</v>
      </c>
      <c r="F155" s="7">
        <f>IFERROR(__xludf.DUMMYFUNCTION("""COMPUTED_VALUE"""),1.8018626E7)</f>
        <v>18018626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f>IFERROR(__xludf.DUMMYFUNCTION("""COMPUTED_VALUE"""),45784.64583333333)</f>
        <v>45784.64583</v>
      </c>
      <c r="B156" s="7">
        <f>IFERROR(__xludf.DUMMYFUNCTION("""COMPUTED_VALUE"""),140.0)</f>
        <v>140</v>
      </c>
      <c r="C156" s="7">
        <f>IFERROR(__xludf.DUMMYFUNCTION("""COMPUTED_VALUE"""),145.14)</f>
        <v>145.14</v>
      </c>
      <c r="D156" s="7">
        <f>IFERROR(__xludf.DUMMYFUNCTION("""COMPUTED_VALUE"""),140.0)</f>
        <v>140</v>
      </c>
      <c r="E156" s="7">
        <f>IFERROR(__xludf.DUMMYFUNCTION("""COMPUTED_VALUE"""),144.49)</f>
        <v>144.49</v>
      </c>
      <c r="F156" s="7">
        <f>IFERROR(__xludf.DUMMYFUNCTION("""COMPUTED_VALUE"""),1.931674E7)</f>
        <v>19316740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f>IFERROR(__xludf.DUMMYFUNCTION("""COMPUTED_VALUE"""),45785.64583333333)</f>
        <v>45785.64583</v>
      </c>
      <c r="B157" s="7">
        <f>IFERROR(__xludf.DUMMYFUNCTION("""COMPUTED_VALUE"""),144.54)</f>
        <v>144.54</v>
      </c>
      <c r="C157" s="7">
        <f>IFERROR(__xludf.DUMMYFUNCTION("""COMPUTED_VALUE"""),146.39)</f>
        <v>146.39</v>
      </c>
      <c r="D157" s="7">
        <f>IFERROR(__xludf.DUMMYFUNCTION("""COMPUTED_VALUE"""),139.5)</f>
        <v>139.5</v>
      </c>
      <c r="E157" s="7">
        <f>IFERROR(__xludf.DUMMYFUNCTION("""COMPUTED_VALUE"""),140.99)</f>
        <v>140.99</v>
      </c>
      <c r="F157" s="7">
        <f>IFERROR(__xludf.DUMMYFUNCTION("""COMPUTED_VALUE"""),1.2047287E7)</f>
        <v>12047287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f>IFERROR(__xludf.DUMMYFUNCTION("""COMPUTED_VALUE"""),45786.64583333333)</f>
        <v>45786.64583</v>
      </c>
      <c r="B158" s="7">
        <f>IFERROR(__xludf.DUMMYFUNCTION("""COMPUTED_VALUE"""),138.0)</f>
        <v>138</v>
      </c>
      <c r="C158" s="7">
        <f>IFERROR(__xludf.DUMMYFUNCTION("""COMPUTED_VALUE"""),140.85)</f>
        <v>140.85</v>
      </c>
      <c r="D158" s="7">
        <f>IFERROR(__xludf.DUMMYFUNCTION("""COMPUTED_VALUE"""),137.61)</f>
        <v>137.61</v>
      </c>
      <c r="E158" s="7">
        <f>IFERROR(__xludf.DUMMYFUNCTION("""COMPUTED_VALUE"""),139.99)</f>
        <v>139.99</v>
      </c>
      <c r="F158" s="7">
        <f>IFERROR(__xludf.DUMMYFUNCTION("""COMPUTED_VALUE"""),1.5348575E7)</f>
        <v>15348575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f>IFERROR(__xludf.DUMMYFUNCTION("""COMPUTED_VALUE"""),45789.64583333333)</f>
        <v>45789.64583</v>
      </c>
      <c r="B159" s="7">
        <f>IFERROR(__xludf.DUMMYFUNCTION("""COMPUTED_VALUE"""),144.0)</f>
        <v>144</v>
      </c>
      <c r="C159" s="7">
        <f>IFERROR(__xludf.DUMMYFUNCTION("""COMPUTED_VALUE"""),144.45)</f>
        <v>144.45</v>
      </c>
      <c r="D159" s="7">
        <f>IFERROR(__xludf.DUMMYFUNCTION("""COMPUTED_VALUE"""),141.71)</f>
        <v>141.71</v>
      </c>
      <c r="E159" s="7">
        <f>IFERROR(__xludf.DUMMYFUNCTION("""COMPUTED_VALUE"""),142.35)</f>
        <v>142.35</v>
      </c>
      <c r="F159" s="7">
        <f>IFERROR(__xludf.DUMMYFUNCTION("""COMPUTED_VALUE"""),1.3526883E7)</f>
        <v>13526883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f>IFERROR(__xludf.DUMMYFUNCTION("""COMPUTED_VALUE"""),45790.64583333333)</f>
        <v>45790.64583</v>
      </c>
      <c r="B160" s="7">
        <f>IFERROR(__xludf.DUMMYFUNCTION("""COMPUTED_VALUE"""),142.35)</f>
        <v>142.35</v>
      </c>
      <c r="C160" s="7">
        <f>IFERROR(__xludf.DUMMYFUNCTION("""COMPUTED_VALUE"""),142.98)</f>
        <v>142.98</v>
      </c>
      <c r="D160" s="7">
        <f>IFERROR(__xludf.DUMMYFUNCTION("""COMPUTED_VALUE"""),141.0)</f>
        <v>141</v>
      </c>
      <c r="E160" s="7">
        <f>IFERROR(__xludf.DUMMYFUNCTION("""COMPUTED_VALUE"""),141.69)</f>
        <v>141.69</v>
      </c>
      <c r="F160" s="7">
        <f>IFERROR(__xludf.DUMMYFUNCTION("""COMPUTED_VALUE"""),9484801.0)</f>
        <v>9484801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f>IFERROR(__xludf.DUMMYFUNCTION("""COMPUTED_VALUE"""),45791.64583333333)</f>
        <v>45791.64583</v>
      </c>
      <c r="B161" s="7">
        <f>IFERROR(__xludf.DUMMYFUNCTION("""COMPUTED_VALUE"""),141.99)</f>
        <v>141.99</v>
      </c>
      <c r="C161" s="7">
        <f>IFERROR(__xludf.DUMMYFUNCTION("""COMPUTED_VALUE"""),143.91)</f>
        <v>143.91</v>
      </c>
      <c r="D161" s="7">
        <f>IFERROR(__xludf.DUMMYFUNCTION("""COMPUTED_VALUE"""),141.95)</f>
        <v>141.95</v>
      </c>
      <c r="E161" s="7">
        <f>IFERROR(__xludf.DUMMYFUNCTION("""COMPUTED_VALUE"""),143.47)</f>
        <v>143.47</v>
      </c>
      <c r="F161" s="7">
        <f>IFERROR(__xludf.DUMMYFUNCTION("""COMPUTED_VALUE"""),9987794.0)</f>
        <v>9987794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f>IFERROR(__xludf.DUMMYFUNCTION("""COMPUTED_VALUE"""),45792.64583333333)</f>
        <v>45792.64583</v>
      </c>
      <c r="B162" s="7">
        <f>IFERROR(__xludf.DUMMYFUNCTION("""COMPUTED_VALUE"""),144.0)</f>
        <v>144</v>
      </c>
      <c r="C162" s="7">
        <f>IFERROR(__xludf.DUMMYFUNCTION("""COMPUTED_VALUE"""),146.0)</f>
        <v>146</v>
      </c>
      <c r="D162" s="7">
        <f>IFERROR(__xludf.DUMMYFUNCTION("""COMPUTED_VALUE"""),143.57)</f>
        <v>143.57</v>
      </c>
      <c r="E162" s="7">
        <f>IFERROR(__xludf.DUMMYFUNCTION("""COMPUTED_VALUE"""),145.0)</f>
        <v>145</v>
      </c>
      <c r="F162" s="7">
        <f>IFERROR(__xludf.DUMMYFUNCTION("""COMPUTED_VALUE"""),1.0181275E7)</f>
        <v>10181275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f>IFERROR(__xludf.DUMMYFUNCTION("""COMPUTED_VALUE"""),45793.64583333333)</f>
        <v>45793.64583</v>
      </c>
      <c r="B163" s="7">
        <f>IFERROR(__xludf.DUMMYFUNCTION("""COMPUTED_VALUE"""),145.0)</f>
        <v>145</v>
      </c>
      <c r="C163" s="7">
        <f>IFERROR(__xludf.DUMMYFUNCTION("""COMPUTED_VALUE"""),146.85)</f>
        <v>146.85</v>
      </c>
      <c r="D163" s="7">
        <f>IFERROR(__xludf.DUMMYFUNCTION("""COMPUTED_VALUE"""),144.43)</f>
        <v>144.43</v>
      </c>
      <c r="E163" s="7">
        <f>IFERROR(__xludf.DUMMYFUNCTION("""COMPUTED_VALUE"""),144.72)</f>
        <v>144.72</v>
      </c>
      <c r="F163" s="7">
        <f>IFERROR(__xludf.DUMMYFUNCTION("""COMPUTED_VALUE"""),1.4529013E7)</f>
        <v>14529013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f>IFERROR(__xludf.DUMMYFUNCTION("""COMPUTED_VALUE"""),45796.64583333333)</f>
        <v>45796.64583</v>
      </c>
      <c r="B164" s="7">
        <f>IFERROR(__xludf.DUMMYFUNCTION("""COMPUTED_VALUE"""),145.0)</f>
        <v>145</v>
      </c>
      <c r="C164" s="7">
        <f>IFERROR(__xludf.DUMMYFUNCTION("""COMPUTED_VALUE"""),145.82)</f>
        <v>145.82</v>
      </c>
      <c r="D164" s="7">
        <f>IFERROR(__xludf.DUMMYFUNCTION("""COMPUTED_VALUE"""),144.1)</f>
        <v>144.1</v>
      </c>
      <c r="E164" s="7">
        <f>IFERROR(__xludf.DUMMYFUNCTION("""COMPUTED_VALUE"""),144.69)</f>
        <v>144.69</v>
      </c>
      <c r="F164" s="7">
        <f>IFERROR(__xludf.DUMMYFUNCTION("""COMPUTED_VALUE"""),6802870.0)</f>
        <v>6802870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f>IFERROR(__xludf.DUMMYFUNCTION("""COMPUTED_VALUE"""),45797.64583333333)</f>
        <v>45797.64583</v>
      </c>
      <c r="B165" s="7">
        <f>IFERROR(__xludf.DUMMYFUNCTION("""COMPUTED_VALUE"""),145.0)</f>
        <v>145</v>
      </c>
      <c r="C165" s="7">
        <f>IFERROR(__xludf.DUMMYFUNCTION("""COMPUTED_VALUE"""),145.81)</f>
        <v>145.81</v>
      </c>
      <c r="D165" s="7">
        <f>IFERROR(__xludf.DUMMYFUNCTION("""COMPUTED_VALUE"""),141.39)</f>
        <v>141.39</v>
      </c>
      <c r="E165" s="7">
        <f>IFERROR(__xludf.DUMMYFUNCTION("""COMPUTED_VALUE"""),141.92)</f>
        <v>141.92</v>
      </c>
      <c r="F165" s="7">
        <f>IFERROR(__xludf.DUMMYFUNCTION("""COMPUTED_VALUE"""),1.1330045E7)</f>
        <v>11330045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f>IFERROR(__xludf.DUMMYFUNCTION("""COMPUTED_VALUE"""),45798.64583333333)</f>
        <v>45798.64583</v>
      </c>
      <c r="B166" s="7">
        <f>IFERROR(__xludf.DUMMYFUNCTION("""COMPUTED_VALUE"""),141.6)</f>
        <v>141.6</v>
      </c>
      <c r="C166" s="7">
        <f>IFERROR(__xludf.DUMMYFUNCTION("""COMPUTED_VALUE"""),143.63)</f>
        <v>143.63</v>
      </c>
      <c r="D166" s="7">
        <f>IFERROR(__xludf.DUMMYFUNCTION("""COMPUTED_VALUE"""),140.55)</f>
        <v>140.55</v>
      </c>
      <c r="E166" s="7">
        <f>IFERROR(__xludf.DUMMYFUNCTION("""COMPUTED_VALUE"""),143.39)</f>
        <v>143.39</v>
      </c>
      <c r="F166" s="7">
        <f>IFERROR(__xludf.DUMMYFUNCTION("""COMPUTED_VALUE"""),8705960.0)</f>
        <v>8705960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f>IFERROR(__xludf.DUMMYFUNCTION("""COMPUTED_VALUE"""),45799.64583333333)</f>
        <v>45799.64583</v>
      </c>
      <c r="B167" s="7">
        <f>IFERROR(__xludf.DUMMYFUNCTION("""COMPUTED_VALUE"""),142.59)</f>
        <v>142.59</v>
      </c>
      <c r="C167" s="7">
        <f>IFERROR(__xludf.DUMMYFUNCTION("""COMPUTED_VALUE"""),144.2)</f>
        <v>144.2</v>
      </c>
      <c r="D167" s="7">
        <f>IFERROR(__xludf.DUMMYFUNCTION("""COMPUTED_VALUE"""),141.87)</f>
        <v>141.87</v>
      </c>
      <c r="E167" s="7">
        <f>IFERROR(__xludf.DUMMYFUNCTION("""COMPUTED_VALUE"""),143.29)</f>
        <v>143.29</v>
      </c>
      <c r="F167" s="7">
        <f>IFERROR(__xludf.DUMMYFUNCTION("""COMPUTED_VALUE"""),7157328.0)</f>
        <v>7157328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f>IFERROR(__xludf.DUMMYFUNCTION("""COMPUTED_VALUE"""),45800.64583333333)</f>
        <v>45800.64583</v>
      </c>
      <c r="B168" s="7">
        <f>IFERROR(__xludf.DUMMYFUNCTION("""COMPUTED_VALUE"""),143.28)</f>
        <v>143.28</v>
      </c>
      <c r="C168" s="7">
        <f>IFERROR(__xludf.DUMMYFUNCTION("""COMPUTED_VALUE"""),145.43)</f>
        <v>145.43</v>
      </c>
      <c r="D168" s="7">
        <f>IFERROR(__xludf.DUMMYFUNCTION("""COMPUTED_VALUE"""),143.0)</f>
        <v>143</v>
      </c>
      <c r="E168" s="7">
        <f>IFERROR(__xludf.DUMMYFUNCTION("""COMPUTED_VALUE"""),144.06)</f>
        <v>144.06</v>
      </c>
      <c r="F168" s="7">
        <f>IFERROR(__xludf.DUMMYFUNCTION("""COMPUTED_VALUE"""),9699995.0)</f>
        <v>9699995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f>IFERROR(__xludf.DUMMYFUNCTION("""COMPUTED_VALUE"""),45803.64583333333)</f>
        <v>45803.64583</v>
      </c>
      <c r="B169" s="7">
        <f>IFERROR(__xludf.DUMMYFUNCTION("""COMPUTED_VALUE"""),144.06)</f>
        <v>144.06</v>
      </c>
      <c r="C169" s="7">
        <f>IFERROR(__xludf.DUMMYFUNCTION("""COMPUTED_VALUE"""),144.72)</f>
        <v>144.72</v>
      </c>
      <c r="D169" s="7">
        <f>IFERROR(__xludf.DUMMYFUNCTION("""COMPUTED_VALUE"""),142.9)</f>
        <v>142.9</v>
      </c>
      <c r="E169" s="7">
        <f>IFERROR(__xludf.DUMMYFUNCTION("""COMPUTED_VALUE"""),143.58)</f>
        <v>143.58</v>
      </c>
      <c r="F169" s="7">
        <f>IFERROR(__xludf.DUMMYFUNCTION("""COMPUTED_VALUE"""),5996548.0)</f>
        <v>5996548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f>IFERROR(__xludf.DUMMYFUNCTION("""COMPUTED_VALUE"""),45804.64583333333)</f>
        <v>45804.64583</v>
      </c>
      <c r="B170" s="7">
        <f>IFERROR(__xludf.DUMMYFUNCTION("""COMPUTED_VALUE"""),143.58)</f>
        <v>143.58</v>
      </c>
      <c r="C170" s="7">
        <f>IFERROR(__xludf.DUMMYFUNCTION("""COMPUTED_VALUE"""),144.12)</f>
        <v>144.12</v>
      </c>
      <c r="D170" s="7">
        <f>IFERROR(__xludf.DUMMYFUNCTION("""COMPUTED_VALUE"""),142.5)</f>
        <v>142.5</v>
      </c>
      <c r="E170" s="7">
        <f>IFERROR(__xludf.DUMMYFUNCTION("""COMPUTED_VALUE"""),143.41)</f>
        <v>143.41</v>
      </c>
      <c r="F170" s="7">
        <f>IFERROR(__xludf.DUMMYFUNCTION("""COMPUTED_VALUE"""),4970656.0)</f>
        <v>4970656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f>IFERROR(__xludf.DUMMYFUNCTION("""COMPUTED_VALUE"""),45805.64583333333)</f>
        <v>45805.64583</v>
      </c>
      <c r="B171" s="7">
        <f>IFERROR(__xludf.DUMMYFUNCTION("""COMPUTED_VALUE"""),143.39)</f>
        <v>143.39</v>
      </c>
      <c r="C171" s="7">
        <f>IFERROR(__xludf.DUMMYFUNCTION("""COMPUTED_VALUE"""),144.45)</f>
        <v>144.45</v>
      </c>
      <c r="D171" s="7">
        <f>IFERROR(__xludf.DUMMYFUNCTION("""COMPUTED_VALUE"""),142.71)</f>
        <v>142.71</v>
      </c>
      <c r="E171" s="7">
        <f>IFERROR(__xludf.DUMMYFUNCTION("""COMPUTED_VALUE"""),144.2)</f>
        <v>144.2</v>
      </c>
      <c r="F171" s="7">
        <f>IFERROR(__xludf.DUMMYFUNCTION("""COMPUTED_VALUE"""),6390053.0)</f>
        <v>6390053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f>IFERROR(__xludf.DUMMYFUNCTION("""COMPUTED_VALUE"""),45806.64583333333)</f>
        <v>45806.64583</v>
      </c>
      <c r="B172" s="7">
        <f>IFERROR(__xludf.DUMMYFUNCTION("""COMPUTED_VALUE"""),144.25)</f>
        <v>144.25</v>
      </c>
      <c r="C172" s="7">
        <f>IFERROR(__xludf.DUMMYFUNCTION("""COMPUTED_VALUE"""),144.83)</f>
        <v>144.83</v>
      </c>
      <c r="D172" s="7">
        <f>IFERROR(__xludf.DUMMYFUNCTION("""COMPUTED_VALUE"""),142.62)</f>
        <v>142.62</v>
      </c>
      <c r="E172" s="7">
        <f>IFERROR(__xludf.DUMMYFUNCTION("""COMPUTED_VALUE"""),143.7)</f>
        <v>143.7</v>
      </c>
      <c r="F172" s="7">
        <f>IFERROR(__xludf.DUMMYFUNCTION("""COMPUTED_VALUE"""),7054326.0)</f>
        <v>7054326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f>IFERROR(__xludf.DUMMYFUNCTION("""COMPUTED_VALUE"""),45807.64583333333)</f>
        <v>45807.64583</v>
      </c>
      <c r="B173" s="7">
        <f>IFERROR(__xludf.DUMMYFUNCTION("""COMPUTED_VALUE"""),143.7)</f>
        <v>143.7</v>
      </c>
      <c r="C173" s="7">
        <f>IFERROR(__xludf.DUMMYFUNCTION("""COMPUTED_VALUE"""),144.4)</f>
        <v>144.4</v>
      </c>
      <c r="D173" s="7">
        <f>IFERROR(__xludf.DUMMYFUNCTION("""COMPUTED_VALUE"""),141.21)</f>
        <v>141.21</v>
      </c>
      <c r="E173" s="7">
        <f>IFERROR(__xludf.DUMMYFUNCTION("""COMPUTED_VALUE"""),141.97)</f>
        <v>141.97</v>
      </c>
      <c r="F173" s="7">
        <f>IFERROR(__xludf.DUMMYFUNCTION("""COMPUTED_VALUE"""),2.8315951E7)</f>
        <v>28315951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f>IFERROR(__xludf.DUMMYFUNCTION("""COMPUTED_VALUE"""),45810.64583333333)</f>
        <v>45810.64583</v>
      </c>
      <c r="B174" s="7">
        <f>IFERROR(__xludf.DUMMYFUNCTION("""COMPUTED_VALUE"""),141.97)</f>
        <v>141.97</v>
      </c>
      <c r="C174" s="7">
        <f>IFERROR(__xludf.DUMMYFUNCTION("""COMPUTED_VALUE"""),143.5)</f>
        <v>143.5</v>
      </c>
      <c r="D174" s="7">
        <f>IFERROR(__xludf.DUMMYFUNCTION("""COMPUTED_VALUE"""),141.46)</f>
        <v>141.46</v>
      </c>
      <c r="E174" s="7">
        <f>IFERROR(__xludf.DUMMYFUNCTION("""COMPUTED_VALUE"""),143.38)</f>
        <v>143.38</v>
      </c>
      <c r="F174" s="7">
        <f>IFERROR(__xludf.DUMMYFUNCTION("""COMPUTED_VALUE"""),7051525.0)</f>
        <v>7051525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f>IFERROR(__xludf.DUMMYFUNCTION("""COMPUTED_VALUE"""),45811.64583333333)</f>
        <v>45811.64583</v>
      </c>
      <c r="B175" s="7">
        <f>IFERROR(__xludf.DUMMYFUNCTION("""COMPUTED_VALUE"""),143.9)</f>
        <v>143.9</v>
      </c>
      <c r="C175" s="7">
        <f>IFERROR(__xludf.DUMMYFUNCTION("""COMPUTED_VALUE"""),144.0)</f>
        <v>144</v>
      </c>
      <c r="D175" s="7">
        <f>IFERROR(__xludf.DUMMYFUNCTION("""COMPUTED_VALUE"""),140.6)</f>
        <v>140.6</v>
      </c>
      <c r="E175" s="7">
        <f>IFERROR(__xludf.DUMMYFUNCTION("""COMPUTED_VALUE"""),141.04)</f>
        <v>141.04</v>
      </c>
      <c r="F175" s="7">
        <f>IFERROR(__xludf.DUMMYFUNCTION("""COMPUTED_VALUE"""),7002799.0)</f>
        <v>7002799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f>IFERROR(__xludf.DUMMYFUNCTION("""COMPUTED_VALUE"""),45812.64583333333)</f>
        <v>45812.64583</v>
      </c>
      <c r="B176" s="7">
        <f>IFERROR(__xludf.DUMMYFUNCTION("""COMPUTED_VALUE"""),141.0)</f>
        <v>141</v>
      </c>
      <c r="C176" s="7">
        <f>IFERROR(__xludf.DUMMYFUNCTION("""COMPUTED_VALUE"""),141.4)</f>
        <v>141.4</v>
      </c>
      <c r="D176" s="7">
        <f>IFERROR(__xludf.DUMMYFUNCTION("""COMPUTED_VALUE"""),139.1)</f>
        <v>139.1</v>
      </c>
      <c r="E176" s="7">
        <f>IFERROR(__xludf.DUMMYFUNCTION("""COMPUTED_VALUE"""),140.67)</f>
        <v>140.67</v>
      </c>
      <c r="F176" s="7">
        <f>IFERROR(__xludf.DUMMYFUNCTION("""COMPUTED_VALUE"""),1.1904779E7)</f>
        <v>11904779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f>IFERROR(__xludf.DUMMYFUNCTION("""COMPUTED_VALUE"""),45813.64583333333)</f>
        <v>45813.64583</v>
      </c>
      <c r="B177" s="7">
        <f>IFERROR(__xludf.DUMMYFUNCTION("""COMPUTED_VALUE"""),140.66)</f>
        <v>140.66</v>
      </c>
      <c r="C177" s="7">
        <f>IFERROR(__xludf.DUMMYFUNCTION("""COMPUTED_VALUE"""),141.66)</f>
        <v>141.66</v>
      </c>
      <c r="D177" s="7">
        <f>IFERROR(__xludf.DUMMYFUNCTION("""COMPUTED_VALUE"""),139.03)</f>
        <v>139.03</v>
      </c>
      <c r="E177" s="7">
        <f>IFERROR(__xludf.DUMMYFUNCTION("""COMPUTED_VALUE"""),139.24)</f>
        <v>139.24</v>
      </c>
      <c r="F177" s="7">
        <f>IFERROR(__xludf.DUMMYFUNCTION("""COMPUTED_VALUE"""),9478214.0)</f>
        <v>9478214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f>IFERROR(__xludf.DUMMYFUNCTION("""COMPUTED_VALUE"""),45814.64583333333)</f>
        <v>45814.64583</v>
      </c>
      <c r="B178" s="7">
        <f>IFERROR(__xludf.DUMMYFUNCTION("""COMPUTED_VALUE"""),139.24)</f>
        <v>139.24</v>
      </c>
      <c r="C178" s="7">
        <f>IFERROR(__xludf.DUMMYFUNCTION("""COMPUTED_VALUE"""),141.08)</f>
        <v>141.08</v>
      </c>
      <c r="D178" s="7">
        <f>IFERROR(__xludf.DUMMYFUNCTION("""COMPUTED_VALUE"""),139.24)</f>
        <v>139.24</v>
      </c>
      <c r="E178" s="7">
        <f>IFERROR(__xludf.DUMMYFUNCTION("""COMPUTED_VALUE"""),140.78)</f>
        <v>140.78</v>
      </c>
      <c r="F178" s="7">
        <f>IFERROR(__xludf.DUMMYFUNCTION("""COMPUTED_VALUE"""),5702365.0)</f>
        <v>5702365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f>IFERROR(__xludf.DUMMYFUNCTION("""COMPUTED_VALUE"""),45817.64583333333)</f>
        <v>45817.64583</v>
      </c>
      <c r="B179" s="7">
        <f>IFERROR(__xludf.DUMMYFUNCTION("""COMPUTED_VALUE"""),141.0)</f>
        <v>141</v>
      </c>
      <c r="C179" s="7">
        <f>IFERROR(__xludf.DUMMYFUNCTION("""COMPUTED_VALUE"""),143.49)</f>
        <v>143.49</v>
      </c>
      <c r="D179" s="7">
        <f>IFERROR(__xludf.DUMMYFUNCTION("""COMPUTED_VALUE"""),140.83)</f>
        <v>140.83</v>
      </c>
      <c r="E179" s="7">
        <f>IFERROR(__xludf.DUMMYFUNCTION("""COMPUTED_VALUE"""),143.32)</f>
        <v>143.32</v>
      </c>
      <c r="F179" s="7">
        <f>IFERROR(__xludf.DUMMYFUNCTION("""COMPUTED_VALUE"""),9972191.0)</f>
        <v>9972191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f>IFERROR(__xludf.DUMMYFUNCTION("""COMPUTED_VALUE"""),45818.64583333333)</f>
        <v>45818.64583</v>
      </c>
      <c r="B180" s="7">
        <f>IFERROR(__xludf.DUMMYFUNCTION("""COMPUTED_VALUE"""),143.15)</f>
        <v>143.15</v>
      </c>
      <c r="C180" s="7">
        <f>IFERROR(__xludf.DUMMYFUNCTION("""COMPUTED_VALUE"""),143.4)</f>
        <v>143.4</v>
      </c>
      <c r="D180" s="7">
        <f>IFERROR(__xludf.DUMMYFUNCTION("""COMPUTED_VALUE"""),142.0)</f>
        <v>142</v>
      </c>
      <c r="E180" s="7">
        <f>IFERROR(__xludf.DUMMYFUNCTION("""COMPUTED_VALUE"""),142.19)</f>
        <v>142.19</v>
      </c>
      <c r="F180" s="7">
        <f>IFERROR(__xludf.DUMMYFUNCTION("""COMPUTED_VALUE"""),7906157.0)</f>
        <v>7906157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f>IFERROR(__xludf.DUMMYFUNCTION("""COMPUTED_VALUE"""),45819.64583333333)</f>
        <v>45819.64583</v>
      </c>
      <c r="B181" s="7">
        <f>IFERROR(__xludf.DUMMYFUNCTION("""COMPUTED_VALUE"""),142.4)</f>
        <v>142.4</v>
      </c>
      <c r="C181" s="7">
        <f>IFERROR(__xludf.DUMMYFUNCTION("""COMPUTED_VALUE"""),147.2)</f>
        <v>147.2</v>
      </c>
      <c r="D181" s="7">
        <f>IFERROR(__xludf.DUMMYFUNCTION("""COMPUTED_VALUE"""),142.19)</f>
        <v>142.19</v>
      </c>
      <c r="E181" s="7">
        <f>IFERROR(__xludf.DUMMYFUNCTION("""COMPUTED_VALUE"""),145.15)</f>
        <v>145.15</v>
      </c>
      <c r="F181" s="7">
        <f>IFERROR(__xludf.DUMMYFUNCTION("""COMPUTED_VALUE"""),2.865244E7)</f>
        <v>28652440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f>IFERROR(__xludf.DUMMYFUNCTION("""COMPUTED_VALUE"""),45820.64583333333)</f>
        <v>45820.64583</v>
      </c>
      <c r="B182" s="7">
        <f>IFERROR(__xludf.DUMMYFUNCTION("""COMPUTED_VALUE"""),144.68)</f>
        <v>144.68</v>
      </c>
      <c r="C182" s="7">
        <f>IFERROR(__xludf.DUMMYFUNCTION("""COMPUTED_VALUE"""),144.77)</f>
        <v>144.77</v>
      </c>
      <c r="D182" s="7">
        <f>IFERROR(__xludf.DUMMYFUNCTION("""COMPUTED_VALUE"""),141.5)</f>
        <v>141.5</v>
      </c>
      <c r="E182" s="7">
        <f>IFERROR(__xludf.DUMMYFUNCTION("""COMPUTED_VALUE"""),142.99)</f>
        <v>142.99</v>
      </c>
      <c r="F182" s="7">
        <f>IFERROR(__xludf.DUMMYFUNCTION("""COMPUTED_VALUE"""),3.0425949E7)</f>
        <v>30425949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f>IFERROR(__xludf.DUMMYFUNCTION("""COMPUTED_VALUE"""),45821.64583333333)</f>
        <v>45821.64583</v>
      </c>
      <c r="B183" s="7">
        <f>IFERROR(__xludf.DUMMYFUNCTION("""COMPUTED_VALUE"""),139.0)</f>
        <v>139</v>
      </c>
      <c r="C183" s="7">
        <f>IFERROR(__xludf.DUMMYFUNCTION("""COMPUTED_VALUE"""),143.19)</f>
        <v>143.19</v>
      </c>
      <c r="D183" s="7">
        <f>IFERROR(__xludf.DUMMYFUNCTION("""COMPUTED_VALUE"""),137.01)</f>
        <v>137.01</v>
      </c>
      <c r="E183" s="7">
        <f>IFERROR(__xludf.DUMMYFUNCTION("""COMPUTED_VALUE"""),140.34)</f>
        <v>140.34</v>
      </c>
      <c r="F183" s="7">
        <f>IFERROR(__xludf.DUMMYFUNCTION("""COMPUTED_VALUE"""),2.3705826E7)</f>
        <v>23705826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f>IFERROR(__xludf.DUMMYFUNCTION("""COMPUTED_VALUE"""),45824.64583333333)</f>
        <v>45824.64583</v>
      </c>
      <c r="B184" s="7">
        <f>IFERROR(__xludf.DUMMYFUNCTION("""COMPUTED_VALUE"""),140.0)</f>
        <v>140</v>
      </c>
      <c r="C184" s="7">
        <f>IFERROR(__xludf.DUMMYFUNCTION("""COMPUTED_VALUE"""),142.2)</f>
        <v>142.2</v>
      </c>
      <c r="D184" s="7">
        <f>IFERROR(__xludf.DUMMYFUNCTION("""COMPUTED_VALUE"""),138.9)</f>
        <v>138.9</v>
      </c>
      <c r="E184" s="7">
        <f>IFERROR(__xludf.DUMMYFUNCTION("""COMPUTED_VALUE"""),141.85)</f>
        <v>141.85</v>
      </c>
      <c r="F184" s="7">
        <f>IFERROR(__xludf.DUMMYFUNCTION("""COMPUTED_VALUE"""),1.517681E7)</f>
        <v>15176810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f>IFERROR(__xludf.DUMMYFUNCTION("""COMPUTED_VALUE"""),45825.64583333333)</f>
        <v>45825.64583</v>
      </c>
      <c r="B185" s="7">
        <f>IFERROR(__xludf.DUMMYFUNCTION("""COMPUTED_VALUE"""),141.3)</f>
        <v>141.3</v>
      </c>
      <c r="C185" s="7">
        <f>IFERROR(__xludf.DUMMYFUNCTION("""COMPUTED_VALUE"""),143.47)</f>
        <v>143.47</v>
      </c>
      <c r="D185" s="7">
        <f>IFERROR(__xludf.DUMMYFUNCTION("""COMPUTED_VALUE"""),141.2)</f>
        <v>141.2</v>
      </c>
      <c r="E185" s="7">
        <f>IFERROR(__xludf.DUMMYFUNCTION("""COMPUTED_VALUE"""),141.68)</f>
        <v>141.68</v>
      </c>
      <c r="F185" s="7">
        <f>IFERROR(__xludf.DUMMYFUNCTION("""COMPUTED_VALUE"""),9983651.0)</f>
        <v>9983651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f>IFERROR(__xludf.DUMMYFUNCTION("""COMPUTED_VALUE"""),45826.64583333333)</f>
        <v>45826.64583</v>
      </c>
      <c r="B186" s="7">
        <f>IFERROR(__xludf.DUMMYFUNCTION("""COMPUTED_VALUE"""),141.02)</f>
        <v>141.02</v>
      </c>
      <c r="C186" s="7">
        <f>IFERROR(__xludf.DUMMYFUNCTION("""COMPUTED_VALUE"""),142.09)</f>
        <v>142.09</v>
      </c>
      <c r="D186" s="7">
        <f>IFERROR(__xludf.DUMMYFUNCTION("""COMPUTED_VALUE"""),139.5)</f>
        <v>139.5</v>
      </c>
      <c r="E186" s="7">
        <f>IFERROR(__xludf.DUMMYFUNCTION("""COMPUTED_VALUE"""),140.82)</f>
        <v>140.82</v>
      </c>
      <c r="F186" s="7">
        <f>IFERROR(__xludf.DUMMYFUNCTION("""COMPUTED_VALUE"""),9045315.0)</f>
        <v>9045315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f>IFERROR(__xludf.DUMMYFUNCTION("""COMPUTED_VALUE"""),45827.64583333333)</f>
        <v>45827.64583</v>
      </c>
      <c r="B187" s="7">
        <f>IFERROR(__xludf.DUMMYFUNCTION("""COMPUTED_VALUE"""),140.76)</f>
        <v>140.76</v>
      </c>
      <c r="C187" s="7">
        <f>IFERROR(__xludf.DUMMYFUNCTION("""COMPUTED_VALUE"""),141.19)</f>
        <v>141.19</v>
      </c>
      <c r="D187" s="7">
        <f>IFERROR(__xludf.DUMMYFUNCTION("""COMPUTED_VALUE"""),138.33)</f>
        <v>138.33</v>
      </c>
      <c r="E187" s="7">
        <f>IFERROR(__xludf.DUMMYFUNCTION("""COMPUTED_VALUE"""),138.67)</f>
        <v>138.67</v>
      </c>
      <c r="F187" s="7">
        <f>IFERROR(__xludf.DUMMYFUNCTION("""COMPUTED_VALUE"""),5943647.0)</f>
        <v>5943647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f>IFERROR(__xludf.DUMMYFUNCTION("""COMPUTED_VALUE"""),45828.64583333333)</f>
        <v>45828.64583</v>
      </c>
      <c r="B188" s="7">
        <f>IFERROR(__xludf.DUMMYFUNCTION("""COMPUTED_VALUE"""),138.29)</f>
        <v>138.29</v>
      </c>
      <c r="C188" s="7">
        <f>IFERROR(__xludf.DUMMYFUNCTION("""COMPUTED_VALUE"""),139.16)</f>
        <v>139.16</v>
      </c>
      <c r="D188" s="7">
        <f>IFERROR(__xludf.DUMMYFUNCTION("""COMPUTED_VALUE"""),137.0)</f>
        <v>137</v>
      </c>
      <c r="E188" s="7">
        <f>IFERROR(__xludf.DUMMYFUNCTION("""COMPUTED_VALUE"""),138.65)</f>
        <v>138.65</v>
      </c>
      <c r="F188" s="7">
        <f>IFERROR(__xludf.DUMMYFUNCTION("""COMPUTED_VALUE"""),3.3690253E7)</f>
        <v>33690253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f>IFERROR(__xludf.DUMMYFUNCTION("""COMPUTED_VALUE"""),45831.64583333333)</f>
        <v>45831.64583</v>
      </c>
      <c r="B189" s="7">
        <f>IFERROR(__xludf.DUMMYFUNCTION("""COMPUTED_VALUE"""),137.0)</f>
        <v>137</v>
      </c>
      <c r="C189" s="7">
        <f>IFERROR(__xludf.DUMMYFUNCTION("""COMPUTED_VALUE"""),140.17)</f>
        <v>140.17</v>
      </c>
      <c r="D189" s="7">
        <f>IFERROR(__xludf.DUMMYFUNCTION("""COMPUTED_VALUE"""),136.4)</f>
        <v>136.4</v>
      </c>
      <c r="E189" s="7">
        <f>IFERROR(__xludf.DUMMYFUNCTION("""COMPUTED_VALUE"""),139.92)</f>
        <v>139.92</v>
      </c>
      <c r="F189" s="7">
        <f>IFERROR(__xludf.DUMMYFUNCTION("""COMPUTED_VALUE"""),1.4001242E7)</f>
        <v>14001242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f>IFERROR(__xludf.DUMMYFUNCTION("""COMPUTED_VALUE"""),45832.64583333333)</f>
        <v>45832.64583</v>
      </c>
      <c r="B190" s="7">
        <f>IFERROR(__xludf.DUMMYFUNCTION("""COMPUTED_VALUE"""),144.4)</f>
        <v>144.4</v>
      </c>
      <c r="C190" s="7">
        <f>IFERROR(__xludf.DUMMYFUNCTION("""COMPUTED_VALUE"""),145.3)</f>
        <v>145.3</v>
      </c>
      <c r="D190" s="7">
        <f>IFERROR(__xludf.DUMMYFUNCTION("""COMPUTED_VALUE"""),142.16)</f>
        <v>142.16</v>
      </c>
      <c r="E190" s="7">
        <f>IFERROR(__xludf.DUMMYFUNCTION("""COMPUTED_VALUE"""),142.84)</f>
        <v>142.84</v>
      </c>
      <c r="F190" s="7">
        <f>IFERROR(__xludf.DUMMYFUNCTION("""COMPUTED_VALUE"""),2.5393037E7)</f>
        <v>25393037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f>IFERROR(__xludf.DUMMYFUNCTION("""COMPUTED_VALUE"""),45833.64583333333)</f>
        <v>45833.64583</v>
      </c>
      <c r="B191" s="7">
        <f>IFERROR(__xludf.DUMMYFUNCTION("""COMPUTED_VALUE"""),143.31)</f>
        <v>143.31</v>
      </c>
      <c r="C191" s="7">
        <f>IFERROR(__xludf.DUMMYFUNCTION("""COMPUTED_VALUE"""),144.0)</f>
        <v>144</v>
      </c>
      <c r="D191" s="7">
        <f>IFERROR(__xludf.DUMMYFUNCTION("""COMPUTED_VALUE"""),141.67)</f>
        <v>141.67</v>
      </c>
      <c r="E191" s="7">
        <f>IFERROR(__xludf.DUMMYFUNCTION("""COMPUTED_VALUE"""),141.98)</f>
        <v>141.98</v>
      </c>
      <c r="F191" s="7">
        <f>IFERROR(__xludf.DUMMYFUNCTION("""COMPUTED_VALUE"""),1.5297425E7)</f>
        <v>15297425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f>IFERROR(__xludf.DUMMYFUNCTION("""COMPUTED_VALUE"""),45834.64583333333)</f>
        <v>45834.64583</v>
      </c>
      <c r="B192" s="7">
        <f>IFERROR(__xludf.DUMMYFUNCTION("""COMPUTED_VALUE"""),142.1)</f>
        <v>142.1</v>
      </c>
      <c r="C192" s="7">
        <f>IFERROR(__xludf.DUMMYFUNCTION("""COMPUTED_VALUE"""),146.95)</f>
        <v>146.95</v>
      </c>
      <c r="D192" s="7">
        <f>IFERROR(__xludf.DUMMYFUNCTION("""COMPUTED_VALUE"""),142.01)</f>
        <v>142.01</v>
      </c>
      <c r="E192" s="7">
        <f>IFERROR(__xludf.DUMMYFUNCTION("""COMPUTED_VALUE"""),146.28)</f>
        <v>146.28</v>
      </c>
      <c r="F192" s="7">
        <f>IFERROR(__xludf.DUMMYFUNCTION("""COMPUTED_VALUE"""),2.4194161E7)</f>
        <v>24194161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f>IFERROR(__xludf.DUMMYFUNCTION("""COMPUTED_VALUE"""),45835.64583333333)</f>
        <v>45835.64583</v>
      </c>
      <c r="B193" s="7">
        <f>IFERROR(__xludf.DUMMYFUNCTION("""COMPUTED_VALUE"""),146.28)</f>
        <v>146.28</v>
      </c>
      <c r="C193" s="7">
        <f>IFERROR(__xludf.DUMMYFUNCTION("""COMPUTED_VALUE"""),148.3)</f>
        <v>148.3</v>
      </c>
      <c r="D193" s="7">
        <f>IFERROR(__xludf.DUMMYFUNCTION("""COMPUTED_VALUE"""),146.0)</f>
        <v>146</v>
      </c>
      <c r="E193" s="7">
        <f>IFERROR(__xludf.DUMMYFUNCTION("""COMPUTED_VALUE"""),147.22)</f>
        <v>147.22</v>
      </c>
      <c r="F193" s="7">
        <f>IFERROR(__xludf.DUMMYFUNCTION("""COMPUTED_VALUE"""),1.9189378E7)</f>
        <v>19189378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f>IFERROR(__xludf.DUMMYFUNCTION("""COMPUTED_VALUE"""),45838.64583333333)</f>
        <v>45838.64583</v>
      </c>
      <c r="B194" s="7">
        <f>IFERROR(__xludf.DUMMYFUNCTION("""COMPUTED_VALUE"""),147.26)</f>
        <v>147.26</v>
      </c>
      <c r="C194" s="7">
        <f>IFERROR(__xludf.DUMMYFUNCTION("""COMPUTED_VALUE"""),149.5)</f>
        <v>149.5</v>
      </c>
      <c r="D194" s="7">
        <f>IFERROR(__xludf.DUMMYFUNCTION("""COMPUTED_VALUE"""),146.42)</f>
        <v>146.42</v>
      </c>
      <c r="E194" s="7">
        <f>IFERROR(__xludf.DUMMYFUNCTION("""COMPUTED_VALUE"""),146.96)</f>
        <v>146.96</v>
      </c>
      <c r="F194" s="7">
        <f>IFERROR(__xludf.DUMMYFUNCTION("""COMPUTED_VALUE"""),1.0645295E7)</f>
        <v>10645295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f>IFERROR(__xludf.DUMMYFUNCTION("""COMPUTED_VALUE"""),45839.64583333333)</f>
        <v>45839.64583</v>
      </c>
      <c r="B195" s="7">
        <f>IFERROR(__xludf.DUMMYFUNCTION("""COMPUTED_VALUE"""),146.51)</f>
        <v>146.51</v>
      </c>
      <c r="C195" s="7">
        <f>IFERROR(__xludf.DUMMYFUNCTION("""COMPUTED_VALUE"""),148.2)</f>
        <v>148.2</v>
      </c>
      <c r="D195" s="7">
        <f>IFERROR(__xludf.DUMMYFUNCTION("""COMPUTED_VALUE"""),146.19)</f>
        <v>146.19</v>
      </c>
      <c r="E195" s="7">
        <f>IFERROR(__xludf.DUMMYFUNCTION("""COMPUTED_VALUE"""),147.14)</f>
        <v>147.14</v>
      </c>
      <c r="F195" s="7">
        <f>IFERROR(__xludf.DUMMYFUNCTION("""COMPUTED_VALUE"""),9899904.0)</f>
        <v>9899904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f>IFERROR(__xludf.DUMMYFUNCTION("""COMPUTED_VALUE"""),45840.64583333333)</f>
        <v>45840.64583</v>
      </c>
      <c r="B196" s="7">
        <f>IFERROR(__xludf.DUMMYFUNCTION("""COMPUTED_VALUE"""),148.0)</f>
        <v>148</v>
      </c>
      <c r="C196" s="7">
        <f>IFERROR(__xludf.DUMMYFUNCTION("""COMPUTED_VALUE"""),148.95)</f>
        <v>148.95</v>
      </c>
      <c r="D196" s="7">
        <f>IFERROR(__xludf.DUMMYFUNCTION("""COMPUTED_VALUE"""),147.02)</f>
        <v>147.02</v>
      </c>
      <c r="E196" s="7">
        <f>IFERROR(__xludf.DUMMYFUNCTION("""COMPUTED_VALUE"""),147.91)</f>
        <v>147.91</v>
      </c>
      <c r="F196" s="7">
        <f>IFERROR(__xludf.DUMMYFUNCTION("""COMPUTED_VALUE"""),7881728.0)</f>
        <v>7881728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f>IFERROR(__xludf.DUMMYFUNCTION("""COMPUTED_VALUE"""),45841.64583333333)</f>
        <v>45841.64583</v>
      </c>
      <c r="B197" s="7">
        <f>IFERROR(__xludf.DUMMYFUNCTION("""COMPUTED_VALUE"""),147.99)</f>
        <v>147.99</v>
      </c>
      <c r="C197" s="7">
        <f>IFERROR(__xludf.DUMMYFUNCTION("""COMPUTED_VALUE"""),148.75)</f>
        <v>148.75</v>
      </c>
      <c r="D197" s="7">
        <f>IFERROR(__xludf.DUMMYFUNCTION("""COMPUTED_VALUE"""),147.5)</f>
        <v>147.5</v>
      </c>
      <c r="E197" s="7">
        <f>IFERROR(__xludf.DUMMYFUNCTION("""COMPUTED_VALUE"""),147.87)</f>
        <v>147.87</v>
      </c>
      <c r="F197" s="7">
        <f>IFERROR(__xludf.DUMMYFUNCTION("""COMPUTED_VALUE"""),8006482.0)</f>
        <v>8006482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f>IFERROR(__xludf.DUMMYFUNCTION("""COMPUTED_VALUE"""),45842.64583333333)</f>
        <v>45842.64583</v>
      </c>
      <c r="B198" s="7">
        <f>IFERROR(__xludf.DUMMYFUNCTION("""COMPUTED_VALUE"""),149.7)</f>
        <v>149.7</v>
      </c>
      <c r="C198" s="7">
        <f>IFERROR(__xludf.DUMMYFUNCTION("""COMPUTED_VALUE"""),151.99)</f>
        <v>151.99</v>
      </c>
      <c r="D198" s="7">
        <f>IFERROR(__xludf.DUMMYFUNCTION("""COMPUTED_VALUE"""),147.86)</f>
        <v>147.86</v>
      </c>
      <c r="E198" s="7">
        <f>IFERROR(__xludf.DUMMYFUNCTION("""COMPUTED_VALUE"""),151.62)</f>
        <v>151.62</v>
      </c>
      <c r="F198" s="7">
        <f>IFERROR(__xludf.DUMMYFUNCTION("""COMPUTED_VALUE"""),2.2612766E7)</f>
        <v>22612766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f>IFERROR(__xludf.DUMMYFUNCTION("""COMPUTED_VALUE"""),45845.64583333333)</f>
        <v>45845.64583</v>
      </c>
      <c r="B199" s="7">
        <f>IFERROR(__xludf.DUMMYFUNCTION("""COMPUTED_VALUE"""),152.02)</f>
        <v>152.02</v>
      </c>
      <c r="C199" s="7">
        <f>IFERROR(__xludf.DUMMYFUNCTION("""COMPUTED_VALUE"""),154.9)</f>
        <v>154.9</v>
      </c>
      <c r="D199" s="7">
        <f>IFERROR(__xludf.DUMMYFUNCTION("""COMPUTED_VALUE"""),151.81)</f>
        <v>151.81</v>
      </c>
      <c r="E199" s="7">
        <f>IFERROR(__xludf.DUMMYFUNCTION("""COMPUTED_VALUE"""),153.75)</f>
        <v>153.75</v>
      </c>
      <c r="F199" s="7">
        <f>IFERROR(__xludf.DUMMYFUNCTION("""COMPUTED_VALUE"""),2.4354631E7)</f>
        <v>24354631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f>IFERROR(__xludf.DUMMYFUNCTION("""COMPUTED_VALUE"""),45846.64583333333)</f>
        <v>45846.64583</v>
      </c>
      <c r="B200" s="7">
        <f>IFERROR(__xludf.DUMMYFUNCTION("""COMPUTED_VALUE"""),154.8)</f>
        <v>154.8</v>
      </c>
      <c r="C200" s="7">
        <f>IFERROR(__xludf.DUMMYFUNCTION("""COMPUTED_VALUE"""),154.97)</f>
        <v>154.97</v>
      </c>
      <c r="D200" s="7">
        <f>IFERROR(__xludf.DUMMYFUNCTION("""COMPUTED_VALUE"""),152.83)</f>
        <v>152.83</v>
      </c>
      <c r="E200" s="7">
        <f>IFERROR(__xludf.DUMMYFUNCTION("""COMPUTED_VALUE"""),153.82)</f>
        <v>153.82</v>
      </c>
      <c r="F200" s="7">
        <f>IFERROR(__xludf.DUMMYFUNCTION("""COMPUTED_VALUE"""),1.3876094E7)</f>
        <v>13876094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f>IFERROR(__xludf.DUMMYFUNCTION("""COMPUTED_VALUE"""),45847.64583333333)</f>
        <v>45847.64583</v>
      </c>
      <c r="B201" s="7">
        <f>IFERROR(__xludf.DUMMYFUNCTION("""COMPUTED_VALUE"""),153.46)</f>
        <v>153.46</v>
      </c>
      <c r="C201" s="7">
        <f>IFERROR(__xludf.DUMMYFUNCTION("""COMPUTED_VALUE"""),153.73)</f>
        <v>153.73</v>
      </c>
      <c r="D201" s="7">
        <f>IFERROR(__xludf.DUMMYFUNCTION("""COMPUTED_VALUE"""),150.09)</f>
        <v>150.09</v>
      </c>
      <c r="E201" s="7">
        <f>IFERROR(__xludf.DUMMYFUNCTION("""COMPUTED_VALUE"""),150.25)</f>
        <v>150.25</v>
      </c>
      <c r="F201" s="7">
        <f>IFERROR(__xludf.DUMMYFUNCTION("""COMPUTED_VALUE"""),1.244015E7)</f>
        <v>12440150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f>IFERROR(__xludf.DUMMYFUNCTION("""COMPUTED_VALUE"""),45848.64583333333)</f>
        <v>45848.64583</v>
      </c>
      <c r="B202" s="7">
        <f>IFERROR(__xludf.DUMMYFUNCTION("""COMPUTED_VALUE"""),150.75)</f>
        <v>150.75</v>
      </c>
      <c r="C202" s="7">
        <f>IFERROR(__xludf.DUMMYFUNCTION("""COMPUTED_VALUE"""),152.65)</f>
        <v>152.65</v>
      </c>
      <c r="D202" s="7">
        <f>IFERROR(__xludf.DUMMYFUNCTION("""COMPUTED_VALUE"""),150.0)</f>
        <v>150</v>
      </c>
      <c r="E202" s="7">
        <f>IFERROR(__xludf.DUMMYFUNCTION("""COMPUTED_VALUE"""),152.33)</f>
        <v>152.33</v>
      </c>
      <c r="F202" s="7">
        <f>IFERROR(__xludf.DUMMYFUNCTION("""COMPUTED_VALUE"""),1.4545796E7)</f>
        <v>14545796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f>IFERROR(__xludf.DUMMYFUNCTION("""COMPUTED_VALUE"""),45849.64583333333)</f>
        <v>45849.64583</v>
      </c>
      <c r="B203" s="7">
        <f>IFERROR(__xludf.DUMMYFUNCTION("""COMPUTED_VALUE"""),155.0)</f>
        <v>155</v>
      </c>
      <c r="C203" s="7">
        <f>IFERROR(__xludf.DUMMYFUNCTION("""COMPUTED_VALUE"""),155.0)</f>
        <v>155</v>
      </c>
      <c r="D203" s="7">
        <f>IFERROR(__xludf.DUMMYFUNCTION("""COMPUTED_VALUE"""),150.26)</f>
        <v>150.26</v>
      </c>
      <c r="E203" s="7">
        <f>IFERROR(__xludf.DUMMYFUNCTION("""COMPUTED_VALUE"""),150.65)</f>
        <v>150.65</v>
      </c>
      <c r="F203" s="7">
        <f>IFERROR(__xludf.DUMMYFUNCTION("""COMPUTED_VALUE"""),1.2767735E7)</f>
        <v>12767735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f>IFERROR(__xludf.DUMMYFUNCTION("""COMPUTED_VALUE"""),45852.64583333333)</f>
        <v>45852.64583</v>
      </c>
      <c r="B204" s="7">
        <f>IFERROR(__xludf.DUMMYFUNCTION("""COMPUTED_VALUE"""),150.65)</f>
        <v>150.65</v>
      </c>
      <c r="C204" s="7">
        <f>IFERROR(__xludf.DUMMYFUNCTION("""COMPUTED_VALUE"""),151.6)</f>
        <v>151.6</v>
      </c>
      <c r="D204" s="7">
        <f>IFERROR(__xludf.DUMMYFUNCTION("""COMPUTED_VALUE"""),149.62)</f>
        <v>149.62</v>
      </c>
      <c r="E204" s="7">
        <f>IFERROR(__xludf.DUMMYFUNCTION("""COMPUTED_VALUE"""),150.1)</f>
        <v>150.1</v>
      </c>
      <c r="F204" s="7">
        <f>IFERROR(__xludf.DUMMYFUNCTION("""COMPUTED_VALUE"""),8021902.0)</f>
        <v>8021902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f>IFERROR(__xludf.DUMMYFUNCTION("""COMPUTED_VALUE"""),45853.64583333333)</f>
        <v>45853.64583</v>
      </c>
      <c r="B205" s="7">
        <f>IFERROR(__xludf.DUMMYFUNCTION("""COMPUTED_VALUE"""),150.55)</f>
        <v>150.55</v>
      </c>
      <c r="C205" s="7">
        <f>IFERROR(__xludf.DUMMYFUNCTION("""COMPUTED_VALUE"""),151.9)</f>
        <v>151.9</v>
      </c>
      <c r="D205" s="7">
        <f>IFERROR(__xludf.DUMMYFUNCTION("""COMPUTED_VALUE"""),150.54)</f>
        <v>150.54</v>
      </c>
      <c r="E205" s="7">
        <f>IFERROR(__xludf.DUMMYFUNCTION("""COMPUTED_VALUE"""),151.4)</f>
        <v>151.4</v>
      </c>
      <c r="F205" s="7">
        <f>IFERROR(__xludf.DUMMYFUNCTION("""COMPUTED_VALUE"""),4853043.0)</f>
        <v>4853043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f>IFERROR(__xludf.DUMMYFUNCTION("""COMPUTED_VALUE"""),45854.64583333333)</f>
        <v>45854.64583</v>
      </c>
      <c r="B206" s="7">
        <f>IFERROR(__xludf.DUMMYFUNCTION("""COMPUTED_VALUE"""),151.2)</f>
        <v>151.2</v>
      </c>
      <c r="C206" s="7">
        <f>IFERROR(__xludf.DUMMYFUNCTION("""COMPUTED_VALUE"""),152.68)</f>
        <v>152.68</v>
      </c>
      <c r="D206" s="7">
        <f>IFERROR(__xludf.DUMMYFUNCTION("""COMPUTED_VALUE"""),150.63)</f>
        <v>150.63</v>
      </c>
      <c r="E206" s="7">
        <f>IFERROR(__xludf.DUMMYFUNCTION("""COMPUTED_VALUE"""),152.04)</f>
        <v>152.04</v>
      </c>
      <c r="F206" s="7">
        <f>IFERROR(__xludf.DUMMYFUNCTION("""COMPUTED_VALUE"""),7218210.0)</f>
        <v>7218210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f>IFERROR(__xludf.DUMMYFUNCTION("""COMPUTED_VALUE"""),45855.64583333333)</f>
        <v>45855.64583</v>
      </c>
      <c r="B207" s="7">
        <f>IFERROR(__xludf.DUMMYFUNCTION("""COMPUTED_VALUE"""),152.37)</f>
        <v>152.37</v>
      </c>
      <c r="C207" s="7">
        <f>IFERROR(__xludf.DUMMYFUNCTION("""COMPUTED_VALUE"""),152.47)</f>
        <v>152.47</v>
      </c>
      <c r="D207" s="7">
        <f>IFERROR(__xludf.DUMMYFUNCTION("""COMPUTED_VALUE"""),150.62)</f>
        <v>150.62</v>
      </c>
      <c r="E207" s="7">
        <f>IFERROR(__xludf.DUMMYFUNCTION("""COMPUTED_VALUE"""),150.96)</f>
        <v>150.96</v>
      </c>
      <c r="F207" s="7">
        <f>IFERROR(__xludf.DUMMYFUNCTION("""COMPUTED_VALUE"""),6727858.0)</f>
        <v>6727858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f>IFERROR(__xludf.DUMMYFUNCTION("""COMPUTED_VALUE"""),45856.64583333333)</f>
        <v>45856.64583</v>
      </c>
      <c r="B208" s="7">
        <f>IFERROR(__xludf.DUMMYFUNCTION("""COMPUTED_VALUE"""),150.51)</f>
        <v>150.51</v>
      </c>
      <c r="C208" s="7">
        <f>IFERROR(__xludf.DUMMYFUNCTION("""COMPUTED_VALUE"""),151.61)</f>
        <v>151.61</v>
      </c>
      <c r="D208" s="7">
        <f>IFERROR(__xludf.DUMMYFUNCTION("""COMPUTED_VALUE"""),148.6)</f>
        <v>148.6</v>
      </c>
      <c r="E208" s="7">
        <f>IFERROR(__xludf.DUMMYFUNCTION("""COMPUTED_VALUE"""),150.06)</f>
        <v>150.06</v>
      </c>
      <c r="F208" s="7">
        <f>IFERROR(__xludf.DUMMYFUNCTION("""COMPUTED_VALUE"""),9017783.0)</f>
        <v>9017783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f>IFERROR(__xludf.DUMMYFUNCTION("""COMPUTED_VALUE"""),45859.64583333333)</f>
        <v>45859.64583</v>
      </c>
      <c r="B209" s="7">
        <f>IFERROR(__xludf.DUMMYFUNCTION("""COMPUTED_VALUE"""),149.52)</f>
        <v>149.52</v>
      </c>
      <c r="C209" s="7">
        <f>IFERROR(__xludf.DUMMYFUNCTION("""COMPUTED_VALUE"""),151.2)</f>
        <v>151.2</v>
      </c>
      <c r="D209" s="7">
        <f>IFERROR(__xludf.DUMMYFUNCTION("""COMPUTED_VALUE"""),149.07)</f>
        <v>149.07</v>
      </c>
      <c r="E209" s="7">
        <f>IFERROR(__xludf.DUMMYFUNCTION("""COMPUTED_VALUE"""),151.07)</f>
        <v>151.07</v>
      </c>
      <c r="F209" s="7">
        <f>IFERROR(__xludf.DUMMYFUNCTION("""COMPUTED_VALUE"""),5030900.0)</f>
        <v>5030900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f>IFERROR(__xludf.DUMMYFUNCTION("""COMPUTED_VALUE"""),45860.64583333333)</f>
        <v>45860.64583</v>
      </c>
      <c r="B210" s="7">
        <f>IFERROR(__xludf.DUMMYFUNCTION("""COMPUTED_VALUE"""),151.3)</f>
        <v>151.3</v>
      </c>
      <c r="C210" s="7">
        <f>IFERROR(__xludf.DUMMYFUNCTION("""COMPUTED_VALUE"""),152.44)</f>
        <v>152.44</v>
      </c>
      <c r="D210" s="7">
        <f>IFERROR(__xludf.DUMMYFUNCTION("""COMPUTED_VALUE"""),150.65)</f>
        <v>150.65</v>
      </c>
      <c r="E210" s="7">
        <f>IFERROR(__xludf.DUMMYFUNCTION("""COMPUTED_VALUE"""),151.98)</f>
        <v>151.98</v>
      </c>
      <c r="F210" s="7">
        <f>IFERROR(__xludf.DUMMYFUNCTION("""COMPUTED_VALUE"""),1.1381024E7)</f>
        <v>11381024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f>IFERROR(__xludf.DUMMYFUNCTION("""COMPUTED_VALUE"""),45861.64583333333)</f>
        <v>45861.64583</v>
      </c>
      <c r="B211" s="7">
        <f>IFERROR(__xludf.DUMMYFUNCTION("""COMPUTED_VALUE"""),152.01)</f>
        <v>152.01</v>
      </c>
      <c r="C211" s="7">
        <f>IFERROR(__xludf.DUMMYFUNCTION("""COMPUTED_VALUE"""),152.6)</f>
        <v>152.6</v>
      </c>
      <c r="D211" s="7">
        <f>IFERROR(__xludf.DUMMYFUNCTION("""COMPUTED_VALUE"""),150.72)</f>
        <v>150.72</v>
      </c>
      <c r="E211" s="7">
        <f>IFERROR(__xludf.DUMMYFUNCTION("""COMPUTED_VALUE"""),152.35)</f>
        <v>152.35</v>
      </c>
      <c r="F211" s="7">
        <f>IFERROR(__xludf.DUMMYFUNCTION("""COMPUTED_VALUE"""),7597121.0)</f>
        <v>7597121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f>IFERROR(__xludf.DUMMYFUNCTION("""COMPUTED_VALUE"""),45862.64583333333)</f>
        <v>45862.64583</v>
      </c>
      <c r="B212" s="7">
        <f>IFERROR(__xludf.DUMMYFUNCTION("""COMPUTED_VALUE"""),152.02)</f>
        <v>152.02</v>
      </c>
      <c r="C212" s="7">
        <f>IFERROR(__xludf.DUMMYFUNCTION("""COMPUTED_VALUE"""),152.75)</f>
        <v>152.75</v>
      </c>
      <c r="D212" s="7">
        <f>IFERROR(__xludf.DUMMYFUNCTION("""COMPUTED_VALUE"""),150.71)</f>
        <v>150.71</v>
      </c>
      <c r="E212" s="7">
        <f>IFERROR(__xludf.DUMMYFUNCTION("""COMPUTED_VALUE"""),151.22)</f>
        <v>151.22</v>
      </c>
      <c r="F212" s="7">
        <f>IFERROR(__xludf.DUMMYFUNCTION("""COMPUTED_VALUE"""),5879844.0)</f>
        <v>5879844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f>IFERROR(__xludf.DUMMYFUNCTION("""COMPUTED_VALUE"""),45863.64583333333)</f>
        <v>45863.64583</v>
      </c>
      <c r="B213" s="7">
        <f>IFERROR(__xludf.DUMMYFUNCTION("""COMPUTED_VALUE"""),151.0)</f>
        <v>151</v>
      </c>
      <c r="C213" s="7">
        <f>IFERROR(__xludf.DUMMYFUNCTION("""COMPUTED_VALUE"""),151.74)</f>
        <v>151.74</v>
      </c>
      <c r="D213" s="7">
        <f>IFERROR(__xludf.DUMMYFUNCTION("""COMPUTED_VALUE"""),146.58)</f>
        <v>146.58</v>
      </c>
      <c r="E213" s="7">
        <f>IFERROR(__xludf.DUMMYFUNCTION("""COMPUTED_VALUE"""),146.96)</f>
        <v>146.96</v>
      </c>
      <c r="F213" s="7">
        <f>IFERROR(__xludf.DUMMYFUNCTION("""COMPUTED_VALUE"""),1.1646131E7)</f>
        <v>11646131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f>IFERROR(__xludf.DUMMYFUNCTION("""COMPUTED_VALUE"""),45866.64583333333)</f>
        <v>45866.64583</v>
      </c>
      <c r="B214" s="7">
        <f>IFERROR(__xludf.DUMMYFUNCTION("""COMPUTED_VALUE"""),146.96)</f>
        <v>146.96</v>
      </c>
      <c r="C214" s="7">
        <f>IFERROR(__xludf.DUMMYFUNCTION("""COMPUTED_VALUE"""),148.64)</f>
        <v>148.64</v>
      </c>
      <c r="D214" s="7">
        <f>IFERROR(__xludf.DUMMYFUNCTION("""COMPUTED_VALUE"""),146.7)</f>
        <v>146.7</v>
      </c>
      <c r="E214" s="7">
        <f>IFERROR(__xludf.DUMMYFUNCTION("""COMPUTED_VALUE"""),147.56)</f>
        <v>147.56</v>
      </c>
      <c r="F214" s="7">
        <f>IFERROR(__xludf.DUMMYFUNCTION("""COMPUTED_VALUE"""),6023438.0)</f>
        <v>6023438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f>IFERROR(__xludf.DUMMYFUNCTION("""COMPUTED_VALUE"""),45867.64583333333)</f>
        <v>45867.64583</v>
      </c>
      <c r="B215" s="7">
        <f>IFERROR(__xludf.DUMMYFUNCTION("""COMPUTED_VALUE"""),146.5)</f>
        <v>146.5</v>
      </c>
      <c r="C215" s="7">
        <f>IFERROR(__xludf.DUMMYFUNCTION("""COMPUTED_VALUE"""),148.2)</f>
        <v>148.2</v>
      </c>
      <c r="D215" s="7">
        <f>IFERROR(__xludf.DUMMYFUNCTION("""COMPUTED_VALUE"""),146.5)</f>
        <v>146.5</v>
      </c>
      <c r="E215" s="7">
        <f>IFERROR(__xludf.DUMMYFUNCTION("""COMPUTED_VALUE"""),147.94)</f>
        <v>147.94</v>
      </c>
      <c r="F215" s="7">
        <f>IFERROR(__xludf.DUMMYFUNCTION("""COMPUTED_VALUE"""),4240012.0)</f>
        <v>4240012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f>IFERROR(__xludf.DUMMYFUNCTION("""COMPUTED_VALUE"""),45868.64583333333)</f>
        <v>45868.64583</v>
      </c>
      <c r="B216" s="7">
        <f>IFERROR(__xludf.DUMMYFUNCTION("""COMPUTED_VALUE"""),147.5)</f>
        <v>147.5</v>
      </c>
      <c r="C216" s="7">
        <f>IFERROR(__xludf.DUMMYFUNCTION("""COMPUTED_VALUE"""),150.19)</f>
        <v>150.19</v>
      </c>
      <c r="D216" s="7">
        <f>IFERROR(__xludf.DUMMYFUNCTION("""COMPUTED_VALUE"""),146.25)</f>
        <v>146.25</v>
      </c>
      <c r="E216" s="7">
        <f>IFERROR(__xludf.DUMMYFUNCTION("""COMPUTED_VALUE"""),149.04)</f>
        <v>149.04</v>
      </c>
      <c r="F216" s="7">
        <f>IFERROR(__xludf.DUMMYFUNCTION("""COMPUTED_VALUE"""),9331773.0)</f>
        <v>9331773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f>IFERROR(__xludf.DUMMYFUNCTION("""COMPUTED_VALUE"""),45869.64583333333)</f>
        <v>45869.64583</v>
      </c>
      <c r="B217" s="7">
        <f>IFERROR(__xludf.DUMMYFUNCTION("""COMPUTED_VALUE"""),146.55)</f>
        <v>146.55</v>
      </c>
      <c r="C217" s="7">
        <f>IFERROR(__xludf.DUMMYFUNCTION("""COMPUTED_VALUE"""),147.2)</f>
        <v>147.2</v>
      </c>
      <c r="D217" s="7">
        <f>IFERROR(__xludf.DUMMYFUNCTION("""COMPUTED_VALUE"""),144.32)</f>
        <v>144.32</v>
      </c>
      <c r="E217" s="7">
        <f>IFERROR(__xludf.DUMMYFUNCTION("""COMPUTED_VALUE"""),145.62)</f>
        <v>145.62</v>
      </c>
      <c r="F217" s="7">
        <f>IFERROR(__xludf.DUMMYFUNCTION("""COMPUTED_VALUE"""),1.1960546E7)</f>
        <v>11960546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f>IFERROR(__xludf.DUMMYFUNCTION("""COMPUTED_VALUE"""),45870.64583333333)</f>
        <v>45870.64583</v>
      </c>
      <c r="B218" s="7">
        <f>IFERROR(__xludf.DUMMYFUNCTION("""COMPUTED_VALUE"""),145.33)</f>
        <v>145.33</v>
      </c>
      <c r="C218" s="7">
        <f>IFERROR(__xludf.DUMMYFUNCTION("""COMPUTED_VALUE"""),146.29)</f>
        <v>146.29</v>
      </c>
      <c r="D218" s="7">
        <f>IFERROR(__xludf.DUMMYFUNCTION("""COMPUTED_VALUE"""),140.66)</f>
        <v>140.66</v>
      </c>
      <c r="E218" s="7">
        <f>IFERROR(__xludf.DUMMYFUNCTION("""COMPUTED_VALUE"""),141.03)</f>
        <v>141.03</v>
      </c>
      <c r="F218" s="7">
        <f>IFERROR(__xludf.DUMMYFUNCTION("""COMPUTED_VALUE"""),8981850.0)</f>
        <v>8981850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f>IFERROR(__xludf.DUMMYFUNCTION("""COMPUTED_VALUE"""),45873.64583333333)</f>
        <v>45873.64583</v>
      </c>
      <c r="B219" s="7">
        <f>IFERROR(__xludf.DUMMYFUNCTION("""COMPUTED_VALUE"""),141.72)</f>
        <v>141.72</v>
      </c>
      <c r="C219" s="7">
        <f>IFERROR(__xludf.DUMMYFUNCTION("""COMPUTED_VALUE"""),142.9)</f>
        <v>142.9</v>
      </c>
      <c r="D219" s="7">
        <f>IFERROR(__xludf.DUMMYFUNCTION("""COMPUTED_VALUE"""),139.72)</f>
        <v>139.72</v>
      </c>
      <c r="E219" s="7">
        <f>IFERROR(__xludf.DUMMYFUNCTION("""COMPUTED_VALUE"""),142.38)</f>
        <v>142.38</v>
      </c>
      <c r="F219" s="7">
        <f>IFERROR(__xludf.DUMMYFUNCTION("""COMPUTED_VALUE"""),8163596.0)</f>
        <v>8163596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f>IFERROR(__xludf.DUMMYFUNCTION("""COMPUTED_VALUE"""),45874.64583333333)</f>
        <v>45874.64583</v>
      </c>
      <c r="B220" s="7">
        <f>IFERROR(__xludf.DUMMYFUNCTION("""COMPUTED_VALUE"""),142.52)</f>
        <v>142.52</v>
      </c>
      <c r="C220" s="7">
        <f>IFERROR(__xludf.DUMMYFUNCTION("""COMPUTED_VALUE"""),143.0)</f>
        <v>143</v>
      </c>
      <c r="D220" s="7">
        <f>IFERROR(__xludf.DUMMYFUNCTION("""COMPUTED_VALUE"""),139.4)</f>
        <v>139.4</v>
      </c>
      <c r="E220" s="7">
        <f>IFERROR(__xludf.DUMMYFUNCTION("""COMPUTED_VALUE"""),141.27)</f>
        <v>141.27</v>
      </c>
      <c r="F220" s="7">
        <f>IFERROR(__xludf.DUMMYFUNCTION("""COMPUTED_VALUE"""),1.1034758E7)</f>
        <v>11034758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f>IFERROR(__xludf.DUMMYFUNCTION("""COMPUTED_VALUE"""),45875.64583333333)</f>
        <v>45875.64583</v>
      </c>
      <c r="B221" s="7">
        <f>IFERROR(__xludf.DUMMYFUNCTION("""COMPUTED_VALUE"""),142.49)</f>
        <v>142.49</v>
      </c>
      <c r="C221" s="7">
        <f>IFERROR(__xludf.DUMMYFUNCTION("""COMPUTED_VALUE"""),143.28)</f>
        <v>143.28</v>
      </c>
      <c r="D221" s="7">
        <f>IFERROR(__xludf.DUMMYFUNCTION("""COMPUTED_VALUE"""),141.71)</f>
        <v>141.71</v>
      </c>
      <c r="E221" s="7">
        <f>IFERROR(__xludf.DUMMYFUNCTION("""COMPUTED_VALUE"""),142.27)</f>
        <v>142.27</v>
      </c>
      <c r="F221" s="7">
        <f>IFERROR(__xludf.DUMMYFUNCTION("""COMPUTED_VALUE"""),7574568.0)</f>
        <v>7574568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f>IFERROR(__xludf.DUMMYFUNCTION("""COMPUTED_VALUE"""),45876.64583333333)</f>
        <v>45876.64583</v>
      </c>
      <c r="B222" s="7">
        <f>IFERROR(__xludf.DUMMYFUNCTION("""COMPUTED_VALUE"""),141.01)</f>
        <v>141.01</v>
      </c>
      <c r="C222" s="7">
        <f>IFERROR(__xludf.DUMMYFUNCTION("""COMPUTED_VALUE"""),143.0)</f>
        <v>143</v>
      </c>
      <c r="D222" s="7">
        <f>IFERROR(__xludf.DUMMYFUNCTION("""COMPUTED_VALUE"""),140.0)</f>
        <v>140</v>
      </c>
      <c r="E222" s="7">
        <f>IFERROR(__xludf.DUMMYFUNCTION("""COMPUTED_VALUE"""),141.67)</f>
        <v>141.67</v>
      </c>
      <c r="F222" s="7">
        <f>IFERROR(__xludf.DUMMYFUNCTION("""COMPUTED_VALUE"""),8365458.0)</f>
        <v>8365458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f>IFERROR(__xludf.DUMMYFUNCTION("""COMPUTED_VALUE"""),45877.64583333333)</f>
        <v>45877.64583</v>
      </c>
      <c r="B223" s="7">
        <f>IFERROR(__xludf.DUMMYFUNCTION("""COMPUTED_VALUE"""),139.99)</f>
        <v>139.99</v>
      </c>
      <c r="C223" s="7">
        <f>IFERROR(__xludf.DUMMYFUNCTION("""COMPUTED_VALUE"""),142.0)</f>
        <v>142</v>
      </c>
      <c r="D223" s="7">
        <f>IFERROR(__xludf.DUMMYFUNCTION("""COMPUTED_VALUE"""),139.31)</f>
        <v>139.31</v>
      </c>
      <c r="E223" s="7">
        <f>IFERROR(__xludf.DUMMYFUNCTION("""COMPUTED_VALUE"""),139.91)</f>
        <v>139.91</v>
      </c>
      <c r="F223" s="7">
        <f>IFERROR(__xludf.DUMMYFUNCTION("""COMPUTED_VALUE"""),9551412.0)</f>
        <v>9551412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f>IFERROR(__xludf.DUMMYFUNCTION("""COMPUTED_VALUE"""),45880.64583333333)</f>
        <v>45880.64583</v>
      </c>
      <c r="B224" s="7">
        <f>IFERROR(__xludf.DUMMYFUNCTION("""COMPUTED_VALUE"""),141.6)</f>
        <v>141.6</v>
      </c>
      <c r="C224" s="7">
        <f>IFERROR(__xludf.DUMMYFUNCTION("""COMPUTED_VALUE"""),142.95)</f>
        <v>142.95</v>
      </c>
      <c r="D224" s="7">
        <f>IFERROR(__xludf.DUMMYFUNCTION("""COMPUTED_VALUE"""),139.35)</f>
        <v>139.35</v>
      </c>
      <c r="E224" s="7">
        <f>IFERROR(__xludf.DUMMYFUNCTION("""COMPUTED_VALUE"""),141.41)</f>
        <v>141.41</v>
      </c>
      <c r="F224" s="7">
        <f>IFERROR(__xludf.DUMMYFUNCTION("""COMPUTED_VALUE"""),1.1260944E7)</f>
        <v>11260944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f>IFERROR(__xludf.DUMMYFUNCTION("""COMPUTED_VALUE"""),45881.64583333333)</f>
        <v>45881.64583</v>
      </c>
      <c r="B225" s="7">
        <f>IFERROR(__xludf.DUMMYFUNCTION("""COMPUTED_VALUE"""),141.11)</f>
        <v>141.11</v>
      </c>
      <c r="C225" s="7">
        <f>IFERROR(__xludf.DUMMYFUNCTION("""COMPUTED_VALUE"""),143.85)</f>
        <v>143.85</v>
      </c>
      <c r="D225" s="7">
        <f>IFERROR(__xludf.DUMMYFUNCTION("""COMPUTED_VALUE"""),140.86)</f>
        <v>140.86</v>
      </c>
      <c r="E225" s="7">
        <f>IFERROR(__xludf.DUMMYFUNCTION("""COMPUTED_VALUE"""),142.65)</f>
        <v>142.65</v>
      </c>
      <c r="F225" s="7">
        <f>IFERROR(__xludf.DUMMYFUNCTION("""COMPUTED_VALUE"""),1.2858483E7)</f>
        <v>12858483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f>IFERROR(__xludf.DUMMYFUNCTION("""COMPUTED_VALUE"""),45882.64583333333)</f>
        <v>45882.64583</v>
      </c>
      <c r="B226" s="7">
        <f>IFERROR(__xludf.DUMMYFUNCTION("""COMPUTED_VALUE"""),142.65)</f>
        <v>142.65</v>
      </c>
      <c r="C226" s="7">
        <f>IFERROR(__xludf.DUMMYFUNCTION("""COMPUTED_VALUE"""),143.4)</f>
        <v>143.4</v>
      </c>
      <c r="D226" s="7">
        <f>IFERROR(__xludf.DUMMYFUNCTION("""COMPUTED_VALUE"""),141.7)</f>
        <v>141.7</v>
      </c>
      <c r="E226" s="7">
        <f>IFERROR(__xludf.DUMMYFUNCTION("""COMPUTED_VALUE"""),142.43)</f>
        <v>142.43</v>
      </c>
      <c r="F226" s="7">
        <f>IFERROR(__xludf.DUMMYFUNCTION("""COMPUTED_VALUE"""),4990372.0)</f>
        <v>4990372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f>IFERROR(__xludf.DUMMYFUNCTION("""COMPUTED_VALUE"""),45883.64583333333)</f>
        <v>45883.64583</v>
      </c>
      <c r="B227" s="7">
        <f>IFERROR(__xludf.DUMMYFUNCTION("""COMPUTED_VALUE"""),143.0)</f>
        <v>143</v>
      </c>
      <c r="C227" s="7">
        <f>IFERROR(__xludf.DUMMYFUNCTION("""COMPUTED_VALUE"""),143.16)</f>
        <v>143.16</v>
      </c>
      <c r="D227" s="7">
        <f>IFERROR(__xludf.DUMMYFUNCTION("""COMPUTED_VALUE"""),139.86)</f>
        <v>139.86</v>
      </c>
      <c r="E227" s="7">
        <f>IFERROR(__xludf.DUMMYFUNCTION("""COMPUTED_VALUE"""),140.13)</f>
        <v>140.13</v>
      </c>
      <c r="F227" s="7">
        <f>IFERROR(__xludf.DUMMYFUNCTION("""COMPUTED_VALUE"""),1.1453732E7)</f>
        <v>11453732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f>IFERROR(__xludf.DUMMYFUNCTION("""COMPUTED_VALUE"""),45887.64583333333)</f>
        <v>45887.64583</v>
      </c>
      <c r="B228" s="7">
        <f>IFERROR(__xludf.DUMMYFUNCTION("""COMPUTED_VALUE"""),142.0)</f>
        <v>142</v>
      </c>
      <c r="C228" s="7">
        <f>IFERROR(__xludf.DUMMYFUNCTION("""COMPUTED_VALUE"""),142.6)</f>
        <v>142.6</v>
      </c>
      <c r="D228" s="7">
        <f>IFERROR(__xludf.DUMMYFUNCTION("""COMPUTED_VALUE"""),139.25)</f>
        <v>139.25</v>
      </c>
      <c r="E228" s="7">
        <f>IFERROR(__xludf.DUMMYFUNCTION("""COMPUTED_VALUE"""),140.31)</f>
        <v>140.31</v>
      </c>
      <c r="F228" s="7">
        <f>IFERROR(__xludf.DUMMYFUNCTION("""COMPUTED_VALUE"""),1.1766741E7)</f>
        <v>11766741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f>IFERROR(__xludf.DUMMYFUNCTION("""COMPUTED_VALUE"""),45888.64583333333)</f>
        <v>45888.64583</v>
      </c>
      <c r="B229" s="7">
        <f>IFERROR(__xludf.DUMMYFUNCTION("""COMPUTED_VALUE"""),140.4)</f>
        <v>140.4</v>
      </c>
      <c r="C229" s="7">
        <f>IFERROR(__xludf.DUMMYFUNCTION("""COMPUTED_VALUE"""),142.13)</f>
        <v>142.13</v>
      </c>
      <c r="D229" s="7">
        <f>IFERROR(__xludf.DUMMYFUNCTION("""COMPUTED_VALUE"""),138.8)</f>
        <v>138.8</v>
      </c>
      <c r="E229" s="7">
        <f>IFERROR(__xludf.DUMMYFUNCTION("""COMPUTED_VALUE"""),142.01)</f>
        <v>142.01</v>
      </c>
      <c r="F229" s="7">
        <f>IFERROR(__xludf.DUMMYFUNCTION("""COMPUTED_VALUE"""),8913748.0)</f>
        <v>8913748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f>IFERROR(__xludf.DUMMYFUNCTION("""COMPUTED_VALUE"""),45889.64583333333)</f>
        <v>45889.64583</v>
      </c>
      <c r="B230" s="7">
        <f>IFERROR(__xludf.DUMMYFUNCTION("""COMPUTED_VALUE"""),142.01)</f>
        <v>142.01</v>
      </c>
      <c r="C230" s="7">
        <f>IFERROR(__xludf.DUMMYFUNCTION("""COMPUTED_VALUE"""),142.7)</f>
        <v>142.7</v>
      </c>
      <c r="D230" s="7">
        <f>IFERROR(__xludf.DUMMYFUNCTION("""COMPUTED_VALUE"""),141.21)</f>
        <v>141.21</v>
      </c>
      <c r="E230" s="7">
        <f>IFERROR(__xludf.DUMMYFUNCTION("""COMPUTED_VALUE"""),141.44)</f>
        <v>141.44</v>
      </c>
      <c r="F230" s="7">
        <f>IFERROR(__xludf.DUMMYFUNCTION("""COMPUTED_VALUE"""),5531826.0)</f>
        <v>5531826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f>IFERROR(__xludf.DUMMYFUNCTION("""COMPUTED_VALUE"""),45890.64583333333)</f>
        <v>45890.64583</v>
      </c>
      <c r="B231" s="7">
        <f>IFERROR(__xludf.DUMMYFUNCTION("""COMPUTED_VALUE"""),141.65)</f>
        <v>141.65</v>
      </c>
      <c r="C231" s="7">
        <f>IFERROR(__xludf.DUMMYFUNCTION("""COMPUTED_VALUE"""),142.9)</f>
        <v>142.9</v>
      </c>
      <c r="D231" s="7">
        <f>IFERROR(__xludf.DUMMYFUNCTION("""COMPUTED_VALUE"""),141.28)</f>
        <v>141.28</v>
      </c>
      <c r="E231" s="7">
        <f>IFERROR(__xludf.DUMMYFUNCTION("""COMPUTED_VALUE"""),141.44)</f>
        <v>141.44</v>
      </c>
      <c r="F231" s="7">
        <f>IFERROR(__xludf.DUMMYFUNCTION("""COMPUTED_VALUE"""),8746473.0)</f>
        <v>8746473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f>IFERROR(__xludf.DUMMYFUNCTION("""COMPUTED_VALUE"""),45891.64583333333)</f>
        <v>45891.64583</v>
      </c>
      <c r="B232" s="7">
        <f>IFERROR(__xludf.DUMMYFUNCTION("""COMPUTED_VALUE"""),141.4)</f>
        <v>141.4</v>
      </c>
      <c r="C232" s="7">
        <f>IFERROR(__xludf.DUMMYFUNCTION("""COMPUTED_VALUE"""),141.8)</f>
        <v>141.8</v>
      </c>
      <c r="D232" s="7">
        <f>IFERROR(__xludf.DUMMYFUNCTION("""COMPUTED_VALUE"""),139.45)</f>
        <v>139.45</v>
      </c>
      <c r="E232" s="7">
        <f>IFERROR(__xludf.DUMMYFUNCTION("""COMPUTED_VALUE"""),139.95)</f>
        <v>139.95</v>
      </c>
      <c r="F232" s="7">
        <f>IFERROR(__xludf.DUMMYFUNCTION("""COMPUTED_VALUE"""),5874783.0)</f>
        <v>5874783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f>IFERROR(__xludf.DUMMYFUNCTION("""COMPUTED_VALUE"""),45894.64583333333)</f>
        <v>45894.64583</v>
      </c>
      <c r="B233" s="7">
        <f>IFERROR(__xludf.DUMMYFUNCTION("""COMPUTED_VALUE"""),139.95)</f>
        <v>139.95</v>
      </c>
      <c r="C233" s="7">
        <f>IFERROR(__xludf.DUMMYFUNCTION("""COMPUTED_VALUE"""),140.37)</f>
        <v>140.37</v>
      </c>
      <c r="D233" s="7">
        <f>IFERROR(__xludf.DUMMYFUNCTION("""COMPUTED_VALUE"""),139.19)</f>
        <v>139.19</v>
      </c>
      <c r="E233" s="7">
        <f>IFERROR(__xludf.DUMMYFUNCTION("""COMPUTED_VALUE"""),139.96)</f>
        <v>139.96</v>
      </c>
      <c r="F233" s="7">
        <f>IFERROR(__xludf.DUMMYFUNCTION("""COMPUTED_VALUE"""),8282860.0)</f>
        <v>8282860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f>IFERROR(__xludf.DUMMYFUNCTION("""COMPUTED_VALUE"""),45895.64583333333)</f>
        <v>45895.64583</v>
      </c>
      <c r="B234" s="7">
        <f>IFERROR(__xludf.DUMMYFUNCTION("""COMPUTED_VALUE"""),139.5)</f>
        <v>139.5</v>
      </c>
      <c r="C234" s="7">
        <f>IFERROR(__xludf.DUMMYFUNCTION("""COMPUTED_VALUE"""),140.42)</f>
        <v>140.42</v>
      </c>
      <c r="D234" s="7">
        <f>IFERROR(__xludf.DUMMYFUNCTION("""COMPUTED_VALUE"""),138.55)</f>
        <v>138.55</v>
      </c>
      <c r="E234" s="7">
        <f>IFERROR(__xludf.DUMMYFUNCTION("""COMPUTED_VALUE"""),138.96)</f>
        <v>138.96</v>
      </c>
      <c r="F234" s="7">
        <f>IFERROR(__xludf.DUMMYFUNCTION("""COMPUTED_VALUE"""),1.0846493E7)</f>
        <v>10846493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f>IFERROR(__xludf.DUMMYFUNCTION("""COMPUTED_VALUE"""),45897.64583333333)</f>
        <v>45897.64583</v>
      </c>
      <c r="B235" s="7">
        <f>IFERROR(__xludf.DUMMYFUNCTION("""COMPUTED_VALUE"""),139.0)</f>
        <v>139</v>
      </c>
      <c r="C235" s="7">
        <f>IFERROR(__xludf.DUMMYFUNCTION("""COMPUTED_VALUE"""),139.93)</f>
        <v>139.93</v>
      </c>
      <c r="D235" s="7">
        <f>IFERROR(__xludf.DUMMYFUNCTION("""COMPUTED_VALUE"""),138.1)</f>
        <v>138.1</v>
      </c>
      <c r="E235" s="7">
        <f>IFERROR(__xludf.DUMMYFUNCTION("""COMPUTED_VALUE"""),138.49)</f>
        <v>138.49</v>
      </c>
      <c r="F235" s="7">
        <f>IFERROR(__xludf.DUMMYFUNCTION("""COMPUTED_VALUE"""),8420916.0)</f>
        <v>8420916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f>IFERROR(__xludf.DUMMYFUNCTION("""COMPUTED_VALUE"""),45898.64583333333)</f>
        <v>45898.64583</v>
      </c>
      <c r="B236" s="7">
        <f>IFERROR(__xludf.DUMMYFUNCTION("""COMPUTED_VALUE"""),138.49)</f>
        <v>138.49</v>
      </c>
      <c r="C236" s="7">
        <f>IFERROR(__xludf.DUMMYFUNCTION("""COMPUTED_VALUE"""),139.49)</f>
        <v>139.49</v>
      </c>
      <c r="D236" s="7">
        <f>IFERROR(__xludf.DUMMYFUNCTION("""COMPUTED_VALUE"""),136.46)</f>
        <v>136.46</v>
      </c>
      <c r="E236" s="7">
        <f>IFERROR(__xludf.DUMMYFUNCTION("""COMPUTED_VALUE"""),136.62)</f>
        <v>136.62</v>
      </c>
      <c r="F236" s="7">
        <f>IFERROR(__xludf.DUMMYFUNCTION("""COMPUTED_VALUE"""),1.0577763E7)</f>
        <v>10577763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f>IFERROR(__xludf.DUMMYFUNCTION("""COMPUTED_VALUE"""),45901.64583333333)</f>
        <v>45901.64583</v>
      </c>
      <c r="B237" s="7">
        <f>IFERROR(__xludf.DUMMYFUNCTION("""COMPUTED_VALUE"""),137.0)</f>
        <v>137</v>
      </c>
      <c r="C237" s="7">
        <f>IFERROR(__xludf.DUMMYFUNCTION("""COMPUTED_VALUE"""),139.74)</f>
        <v>139.74</v>
      </c>
      <c r="D237" s="7">
        <f>IFERROR(__xludf.DUMMYFUNCTION("""COMPUTED_VALUE"""),136.76)</f>
        <v>136.76</v>
      </c>
      <c r="E237" s="7">
        <f>IFERROR(__xludf.DUMMYFUNCTION("""COMPUTED_VALUE"""),139.56)</f>
        <v>139.56</v>
      </c>
      <c r="F237" s="7">
        <f>IFERROR(__xludf.DUMMYFUNCTION("""COMPUTED_VALUE"""),6229505.0)</f>
        <v>6229505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f>IFERROR(__xludf.DUMMYFUNCTION("""COMPUTED_VALUE"""),45902.64583333333)</f>
        <v>45902.64583</v>
      </c>
      <c r="B238" s="7">
        <f>IFERROR(__xludf.DUMMYFUNCTION("""COMPUTED_VALUE"""),139.56)</f>
        <v>139.56</v>
      </c>
      <c r="C238" s="7">
        <f>IFERROR(__xludf.DUMMYFUNCTION("""COMPUTED_VALUE"""),140.66)</f>
        <v>140.66</v>
      </c>
      <c r="D238" s="7">
        <f>IFERROR(__xludf.DUMMYFUNCTION("""COMPUTED_VALUE"""),139.1)</f>
        <v>139.1</v>
      </c>
      <c r="E238" s="7">
        <f>IFERROR(__xludf.DUMMYFUNCTION("""COMPUTED_VALUE"""),139.62)</f>
        <v>139.62</v>
      </c>
      <c r="F238" s="7">
        <f>IFERROR(__xludf.DUMMYFUNCTION("""COMPUTED_VALUE"""),3714758.0)</f>
        <v>3714758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f>IFERROR(__xludf.DUMMYFUNCTION("""COMPUTED_VALUE"""),45903.64583333333)</f>
        <v>45903.64583</v>
      </c>
      <c r="B239" s="7">
        <f>IFERROR(__xludf.DUMMYFUNCTION("""COMPUTED_VALUE"""),139.6)</f>
        <v>139.6</v>
      </c>
      <c r="C239" s="7">
        <f>IFERROR(__xludf.DUMMYFUNCTION("""COMPUTED_VALUE"""),141.4)</f>
        <v>141.4</v>
      </c>
      <c r="D239" s="7">
        <f>IFERROR(__xludf.DUMMYFUNCTION("""COMPUTED_VALUE"""),139.51)</f>
        <v>139.51</v>
      </c>
      <c r="E239" s="7">
        <f>IFERROR(__xludf.DUMMYFUNCTION("""COMPUTED_VALUE"""),140.49)</f>
        <v>140.49</v>
      </c>
      <c r="F239" s="7">
        <f>IFERROR(__xludf.DUMMYFUNCTION("""COMPUTED_VALUE"""),4902101.0)</f>
        <v>4902101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f>IFERROR(__xludf.DUMMYFUNCTION("""COMPUTED_VALUE"""),45904.64583333333)</f>
        <v>45904.64583</v>
      </c>
      <c r="B240" s="7">
        <f>IFERROR(__xludf.DUMMYFUNCTION("""COMPUTED_VALUE"""),141.18)</f>
        <v>141.18</v>
      </c>
      <c r="C240" s="7">
        <f>IFERROR(__xludf.DUMMYFUNCTION("""COMPUTED_VALUE"""),141.7)</f>
        <v>141.7</v>
      </c>
      <c r="D240" s="7">
        <f>IFERROR(__xludf.DUMMYFUNCTION("""COMPUTED_VALUE"""),139.35)</f>
        <v>139.35</v>
      </c>
      <c r="E240" s="7">
        <f>IFERROR(__xludf.DUMMYFUNCTION("""COMPUTED_VALUE"""),139.68)</f>
        <v>139.68</v>
      </c>
      <c r="F240" s="7">
        <f>IFERROR(__xludf.DUMMYFUNCTION("""COMPUTED_VALUE"""),4768126.0)</f>
        <v>4768126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f>IFERROR(__xludf.DUMMYFUNCTION("""COMPUTED_VALUE"""),45905.64583333333)</f>
        <v>45905.64583</v>
      </c>
      <c r="B241" s="7">
        <f>IFERROR(__xludf.DUMMYFUNCTION("""COMPUTED_VALUE"""),139.45)</f>
        <v>139.45</v>
      </c>
      <c r="C241" s="7">
        <f>IFERROR(__xludf.DUMMYFUNCTION("""COMPUTED_VALUE"""),140.7)</f>
        <v>140.7</v>
      </c>
      <c r="D241" s="7">
        <f>IFERROR(__xludf.DUMMYFUNCTION("""COMPUTED_VALUE"""),138.47)</f>
        <v>138.47</v>
      </c>
      <c r="E241" s="7">
        <f>IFERROR(__xludf.DUMMYFUNCTION("""COMPUTED_VALUE"""),139.65)</f>
        <v>139.65</v>
      </c>
      <c r="F241" s="7">
        <f>IFERROR(__xludf.DUMMYFUNCTION("""COMPUTED_VALUE"""),4533550.0)</f>
        <v>4533550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f>IFERROR(__xludf.DUMMYFUNCTION("""COMPUTED_VALUE"""),45908.64583333333)</f>
        <v>45908.64583</v>
      </c>
      <c r="B242" s="7">
        <f>IFERROR(__xludf.DUMMYFUNCTION("""COMPUTED_VALUE"""),140.0)</f>
        <v>140</v>
      </c>
      <c r="C242" s="7">
        <f>IFERROR(__xludf.DUMMYFUNCTION("""COMPUTED_VALUE"""),141.89)</f>
        <v>141.89</v>
      </c>
      <c r="D242" s="7">
        <f>IFERROR(__xludf.DUMMYFUNCTION("""COMPUTED_VALUE"""),140.0)</f>
        <v>140</v>
      </c>
      <c r="E242" s="7">
        <f>IFERROR(__xludf.DUMMYFUNCTION("""COMPUTED_VALUE"""),140.9)</f>
        <v>140.9</v>
      </c>
      <c r="F242" s="7">
        <f>IFERROR(__xludf.DUMMYFUNCTION("""COMPUTED_VALUE"""),5069174.0)</f>
        <v>5069174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f>IFERROR(__xludf.DUMMYFUNCTION("""COMPUTED_VALUE"""),45909.64583333333)</f>
        <v>45909.64583</v>
      </c>
      <c r="B243" s="7">
        <f>IFERROR(__xludf.DUMMYFUNCTION("""COMPUTED_VALUE"""),141.14)</f>
        <v>141.14</v>
      </c>
      <c r="C243" s="7">
        <f>IFERROR(__xludf.DUMMYFUNCTION("""COMPUTED_VALUE"""),142.1)</f>
        <v>142.1</v>
      </c>
      <c r="D243" s="7">
        <f>IFERROR(__xludf.DUMMYFUNCTION("""COMPUTED_VALUE"""),140.5)</f>
        <v>140.5</v>
      </c>
      <c r="E243" s="7">
        <f>IFERROR(__xludf.DUMMYFUNCTION("""COMPUTED_VALUE"""),140.94)</f>
        <v>140.94</v>
      </c>
      <c r="F243" s="7">
        <f>IFERROR(__xludf.DUMMYFUNCTION("""COMPUTED_VALUE"""),3636766.0)</f>
        <v>3636766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f>IFERROR(__xludf.DUMMYFUNCTION("""COMPUTED_VALUE"""),45910.64583333333)</f>
        <v>45910.64583</v>
      </c>
      <c r="B244" s="7">
        <f>IFERROR(__xludf.DUMMYFUNCTION("""COMPUTED_VALUE"""),141.26)</f>
        <v>141.26</v>
      </c>
      <c r="C244" s="7">
        <f>IFERROR(__xludf.DUMMYFUNCTION("""COMPUTED_VALUE"""),141.71)</f>
        <v>141.71</v>
      </c>
      <c r="D244" s="7">
        <f>IFERROR(__xludf.DUMMYFUNCTION("""COMPUTED_VALUE"""),140.81)</f>
        <v>140.81</v>
      </c>
      <c r="E244" s="7">
        <f>IFERROR(__xludf.DUMMYFUNCTION("""COMPUTED_VALUE"""),141.14)</f>
        <v>141.14</v>
      </c>
      <c r="F244" s="7">
        <f>IFERROR(__xludf.DUMMYFUNCTION("""COMPUTED_VALUE"""),4302236.0)</f>
        <v>4302236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f>IFERROR(__xludf.DUMMYFUNCTION("""COMPUTED_VALUE"""),45911.64583333333)</f>
        <v>45911.64583</v>
      </c>
      <c r="B245" s="7">
        <f>IFERROR(__xludf.DUMMYFUNCTION("""COMPUTED_VALUE"""),141.05)</f>
        <v>141.05</v>
      </c>
      <c r="C245" s="7">
        <f>IFERROR(__xludf.DUMMYFUNCTION("""COMPUTED_VALUE"""),145.39)</f>
        <v>145.39</v>
      </c>
      <c r="D245" s="7">
        <f>IFERROR(__xludf.DUMMYFUNCTION("""COMPUTED_VALUE"""),140.87)</f>
        <v>140.87</v>
      </c>
      <c r="E245" s="7">
        <f>IFERROR(__xludf.DUMMYFUNCTION("""COMPUTED_VALUE"""),143.93)</f>
        <v>143.93</v>
      </c>
      <c r="F245" s="7">
        <f>IFERROR(__xludf.DUMMYFUNCTION("""COMPUTED_VALUE"""),1.5031791E7)</f>
        <v>15031791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f>IFERROR(__xludf.DUMMYFUNCTION("""COMPUTED_VALUE"""),45912.64583333333)</f>
        <v>45912.64583</v>
      </c>
      <c r="B246" s="7">
        <f>IFERROR(__xludf.DUMMYFUNCTION("""COMPUTED_VALUE"""),144.98)</f>
        <v>144.98</v>
      </c>
      <c r="C246" s="7">
        <f>IFERROR(__xludf.DUMMYFUNCTION("""COMPUTED_VALUE"""),145.2)</f>
        <v>145.2</v>
      </c>
      <c r="D246" s="7">
        <f>IFERROR(__xludf.DUMMYFUNCTION("""COMPUTED_VALUE"""),142.42)</f>
        <v>142.42</v>
      </c>
      <c r="E246" s="7">
        <f>IFERROR(__xludf.DUMMYFUNCTION("""COMPUTED_VALUE"""),142.61)</f>
        <v>142.61</v>
      </c>
      <c r="F246" s="7">
        <f>IFERROR(__xludf.DUMMYFUNCTION("""COMPUTED_VALUE"""),9001678.0)</f>
        <v>9001678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f>IFERROR(__xludf.DUMMYFUNCTION("""COMPUTED_VALUE"""),45915.64583333333)</f>
        <v>45915.64583</v>
      </c>
      <c r="B247" s="7">
        <f>IFERROR(__xludf.DUMMYFUNCTION("""COMPUTED_VALUE"""),142.74)</f>
        <v>142.74</v>
      </c>
      <c r="C247" s="7">
        <f>IFERROR(__xludf.DUMMYFUNCTION("""COMPUTED_VALUE"""),144.19)</f>
        <v>144.19</v>
      </c>
      <c r="D247" s="7">
        <f>IFERROR(__xludf.DUMMYFUNCTION("""COMPUTED_VALUE"""),142.31)</f>
        <v>142.31</v>
      </c>
      <c r="E247" s="7">
        <f>IFERROR(__xludf.DUMMYFUNCTION("""COMPUTED_VALUE"""),143.99)</f>
        <v>143.99</v>
      </c>
      <c r="F247" s="7">
        <f>IFERROR(__xludf.DUMMYFUNCTION("""COMPUTED_VALUE"""),8158591.0)</f>
        <v>8158591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f>IFERROR(__xludf.DUMMYFUNCTION("""COMPUTED_VALUE"""),45916.64583333333)</f>
        <v>45916.64583</v>
      </c>
      <c r="B248" s="7">
        <f>IFERROR(__xludf.DUMMYFUNCTION("""COMPUTED_VALUE"""),144.05)</f>
        <v>144.05</v>
      </c>
      <c r="C248" s="7">
        <f>IFERROR(__xludf.DUMMYFUNCTION("""COMPUTED_VALUE"""),145.14)</f>
        <v>145.14</v>
      </c>
      <c r="D248" s="7">
        <f>IFERROR(__xludf.DUMMYFUNCTION("""COMPUTED_VALUE"""),143.82)</f>
        <v>143.82</v>
      </c>
      <c r="E248" s="7">
        <f>IFERROR(__xludf.DUMMYFUNCTION("""COMPUTED_VALUE"""),144.98)</f>
        <v>144.98</v>
      </c>
      <c r="F248" s="7">
        <f>IFERROR(__xludf.DUMMYFUNCTION("""COMPUTED_VALUE"""),6389553.0)</f>
        <v>6389553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IFERROR(__xludf.DUMMYFUNCTION("IFERROR(GOOGLEFINANCE(""NSE:BPCL"",""all"",EDATE(TODAY(),-12),TODAY(),""DAILY""))"),"Date")</f>
        <v>Date</v>
      </c>
      <c r="B1" s="11" t="str">
        <f>IFERROR(__xludf.DUMMYFUNCTION("""COMPUTED_VALUE"""),"Open")</f>
        <v>Open</v>
      </c>
      <c r="C1" s="11" t="str">
        <f>IFERROR(__xludf.DUMMYFUNCTION("""COMPUTED_VALUE"""),"High")</f>
        <v>High</v>
      </c>
      <c r="D1" s="11" t="str">
        <f>IFERROR(__xludf.DUMMYFUNCTION("""COMPUTED_VALUE"""),"Low")</f>
        <v>Low</v>
      </c>
      <c r="E1" s="11" t="str">
        <f>IFERROR(__xludf.DUMMYFUNCTION("""COMPUTED_VALUE"""),"Close")</f>
        <v>Close</v>
      </c>
      <c r="F1" s="11" t="str">
        <f>IFERROR(__xludf.DUMMYFUNCTION("""COMPUTED_VALUE"""),"Volume")</f>
        <v>Volume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>
        <f>IFERROR(__xludf.DUMMYFUNCTION("""COMPUTED_VALUE"""),45551.64583333333)</f>
        <v>45551.64583</v>
      </c>
      <c r="B2" s="7">
        <f>IFERROR(__xludf.DUMMYFUNCTION("""COMPUTED_VALUE"""),344.9)</f>
        <v>344.9</v>
      </c>
      <c r="C2" s="7">
        <f>IFERROR(__xludf.DUMMYFUNCTION("""COMPUTED_VALUE"""),344.9)</f>
        <v>344.9</v>
      </c>
      <c r="D2" s="7">
        <f>IFERROR(__xludf.DUMMYFUNCTION("""COMPUTED_VALUE"""),340.0)</f>
        <v>340</v>
      </c>
      <c r="E2" s="7">
        <f>IFERROR(__xludf.DUMMYFUNCTION("""COMPUTED_VALUE"""),340.65)</f>
        <v>340.65</v>
      </c>
      <c r="F2" s="7">
        <f>IFERROR(__xludf.DUMMYFUNCTION("""COMPUTED_VALUE"""),4850244.0)</f>
        <v>4850244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f>IFERROR(__xludf.DUMMYFUNCTION("""COMPUTED_VALUE"""),45552.64583333333)</f>
        <v>45552.64583</v>
      </c>
      <c r="B3" s="7">
        <f>IFERROR(__xludf.DUMMYFUNCTION("""COMPUTED_VALUE"""),339.95)</f>
        <v>339.95</v>
      </c>
      <c r="C3" s="7">
        <f>IFERROR(__xludf.DUMMYFUNCTION("""COMPUTED_VALUE"""),340.85)</f>
        <v>340.85</v>
      </c>
      <c r="D3" s="7">
        <f>IFERROR(__xludf.DUMMYFUNCTION("""COMPUTED_VALUE"""),335.05)</f>
        <v>335.05</v>
      </c>
      <c r="E3" s="7">
        <f>IFERROR(__xludf.DUMMYFUNCTION("""COMPUTED_VALUE"""),338.4)</f>
        <v>338.4</v>
      </c>
      <c r="F3" s="7">
        <f>IFERROR(__xludf.DUMMYFUNCTION("""COMPUTED_VALUE"""),7237522.0)</f>
        <v>7237522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f>IFERROR(__xludf.DUMMYFUNCTION("""COMPUTED_VALUE"""),45553.64583333333)</f>
        <v>45553.64583</v>
      </c>
      <c r="B4" s="7">
        <f>IFERROR(__xludf.DUMMYFUNCTION("""COMPUTED_VALUE"""),339.0)</f>
        <v>339</v>
      </c>
      <c r="C4" s="7">
        <f>IFERROR(__xludf.DUMMYFUNCTION("""COMPUTED_VALUE"""),339.9)</f>
        <v>339.9</v>
      </c>
      <c r="D4" s="7">
        <f>IFERROR(__xludf.DUMMYFUNCTION("""COMPUTED_VALUE"""),334.45)</f>
        <v>334.45</v>
      </c>
      <c r="E4" s="7">
        <f>IFERROR(__xludf.DUMMYFUNCTION("""COMPUTED_VALUE"""),336.1)</f>
        <v>336.1</v>
      </c>
      <c r="F4" s="7">
        <f>IFERROR(__xludf.DUMMYFUNCTION("""COMPUTED_VALUE"""),4111826.0)</f>
        <v>4111826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f>IFERROR(__xludf.DUMMYFUNCTION("""COMPUTED_VALUE"""),45554.64583333333)</f>
        <v>45554.64583</v>
      </c>
      <c r="B5" s="7">
        <f>IFERROR(__xludf.DUMMYFUNCTION("""COMPUTED_VALUE"""),337.95)</f>
        <v>337.95</v>
      </c>
      <c r="C5" s="7">
        <f>IFERROR(__xludf.DUMMYFUNCTION("""COMPUTED_VALUE"""),337.95)</f>
        <v>337.95</v>
      </c>
      <c r="D5" s="7">
        <f>IFERROR(__xludf.DUMMYFUNCTION("""COMPUTED_VALUE"""),322.95)</f>
        <v>322.95</v>
      </c>
      <c r="E5" s="7">
        <f>IFERROR(__xludf.DUMMYFUNCTION("""COMPUTED_VALUE"""),324.45)</f>
        <v>324.45</v>
      </c>
      <c r="F5" s="7">
        <f>IFERROR(__xludf.DUMMYFUNCTION("""COMPUTED_VALUE"""),1.2549677E7)</f>
        <v>12549677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f>IFERROR(__xludf.DUMMYFUNCTION("""COMPUTED_VALUE"""),45555.64583333333)</f>
        <v>45555.64583</v>
      </c>
      <c r="B6" s="7">
        <f>IFERROR(__xludf.DUMMYFUNCTION("""COMPUTED_VALUE"""),326.45)</f>
        <v>326.45</v>
      </c>
      <c r="C6" s="7">
        <f>IFERROR(__xludf.DUMMYFUNCTION("""COMPUTED_VALUE"""),333.1)</f>
        <v>333.1</v>
      </c>
      <c r="D6" s="7">
        <f>IFERROR(__xludf.DUMMYFUNCTION("""COMPUTED_VALUE"""),324.45)</f>
        <v>324.45</v>
      </c>
      <c r="E6" s="7">
        <f>IFERROR(__xludf.DUMMYFUNCTION("""COMPUTED_VALUE"""),331.2)</f>
        <v>331.2</v>
      </c>
      <c r="F6" s="7">
        <f>IFERROR(__xludf.DUMMYFUNCTION("""COMPUTED_VALUE"""),1.4642546E7)</f>
        <v>14642546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f>IFERROR(__xludf.DUMMYFUNCTION("""COMPUTED_VALUE"""),45558.64583333333)</f>
        <v>45558.64583</v>
      </c>
      <c r="B7" s="7">
        <f>IFERROR(__xludf.DUMMYFUNCTION("""COMPUTED_VALUE"""),333.0)</f>
        <v>333</v>
      </c>
      <c r="C7" s="7">
        <f>IFERROR(__xludf.DUMMYFUNCTION("""COMPUTED_VALUE"""),339.5)</f>
        <v>339.5</v>
      </c>
      <c r="D7" s="7">
        <f>IFERROR(__xludf.DUMMYFUNCTION("""COMPUTED_VALUE"""),331.3)</f>
        <v>331.3</v>
      </c>
      <c r="E7" s="7">
        <f>IFERROR(__xludf.DUMMYFUNCTION("""COMPUTED_VALUE"""),338.1)</f>
        <v>338.1</v>
      </c>
      <c r="F7" s="7">
        <f>IFERROR(__xludf.DUMMYFUNCTION("""COMPUTED_VALUE"""),6110287.0)</f>
        <v>6110287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f>IFERROR(__xludf.DUMMYFUNCTION("""COMPUTED_VALUE"""),45559.64583333333)</f>
        <v>45559.64583</v>
      </c>
      <c r="B8" s="7">
        <f>IFERROR(__xludf.DUMMYFUNCTION("""COMPUTED_VALUE"""),338.55)</f>
        <v>338.55</v>
      </c>
      <c r="C8" s="7">
        <f>IFERROR(__xludf.DUMMYFUNCTION("""COMPUTED_VALUE"""),343.2)</f>
        <v>343.2</v>
      </c>
      <c r="D8" s="7">
        <f>IFERROR(__xludf.DUMMYFUNCTION("""COMPUTED_VALUE"""),336.7)</f>
        <v>336.7</v>
      </c>
      <c r="E8" s="7">
        <f>IFERROR(__xludf.DUMMYFUNCTION("""COMPUTED_VALUE"""),339.15)</f>
        <v>339.15</v>
      </c>
      <c r="F8" s="7">
        <f>IFERROR(__xludf.DUMMYFUNCTION("""COMPUTED_VALUE"""),7068491.0)</f>
        <v>7068491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f>IFERROR(__xludf.DUMMYFUNCTION("""COMPUTED_VALUE"""),45560.64583333333)</f>
        <v>45560.64583</v>
      </c>
      <c r="B9" s="7">
        <f>IFERROR(__xludf.DUMMYFUNCTION("""COMPUTED_VALUE"""),341.0)</f>
        <v>341</v>
      </c>
      <c r="C9" s="7">
        <f>IFERROR(__xludf.DUMMYFUNCTION("""COMPUTED_VALUE"""),341.8)</f>
        <v>341.8</v>
      </c>
      <c r="D9" s="7">
        <f>IFERROR(__xludf.DUMMYFUNCTION("""COMPUTED_VALUE"""),335.15)</f>
        <v>335.15</v>
      </c>
      <c r="E9" s="7">
        <f>IFERROR(__xludf.DUMMYFUNCTION("""COMPUTED_VALUE"""),339.8)</f>
        <v>339.8</v>
      </c>
      <c r="F9" s="7">
        <f>IFERROR(__xludf.DUMMYFUNCTION("""COMPUTED_VALUE"""),6087353.0)</f>
        <v>6087353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f>IFERROR(__xludf.DUMMYFUNCTION("""COMPUTED_VALUE"""),45561.64583333333)</f>
        <v>45561.64583</v>
      </c>
      <c r="B10" s="7">
        <f>IFERROR(__xludf.DUMMYFUNCTION("""COMPUTED_VALUE"""),340.0)</f>
        <v>340</v>
      </c>
      <c r="C10" s="7">
        <f>IFERROR(__xludf.DUMMYFUNCTION("""COMPUTED_VALUE"""),346.95)</f>
        <v>346.95</v>
      </c>
      <c r="D10" s="7">
        <f>IFERROR(__xludf.DUMMYFUNCTION("""COMPUTED_VALUE"""),335.15)</f>
        <v>335.15</v>
      </c>
      <c r="E10" s="7">
        <f>IFERROR(__xludf.DUMMYFUNCTION("""COMPUTED_VALUE"""),345.1)</f>
        <v>345.1</v>
      </c>
      <c r="F10" s="7">
        <f>IFERROR(__xludf.DUMMYFUNCTION("""COMPUTED_VALUE"""),9517367.0)</f>
        <v>9517367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f>IFERROR(__xludf.DUMMYFUNCTION("""COMPUTED_VALUE"""),45562.64583333333)</f>
        <v>45562.64583</v>
      </c>
      <c r="B11" s="7">
        <f>IFERROR(__xludf.DUMMYFUNCTION("""COMPUTED_VALUE"""),347.0)</f>
        <v>347</v>
      </c>
      <c r="C11" s="7">
        <f>IFERROR(__xludf.DUMMYFUNCTION("""COMPUTED_VALUE"""),370.5)</f>
        <v>370.5</v>
      </c>
      <c r="D11" s="7">
        <f>IFERROR(__xludf.DUMMYFUNCTION("""COMPUTED_VALUE"""),346.35)</f>
        <v>346.35</v>
      </c>
      <c r="E11" s="7">
        <f>IFERROR(__xludf.DUMMYFUNCTION("""COMPUTED_VALUE"""),367.3)</f>
        <v>367.3</v>
      </c>
      <c r="F11" s="7">
        <f>IFERROR(__xludf.DUMMYFUNCTION("""COMPUTED_VALUE"""),4.0756678E7)</f>
        <v>40756678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f>IFERROR(__xludf.DUMMYFUNCTION("""COMPUTED_VALUE"""),45565.64583333333)</f>
        <v>45565.64583</v>
      </c>
      <c r="B12" s="7">
        <f>IFERROR(__xludf.DUMMYFUNCTION("""COMPUTED_VALUE"""),367.15)</f>
        <v>367.15</v>
      </c>
      <c r="C12" s="7">
        <f>IFERROR(__xludf.DUMMYFUNCTION("""COMPUTED_VALUE"""),376.0)</f>
        <v>376</v>
      </c>
      <c r="D12" s="7">
        <f>IFERROR(__xludf.DUMMYFUNCTION("""COMPUTED_VALUE"""),360.15)</f>
        <v>360.15</v>
      </c>
      <c r="E12" s="7">
        <f>IFERROR(__xludf.DUMMYFUNCTION("""COMPUTED_VALUE"""),369.95)</f>
        <v>369.95</v>
      </c>
      <c r="F12" s="7">
        <f>IFERROR(__xludf.DUMMYFUNCTION("""COMPUTED_VALUE"""),2.3860696E7)</f>
        <v>23860696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f>IFERROR(__xludf.DUMMYFUNCTION("""COMPUTED_VALUE"""),45566.64583333333)</f>
        <v>45566.64583</v>
      </c>
      <c r="B13" s="7">
        <f>IFERROR(__xludf.DUMMYFUNCTION("""COMPUTED_VALUE"""),370.0)</f>
        <v>370</v>
      </c>
      <c r="C13" s="7">
        <f>IFERROR(__xludf.DUMMYFUNCTION("""COMPUTED_VALUE"""),373.35)</f>
        <v>373.35</v>
      </c>
      <c r="D13" s="7">
        <f>IFERROR(__xludf.DUMMYFUNCTION("""COMPUTED_VALUE"""),364.15)</f>
        <v>364.15</v>
      </c>
      <c r="E13" s="7">
        <f>IFERROR(__xludf.DUMMYFUNCTION("""COMPUTED_VALUE"""),368.25)</f>
        <v>368.25</v>
      </c>
      <c r="F13" s="7">
        <f>IFERROR(__xludf.DUMMYFUNCTION("""COMPUTED_VALUE"""),9440793.0)</f>
        <v>9440793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f>IFERROR(__xludf.DUMMYFUNCTION("""COMPUTED_VALUE"""),45568.64583333333)</f>
        <v>45568.64583</v>
      </c>
      <c r="B14" s="7">
        <f>IFERROR(__xludf.DUMMYFUNCTION("""COMPUTED_VALUE"""),353.75)</f>
        <v>353.75</v>
      </c>
      <c r="C14" s="7">
        <f>IFERROR(__xludf.DUMMYFUNCTION("""COMPUTED_VALUE"""),361.6)</f>
        <v>361.6</v>
      </c>
      <c r="D14" s="7">
        <f>IFERROR(__xludf.DUMMYFUNCTION("""COMPUTED_VALUE"""),347.0)</f>
        <v>347</v>
      </c>
      <c r="E14" s="7">
        <f>IFERROR(__xludf.DUMMYFUNCTION("""COMPUTED_VALUE"""),348.85)</f>
        <v>348.85</v>
      </c>
      <c r="F14" s="7">
        <f>IFERROR(__xludf.DUMMYFUNCTION("""COMPUTED_VALUE"""),2.0754875E7)</f>
        <v>20754875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f>IFERROR(__xludf.DUMMYFUNCTION("""COMPUTED_VALUE"""),45569.64583333333)</f>
        <v>45569.64583</v>
      </c>
      <c r="B15" s="7">
        <f>IFERROR(__xludf.DUMMYFUNCTION("""COMPUTED_VALUE"""),342.5)</f>
        <v>342.5</v>
      </c>
      <c r="C15" s="7">
        <f>IFERROR(__xludf.DUMMYFUNCTION("""COMPUTED_VALUE"""),347.95)</f>
        <v>347.95</v>
      </c>
      <c r="D15" s="7">
        <f>IFERROR(__xludf.DUMMYFUNCTION("""COMPUTED_VALUE"""),334.35)</f>
        <v>334.35</v>
      </c>
      <c r="E15" s="7">
        <f>IFERROR(__xludf.DUMMYFUNCTION("""COMPUTED_VALUE"""),340.25)</f>
        <v>340.25</v>
      </c>
      <c r="F15" s="7">
        <f>IFERROR(__xludf.DUMMYFUNCTION("""COMPUTED_VALUE"""),1.8185208E7)</f>
        <v>18185208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f>IFERROR(__xludf.DUMMYFUNCTION("""COMPUTED_VALUE"""),45572.64583333333)</f>
        <v>45572.64583</v>
      </c>
      <c r="B16" s="7">
        <f>IFERROR(__xludf.DUMMYFUNCTION("""COMPUTED_VALUE"""),342.0)</f>
        <v>342</v>
      </c>
      <c r="C16" s="7">
        <f>IFERROR(__xludf.DUMMYFUNCTION("""COMPUTED_VALUE"""),343.3)</f>
        <v>343.3</v>
      </c>
      <c r="D16" s="7">
        <f>IFERROR(__xludf.DUMMYFUNCTION("""COMPUTED_VALUE"""),332.8)</f>
        <v>332.8</v>
      </c>
      <c r="E16" s="7">
        <f>IFERROR(__xludf.DUMMYFUNCTION("""COMPUTED_VALUE"""),335.0)</f>
        <v>335</v>
      </c>
      <c r="F16" s="7">
        <f>IFERROR(__xludf.DUMMYFUNCTION("""COMPUTED_VALUE"""),7847806.0)</f>
        <v>7847806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f>IFERROR(__xludf.DUMMYFUNCTION("""COMPUTED_VALUE"""),45573.64583333333)</f>
        <v>45573.64583</v>
      </c>
      <c r="B17" s="7">
        <f>IFERROR(__xludf.DUMMYFUNCTION("""COMPUTED_VALUE"""),331.5)</f>
        <v>331.5</v>
      </c>
      <c r="C17" s="7">
        <f>IFERROR(__xludf.DUMMYFUNCTION("""COMPUTED_VALUE"""),339.45)</f>
        <v>339.45</v>
      </c>
      <c r="D17" s="7">
        <f>IFERROR(__xludf.DUMMYFUNCTION("""COMPUTED_VALUE"""),328.25)</f>
        <v>328.25</v>
      </c>
      <c r="E17" s="7">
        <f>IFERROR(__xludf.DUMMYFUNCTION("""COMPUTED_VALUE"""),338.0)</f>
        <v>338</v>
      </c>
      <c r="F17" s="7">
        <f>IFERROR(__xludf.DUMMYFUNCTION("""COMPUTED_VALUE"""),9565667.0)</f>
        <v>9565667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f>IFERROR(__xludf.DUMMYFUNCTION("""COMPUTED_VALUE"""),45574.64583333333)</f>
        <v>45574.64583</v>
      </c>
      <c r="B18" s="7">
        <f>IFERROR(__xludf.DUMMYFUNCTION("""COMPUTED_VALUE"""),345.0)</f>
        <v>345</v>
      </c>
      <c r="C18" s="7">
        <f>IFERROR(__xludf.DUMMYFUNCTION("""COMPUTED_VALUE"""),350.0)</f>
        <v>350</v>
      </c>
      <c r="D18" s="7">
        <f>IFERROR(__xludf.DUMMYFUNCTION("""COMPUTED_VALUE"""),337.75)</f>
        <v>337.75</v>
      </c>
      <c r="E18" s="7">
        <f>IFERROR(__xludf.DUMMYFUNCTION("""COMPUTED_VALUE"""),338.85)</f>
        <v>338.85</v>
      </c>
      <c r="F18" s="7">
        <f>IFERROR(__xludf.DUMMYFUNCTION("""COMPUTED_VALUE"""),1.3523561E7)</f>
        <v>13523561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f>IFERROR(__xludf.DUMMYFUNCTION("""COMPUTED_VALUE"""),45575.64583333333)</f>
        <v>45575.64583</v>
      </c>
      <c r="B19" s="7">
        <f>IFERROR(__xludf.DUMMYFUNCTION("""COMPUTED_VALUE"""),342.0)</f>
        <v>342</v>
      </c>
      <c r="C19" s="7">
        <f>IFERROR(__xludf.DUMMYFUNCTION("""COMPUTED_VALUE"""),343.3)</f>
        <v>343.3</v>
      </c>
      <c r="D19" s="7">
        <f>IFERROR(__xludf.DUMMYFUNCTION("""COMPUTED_VALUE"""),334.55)</f>
        <v>334.55</v>
      </c>
      <c r="E19" s="7">
        <f>IFERROR(__xludf.DUMMYFUNCTION("""COMPUTED_VALUE"""),335.45)</f>
        <v>335.45</v>
      </c>
      <c r="F19" s="7">
        <f>IFERROR(__xludf.DUMMYFUNCTION("""COMPUTED_VALUE"""),5706365.0)</f>
        <v>5706365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f>IFERROR(__xludf.DUMMYFUNCTION("""COMPUTED_VALUE"""),45576.64583333333)</f>
        <v>45576.64583</v>
      </c>
      <c r="B20" s="7">
        <f>IFERROR(__xludf.DUMMYFUNCTION("""COMPUTED_VALUE"""),335.45)</f>
        <v>335.45</v>
      </c>
      <c r="C20" s="7">
        <f>IFERROR(__xludf.DUMMYFUNCTION("""COMPUTED_VALUE"""),339.4)</f>
        <v>339.4</v>
      </c>
      <c r="D20" s="7">
        <f>IFERROR(__xludf.DUMMYFUNCTION("""COMPUTED_VALUE"""),334.0)</f>
        <v>334</v>
      </c>
      <c r="E20" s="7">
        <f>IFERROR(__xludf.DUMMYFUNCTION("""COMPUTED_VALUE"""),337.65)</f>
        <v>337.65</v>
      </c>
      <c r="F20" s="7">
        <f>IFERROR(__xludf.DUMMYFUNCTION("""COMPUTED_VALUE"""),4046559.0)</f>
        <v>4046559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f>IFERROR(__xludf.DUMMYFUNCTION("""COMPUTED_VALUE"""),45579.64583333333)</f>
        <v>45579.64583</v>
      </c>
      <c r="B21" s="7">
        <f>IFERROR(__xludf.DUMMYFUNCTION("""COMPUTED_VALUE"""),340.0)</f>
        <v>340</v>
      </c>
      <c r="C21" s="7">
        <f>IFERROR(__xludf.DUMMYFUNCTION("""COMPUTED_VALUE"""),344.6)</f>
        <v>344.6</v>
      </c>
      <c r="D21" s="7">
        <f>IFERROR(__xludf.DUMMYFUNCTION("""COMPUTED_VALUE"""),337.25)</f>
        <v>337.25</v>
      </c>
      <c r="E21" s="7">
        <f>IFERROR(__xludf.DUMMYFUNCTION("""COMPUTED_VALUE"""),340.75)</f>
        <v>340.75</v>
      </c>
      <c r="F21" s="7">
        <f>IFERROR(__xludf.DUMMYFUNCTION("""COMPUTED_VALUE"""),7967181.0)</f>
        <v>7967181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f>IFERROR(__xludf.DUMMYFUNCTION("""COMPUTED_VALUE"""),45580.64583333333)</f>
        <v>45580.64583</v>
      </c>
      <c r="B22" s="7">
        <f>IFERROR(__xludf.DUMMYFUNCTION("""COMPUTED_VALUE"""),344.2)</f>
        <v>344.2</v>
      </c>
      <c r="C22" s="7">
        <f>IFERROR(__xludf.DUMMYFUNCTION("""COMPUTED_VALUE"""),351.5)</f>
        <v>351.5</v>
      </c>
      <c r="D22" s="7">
        <f>IFERROR(__xludf.DUMMYFUNCTION("""COMPUTED_VALUE"""),343.9)</f>
        <v>343.9</v>
      </c>
      <c r="E22" s="7">
        <f>IFERROR(__xludf.DUMMYFUNCTION("""COMPUTED_VALUE"""),348.75)</f>
        <v>348.75</v>
      </c>
      <c r="F22" s="7">
        <f>IFERROR(__xludf.DUMMYFUNCTION("""COMPUTED_VALUE"""),1.7183945E7)</f>
        <v>17183945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f>IFERROR(__xludf.DUMMYFUNCTION("""COMPUTED_VALUE"""),45581.64583333333)</f>
        <v>45581.64583</v>
      </c>
      <c r="B23" s="7">
        <f>IFERROR(__xludf.DUMMYFUNCTION("""COMPUTED_VALUE"""),352.0)</f>
        <v>352</v>
      </c>
      <c r="C23" s="7">
        <f>IFERROR(__xludf.DUMMYFUNCTION("""COMPUTED_VALUE"""),355.9)</f>
        <v>355.9</v>
      </c>
      <c r="D23" s="7">
        <f>IFERROR(__xludf.DUMMYFUNCTION("""COMPUTED_VALUE"""),348.05)</f>
        <v>348.05</v>
      </c>
      <c r="E23" s="7">
        <f>IFERROR(__xludf.DUMMYFUNCTION("""COMPUTED_VALUE"""),350.75)</f>
        <v>350.75</v>
      </c>
      <c r="F23" s="7">
        <f>IFERROR(__xludf.DUMMYFUNCTION("""COMPUTED_VALUE"""),1.70737E7)</f>
        <v>17073700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f>IFERROR(__xludf.DUMMYFUNCTION("""COMPUTED_VALUE"""),45582.64583333333)</f>
        <v>45582.64583</v>
      </c>
      <c r="B24" s="7">
        <f>IFERROR(__xludf.DUMMYFUNCTION("""COMPUTED_VALUE"""),349.15)</f>
        <v>349.15</v>
      </c>
      <c r="C24" s="7">
        <f>IFERROR(__xludf.DUMMYFUNCTION("""COMPUTED_VALUE"""),350.6)</f>
        <v>350.6</v>
      </c>
      <c r="D24" s="7">
        <f>IFERROR(__xludf.DUMMYFUNCTION("""COMPUTED_VALUE"""),341.85)</f>
        <v>341.85</v>
      </c>
      <c r="E24" s="7">
        <f>IFERROR(__xludf.DUMMYFUNCTION("""COMPUTED_VALUE"""),342.7)</f>
        <v>342.7</v>
      </c>
      <c r="F24" s="7">
        <f>IFERROR(__xludf.DUMMYFUNCTION("""COMPUTED_VALUE"""),1.1023063E7)</f>
        <v>11023063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f>IFERROR(__xludf.DUMMYFUNCTION("""COMPUTED_VALUE"""),45583.64583333333)</f>
        <v>45583.64583</v>
      </c>
      <c r="B25" s="7">
        <f>IFERROR(__xludf.DUMMYFUNCTION("""COMPUTED_VALUE"""),342.7)</f>
        <v>342.7</v>
      </c>
      <c r="C25" s="7">
        <f>IFERROR(__xludf.DUMMYFUNCTION("""COMPUTED_VALUE"""),343.9)</f>
        <v>343.9</v>
      </c>
      <c r="D25" s="7">
        <f>IFERROR(__xludf.DUMMYFUNCTION("""COMPUTED_VALUE"""),334.3)</f>
        <v>334.3</v>
      </c>
      <c r="E25" s="7">
        <f>IFERROR(__xludf.DUMMYFUNCTION("""COMPUTED_VALUE"""),342.5)</f>
        <v>342.5</v>
      </c>
      <c r="F25" s="7">
        <f>IFERROR(__xludf.DUMMYFUNCTION("""COMPUTED_VALUE"""),7328694.0)</f>
        <v>7328694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f>IFERROR(__xludf.DUMMYFUNCTION("""COMPUTED_VALUE"""),45586.64583333333)</f>
        <v>45586.64583</v>
      </c>
      <c r="B26" s="7">
        <f>IFERROR(__xludf.DUMMYFUNCTION("""COMPUTED_VALUE"""),342.55)</f>
        <v>342.55</v>
      </c>
      <c r="C26" s="7">
        <f>IFERROR(__xludf.DUMMYFUNCTION("""COMPUTED_VALUE"""),345.5)</f>
        <v>345.5</v>
      </c>
      <c r="D26" s="7">
        <f>IFERROR(__xludf.DUMMYFUNCTION("""COMPUTED_VALUE"""),330.2)</f>
        <v>330.2</v>
      </c>
      <c r="E26" s="7">
        <f>IFERROR(__xludf.DUMMYFUNCTION("""COMPUTED_VALUE"""),331.65)</f>
        <v>331.65</v>
      </c>
      <c r="F26" s="7">
        <f>IFERROR(__xludf.DUMMYFUNCTION("""COMPUTED_VALUE"""),8609636.0)</f>
        <v>8609636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f>IFERROR(__xludf.DUMMYFUNCTION("""COMPUTED_VALUE"""),45587.64583333333)</f>
        <v>45587.64583</v>
      </c>
      <c r="B27" s="7">
        <f>IFERROR(__xludf.DUMMYFUNCTION("""COMPUTED_VALUE"""),332.0)</f>
        <v>332</v>
      </c>
      <c r="C27" s="7">
        <f>IFERROR(__xludf.DUMMYFUNCTION("""COMPUTED_VALUE"""),332.55)</f>
        <v>332.55</v>
      </c>
      <c r="D27" s="7">
        <f>IFERROR(__xludf.DUMMYFUNCTION("""COMPUTED_VALUE"""),322.0)</f>
        <v>322</v>
      </c>
      <c r="E27" s="7">
        <f>IFERROR(__xludf.DUMMYFUNCTION("""COMPUTED_VALUE"""),322.9)</f>
        <v>322.9</v>
      </c>
      <c r="F27" s="7">
        <f>IFERROR(__xludf.DUMMYFUNCTION("""COMPUTED_VALUE"""),6372285.0)</f>
        <v>6372285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f>IFERROR(__xludf.DUMMYFUNCTION("""COMPUTED_VALUE"""),45588.64583333333)</f>
        <v>45588.64583</v>
      </c>
      <c r="B28" s="7">
        <f>IFERROR(__xludf.DUMMYFUNCTION("""COMPUTED_VALUE"""),322.0)</f>
        <v>322</v>
      </c>
      <c r="C28" s="7">
        <f>IFERROR(__xludf.DUMMYFUNCTION("""COMPUTED_VALUE"""),325.85)</f>
        <v>325.85</v>
      </c>
      <c r="D28" s="7">
        <f>IFERROR(__xludf.DUMMYFUNCTION("""COMPUTED_VALUE"""),316.55)</f>
        <v>316.55</v>
      </c>
      <c r="E28" s="7">
        <f>IFERROR(__xludf.DUMMYFUNCTION("""COMPUTED_VALUE"""),323.05)</f>
        <v>323.05</v>
      </c>
      <c r="F28" s="7">
        <f>IFERROR(__xludf.DUMMYFUNCTION("""COMPUTED_VALUE"""),6639274.0)</f>
        <v>6639274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f>IFERROR(__xludf.DUMMYFUNCTION("""COMPUTED_VALUE"""),45589.64583333333)</f>
        <v>45589.64583</v>
      </c>
      <c r="B29" s="7">
        <f>IFERROR(__xludf.DUMMYFUNCTION("""COMPUTED_VALUE"""),323.0)</f>
        <v>323</v>
      </c>
      <c r="C29" s="7">
        <f>IFERROR(__xludf.DUMMYFUNCTION("""COMPUTED_VALUE"""),325.4)</f>
        <v>325.4</v>
      </c>
      <c r="D29" s="7">
        <f>IFERROR(__xludf.DUMMYFUNCTION("""COMPUTED_VALUE"""),320.0)</f>
        <v>320</v>
      </c>
      <c r="E29" s="7">
        <f>IFERROR(__xludf.DUMMYFUNCTION("""COMPUTED_VALUE"""),321.45)</f>
        <v>321.45</v>
      </c>
      <c r="F29" s="7">
        <f>IFERROR(__xludf.DUMMYFUNCTION("""COMPUTED_VALUE"""),5706821.0)</f>
        <v>5706821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f>IFERROR(__xludf.DUMMYFUNCTION("""COMPUTED_VALUE"""),45590.64583333333)</f>
        <v>45590.64583</v>
      </c>
      <c r="B30" s="7">
        <f>IFERROR(__xludf.DUMMYFUNCTION("""COMPUTED_VALUE"""),323.45)</f>
        <v>323.45</v>
      </c>
      <c r="C30" s="7">
        <f>IFERROR(__xludf.DUMMYFUNCTION("""COMPUTED_VALUE"""),323.6)</f>
        <v>323.6</v>
      </c>
      <c r="D30" s="7">
        <f>IFERROR(__xludf.DUMMYFUNCTION("""COMPUTED_VALUE"""),303.1)</f>
        <v>303.1</v>
      </c>
      <c r="E30" s="7">
        <f>IFERROR(__xludf.DUMMYFUNCTION("""COMPUTED_VALUE"""),306.3)</f>
        <v>306.3</v>
      </c>
      <c r="F30" s="7">
        <f>IFERROR(__xludf.DUMMYFUNCTION("""COMPUTED_VALUE"""),1.1583887E7)</f>
        <v>11583887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f>IFERROR(__xludf.DUMMYFUNCTION("""COMPUTED_VALUE"""),45593.64583333333)</f>
        <v>45593.64583</v>
      </c>
      <c r="B31" s="7">
        <f>IFERROR(__xludf.DUMMYFUNCTION("""COMPUTED_VALUE"""),307.3)</f>
        <v>307.3</v>
      </c>
      <c r="C31" s="7">
        <f>IFERROR(__xludf.DUMMYFUNCTION("""COMPUTED_VALUE"""),315.5)</f>
        <v>315.5</v>
      </c>
      <c r="D31" s="7">
        <f>IFERROR(__xludf.DUMMYFUNCTION("""COMPUTED_VALUE"""),305.3)</f>
        <v>305.3</v>
      </c>
      <c r="E31" s="7">
        <f>IFERROR(__xludf.DUMMYFUNCTION("""COMPUTED_VALUE"""),310.4)</f>
        <v>310.4</v>
      </c>
      <c r="F31" s="7">
        <f>IFERROR(__xludf.DUMMYFUNCTION("""COMPUTED_VALUE"""),1.3299872E7)</f>
        <v>13299872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f>IFERROR(__xludf.DUMMYFUNCTION("""COMPUTED_VALUE"""),45594.64583333333)</f>
        <v>45594.64583</v>
      </c>
      <c r="B32" s="7">
        <f>IFERROR(__xludf.DUMMYFUNCTION("""COMPUTED_VALUE"""),312.0)</f>
        <v>312</v>
      </c>
      <c r="C32" s="7">
        <f>IFERROR(__xludf.DUMMYFUNCTION("""COMPUTED_VALUE"""),312.95)</f>
        <v>312.95</v>
      </c>
      <c r="D32" s="7">
        <f>IFERROR(__xludf.DUMMYFUNCTION("""COMPUTED_VALUE"""),302.25)</f>
        <v>302.25</v>
      </c>
      <c r="E32" s="7">
        <f>IFERROR(__xludf.DUMMYFUNCTION("""COMPUTED_VALUE"""),311.45)</f>
        <v>311.45</v>
      </c>
      <c r="F32" s="7">
        <f>IFERROR(__xludf.DUMMYFUNCTION("""COMPUTED_VALUE"""),8437903.0)</f>
        <v>8437903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f>IFERROR(__xludf.DUMMYFUNCTION("""COMPUTED_VALUE"""),45595.64583333333)</f>
        <v>45595.64583</v>
      </c>
      <c r="B33" s="7">
        <f>IFERROR(__xludf.DUMMYFUNCTION("""COMPUTED_VALUE"""),309.0)</f>
        <v>309</v>
      </c>
      <c r="C33" s="7">
        <f>IFERROR(__xludf.DUMMYFUNCTION("""COMPUTED_VALUE"""),314.9)</f>
        <v>314.9</v>
      </c>
      <c r="D33" s="7">
        <f>IFERROR(__xludf.DUMMYFUNCTION("""COMPUTED_VALUE"""),307.35)</f>
        <v>307.35</v>
      </c>
      <c r="E33" s="7">
        <f>IFERROR(__xludf.DUMMYFUNCTION("""COMPUTED_VALUE"""),311.3)</f>
        <v>311.3</v>
      </c>
      <c r="F33" s="7">
        <f>IFERROR(__xludf.DUMMYFUNCTION("""COMPUTED_VALUE"""),6248318.0)</f>
        <v>6248318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f>IFERROR(__xludf.DUMMYFUNCTION("""COMPUTED_VALUE"""),45596.64583333333)</f>
        <v>45596.64583</v>
      </c>
      <c r="B34" s="7">
        <f>IFERROR(__xludf.DUMMYFUNCTION("""COMPUTED_VALUE"""),310.5)</f>
        <v>310.5</v>
      </c>
      <c r="C34" s="7">
        <f>IFERROR(__xludf.DUMMYFUNCTION("""COMPUTED_VALUE"""),316.2)</f>
        <v>316.2</v>
      </c>
      <c r="D34" s="7">
        <f>IFERROR(__xludf.DUMMYFUNCTION("""COMPUTED_VALUE"""),307.8)</f>
        <v>307.8</v>
      </c>
      <c r="E34" s="7">
        <f>IFERROR(__xludf.DUMMYFUNCTION("""COMPUTED_VALUE"""),310.75)</f>
        <v>310.75</v>
      </c>
      <c r="F34" s="7">
        <f>IFERROR(__xludf.DUMMYFUNCTION("""COMPUTED_VALUE"""),1.1375689E7)</f>
        <v>11375689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f>IFERROR(__xludf.DUMMYFUNCTION("""COMPUTED_VALUE"""),45600.64583333333)</f>
        <v>45600.64583</v>
      </c>
      <c r="B35" s="7">
        <f>IFERROR(__xludf.DUMMYFUNCTION("""COMPUTED_VALUE"""),313.0)</f>
        <v>313</v>
      </c>
      <c r="C35" s="7">
        <f>IFERROR(__xludf.DUMMYFUNCTION("""COMPUTED_VALUE"""),313.5)</f>
        <v>313.5</v>
      </c>
      <c r="D35" s="7">
        <f>IFERROR(__xludf.DUMMYFUNCTION("""COMPUTED_VALUE"""),298.1)</f>
        <v>298.1</v>
      </c>
      <c r="E35" s="7">
        <f>IFERROR(__xludf.DUMMYFUNCTION("""COMPUTED_VALUE"""),303.45)</f>
        <v>303.45</v>
      </c>
      <c r="F35" s="7">
        <f>IFERROR(__xludf.DUMMYFUNCTION("""COMPUTED_VALUE"""),1.4063318E7)</f>
        <v>14063318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f>IFERROR(__xludf.DUMMYFUNCTION("""COMPUTED_VALUE"""),45601.64583333333)</f>
        <v>45601.64583</v>
      </c>
      <c r="B36" s="7">
        <f>IFERROR(__xludf.DUMMYFUNCTION("""COMPUTED_VALUE"""),301.0)</f>
        <v>301</v>
      </c>
      <c r="C36" s="7">
        <f>IFERROR(__xludf.DUMMYFUNCTION("""COMPUTED_VALUE"""),309.05)</f>
        <v>309.05</v>
      </c>
      <c r="D36" s="7">
        <f>IFERROR(__xludf.DUMMYFUNCTION("""COMPUTED_VALUE"""),300.2)</f>
        <v>300.2</v>
      </c>
      <c r="E36" s="7">
        <f>IFERROR(__xludf.DUMMYFUNCTION("""COMPUTED_VALUE"""),307.95)</f>
        <v>307.95</v>
      </c>
      <c r="F36" s="7">
        <f>IFERROR(__xludf.DUMMYFUNCTION("""COMPUTED_VALUE"""),9542018.0)</f>
        <v>9542018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f>IFERROR(__xludf.DUMMYFUNCTION("""COMPUTED_VALUE"""),45602.64583333333)</f>
        <v>45602.64583</v>
      </c>
      <c r="B37" s="7">
        <f>IFERROR(__xludf.DUMMYFUNCTION("""COMPUTED_VALUE"""),311.8)</f>
        <v>311.8</v>
      </c>
      <c r="C37" s="7">
        <f>IFERROR(__xludf.DUMMYFUNCTION("""COMPUTED_VALUE"""),319.0)</f>
        <v>319</v>
      </c>
      <c r="D37" s="7">
        <f>IFERROR(__xludf.DUMMYFUNCTION("""COMPUTED_VALUE"""),307.25)</f>
        <v>307.25</v>
      </c>
      <c r="E37" s="7">
        <f>IFERROR(__xludf.DUMMYFUNCTION("""COMPUTED_VALUE"""),317.0)</f>
        <v>317</v>
      </c>
      <c r="F37" s="7">
        <f>IFERROR(__xludf.DUMMYFUNCTION("""COMPUTED_VALUE"""),1.0787602E7)</f>
        <v>10787602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f>IFERROR(__xludf.DUMMYFUNCTION("""COMPUTED_VALUE"""),45603.64583333333)</f>
        <v>45603.64583</v>
      </c>
      <c r="B38" s="7">
        <f>IFERROR(__xludf.DUMMYFUNCTION("""COMPUTED_VALUE"""),316.35)</f>
        <v>316.35</v>
      </c>
      <c r="C38" s="7">
        <f>IFERROR(__xludf.DUMMYFUNCTION("""COMPUTED_VALUE"""),317.7)</f>
        <v>317.7</v>
      </c>
      <c r="D38" s="7">
        <f>IFERROR(__xludf.DUMMYFUNCTION("""COMPUTED_VALUE"""),311.1)</f>
        <v>311.1</v>
      </c>
      <c r="E38" s="7">
        <f>IFERROR(__xludf.DUMMYFUNCTION("""COMPUTED_VALUE"""),315.0)</f>
        <v>315</v>
      </c>
      <c r="F38" s="7">
        <f>IFERROR(__xludf.DUMMYFUNCTION("""COMPUTED_VALUE"""),7387875.0)</f>
        <v>7387875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f>IFERROR(__xludf.DUMMYFUNCTION("""COMPUTED_VALUE"""),45604.64583333333)</f>
        <v>45604.64583</v>
      </c>
      <c r="B39" s="7">
        <f>IFERROR(__xludf.DUMMYFUNCTION("""COMPUTED_VALUE"""),315.0)</f>
        <v>315</v>
      </c>
      <c r="C39" s="7">
        <f>IFERROR(__xludf.DUMMYFUNCTION("""COMPUTED_VALUE"""),315.1)</f>
        <v>315.1</v>
      </c>
      <c r="D39" s="7">
        <f>IFERROR(__xludf.DUMMYFUNCTION("""COMPUTED_VALUE"""),306.8)</f>
        <v>306.8</v>
      </c>
      <c r="E39" s="7">
        <f>IFERROR(__xludf.DUMMYFUNCTION("""COMPUTED_VALUE"""),310.45)</f>
        <v>310.45</v>
      </c>
      <c r="F39" s="7">
        <f>IFERROR(__xludf.DUMMYFUNCTION("""COMPUTED_VALUE"""),9304376.0)</f>
        <v>9304376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f>IFERROR(__xludf.DUMMYFUNCTION("""COMPUTED_VALUE"""),45607.64583333333)</f>
        <v>45607.64583</v>
      </c>
      <c r="B40" s="7">
        <f>IFERROR(__xludf.DUMMYFUNCTION("""COMPUTED_VALUE"""),308.0)</f>
        <v>308</v>
      </c>
      <c r="C40" s="7">
        <f>IFERROR(__xludf.DUMMYFUNCTION("""COMPUTED_VALUE"""),314.0)</f>
        <v>314</v>
      </c>
      <c r="D40" s="7">
        <f>IFERROR(__xludf.DUMMYFUNCTION("""COMPUTED_VALUE"""),304.05)</f>
        <v>304.05</v>
      </c>
      <c r="E40" s="7">
        <f>IFERROR(__xludf.DUMMYFUNCTION("""COMPUTED_VALUE"""),312.55)</f>
        <v>312.55</v>
      </c>
      <c r="F40" s="7">
        <f>IFERROR(__xludf.DUMMYFUNCTION("""COMPUTED_VALUE"""),5277147.0)</f>
        <v>5277147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f>IFERROR(__xludf.DUMMYFUNCTION("""COMPUTED_VALUE"""),45608.64583333333)</f>
        <v>45608.64583</v>
      </c>
      <c r="B41" s="7">
        <f>IFERROR(__xludf.DUMMYFUNCTION("""COMPUTED_VALUE"""),314.1)</f>
        <v>314.1</v>
      </c>
      <c r="C41" s="7">
        <f>IFERROR(__xludf.DUMMYFUNCTION("""COMPUTED_VALUE"""),318.55)</f>
        <v>318.55</v>
      </c>
      <c r="D41" s="7">
        <f>IFERROR(__xludf.DUMMYFUNCTION("""COMPUTED_VALUE"""),309.05)</f>
        <v>309.05</v>
      </c>
      <c r="E41" s="7">
        <f>IFERROR(__xludf.DUMMYFUNCTION("""COMPUTED_VALUE"""),309.8)</f>
        <v>309.8</v>
      </c>
      <c r="F41" s="7">
        <f>IFERROR(__xludf.DUMMYFUNCTION("""COMPUTED_VALUE"""),7192998.0)</f>
        <v>7192998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f>IFERROR(__xludf.DUMMYFUNCTION("""COMPUTED_VALUE"""),45609.64583333333)</f>
        <v>45609.64583</v>
      </c>
      <c r="B42" s="7">
        <f>IFERROR(__xludf.DUMMYFUNCTION("""COMPUTED_VALUE"""),307.95)</f>
        <v>307.95</v>
      </c>
      <c r="C42" s="7">
        <f>IFERROR(__xludf.DUMMYFUNCTION("""COMPUTED_VALUE"""),309.0)</f>
        <v>309</v>
      </c>
      <c r="D42" s="7">
        <f>IFERROR(__xludf.DUMMYFUNCTION("""COMPUTED_VALUE"""),302.0)</f>
        <v>302</v>
      </c>
      <c r="E42" s="7">
        <f>IFERROR(__xludf.DUMMYFUNCTION("""COMPUTED_VALUE"""),305.85)</f>
        <v>305.85</v>
      </c>
      <c r="F42" s="7">
        <f>IFERROR(__xludf.DUMMYFUNCTION("""COMPUTED_VALUE"""),7306795.0)</f>
        <v>7306795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f>IFERROR(__xludf.DUMMYFUNCTION("""COMPUTED_VALUE"""),45610.64583333333)</f>
        <v>45610.64583</v>
      </c>
      <c r="B43" s="7">
        <f>IFERROR(__xludf.DUMMYFUNCTION("""COMPUTED_VALUE"""),305.8)</f>
        <v>305.8</v>
      </c>
      <c r="C43" s="7">
        <f>IFERROR(__xludf.DUMMYFUNCTION("""COMPUTED_VALUE"""),306.0)</f>
        <v>306</v>
      </c>
      <c r="D43" s="7">
        <f>IFERROR(__xludf.DUMMYFUNCTION("""COMPUTED_VALUE"""),296.4)</f>
        <v>296.4</v>
      </c>
      <c r="E43" s="7">
        <f>IFERROR(__xludf.DUMMYFUNCTION("""COMPUTED_VALUE"""),298.2)</f>
        <v>298.2</v>
      </c>
      <c r="F43" s="7">
        <f>IFERROR(__xludf.DUMMYFUNCTION("""COMPUTED_VALUE"""),1.1061057E7)</f>
        <v>11061057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f>IFERROR(__xludf.DUMMYFUNCTION("""COMPUTED_VALUE"""),45614.64583333333)</f>
        <v>45614.64583</v>
      </c>
      <c r="B44" s="7">
        <f>IFERROR(__xludf.DUMMYFUNCTION("""COMPUTED_VALUE"""),298.15)</f>
        <v>298.15</v>
      </c>
      <c r="C44" s="7">
        <f>IFERROR(__xludf.DUMMYFUNCTION("""COMPUTED_VALUE"""),299.65)</f>
        <v>299.65</v>
      </c>
      <c r="D44" s="7">
        <f>IFERROR(__xludf.DUMMYFUNCTION("""COMPUTED_VALUE"""),288.3)</f>
        <v>288.3</v>
      </c>
      <c r="E44" s="7">
        <f>IFERROR(__xludf.DUMMYFUNCTION("""COMPUTED_VALUE"""),289.2)</f>
        <v>289.2</v>
      </c>
      <c r="F44" s="7">
        <f>IFERROR(__xludf.DUMMYFUNCTION("""COMPUTED_VALUE"""),7940666.0)</f>
        <v>7940666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f>IFERROR(__xludf.DUMMYFUNCTION("""COMPUTED_VALUE"""),45615.64583333333)</f>
        <v>45615.64583</v>
      </c>
      <c r="B45" s="7">
        <f>IFERROR(__xludf.DUMMYFUNCTION("""COMPUTED_VALUE"""),292.65)</f>
        <v>292.65</v>
      </c>
      <c r="C45" s="7">
        <f>IFERROR(__xludf.DUMMYFUNCTION("""COMPUTED_VALUE"""),297.9)</f>
        <v>297.9</v>
      </c>
      <c r="D45" s="7">
        <f>IFERROR(__xludf.DUMMYFUNCTION("""COMPUTED_VALUE"""),286.5)</f>
        <v>286.5</v>
      </c>
      <c r="E45" s="7">
        <f>IFERROR(__xludf.DUMMYFUNCTION("""COMPUTED_VALUE"""),287.5)</f>
        <v>287.5</v>
      </c>
      <c r="F45" s="7">
        <f>IFERROR(__xludf.DUMMYFUNCTION("""COMPUTED_VALUE"""),9912544.0)</f>
        <v>9912544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f>IFERROR(__xludf.DUMMYFUNCTION("""COMPUTED_VALUE"""),45617.64583333333)</f>
        <v>45617.64583</v>
      </c>
      <c r="B46" s="7">
        <f>IFERROR(__xludf.DUMMYFUNCTION("""COMPUTED_VALUE"""),287.45)</f>
        <v>287.45</v>
      </c>
      <c r="C46" s="7">
        <f>IFERROR(__xludf.DUMMYFUNCTION("""COMPUTED_VALUE"""),287.45)</f>
        <v>287.45</v>
      </c>
      <c r="D46" s="7">
        <f>IFERROR(__xludf.DUMMYFUNCTION("""COMPUTED_VALUE"""),279.35)</f>
        <v>279.35</v>
      </c>
      <c r="E46" s="7">
        <f>IFERROR(__xludf.DUMMYFUNCTION("""COMPUTED_VALUE"""),282.4)</f>
        <v>282.4</v>
      </c>
      <c r="F46" s="7">
        <f>IFERROR(__xludf.DUMMYFUNCTION("""COMPUTED_VALUE"""),8273120.0)</f>
        <v>8273120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f>IFERROR(__xludf.DUMMYFUNCTION("""COMPUTED_VALUE"""),45618.64583333333)</f>
        <v>45618.64583</v>
      </c>
      <c r="B47" s="7">
        <f>IFERROR(__xludf.DUMMYFUNCTION("""COMPUTED_VALUE"""),282.6)</f>
        <v>282.6</v>
      </c>
      <c r="C47" s="7">
        <f>IFERROR(__xludf.DUMMYFUNCTION("""COMPUTED_VALUE"""),287.0)</f>
        <v>287</v>
      </c>
      <c r="D47" s="7">
        <f>IFERROR(__xludf.DUMMYFUNCTION("""COMPUTED_VALUE"""),281.05)</f>
        <v>281.05</v>
      </c>
      <c r="E47" s="7">
        <f>IFERROR(__xludf.DUMMYFUNCTION("""COMPUTED_VALUE"""),285.85)</f>
        <v>285.85</v>
      </c>
      <c r="F47" s="7">
        <f>IFERROR(__xludf.DUMMYFUNCTION("""COMPUTED_VALUE"""),6539977.0)</f>
        <v>6539977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f>IFERROR(__xludf.DUMMYFUNCTION("""COMPUTED_VALUE"""),45621.64583333333)</f>
        <v>45621.64583</v>
      </c>
      <c r="B48" s="7">
        <f>IFERROR(__xludf.DUMMYFUNCTION("""COMPUTED_VALUE"""),292.05)</f>
        <v>292.05</v>
      </c>
      <c r="C48" s="7">
        <f>IFERROR(__xludf.DUMMYFUNCTION("""COMPUTED_VALUE"""),304.4)</f>
        <v>304.4</v>
      </c>
      <c r="D48" s="7">
        <f>IFERROR(__xludf.DUMMYFUNCTION("""COMPUTED_VALUE"""),292.0)</f>
        <v>292</v>
      </c>
      <c r="E48" s="7">
        <f>IFERROR(__xludf.DUMMYFUNCTION("""COMPUTED_VALUE"""),296.55)</f>
        <v>296.55</v>
      </c>
      <c r="F48" s="7">
        <f>IFERROR(__xludf.DUMMYFUNCTION("""COMPUTED_VALUE"""),1.6903527E7)</f>
        <v>16903527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f>IFERROR(__xludf.DUMMYFUNCTION("""COMPUTED_VALUE"""),45622.64583333333)</f>
        <v>45622.64583</v>
      </c>
      <c r="B49" s="7">
        <f>IFERROR(__xludf.DUMMYFUNCTION("""COMPUTED_VALUE"""),297.95)</f>
        <v>297.95</v>
      </c>
      <c r="C49" s="7">
        <f>IFERROR(__xludf.DUMMYFUNCTION("""COMPUTED_VALUE"""),301.0)</f>
        <v>301</v>
      </c>
      <c r="D49" s="7">
        <f>IFERROR(__xludf.DUMMYFUNCTION("""COMPUTED_VALUE"""),293.35)</f>
        <v>293.35</v>
      </c>
      <c r="E49" s="7">
        <f>IFERROR(__xludf.DUMMYFUNCTION("""COMPUTED_VALUE"""),293.85)</f>
        <v>293.85</v>
      </c>
      <c r="F49" s="7">
        <f>IFERROR(__xludf.DUMMYFUNCTION("""COMPUTED_VALUE"""),5160007.0)</f>
        <v>5160007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f>IFERROR(__xludf.DUMMYFUNCTION("""COMPUTED_VALUE"""),45623.64583333333)</f>
        <v>45623.64583</v>
      </c>
      <c r="B50" s="7">
        <f>IFERROR(__xludf.DUMMYFUNCTION("""COMPUTED_VALUE"""),296.95)</f>
        <v>296.95</v>
      </c>
      <c r="C50" s="7">
        <f>IFERROR(__xludf.DUMMYFUNCTION("""COMPUTED_VALUE"""),297.0)</f>
        <v>297</v>
      </c>
      <c r="D50" s="7">
        <f>IFERROR(__xludf.DUMMYFUNCTION("""COMPUTED_VALUE"""),291.05)</f>
        <v>291.05</v>
      </c>
      <c r="E50" s="7">
        <f>IFERROR(__xludf.DUMMYFUNCTION("""COMPUTED_VALUE"""),293.45)</f>
        <v>293.45</v>
      </c>
      <c r="F50" s="7">
        <f>IFERROR(__xludf.DUMMYFUNCTION("""COMPUTED_VALUE"""),5995425.0)</f>
        <v>5995425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f>IFERROR(__xludf.DUMMYFUNCTION("""COMPUTED_VALUE"""),45624.64583333333)</f>
        <v>45624.64583</v>
      </c>
      <c r="B51" s="7">
        <f>IFERROR(__xludf.DUMMYFUNCTION("""COMPUTED_VALUE"""),294.45)</f>
        <v>294.45</v>
      </c>
      <c r="C51" s="7">
        <f>IFERROR(__xludf.DUMMYFUNCTION("""COMPUTED_VALUE"""),298.75)</f>
        <v>298.75</v>
      </c>
      <c r="D51" s="7">
        <f>IFERROR(__xludf.DUMMYFUNCTION("""COMPUTED_VALUE"""),289.5)</f>
        <v>289.5</v>
      </c>
      <c r="E51" s="7">
        <f>IFERROR(__xludf.DUMMYFUNCTION("""COMPUTED_VALUE"""),290.95)</f>
        <v>290.95</v>
      </c>
      <c r="F51" s="7">
        <f>IFERROR(__xludf.DUMMYFUNCTION("""COMPUTED_VALUE"""),1.3130411E7)</f>
        <v>13130411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f>IFERROR(__xludf.DUMMYFUNCTION("""COMPUTED_VALUE"""),45625.64583333333)</f>
        <v>45625.64583</v>
      </c>
      <c r="B52" s="7">
        <f>IFERROR(__xludf.DUMMYFUNCTION("""COMPUTED_VALUE"""),292.4)</f>
        <v>292.4</v>
      </c>
      <c r="C52" s="7">
        <f>IFERROR(__xludf.DUMMYFUNCTION("""COMPUTED_VALUE"""),294.25)</f>
        <v>294.25</v>
      </c>
      <c r="D52" s="7">
        <f>IFERROR(__xludf.DUMMYFUNCTION("""COMPUTED_VALUE"""),289.4)</f>
        <v>289.4</v>
      </c>
      <c r="E52" s="7">
        <f>IFERROR(__xludf.DUMMYFUNCTION("""COMPUTED_VALUE"""),292.1)</f>
        <v>292.1</v>
      </c>
      <c r="F52" s="7">
        <f>IFERROR(__xludf.DUMMYFUNCTION("""COMPUTED_VALUE"""),8125467.0)</f>
        <v>8125467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f>IFERROR(__xludf.DUMMYFUNCTION("""COMPUTED_VALUE"""),45628.64583333333)</f>
        <v>45628.64583</v>
      </c>
      <c r="B53" s="7">
        <f>IFERROR(__xludf.DUMMYFUNCTION("""COMPUTED_VALUE"""),292.65)</f>
        <v>292.65</v>
      </c>
      <c r="C53" s="7">
        <f>IFERROR(__xludf.DUMMYFUNCTION("""COMPUTED_VALUE"""),295.9)</f>
        <v>295.9</v>
      </c>
      <c r="D53" s="7">
        <f>IFERROR(__xludf.DUMMYFUNCTION("""COMPUTED_VALUE"""),290.5)</f>
        <v>290.5</v>
      </c>
      <c r="E53" s="7">
        <f>IFERROR(__xludf.DUMMYFUNCTION("""COMPUTED_VALUE"""),294.15)</f>
        <v>294.15</v>
      </c>
      <c r="F53" s="7">
        <f>IFERROR(__xludf.DUMMYFUNCTION("""COMPUTED_VALUE"""),5193026.0)</f>
        <v>5193026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f>IFERROR(__xludf.DUMMYFUNCTION("""COMPUTED_VALUE"""),45629.64583333333)</f>
        <v>45629.64583</v>
      </c>
      <c r="B54" s="7">
        <f>IFERROR(__xludf.DUMMYFUNCTION("""COMPUTED_VALUE"""),297.5)</f>
        <v>297.5</v>
      </c>
      <c r="C54" s="7">
        <f>IFERROR(__xludf.DUMMYFUNCTION("""COMPUTED_VALUE"""),297.8)</f>
        <v>297.8</v>
      </c>
      <c r="D54" s="7">
        <f>IFERROR(__xludf.DUMMYFUNCTION("""COMPUTED_VALUE"""),292.05)</f>
        <v>292.05</v>
      </c>
      <c r="E54" s="7">
        <f>IFERROR(__xludf.DUMMYFUNCTION("""COMPUTED_VALUE"""),294.25)</f>
        <v>294.25</v>
      </c>
      <c r="F54" s="7">
        <f>IFERROR(__xludf.DUMMYFUNCTION("""COMPUTED_VALUE"""),9198285.0)</f>
        <v>9198285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f>IFERROR(__xludf.DUMMYFUNCTION("""COMPUTED_VALUE"""),45630.64583333333)</f>
        <v>45630.64583</v>
      </c>
      <c r="B55" s="7">
        <f>IFERROR(__xludf.DUMMYFUNCTION("""COMPUTED_VALUE"""),294.2)</f>
        <v>294.2</v>
      </c>
      <c r="C55" s="7">
        <f>IFERROR(__xludf.DUMMYFUNCTION("""COMPUTED_VALUE"""),299.55)</f>
        <v>299.55</v>
      </c>
      <c r="D55" s="7">
        <f>IFERROR(__xludf.DUMMYFUNCTION("""COMPUTED_VALUE"""),292.85)</f>
        <v>292.85</v>
      </c>
      <c r="E55" s="7">
        <f>IFERROR(__xludf.DUMMYFUNCTION("""COMPUTED_VALUE"""),293.65)</f>
        <v>293.65</v>
      </c>
      <c r="F55" s="7">
        <f>IFERROR(__xludf.DUMMYFUNCTION("""COMPUTED_VALUE"""),9840659.0)</f>
        <v>9840659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f>IFERROR(__xludf.DUMMYFUNCTION("""COMPUTED_VALUE"""),45631.64583333333)</f>
        <v>45631.64583</v>
      </c>
      <c r="B56" s="7">
        <f>IFERROR(__xludf.DUMMYFUNCTION("""COMPUTED_VALUE"""),295.1)</f>
        <v>295.1</v>
      </c>
      <c r="C56" s="7">
        <f>IFERROR(__xludf.DUMMYFUNCTION("""COMPUTED_VALUE"""),298.25)</f>
        <v>298.25</v>
      </c>
      <c r="D56" s="7">
        <f>IFERROR(__xludf.DUMMYFUNCTION("""COMPUTED_VALUE"""),291.3)</f>
        <v>291.3</v>
      </c>
      <c r="E56" s="7">
        <f>IFERROR(__xludf.DUMMYFUNCTION("""COMPUTED_VALUE"""),297.0)</f>
        <v>297</v>
      </c>
      <c r="F56" s="7">
        <f>IFERROR(__xludf.DUMMYFUNCTION("""COMPUTED_VALUE"""),9287638.0)</f>
        <v>9287638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f>IFERROR(__xludf.DUMMYFUNCTION("""COMPUTED_VALUE"""),45632.64583333333)</f>
        <v>45632.64583</v>
      </c>
      <c r="B57" s="7">
        <f>IFERROR(__xludf.DUMMYFUNCTION("""COMPUTED_VALUE"""),297.9)</f>
        <v>297.9</v>
      </c>
      <c r="C57" s="7">
        <f>IFERROR(__xludf.DUMMYFUNCTION("""COMPUTED_VALUE"""),303.9)</f>
        <v>303.9</v>
      </c>
      <c r="D57" s="7">
        <f>IFERROR(__xludf.DUMMYFUNCTION("""COMPUTED_VALUE"""),296.4)</f>
        <v>296.4</v>
      </c>
      <c r="E57" s="7">
        <f>IFERROR(__xludf.DUMMYFUNCTION("""COMPUTED_VALUE"""),300.35)</f>
        <v>300.35</v>
      </c>
      <c r="F57" s="7">
        <f>IFERROR(__xludf.DUMMYFUNCTION("""COMPUTED_VALUE"""),9586531.0)</f>
        <v>9586531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f>IFERROR(__xludf.DUMMYFUNCTION("""COMPUTED_VALUE"""),45635.64583333333)</f>
        <v>45635.64583</v>
      </c>
      <c r="B58" s="7">
        <f>IFERROR(__xludf.DUMMYFUNCTION("""COMPUTED_VALUE"""),300.95)</f>
        <v>300.95</v>
      </c>
      <c r="C58" s="7">
        <f>IFERROR(__xludf.DUMMYFUNCTION("""COMPUTED_VALUE"""),304.2)</f>
        <v>304.2</v>
      </c>
      <c r="D58" s="7">
        <f>IFERROR(__xludf.DUMMYFUNCTION("""COMPUTED_VALUE"""),299.1)</f>
        <v>299.1</v>
      </c>
      <c r="E58" s="7">
        <f>IFERROR(__xludf.DUMMYFUNCTION("""COMPUTED_VALUE"""),303.45)</f>
        <v>303.45</v>
      </c>
      <c r="F58" s="7">
        <f>IFERROR(__xludf.DUMMYFUNCTION("""COMPUTED_VALUE"""),1.1637358E7)</f>
        <v>11637358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f>IFERROR(__xludf.DUMMYFUNCTION("""COMPUTED_VALUE"""),45636.64583333333)</f>
        <v>45636.64583</v>
      </c>
      <c r="B59" s="7">
        <f>IFERROR(__xludf.DUMMYFUNCTION("""COMPUTED_VALUE"""),302.3)</f>
        <v>302.3</v>
      </c>
      <c r="C59" s="7">
        <f>IFERROR(__xludf.DUMMYFUNCTION("""COMPUTED_VALUE"""),306.7)</f>
        <v>306.7</v>
      </c>
      <c r="D59" s="7">
        <f>IFERROR(__xludf.DUMMYFUNCTION("""COMPUTED_VALUE"""),300.85)</f>
        <v>300.85</v>
      </c>
      <c r="E59" s="7">
        <f>IFERROR(__xludf.DUMMYFUNCTION("""COMPUTED_VALUE"""),303.5)</f>
        <v>303.5</v>
      </c>
      <c r="F59" s="7">
        <f>IFERROR(__xludf.DUMMYFUNCTION("""COMPUTED_VALUE"""),8649367.0)</f>
        <v>8649367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f>IFERROR(__xludf.DUMMYFUNCTION("""COMPUTED_VALUE"""),45637.64583333333)</f>
        <v>45637.64583</v>
      </c>
      <c r="B60" s="7">
        <f>IFERROR(__xludf.DUMMYFUNCTION("""COMPUTED_VALUE"""),303.45)</f>
        <v>303.45</v>
      </c>
      <c r="C60" s="7">
        <f>IFERROR(__xludf.DUMMYFUNCTION("""COMPUTED_VALUE"""),308.95)</f>
        <v>308.95</v>
      </c>
      <c r="D60" s="7">
        <f>IFERROR(__xludf.DUMMYFUNCTION("""COMPUTED_VALUE"""),302.1)</f>
        <v>302.1</v>
      </c>
      <c r="E60" s="7">
        <f>IFERROR(__xludf.DUMMYFUNCTION("""COMPUTED_VALUE"""),307.45)</f>
        <v>307.45</v>
      </c>
      <c r="F60" s="7">
        <f>IFERROR(__xludf.DUMMYFUNCTION("""COMPUTED_VALUE"""),1.0867782E7)</f>
        <v>10867782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f>IFERROR(__xludf.DUMMYFUNCTION("""COMPUTED_VALUE"""),45638.64583333333)</f>
        <v>45638.64583</v>
      </c>
      <c r="B61" s="7">
        <f>IFERROR(__xludf.DUMMYFUNCTION("""COMPUTED_VALUE"""),307.05)</f>
        <v>307.05</v>
      </c>
      <c r="C61" s="7">
        <f>IFERROR(__xludf.DUMMYFUNCTION("""COMPUTED_VALUE"""),307.45)</f>
        <v>307.45</v>
      </c>
      <c r="D61" s="7">
        <f>IFERROR(__xludf.DUMMYFUNCTION("""COMPUTED_VALUE"""),301.3)</f>
        <v>301.3</v>
      </c>
      <c r="E61" s="7">
        <f>IFERROR(__xludf.DUMMYFUNCTION("""COMPUTED_VALUE"""),302.15)</f>
        <v>302.15</v>
      </c>
      <c r="F61" s="7">
        <f>IFERROR(__xludf.DUMMYFUNCTION("""COMPUTED_VALUE"""),7454904.0)</f>
        <v>7454904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f>IFERROR(__xludf.DUMMYFUNCTION("""COMPUTED_VALUE"""),45639.64583333333)</f>
        <v>45639.64583</v>
      </c>
      <c r="B62" s="7">
        <f>IFERROR(__xludf.DUMMYFUNCTION("""COMPUTED_VALUE"""),302.0)</f>
        <v>302</v>
      </c>
      <c r="C62" s="7">
        <f>IFERROR(__xludf.DUMMYFUNCTION("""COMPUTED_VALUE"""),305.15)</f>
        <v>305.15</v>
      </c>
      <c r="D62" s="7">
        <f>IFERROR(__xludf.DUMMYFUNCTION("""COMPUTED_VALUE"""),296.0)</f>
        <v>296</v>
      </c>
      <c r="E62" s="7">
        <f>IFERROR(__xludf.DUMMYFUNCTION("""COMPUTED_VALUE"""),301.7)</f>
        <v>301.7</v>
      </c>
      <c r="F62" s="7">
        <f>IFERROR(__xludf.DUMMYFUNCTION("""COMPUTED_VALUE"""),7726611.0)</f>
        <v>7726611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f>IFERROR(__xludf.DUMMYFUNCTION("""COMPUTED_VALUE"""),45642.64583333333)</f>
        <v>45642.64583</v>
      </c>
      <c r="B63" s="7">
        <f>IFERROR(__xludf.DUMMYFUNCTION("""COMPUTED_VALUE"""),300.95)</f>
        <v>300.95</v>
      </c>
      <c r="C63" s="7">
        <f>IFERROR(__xludf.DUMMYFUNCTION("""COMPUTED_VALUE"""),301.7)</f>
        <v>301.7</v>
      </c>
      <c r="D63" s="7">
        <f>IFERROR(__xludf.DUMMYFUNCTION("""COMPUTED_VALUE"""),295.8)</f>
        <v>295.8</v>
      </c>
      <c r="E63" s="7">
        <f>IFERROR(__xludf.DUMMYFUNCTION("""COMPUTED_VALUE"""),297.95)</f>
        <v>297.95</v>
      </c>
      <c r="F63" s="7">
        <f>IFERROR(__xludf.DUMMYFUNCTION("""COMPUTED_VALUE"""),8696443.0)</f>
        <v>8696443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f>IFERROR(__xludf.DUMMYFUNCTION("""COMPUTED_VALUE"""),45643.64583333333)</f>
        <v>45643.64583</v>
      </c>
      <c r="B64" s="7">
        <f>IFERROR(__xludf.DUMMYFUNCTION("""COMPUTED_VALUE"""),299.85)</f>
        <v>299.85</v>
      </c>
      <c r="C64" s="7">
        <f>IFERROR(__xludf.DUMMYFUNCTION("""COMPUTED_VALUE"""),299.85)</f>
        <v>299.85</v>
      </c>
      <c r="D64" s="7">
        <f>IFERROR(__xludf.DUMMYFUNCTION("""COMPUTED_VALUE"""),292.1)</f>
        <v>292.1</v>
      </c>
      <c r="E64" s="7">
        <f>IFERROR(__xludf.DUMMYFUNCTION("""COMPUTED_VALUE"""),293.0)</f>
        <v>293</v>
      </c>
      <c r="F64" s="7">
        <f>IFERROR(__xludf.DUMMYFUNCTION("""COMPUTED_VALUE"""),8415828.0)</f>
        <v>8415828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f>IFERROR(__xludf.DUMMYFUNCTION("""COMPUTED_VALUE"""),45644.64583333333)</f>
        <v>45644.64583</v>
      </c>
      <c r="B65" s="7">
        <f>IFERROR(__xludf.DUMMYFUNCTION("""COMPUTED_VALUE"""),291.75)</f>
        <v>291.75</v>
      </c>
      <c r="C65" s="7">
        <f>IFERROR(__xludf.DUMMYFUNCTION("""COMPUTED_VALUE"""),293.0)</f>
        <v>293</v>
      </c>
      <c r="D65" s="7">
        <f>IFERROR(__xludf.DUMMYFUNCTION("""COMPUTED_VALUE"""),287.65)</f>
        <v>287.65</v>
      </c>
      <c r="E65" s="7">
        <f>IFERROR(__xludf.DUMMYFUNCTION("""COMPUTED_VALUE"""),288.3)</f>
        <v>288.3</v>
      </c>
      <c r="F65" s="7">
        <f>IFERROR(__xludf.DUMMYFUNCTION("""COMPUTED_VALUE"""),6535229.0)</f>
        <v>6535229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f>IFERROR(__xludf.DUMMYFUNCTION("""COMPUTED_VALUE"""),45645.64583333333)</f>
        <v>45645.64583</v>
      </c>
      <c r="B66" s="7">
        <f>IFERROR(__xludf.DUMMYFUNCTION("""COMPUTED_VALUE"""),282.05)</f>
        <v>282.05</v>
      </c>
      <c r="C66" s="7">
        <f>IFERROR(__xludf.DUMMYFUNCTION("""COMPUTED_VALUE"""),295.85)</f>
        <v>295.85</v>
      </c>
      <c r="D66" s="7">
        <f>IFERROR(__xludf.DUMMYFUNCTION("""COMPUTED_VALUE"""),282.05)</f>
        <v>282.05</v>
      </c>
      <c r="E66" s="7">
        <f>IFERROR(__xludf.DUMMYFUNCTION("""COMPUTED_VALUE"""),294.55)</f>
        <v>294.55</v>
      </c>
      <c r="F66" s="7">
        <f>IFERROR(__xludf.DUMMYFUNCTION("""COMPUTED_VALUE"""),1.1822064E7)</f>
        <v>11822064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f>IFERROR(__xludf.DUMMYFUNCTION("""COMPUTED_VALUE"""),45646.64583333333)</f>
        <v>45646.64583</v>
      </c>
      <c r="B67" s="7">
        <f>IFERROR(__xludf.DUMMYFUNCTION("""COMPUTED_VALUE"""),293.55)</f>
        <v>293.55</v>
      </c>
      <c r="C67" s="7">
        <f>IFERROR(__xludf.DUMMYFUNCTION("""COMPUTED_VALUE"""),299.2)</f>
        <v>299.2</v>
      </c>
      <c r="D67" s="7">
        <f>IFERROR(__xludf.DUMMYFUNCTION("""COMPUTED_VALUE"""),287.0)</f>
        <v>287</v>
      </c>
      <c r="E67" s="7">
        <f>IFERROR(__xludf.DUMMYFUNCTION("""COMPUTED_VALUE"""),289.05)</f>
        <v>289.05</v>
      </c>
      <c r="F67" s="7">
        <f>IFERROR(__xludf.DUMMYFUNCTION("""COMPUTED_VALUE"""),9979749.0)</f>
        <v>9979749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f>IFERROR(__xludf.DUMMYFUNCTION("""COMPUTED_VALUE"""),45649.64583333333)</f>
        <v>45649.64583</v>
      </c>
      <c r="B68" s="7">
        <f>IFERROR(__xludf.DUMMYFUNCTION("""COMPUTED_VALUE"""),292.0)</f>
        <v>292</v>
      </c>
      <c r="C68" s="7">
        <f>IFERROR(__xludf.DUMMYFUNCTION("""COMPUTED_VALUE"""),294.9)</f>
        <v>294.9</v>
      </c>
      <c r="D68" s="7">
        <f>IFERROR(__xludf.DUMMYFUNCTION("""COMPUTED_VALUE"""),288.0)</f>
        <v>288</v>
      </c>
      <c r="E68" s="7">
        <f>IFERROR(__xludf.DUMMYFUNCTION("""COMPUTED_VALUE"""),289.1)</f>
        <v>289.1</v>
      </c>
      <c r="F68" s="7">
        <f>IFERROR(__xludf.DUMMYFUNCTION("""COMPUTED_VALUE"""),6819725.0)</f>
        <v>6819725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f>IFERROR(__xludf.DUMMYFUNCTION("""COMPUTED_VALUE"""),45650.64583333333)</f>
        <v>45650.64583</v>
      </c>
      <c r="B69" s="7">
        <f>IFERROR(__xludf.DUMMYFUNCTION("""COMPUTED_VALUE"""),289.95)</f>
        <v>289.95</v>
      </c>
      <c r="C69" s="7">
        <f>IFERROR(__xludf.DUMMYFUNCTION("""COMPUTED_VALUE"""),295.45)</f>
        <v>295.45</v>
      </c>
      <c r="D69" s="7">
        <f>IFERROR(__xludf.DUMMYFUNCTION("""COMPUTED_VALUE"""),287.35)</f>
        <v>287.35</v>
      </c>
      <c r="E69" s="7">
        <f>IFERROR(__xludf.DUMMYFUNCTION("""COMPUTED_VALUE"""),292.0)</f>
        <v>292</v>
      </c>
      <c r="F69" s="7">
        <f>IFERROR(__xludf.DUMMYFUNCTION("""COMPUTED_VALUE"""),7937629.0)</f>
        <v>7937629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f>IFERROR(__xludf.DUMMYFUNCTION("""COMPUTED_VALUE"""),45652.64583333333)</f>
        <v>45652.64583</v>
      </c>
      <c r="B70" s="7">
        <f>IFERROR(__xludf.DUMMYFUNCTION("""COMPUTED_VALUE"""),294.85)</f>
        <v>294.85</v>
      </c>
      <c r="C70" s="7">
        <f>IFERROR(__xludf.DUMMYFUNCTION("""COMPUTED_VALUE"""),299.3)</f>
        <v>299.3</v>
      </c>
      <c r="D70" s="7">
        <f>IFERROR(__xludf.DUMMYFUNCTION("""COMPUTED_VALUE"""),292.55)</f>
        <v>292.55</v>
      </c>
      <c r="E70" s="7">
        <f>IFERROR(__xludf.DUMMYFUNCTION("""COMPUTED_VALUE"""),295.6)</f>
        <v>295.6</v>
      </c>
      <c r="F70" s="7">
        <f>IFERROR(__xludf.DUMMYFUNCTION("""COMPUTED_VALUE"""),1.1310555E7)</f>
        <v>11310555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f>IFERROR(__xludf.DUMMYFUNCTION("""COMPUTED_VALUE"""),45653.64583333333)</f>
        <v>45653.64583</v>
      </c>
      <c r="B71" s="7">
        <f>IFERROR(__xludf.DUMMYFUNCTION("""COMPUTED_VALUE"""),295.05)</f>
        <v>295.05</v>
      </c>
      <c r="C71" s="7">
        <f>IFERROR(__xludf.DUMMYFUNCTION("""COMPUTED_VALUE"""),297.4)</f>
        <v>297.4</v>
      </c>
      <c r="D71" s="7">
        <f>IFERROR(__xludf.DUMMYFUNCTION("""COMPUTED_VALUE"""),292.5)</f>
        <v>292.5</v>
      </c>
      <c r="E71" s="7">
        <f>IFERROR(__xludf.DUMMYFUNCTION("""COMPUTED_VALUE"""),293.55)</f>
        <v>293.55</v>
      </c>
      <c r="F71" s="7">
        <f>IFERROR(__xludf.DUMMYFUNCTION("""COMPUTED_VALUE"""),3708404.0)</f>
        <v>3708404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f>IFERROR(__xludf.DUMMYFUNCTION("""COMPUTED_VALUE"""),45656.64583333333)</f>
        <v>45656.64583</v>
      </c>
      <c r="B72" s="7">
        <f>IFERROR(__xludf.DUMMYFUNCTION("""COMPUTED_VALUE"""),293.55)</f>
        <v>293.55</v>
      </c>
      <c r="C72" s="7">
        <f>IFERROR(__xludf.DUMMYFUNCTION("""COMPUTED_VALUE"""),295.25)</f>
        <v>295.25</v>
      </c>
      <c r="D72" s="7">
        <f>IFERROR(__xludf.DUMMYFUNCTION("""COMPUTED_VALUE"""),289.75)</f>
        <v>289.75</v>
      </c>
      <c r="E72" s="7">
        <f>IFERROR(__xludf.DUMMYFUNCTION("""COMPUTED_VALUE"""),293.3)</f>
        <v>293.3</v>
      </c>
      <c r="F72" s="7">
        <f>IFERROR(__xludf.DUMMYFUNCTION("""COMPUTED_VALUE"""),8236910.0)</f>
        <v>8236910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f>IFERROR(__xludf.DUMMYFUNCTION("""COMPUTED_VALUE"""),45657.64583333333)</f>
        <v>45657.64583</v>
      </c>
      <c r="B73" s="7">
        <f>IFERROR(__xludf.DUMMYFUNCTION("""COMPUTED_VALUE"""),291.45)</f>
        <v>291.45</v>
      </c>
      <c r="C73" s="7">
        <f>IFERROR(__xludf.DUMMYFUNCTION("""COMPUTED_VALUE"""),294.4)</f>
        <v>294.4</v>
      </c>
      <c r="D73" s="7">
        <f>IFERROR(__xludf.DUMMYFUNCTION("""COMPUTED_VALUE"""),290.8)</f>
        <v>290.8</v>
      </c>
      <c r="E73" s="7">
        <f>IFERROR(__xludf.DUMMYFUNCTION("""COMPUTED_VALUE"""),292.45)</f>
        <v>292.45</v>
      </c>
      <c r="F73" s="7">
        <f>IFERROR(__xludf.DUMMYFUNCTION("""COMPUTED_VALUE"""),4161509.0)</f>
        <v>4161509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f>IFERROR(__xludf.DUMMYFUNCTION("""COMPUTED_VALUE"""),45658.64583333333)</f>
        <v>45658.64583</v>
      </c>
      <c r="B74" s="7">
        <f>IFERROR(__xludf.DUMMYFUNCTION("""COMPUTED_VALUE"""),292.3)</f>
        <v>292.3</v>
      </c>
      <c r="C74" s="7">
        <f>IFERROR(__xludf.DUMMYFUNCTION("""COMPUTED_VALUE"""),295.9)</f>
        <v>295.9</v>
      </c>
      <c r="D74" s="7">
        <f>IFERROR(__xludf.DUMMYFUNCTION("""COMPUTED_VALUE"""),290.3)</f>
        <v>290.3</v>
      </c>
      <c r="E74" s="7">
        <f>IFERROR(__xludf.DUMMYFUNCTION("""COMPUTED_VALUE"""),295.3)</f>
        <v>295.3</v>
      </c>
      <c r="F74" s="7">
        <f>IFERROR(__xludf.DUMMYFUNCTION("""COMPUTED_VALUE"""),3545200.0)</f>
        <v>3545200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f>IFERROR(__xludf.DUMMYFUNCTION("""COMPUTED_VALUE"""),45659.64583333333)</f>
        <v>45659.64583</v>
      </c>
      <c r="B75" s="7">
        <f>IFERROR(__xludf.DUMMYFUNCTION("""COMPUTED_VALUE"""),295.3)</f>
        <v>295.3</v>
      </c>
      <c r="C75" s="7">
        <f>IFERROR(__xludf.DUMMYFUNCTION("""COMPUTED_VALUE"""),297.7)</f>
        <v>297.7</v>
      </c>
      <c r="D75" s="7">
        <f>IFERROR(__xludf.DUMMYFUNCTION("""COMPUTED_VALUE"""),291.8)</f>
        <v>291.8</v>
      </c>
      <c r="E75" s="7">
        <f>IFERROR(__xludf.DUMMYFUNCTION("""COMPUTED_VALUE"""),296.9)</f>
        <v>296.9</v>
      </c>
      <c r="F75" s="7">
        <f>IFERROR(__xludf.DUMMYFUNCTION("""COMPUTED_VALUE"""),6846413.0)</f>
        <v>6846413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f>IFERROR(__xludf.DUMMYFUNCTION("""COMPUTED_VALUE"""),45660.64583333333)</f>
        <v>45660.64583</v>
      </c>
      <c r="B76" s="7">
        <f>IFERROR(__xludf.DUMMYFUNCTION("""COMPUTED_VALUE"""),296.0)</f>
        <v>296</v>
      </c>
      <c r="C76" s="7">
        <f>IFERROR(__xludf.DUMMYFUNCTION("""COMPUTED_VALUE"""),299.15)</f>
        <v>299.15</v>
      </c>
      <c r="D76" s="7">
        <f>IFERROR(__xludf.DUMMYFUNCTION("""COMPUTED_VALUE"""),294.35)</f>
        <v>294.35</v>
      </c>
      <c r="E76" s="7">
        <f>IFERROR(__xludf.DUMMYFUNCTION("""COMPUTED_VALUE"""),296.4)</f>
        <v>296.4</v>
      </c>
      <c r="F76" s="7">
        <f>IFERROR(__xludf.DUMMYFUNCTION("""COMPUTED_VALUE"""),4806469.0)</f>
        <v>4806469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f>IFERROR(__xludf.DUMMYFUNCTION("""COMPUTED_VALUE"""),45663.64583333333)</f>
        <v>45663.64583</v>
      </c>
      <c r="B77" s="7">
        <f>IFERROR(__xludf.DUMMYFUNCTION("""COMPUTED_VALUE"""),296.4)</f>
        <v>296.4</v>
      </c>
      <c r="C77" s="7">
        <f>IFERROR(__xludf.DUMMYFUNCTION("""COMPUTED_VALUE"""),297.25)</f>
        <v>297.25</v>
      </c>
      <c r="D77" s="7">
        <f>IFERROR(__xludf.DUMMYFUNCTION("""COMPUTED_VALUE"""),284.1)</f>
        <v>284.1</v>
      </c>
      <c r="E77" s="7">
        <f>IFERROR(__xludf.DUMMYFUNCTION("""COMPUTED_VALUE"""),284.85)</f>
        <v>284.85</v>
      </c>
      <c r="F77" s="7">
        <f>IFERROR(__xludf.DUMMYFUNCTION("""COMPUTED_VALUE"""),7361716.0)</f>
        <v>7361716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f>IFERROR(__xludf.DUMMYFUNCTION("""COMPUTED_VALUE"""),45664.64583333333)</f>
        <v>45664.64583</v>
      </c>
      <c r="B78" s="7">
        <f>IFERROR(__xludf.DUMMYFUNCTION("""COMPUTED_VALUE"""),287.1)</f>
        <v>287.1</v>
      </c>
      <c r="C78" s="7">
        <f>IFERROR(__xludf.DUMMYFUNCTION("""COMPUTED_VALUE"""),290.5)</f>
        <v>290.5</v>
      </c>
      <c r="D78" s="7">
        <f>IFERROR(__xludf.DUMMYFUNCTION("""COMPUTED_VALUE"""),280.7)</f>
        <v>280.7</v>
      </c>
      <c r="E78" s="7">
        <f>IFERROR(__xludf.DUMMYFUNCTION("""COMPUTED_VALUE"""),282.8)</f>
        <v>282.8</v>
      </c>
      <c r="F78" s="7">
        <f>IFERROR(__xludf.DUMMYFUNCTION("""COMPUTED_VALUE"""),8306436.0)</f>
        <v>8306436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f>IFERROR(__xludf.DUMMYFUNCTION("""COMPUTED_VALUE"""),45665.64583333333)</f>
        <v>45665.64583</v>
      </c>
      <c r="B79" s="7">
        <f>IFERROR(__xludf.DUMMYFUNCTION("""COMPUTED_VALUE"""),282.8)</f>
        <v>282.8</v>
      </c>
      <c r="C79" s="7">
        <f>IFERROR(__xludf.DUMMYFUNCTION("""COMPUTED_VALUE"""),287.9)</f>
        <v>287.9</v>
      </c>
      <c r="D79" s="7">
        <f>IFERROR(__xludf.DUMMYFUNCTION("""COMPUTED_VALUE"""),280.5)</f>
        <v>280.5</v>
      </c>
      <c r="E79" s="7">
        <f>IFERROR(__xludf.DUMMYFUNCTION("""COMPUTED_VALUE"""),286.8)</f>
        <v>286.8</v>
      </c>
      <c r="F79" s="7">
        <f>IFERROR(__xludf.DUMMYFUNCTION("""COMPUTED_VALUE"""),6037032.0)</f>
        <v>6037032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f>IFERROR(__xludf.DUMMYFUNCTION("""COMPUTED_VALUE"""),45666.64583333333)</f>
        <v>45666.64583</v>
      </c>
      <c r="B80" s="7">
        <f>IFERROR(__xludf.DUMMYFUNCTION("""COMPUTED_VALUE"""),287.0)</f>
        <v>287</v>
      </c>
      <c r="C80" s="7">
        <f>IFERROR(__xludf.DUMMYFUNCTION("""COMPUTED_VALUE"""),287.85)</f>
        <v>287.85</v>
      </c>
      <c r="D80" s="7">
        <f>IFERROR(__xludf.DUMMYFUNCTION("""COMPUTED_VALUE"""),279.05)</f>
        <v>279.05</v>
      </c>
      <c r="E80" s="7">
        <f>IFERROR(__xludf.DUMMYFUNCTION("""COMPUTED_VALUE"""),280.0)</f>
        <v>280</v>
      </c>
      <c r="F80" s="7">
        <f>IFERROR(__xludf.DUMMYFUNCTION("""COMPUTED_VALUE"""),6215902.0)</f>
        <v>6215902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f>IFERROR(__xludf.DUMMYFUNCTION("""COMPUTED_VALUE"""),45667.64583333333)</f>
        <v>45667.64583</v>
      </c>
      <c r="B81" s="7">
        <f>IFERROR(__xludf.DUMMYFUNCTION("""COMPUTED_VALUE"""),280.5)</f>
        <v>280.5</v>
      </c>
      <c r="C81" s="7">
        <f>IFERROR(__xludf.DUMMYFUNCTION("""COMPUTED_VALUE"""),283.5)</f>
        <v>283.5</v>
      </c>
      <c r="D81" s="7">
        <f>IFERROR(__xludf.DUMMYFUNCTION("""COMPUTED_VALUE"""),275.6)</f>
        <v>275.6</v>
      </c>
      <c r="E81" s="7">
        <f>IFERROR(__xludf.DUMMYFUNCTION("""COMPUTED_VALUE"""),277.65)</f>
        <v>277.65</v>
      </c>
      <c r="F81" s="7">
        <f>IFERROR(__xludf.DUMMYFUNCTION("""COMPUTED_VALUE"""),9073218.0)</f>
        <v>9073218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f>IFERROR(__xludf.DUMMYFUNCTION("""COMPUTED_VALUE"""),45670.64583333333)</f>
        <v>45670.64583</v>
      </c>
      <c r="B82" s="7">
        <f>IFERROR(__xludf.DUMMYFUNCTION("""COMPUTED_VALUE"""),271.25)</f>
        <v>271.25</v>
      </c>
      <c r="C82" s="7">
        <f>IFERROR(__xludf.DUMMYFUNCTION("""COMPUTED_VALUE"""),274.7)</f>
        <v>274.7</v>
      </c>
      <c r="D82" s="7">
        <f>IFERROR(__xludf.DUMMYFUNCTION("""COMPUTED_VALUE"""),264.25)</f>
        <v>264.25</v>
      </c>
      <c r="E82" s="7">
        <f>IFERROR(__xludf.DUMMYFUNCTION("""COMPUTED_VALUE"""),265.3)</f>
        <v>265.3</v>
      </c>
      <c r="F82" s="7">
        <f>IFERROR(__xludf.DUMMYFUNCTION("""COMPUTED_VALUE"""),1.0488655E7)</f>
        <v>10488655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f>IFERROR(__xludf.DUMMYFUNCTION("""COMPUTED_VALUE"""),45671.64583333333)</f>
        <v>45671.64583</v>
      </c>
      <c r="B83" s="7">
        <f>IFERROR(__xludf.DUMMYFUNCTION("""COMPUTED_VALUE"""),267.1)</f>
        <v>267.1</v>
      </c>
      <c r="C83" s="7">
        <f>IFERROR(__xludf.DUMMYFUNCTION("""COMPUTED_VALUE"""),271.5)</f>
        <v>271.5</v>
      </c>
      <c r="D83" s="7">
        <f>IFERROR(__xludf.DUMMYFUNCTION("""COMPUTED_VALUE"""),266.0)</f>
        <v>266</v>
      </c>
      <c r="E83" s="7">
        <f>IFERROR(__xludf.DUMMYFUNCTION("""COMPUTED_VALUE"""),270.2)</f>
        <v>270.2</v>
      </c>
      <c r="F83" s="7">
        <f>IFERROR(__xludf.DUMMYFUNCTION("""COMPUTED_VALUE"""),6710730.0)</f>
        <v>6710730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f>IFERROR(__xludf.DUMMYFUNCTION("""COMPUTED_VALUE"""),45672.64583333333)</f>
        <v>45672.64583</v>
      </c>
      <c r="B84" s="7">
        <f>IFERROR(__xludf.DUMMYFUNCTION("""COMPUTED_VALUE"""),273.9)</f>
        <v>273.9</v>
      </c>
      <c r="C84" s="7">
        <f>IFERROR(__xludf.DUMMYFUNCTION("""COMPUTED_VALUE"""),275.9)</f>
        <v>275.9</v>
      </c>
      <c r="D84" s="7">
        <f>IFERROR(__xludf.DUMMYFUNCTION("""COMPUTED_VALUE"""),265.25)</f>
        <v>265.25</v>
      </c>
      <c r="E84" s="7">
        <f>IFERROR(__xludf.DUMMYFUNCTION("""COMPUTED_VALUE"""),267.0)</f>
        <v>267</v>
      </c>
      <c r="F84" s="7">
        <f>IFERROR(__xludf.DUMMYFUNCTION("""COMPUTED_VALUE"""),1.3448052E7)</f>
        <v>13448052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f>IFERROR(__xludf.DUMMYFUNCTION("""COMPUTED_VALUE"""),45673.64583333333)</f>
        <v>45673.64583</v>
      </c>
      <c r="B85" s="7">
        <f>IFERROR(__xludf.DUMMYFUNCTION("""COMPUTED_VALUE"""),267.35)</f>
        <v>267.35</v>
      </c>
      <c r="C85" s="7">
        <f>IFERROR(__xludf.DUMMYFUNCTION("""COMPUTED_VALUE"""),268.95)</f>
        <v>268.95</v>
      </c>
      <c r="D85" s="7">
        <f>IFERROR(__xludf.DUMMYFUNCTION("""COMPUTED_VALUE"""),263.5)</f>
        <v>263.5</v>
      </c>
      <c r="E85" s="7">
        <f>IFERROR(__xludf.DUMMYFUNCTION("""COMPUTED_VALUE"""),266.9)</f>
        <v>266.9</v>
      </c>
      <c r="F85" s="7">
        <f>IFERROR(__xludf.DUMMYFUNCTION("""COMPUTED_VALUE"""),1.3754046E7)</f>
        <v>13754046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f>IFERROR(__xludf.DUMMYFUNCTION("""COMPUTED_VALUE"""),45674.64583333333)</f>
        <v>45674.64583</v>
      </c>
      <c r="B86" s="7">
        <f>IFERROR(__xludf.DUMMYFUNCTION("""COMPUTED_VALUE"""),268.8)</f>
        <v>268.8</v>
      </c>
      <c r="C86" s="7">
        <f>IFERROR(__xludf.DUMMYFUNCTION("""COMPUTED_VALUE"""),275.2)</f>
        <v>275.2</v>
      </c>
      <c r="D86" s="7">
        <f>IFERROR(__xludf.DUMMYFUNCTION("""COMPUTED_VALUE"""),267.25)</f>
        <v>267.25</v>
      </c>
      <c r="E86" s="7">
        <f>IFERROR(__xludf.DUMMYFUNCTION("""COMPUTED_VALUE"""),273.6)</f>
        <v>273.6</v>
      </c>
      <c r="F86" s="7">
        <f>IFERROR(__xludf.DUMMYFUNCTION("""COMPUTED_VALUE"""),9300647.0)</f>
        <v>9300647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f>IFERROR(__xludf.DUMMYFUNCTION("""COMPUTED_VALUE"""),45677.64583333333)</f>
        <v>45677.64583</v>
      </c>
      <c r="B87" s="7">
        <f>IFERROR(__xludf.DUMMYFUNCTION("""COMPUTED_VALUE"""),275.0)</f>
        <v>275</v>
      </c>
      <c r="C87" s="7">
        <f>IFERROR(__xludf.DUMMYFUNCTION("""COMPUTED_VALUE"""),278.4)</f>
        <v>278.4</v>
      </c>
      <c r="D87" s="7">
        <f>IFERROR(__xludf.DUMMYFUNCTION("""COMPUTED_VALUE"""),268.8)</f>
        <v>268.8</v>
      </c>
      <c r="E87" s="7">
        <f>IFERROR(__xludf.DUMMYFUNCTION("""COMPUTED_VALUE"""),277.3)</f>
        <v>277.3</v>
      </c>
      <c r="F87" s="7">
        <f>IFERROR(__xludf.DUMMYFUNCTION("""COMPUTED_VALUE"""),9623368.0)</f>
        <v>9623368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f>IFERROR(__xludf.DUMMYFUNCTION("""COMPUTED_VALUE"""),45678.64583333333)</f>
        <v>45678.64583</v>
      </c>
      <c r="B88" s="7">
        <f>IFERROR(__xludf.DUMMYFUNCTION("""COMPUTED_VALUE"""),278.55)</f>
        <v>278.55</v>
      </c>
      <c r="C88" s="7">
        <f>IFERROR(__xludf.DUMMYFUNCTION("""COMPUTED_VALUE"""),287.0)</f>
        <v>287</v>
      </c>
      <c r="D88" s="7">
        <f>IFERROR(__xludf.DUMMYFUNCTION("""COMPUTED_VALUE"""),278.15)</f>
        <v>278.15</v>
      </c>
      <c r="E88" s="7">
        <f>IFERROR(__xludf.DUMMYFUNCTION("""COMPUTED_VALUE"""),280.2)</f>
        <v>280.2</v>
      </c>
      <c r="F88" s="7">
        <f>IFERROR(__xludf.DUMMYFUNCTION("""COMPUTED_VALUE"""),1.5304149E7)</f>
        <v>15304149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f>IFERROR(__xludf.DUMMYFUNCTION("""COMPUTED_VALUE"""),45679.64583333333)</f>
        <v>45679.64583</v>
      </c>
      <c r="B89" s="7">
        <f>IFERROR(__xludf.DUMMYFUNCTION("""COMPUTED_VALUE"""),282.0)</f>
        <v>282</v>
      </c>
      <c r="C89" s="7">
        <f>IFERROR(__xludf.DUMMYFUNCTION("""COMPUTED_VALUE"""),283.55)</f>
        <v>283.55</v>
      </c>
      <c r="D89" s="7">
        <f>IFERROR(__xludf.DUMMYFUNCTION("""COMPUTED_VALUE"""),274.05)</f>
        <v>274.05</v>
      </c>
      <c r="E89" s="7">
        <f>IFERROR(__xludf.DUMMYFUNCTION("""COMPUTED_VALUE"""),277.6)</f>
        <v>277.6</v>
      </c>
      <c r="F89" s="7">
        <f>IFERROR(__xludf.DUMMYFUNCTION("""COMPUTED_VALUE"""),6301894.0)</f>
        <v>6301894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f>IFERROR(__xludf.DUMMYFUNCTION("""COMPUTED_VALUE"""),45680.64583333333)</f>
        <v>45680.64583</v>
      </c>
      <c r="B90" s="7">
        <f>IFERROR(__xludf.DUMMYFUNCTION("""COMPUTED_VALUE"""),283.0)</f>
        <v>283</v>
      </c>
      <c r="C90" s="7">
        <f>IFERROR(__xludf.DUMMYFUNCTION("""COMPUTED_VALUE"""),285.0)</f>
        <v>285</v>
      </c>
      <c r="D90" s="7">
        <f>IFERROR(__xludf.DUMMYFUNCTION("""COMPUTED_VALUE"""),270.3)</f>
        <v>270.3</v>
      </c>
      <c r="E90" s="7">
        <f>IFERROR(__xludf.DUMMYFUNCTION("""COMPUTED_VALUE"""),271.25)</f>
        <v>271.25</v>
      </c>
      <c r="F90" s="7">
        <f>IFERROR(__xludf.DUMMYFUNCTION("""COMPUTED_VALUE"""),1.8806324E7)</f>
        <v>18806324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f>IFERROR(__xludf.DUMMYFUNCTION("""COMPUTED_VALUE"""),45681.64583333333)</f>
        <v>45681.64583</v>
      </c>
      <c r="B91" s="7">
        <f>IFERROR(__xludf.DUMMYFUNCTION("""COMPUTED_VALUE"""),274.0)</f>
        <v>274</v>
      </c>
      <c r="C91" s="7">
        <f>IFERROR(__xludf.DUMMYFUNCTION("""COMPUTED_VALUE"""),279.4)</f>
        <v>279.4</v>
      </c>
      <c r="D91" s="7">
        <f>IFERROR(__xludf.DUMMYFUNCTION("""COMPUTED_VALUE"""),263.0)</f>
        <v>263</v>
      </c>
      <c r="E91" s="7">
        <f>IFERROR(__xludf.DUMMYFUNCTION("""COMPUTED_VALUE"""),263.8)</f>
        <v>263.8</v>
      </c>
      <c r="F91" s="7">
        <f>IFERROR(__xludf.DUMMYFUNCTION("""COMPUTED_VALUE"""),1.8480516E7)</f>
        <v>18480516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f>IFERROR(__xludf.DUMMYFUNCTION("""COMPUTED_VALUE"""),45684.64583333333)</f>
        <v>45684.64583</v>
      </c>
      <c r="B92" s="7">
        <f>IFERROR(__xludf.DUMMYFUNCTION("""COMPUTED_VALUE"""),263.7)</f>
        <v>263.7</v>
      </c>
      <c r="C92" s="7">
        <f>IFERROR(__xludf.DUMMYFUNCTION("""COMPUTED_VALUE"""),263.7)</f>
        <v>263.7</v>
      </c>
      <c r="D92" s="7">
        <f>IFERROR(__xludf.DUMMYFUNCTION("""COMPUTED_VALUE"""),258.35)</f>
        <v>258.35</v>
      </c>
      <c r="E92" s="7">
        <f>IFERROR(__xludf.DUMMYFUNCTION("""COMPUTED_VALUE"""),261.3)</f>
        <v>261.3</v>
      </c>
      <c r="F92" s="7">
        <f>IFERROR(__xludf.DUMMYFUNCTION("""COMPUTED_VALUE"""),1.0083126E7)</f>
        <v>10083126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f>IFERROR(__xludf.DUMMYFUNCTION("""COMPUTED_VALUE"""),45685.64583333333)</f>
        <v>45685.64583</v>
      </c>
      <c r="B93" s="7">
        <f>IFERROR(__xludf.DUMMYFUNCTION("""COMPUTED_VALUE"""),262.25)</f>
        <v>262.25</v>
      </c>
      <c r="C93" s="7">
        <f>IFERROR(__xludf.DUMMYFUNCTION("""COMPUTED_VALUE"""),263.9)</f>
        <v>263.9</v>
      </c>
      <c r="D93" s="7">
        <f>IFERROR(__xludf.DUMMYFUNCTION("""COMPUTED_VALUE"""),254.3)</f>
        <v>254.3</v>
      </c>
      <c r="E93" s="7">
        <f>IFERROR(__xludf.DUMMYFUNCTION("""COMPUTED_VALUE"""),258.05)</f>
        <v>258.05</v>
      </c>
      <c r="F93" s="7">
        <f>IFERROR(__xludf.DUMMYFUNCTION("""COMPUTED_VALUE"""),1.3321189E7)</f>
        <v>13321189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f>IFERROR(__xludf.DUMMYFUNCTION("""COMPUTED_VALUE"""),45686.64583333333)</f>
        <v>45686.64583</v>
      </c>
      <c r="B94" s="7">
        <f>IFERROR(__xludf.DUMMYFUNCTION("""COMPUTED_VALUE"""),256.95)</f>
        <v>256.95</v>
      </c>
      <c r="C94" s="7">
        <f>IFERROR(__xludf.DUMMYFUNCTION("""COMPUTED_VALUE"""),257.95)</f>
        <v>257.95</v>
      </c>
      <c r="D94" s="7">
        <f>IFERROR(__xludf.DUMMYFUNCTION("""COMPUTED_VALUE"""),251.5)</f>
        <v>251.5</v>
      </c>
      <c r="E94" s="7">
        <f>IFERROR(__xludf.DUMMYFUNCTION("""COMPUTED_VALUE"""),257.0)</f>
        <v>257</v>
      </c>
      <c r="F94" s="7">
        <f>IFERROR(__xludf.DUMMYFUNCTION("""COMPUTED_VALUE"""),9435973.0)</f>
        <v>9435973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f>IFERROR(__xludf.DUMMYFUNCTION("""COMPUTED_VALUE"""),45687.64583333333)</f>
        <v>45687.64583</v>
      </c>
      <c r="B95" s="7">
        <f>IFERROR(__xludf.DUMMYFUNCTION("""COMPUTED_VALUE"""),259.9)</f>
        <v>259.9</v>
      </c>
      <c r="C95" s="7">
        <f>IFERROR(__xludf.DUMMYFUNCTION("""COMPUTED_VALUE"""),260.9)</f>
        <v>260.9</v>
      </c>
      <c r="D95" s="7">
        <f>IFERROR(__xludf.DUMMYFUNCTION("""COMPUTED_VALUE"""),256.5)</f>
        <v>256.5</v>
      </c>
      <c r="E95" s="7">
        <f>IFERROR(__xludf.DUMMYFUNCTION("""COMPUTED_VALUE"""),257.15)</f>
        <v>257.15</v>
      </c>
      <c r="F95" s="7">
        <f>IFERROR(__xludf.DUMMYFUNCTION("""COMPUTED_VALUE"""),9410974.0)</f>
        <v>9410974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f>IFERROR(__xludf.DUMMYFUNCTION("""COMPUTED_VALUE"""),45688.64583333333)</f>
        <v>45688.64583</v>
      </c>
      <c r="B96" s="7">
        <f>IFERROR(__xludf.DUMMYFUNCTION("""COMPUTED_VALUE"""),257.9)</f>
        <v>257.9</v>
      </c>
      <c r="C96" s="7">
        <f>IFERROR(__xludf.DUMMYFUNCTION("""COMPUTED_VALUE"""),262.0)</f>
        <v>262</v>
      </c>
      <c r="D96" s="7">
        <f>IFERROR(__xludf.DUMMYFUNCTION("""COMPUTED_VALUE"""),254.25)</f>
        <v>254.25</v>
      </c>
      <c r="E96" s="7">
        <f>IFERROR(__xludf.DUMMYFUNCTION("""COMPUTED_VALUE"""),261.1)</f>
        <v>261.1</v>
      </c>
      <c r="F96" s="7">
        <f>IFERROR(__xludf.DUMMYFUNCTION("""COMPUTED_VALUE"""),8790578.0)</f>
        <v>8790578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f>IFERROR(__xludf.DUMMYFUNCTION("""COMPUTED_VALUE"""),45691.64583333333)</f>
        <v>45691.64583</v>
      </c>
      <c r="B97" s="7">
        <f>IFERROR(__xludf.DUMMYFUNCTION("""COMPUTED_VALUE"""),250.95)</f>
        <v>250.95</v>
      </c>
      <c r="C97" s="7">
        <f>IFERROR(__xludf.DUMMYFUNCTION("""COMPUTED_VALUE"""),251.8)</f>
        <v>251.8</v>
      </c>
      <c r="D97" s="7">
        <f>IFERROR(__xludf.DUMMYFUNCTION("""COMPUTED_VALUE"""),242.2)</f>
        <v>242.2</v>
      </c>
      <c r="E97" s="7">
        <f>IFERROR(__xludf.DUMMYFUNCTION("""COMPUTED_VALUE"""),249.55)</f>
        <v>249.55</v>
      </c>
      <c r="F97" s="7">
        <f>IFERROR(__xludf.DUMMYFUNCTION("""COMPUTED_VALUE"""),2.1517136E7)</f>
        <v>21517136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f>IFERROR(__xludf.DUMMYFUNCTION("""COMPUTED_VALUE"""),45692.64583333333)</f>
        <v>45692.64583</v>
      </c>
      <c r="B98" s="7">
        <f>IFERROR(__xludf.DUMMYFUNCTION("""COMPUTED_VALUE"""),250.65)</f>
        <v>250.65</v>
      </c>
      <c r="C98" s="7">
        <f>IFERROR(__xludf.DUMMYFUNCTION("""COMPUTED_VALUE"""),256.65)</f>
        <v>256.65</v>
      </c>
      <c r="D98" s="7">
        <f>IFERROR(__xludf.DUMMYFUNCTION("""COMPUTED_VALUE"""),250.2)</f>
        <v>250.2</v>
      </c>
      <c r="E98" s="7">
        <f>IFERROR(__xludf.DUMMYFUNCTION("""COMPUTED_VALUE"""),255.95)</f>
        <v>255.95</v>
      </c>
      <c r="F98" s="7">
        <f>IFERROR(__xludf.DUMMYFUNCTION("""COMPUTED_VALUE"""),7000612.0)</f>
        <v>7000612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f>IFERROR(__xludf.DUMMYFUNCTION("""COMPUTED_VALUE"""),45693.64583333333)</f>
        <v>45693.64583</v>
      </c>
      <c r="B99" s="7">
        <f>IFERROR(__xludf.DUMMYFUNCTION("""COMPUTED_VALUE"""),260.25)</f>
        <v>260.25</v>
      </c>
      <c r="C99" s="7">
        <f>IFERROR(__xludf.DUMMYFUNCTION("""COMPUTED_VALUE"""),265.65)</f>
        <v>265.65</v>
      </c>
      <c r="D99" s="7">
        <f>IFERROR(__xludf.DUMMYFUNCTION("""COMPUTED_VALUE"""),260.25)</f>
        <v>260.25</v>
      </c>
      <c r="E99" s="7">
        <f>IFERROR(__xludf.DUMMYFUNCTION("""COMPUTED_VALUE"""),261.25)</f>
        <v>261.25</v>
      </c>
      <c r="F99" s="7">
        <f>IFERROR(__xludf.DUMMYFUNCTION("""COMPUTED_VALUE"""),1.0088345E7)</f>
        <v>10088345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f>IFERROR(__xludf.DUMMYFUNCTION("""COMPUTED_VALUE"""),45694.64583333333)</f>
        <v>45694.64583</v>
      </c>
      <c r="B100" s="7">
        <f>IFERROR(__xludf.DUMMYFUNCTION("""COMPUTED_VALUE"""),263.0)</f>
        <v>263</v>
      </c>
      <c r="C100" s="7">
        <f>IFERROR(__xludf.DUMMYFUNCTION("""COMPUTED_VALUE"""),267.2)</f>
        <v>267.2</v>
      </c>
      <c r="D100" s="7">
        <f>IFERROR(__xludf.DUMMYFUNCTION("""COMPUTED_VALUE"""),261.65)</f>
        <v>261.65</v>
      </c>
      <c r="E100" s="7">
        <f>IFERROR(__xludf.DUMMYFUNCTION("""COMPUTED_VALUE"""),262.55)</f>
        <v>262.55</v>
      </c>
      <c r="F100" s="7">
        <f>IFERROR(__xludf.DUMMYFUNCTION("""COMPUTED_VALUE"""),1.4058587E7)</f>
        <v>14058587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f>IFERROR(__xludf.DUMMYFUNCTION("""COMPUTED_VALUE"""),45695.64583333333)</f>
        <v>45695.64583</v>
      </c>
      <c r="B101" s="7">
        <f>IFERROR(__xludf.DUMMYFUNCTION("""COMPUTED_VALUE"""),262.1)</f>
        <v>262.1</v>
      </c>
      <c r="C101" s="7">
        <f>IFERROR(__xludf.DUMMYFUNCTION("""COMPUTED_VALUE"""),264.9)</f>
        <v>264.9</v>
      </c>
      <c r="D101" s="7">
        <f>IFERROR(__xludf.DUMMYFUNCTION("""COMPUTED_VALUE"""),260.05)</f>
        <v>260.05</v>
      </c>
      <c r="E101" s="7">
        <f>IFERROR(__xludf.DUMMYFUNCTION("""COMPUTED_VALUE"""),264.3)</f>
        <v>264.3</v>
      </c>
      <c r="F101" s="7">
        <f>IFERROR(__xludf.DUMMYFUNCTION("""COMPUTED_VALUE"""),6557480.0)</f>
        <v>6557480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f>IFERROR(__xludf.DUMMYFUNCTION("""COMPUTED_VALUE"""),45698.64583333333)</f>
        <v>45698.64583</v>
      </c>
      <c r="B102" s="7">
        <f>IFERROR(__xludf.DUMMYFUNCTION("""COMPUTED_VALUE"""),264.55)</f>
        <v>264.55</v>
      </c>
      <c r="C102" s="7">
        <f>IFERROR(__xludf.DUMMYFUNCTION("""COMPUTED_VALUE"""),265.8)</f>
        <v>265.8</v>
      </c>
      <c r="D102" s="7">
        <f>IFERROR(__xludf.DUMMYFUNCTION("""COMPUTED_VALUE"""),257.5)</f>
        <v>257.5</v>
      </c>
      <c r="E102" s="7">
        <f>IFERROR(__xludf.DUMMYFUNCTION("""COMPUTED_VALUE"""),259.9)</f>
        <v>259.9</v>
      </c>
      <c r="F102" s="7">
        <f>IFERROR(__xludf.DUMMYFUNCTION("""COMPUTED_VALUE"""),8052376.0)</f>
        <v>8052376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f>IFERROR(__xludf.DUMMYFUNCTION("""COMPUTED_VALUE"""),45699.64583333333)</f>
        <v>45699.64583</v>
      </c>
      <c r="B103" s="7">
        <f>IFERROR(__xludf.DUMMYFUNCTION("""COMPUTED_VALUE"""),259.5)</f>
        <v>259.5</v>
      </c>
      <c r="C103" s="7">
        <f>IFERROR(__xludf.DUMMYFUNCTION("""COMPUTED_VALUE"""),259.75)</f>
        <v>259.75</v>
      </c>
      <c r="D103" s="7">
        <f>IFERROR(__xludf.DUMMYFUNCTION("""COMPUTED_VALUE"""),253.75)</f>
        <v>253.75</v>
      </c>
      <c r="E103" s="7">
        <f>IFERROR(__xludf.DUMMYFUNCTION("""COMPUTED_VALUE"""),255.15)</f>
        <v>255.15</v>
      </c>
      <c r="F103" s="7">
        <f>IFERROR(__xludf.DUMMYFUNCTION("""COMPUTED_VALUE"""),6819100.0)</f>
        <v>6819100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f>IFERROR(__xludf.DUMMYFUNCTION("""COMPUTED_VALUE"""),45700.64583333333)</f>
        <v>45700.64583</v>
      </c>
      <c r="B104" s="7">
        <f>IFERROR(__xludf.DUMMYFUNCTION("""COMPUTED_VALUE"""),255.15)</f>
        <v>255.15</v>
      </c>
      <c r="C104" s="7">
        <f>IFERROR(__xludf.DUMMYFUNCTION("""COMPUTED_VALUE"""),256.8)</f>
        <v>256.8</v>
      </c>
      <c r="D104" s="7">
        <f>IFERROR(__xludf.DUMMYFUNCTION("""COMPUTED_VALUE"""),249.05)</f>
        <v>249.05</v>
      </c>
      <c r="E104" s="7">
        <f>IFERROR(__xludf.DUMMYFUNCTION("""COMPUTED_VALUE"""),255.6)</f>
        <v>255.6</v>
      </c>
      <c r="F104" s="7">
        <f>IFERROR(__xludf.DUMMYFUNCTION("""COMPUTED_VALUE"""),6568833.0)</f>
        <v>6568833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f>IFERROR(__xludf.DUMMYFUNCTION("""COMPUTED_VALUE"""),45701.64583333333)</f>
        <v>45701.64583</v>
      </c>
      <c r="B105" s="7">
        <f>IFERROR(__xludf.DUMMYFUNCTION("""COMPUTED_VALUE"""),256.2)</f>
        <v>256.2</v>
      </c>
      <c r="C105" s="7">
        <f>IFERROR(__xludf.DUMMYFUNCTION("""COMPUTED_VALUE"""),260.1)</f>
        <v>260.1</v>
      </c>
      <c r="D105" s="7">
        <f>IFERROR(__xludf.DUMMYFUNCTION("""COMPUTED_VALUE"""),255.0)</f>
        <v>255</v>
      </c>
      <c r="E105" s="7">
        <f>IFERROR(__xludf.DUMMYFUNCTION("""COMPUTED_VALUE"""),255.75)</f>
        <v>255.75</v>
      </c>
      <c r="F105" s="7">
        <f>IFERROR(__xludf.DUMMYFUNCTION("""COMPUTED_VALUE"""),5514711.0)</f>
        <v>5514711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f>IFERROR(__xludf.DUMMYFUNCTION("""COMPUTED_VALUE"""),45702.64583333333)</f>
        <v>45702.64583</v>
      </c>
      <c r="B106" s="7">
        <f>IFERROR(__xludf.DUMMYFUNCTION("""COMPUTED_VALUE"""),256.4)</f>
        <v>256.4</v>
      </c>
      <c r="C106" s="7">
        <f>IFERROR(__xludf.DUMMYFUNCTION("""COMPUTED_VALUE"""),258.6)</f>
        <v>258.6</v>
      </c>
      <c r="D106" s="7">
        <f>IFERROR(__xludf.DUMMYFUNCTION("""COMPUTED_VALUE"""),247.45)</f>
        <v>247.45</v>
      </c>
      <c r="E106" s="7">
        <f>IFERROR(__xludf.DUMMYFUNCTION("""COMPUTED_VALUE"""),251.0)</f>
        <v>251</v>
      </c>
      <c r="F106" s="7">
        <f>IFERROR(__xludf.DUMMYFUNCTION("""COMPUTED_VALUE"""),5205573.0)</f>
        <v>5205573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f>IFERROR(__xludf.DUMMYFUNCTION("""COMPUTED_VALUE"""),45705.64583333333)</f>
        <v>45705.64583</v>
      </c>
      <c r="B107" s="7">
        <f>IFERROR(__xludf.DUMMYFUNCTION("""COMPUTED_VALUE"""),251.0)</f>
        <v>251</v>
      </c>
      <c r="C107" s="7">
        <f>IFERROR(__xludf.DUMMYFUNCTION("""COMPUTED_VALUE"""),253.55)</f>
        <v>253.55</v>
      </c>
      <c r="D107" s="7">
        <f>IFERROR(__xludf.DUMMYFUNCTION("""COMPUTED_VALUE"""),246.35)</f>
        <v>246.35</v>
      </c>
      <c r="E107" s="7">
        <f>IFERROR(__xludf.DUMMYFUNCTION("""COMPUTED_VALUE"""),252.3)</f>
        <v>252.3</v>
      </c>
      <c r="F107" s="7">
        <f>IFERROR(__xludf.DUMMYFUNCTION("""COMPUTED_VALUE"""),5899597.0)</f>
        <v>5899597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f>IFERROR(__xludf.DUMMYFUNCTION("""COMPUTED_VALUE"""),45706.64583333333)</f>
        <v>45706.64583</v>
      </c>
      <c r="B108" s="7">
        <f>IFERROR(__xludf.DUMMYFUNCTION("""COMPUTED_VALUE"""),252.25)</f>
        <v>252.25</v>
      </c>
      <c r="C108" s="7">
        <f>IFERROR(__xludf.DUMMYFUNCTION("""COMPUTED_VALUE"""),253.55)</f>
        <v>253.55</v>
      </c>
      <c r="D108" s="7">
        <f>IFERROR(__xludf.DUMMYFUNCTION("""COMPUTED_VALUE"""),246.85)</f>
        <v>246.85</v>
      </c>
      <c r="E108" s="7">
        <f>IFERROR(__xludf.DUMMYFUNCTION("""COMPUTED_VALUE"""),252.75)</f>
        <v>252.75</v>
      </c>
      <c r="F108" s="7">
        <f>IFERROR(__xludf.DUMMYFUNCTION("""COMPUTED_VALUE"""),5534272.0)</f>
        <v>5534272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f>IFERROR(__xludf.DUMMYFUNCTION("""COMPUTED_VALUE"""),45707.64583333333)</f>
        <v>45707.64583</v>
      </c>
      <c r="B109" s="7">
        <f>IFERROR(__xludf.DUMMYFUNCTION("""COMPUTED_VALUE"""),251.0)</f>
        <v>251</v>
      </c>
      <c r="C109" s="7">
        <f>IFERROR(__xludf.DUMMYFUNCTION("""COMPUTED_VALUE"""),256.45)</f>
        <v>256.45</v>
      </c>
      <c r="D109" s="7">
        <f>IFERROR(__xludf.DUMMYFUNCTION("""COMPUTED_VALUE"""),249.55)</f>
        <v>249.55</v>
      </c>
      <c r="E109" s="7">
        <f>IFERROR(__xludf.DUMMYFUNCTION("""COMPUTED_VALUE"""),255.6)</f>
        <v>255.6</v>
      </c>
      <c r="F109" s="7">
        <f>IFERROR(__xludf.DUMMYFUNCTION("""COMPUTED_VALUE"""),6887175.0)</f>
        <v>6887175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f>IFERROR(__xludf.DUMMYFUNCTION("""COMPUTED_VALUE"""),45708.64583333333)</f>
        <v>45708.64583</v>
      </c>
      <c r="B110" s="7">
        <f>IFERROR(__xludf.DUMMYFUNCTION("""COMPUTED_VALUE"""),254.0)</f>
        <v>254</v>
      </c>
      <c r="C110" s="7">
        <f>IFERROR(__xludf.DUMMYFUNCTION("""COMPUTED_VALUE"""),259.65)</f>
        <v>259.65</v>
      </c>
      <c r="D110" s="7">
        <f>IFERROR(__xludf.DUMMYFUNCTION("""COMPUTED_VALUE"""),253.2)</f>
        <v>253.2</v>
      </c>
      <c r="E110" s="7">
        <f>IFERROR(__xludf.DUMMYFUNCTION("""COMPUTED_VALUE"""),258.6)</f>
        <v>258.6</v>
      </c>
      <c r="F110" s="7">
        <f>IFERROR(__xludf.DUMMYFUNCTION("""COMPUTED_VALUE"""),8155780.0)</f>
        <v>8155780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f>IFERROR(__xludf.DUMMYFUNCTION("""COMPUTED_VALUE"""),45709.64583333333)</f>
        <v>45709.64583</v>
      </c>
      <c r="B111" s="7">
        <f>IFERROR(__xludf.DUMMYFUNCTION("""COMPUTED_VALUE"""),258.0)</f>
        <v>258</v>
      </c>
      <c r="C111" s="7">
        <f>IFERROR(__xludf.DUMMYFUNCTION("""COMPUTED_VALUE"""),259.4)</f>
        <v>259.4</v>
      </c>
      <c r="D111" s="7">
        <f>IFERROR(__xludf.DUMMYFUNCTION("""COMPUTED_VALUE"""),250.65)</f>
        <v>250.65</v>
      </c>
      <c r="E111" s="7">
        <f>IFERROR(__xludf.DUMMYFUNCTION("""COMPUTED_VALUE"""),251.3)</f>
        <v>251.3</v>
      </c>
      <c r="F111" s="7">
        <f>IFERROR(__xludf.DUMMYFUNCTION("""COMPUTED_VALUE"""),9845416.0)</f>
        <v>9845416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f>IFERROR(__xludf.DUMMYFUNCTION("""COMPUTED_VALUE"""),45712.64583333333)</f>
        <v>45712.64583</v>
      </c>
      <c r="B112" s="7">
        <f>IFERROR(__xludf.DUMMYFUNCTION("""COMPUTED_VALUE"""),251.25)</f>
        <v>251.25</v>
      </c>
      <c r="C112" s="7">
        <f>IFERROR(__xludf.DUMMYFUNCTION("""COMPUTED_VALUE"""),253.5)</f>
        <v>253.5</v>
      </c>
      <c r="D112" s="7">
        <f>IFERROR(__xludf.DUMMYFUNCTION("""COMPUTED_VALUE"""),248.75)</f>
        <v>248.75</v>
      </c>
      <c r="E112" s="7">
        <f>IFERROR(__xludf.DUMMYFUNCTION("""COMPUTED_VALUE"""),251.0)</f>
        <v>251</v>
      </c>
      <c r="F112" s="7">
        <f>IFERROR(__xludf.DUMMYFUNCTION("""COMPUTED_VALUE"""),6773845.0)</f>
        <v>6773845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f>IFERROR(__xludf.DUMMYFUNCTION("""COMPUTED_VALUE"""),45713.64583333333)</f>
        <v>45713.64583</v>
      </c>
      <c r="B113" s="7">
        <f>IFERROR(__xludf.DUMMYFUNCTION("""COMPUTED_VALUE"""),251.9)</f>
        <v>251.9</v>
      </c>
      <c r="C113" s="7">
        <f>IFERROR(__xludf.DUMMYFUNCTION("""COMPUTED_VALUE"""),252.9)</f>
        <v>252.9</v>
      </c>
      <c r="D113" s="7">
        <f>IFERROR(__xludf.DUMMYFUNCTION("""COMPUTED_VALUE"""),247.7)</f>
        <v>247.7</v>
      </c>
      <c r="E113" s="7">
        <f>IFERROR(__xludf.DUMMYFUNCTION("""COMPUTED_VALUE"""),248.45)</f>
        <v>248.45</v>
      </c>
      <c r="F113" s="7">
        <f>IFERROR(__xludf.DUMMYFUNCTION("""COMPUTED_VALUE"""),4172676.0)</f>
        <v>4172676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f>IFERROR(__xludf.DUMMYFUNCTION("""COMPUTED_VALUE"""),45715.64583333333)</f>
        <v>45715.64583</v>
      </c>
      <c r="B114" s="7">
        <f>IFERROR(__xludf.DUMMYFUNCTION("""COMPUTED_VALUE"""),248.45)</f>
        <v>248.45</v>
      </c>
      <c r="C114" s="7">
        <f>IFERROR(__xludf.DUMMYFUNCTION("""COMPUTED_VALUE"""),249.4)</f>
        <v>249.4</v>
      </c>
      <c r="D114" s="7">
        <f>IFERROR(__xludf.DUMMYFUNCTION("""COMPUTED_VALUE"""),242.1)</f>
        <v>242.1</v>
      </c>
      <c r="E114" s="7">
        <f>IFERROR(__xludf.DUMMYFUNCTION("""COMPUTED_VALUE"""),244.75)</f>
        <v>244.75</v>
      </c>
      <c r="F114" s="7">
        <f>IFERROR(__xludf.DUMMYFUNCTION("""COMPUTED_VALUE"""),7376510.0)</f>
        <v>7376510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f>IFERROR(__xludf.DUMMYFUNCTION("""COMPUTED_VALUE"""),45716.64583333333)</f>
        <v>45716.64583</v>
      </c>
      <c r="B115" s="7">
        <f>IFERROR(__xludf.DUMMYFUNCTION("""COMPUTED_VALUE"""),244.05)</f>
        <v>244.05</v>
      </c>
      <c r="C115" s="7">
        <f>IFERROR(__xludf.DUMMYFUNCTION("""COMPUTED_VALUE"""),244.05)</f>
        <v>244.05</v>
      </c>
      <c r="D115" s="7">
        <f>IFERROR(__xludf.DUMMYFUNCTION("""COMPUTED_VALUE"""),236.15)</f>
        <v>236.15</v>
      </c>
      <c r="E115" s="7">
        <f>IFERROR(__xludf.DUMMYFUNCTION("""COMPUTED_VALUE"""),237.3)</f>
        <v>237.3</v>
      </c>
      <c r="F115" s="7">
        <f>IFERROR(__xludf.DUMMYFUNCTION("""COMPUTED_VALUE"""),1.4066882E7)</f>
        <v>14066882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f>IFERROR(__xludf.DUMMYFUNCTION("""COMPUTED_VALUE"""),45719.64583333333)</f>
        <v>45719.64583</v>
      </c>
      <c r="B116" s="7">
        <f>IFERROR(__xludf.DUMMYFUNCTION("""COMPUTED_VALUE"""),239.0)</f>
        <v>239</v>
      </c>
      <c r="C116" s="7">
        <f>IFERROR(__xludf.DUMMYFUNCTION("""COMPUTED_VALUE"""),243.64)</f>
        <v>243.64</v>
      </c>
      <c r="D116" s="7">
        <f>IFERROR(__xludf.DUMMYFUNCTION("""COMPUTED_VALUE"""),234.01)</f>
        <v>234.01</v>
      </c>
      <c r="E116" s="7">
        <f>IFERROR(__xludf.DUMMYFUNCTION("""COMPUTED_VALUE"""),242.41)</f>
        <v>242.41</v>
      </c>
      <c r="F116" s="7">
        <f>IFERROR(__xludf.DUMMYFUNCTION("""COMPUTED_VALUE"""),6864635.0)</f>
        <v>6864635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f>IFERROR(__xludf.DUMMYFUNCTION("""COMPUTED_VALUE"""),45720.64583333333)</f>
        <v>45720.64583</v>
      </c>
      <c r="B117" s="7">
        <f>IFERROR(__xludf.DUMMYFUNCTION("""COMPUTED_VALUE"""),241.0)</f>
        <v>241</v>
      </c>
      <c r="C117" s="7">
        <f>IFERROR(__xludf.DUMMYFUNCTION("""COMPUTED_VALUE"""),250.94)</f>
        <v>250.94</v>
      </c>
      <c r="D117" s="7">
        <f>IFERROR(__xludf.DUMMYFUNCTION("""COMPUTED_VALUE"""),236.1)</f>
        <v>236.1</v>
      </c>
      <c r="E117" s="7">
        <f>IFERROR(__xludf.DUMMYFUNCTION("""COMPUTED_VALUE"""),249.92)</f>
        <v>249.92</v>
      </c>
      <c r="F117" s="7">
        <f>IFERROR(__xludf.DUMMYFUNCTION("""COMPUTED_VALUE"""),7201075.0)</f>
        <v>7201075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f>IFERROR(__xludf.DUMMYFUNCTION("""COMPUTED_VALUE"""),45721.64583333333)</f>
        <v>45721.64583</v>
      </c>
      <c r="B118" s="7">
        <f>IFERROR(__xludf.DUMMYFUNCTION("""COMPUTED_VALUE"""),249.9)</f>
        <v>249.9</v>
      </c>
      <c r="C118" s="7">
        <f>IFERROR(__xludf.DUMMYFUNCTION("""COMPUTED_VALUE"""),256.93)</f>
        <v>256.93</v>
      </c>
      <c r="D118" s="7">
        <f>IFERROR(__xludf.DUMMYFUNCTION("""COMPUTED_VALUE"""),249.9)</f>
        <v>249.9</v>
      </c>
      <c r="E118" s="7">
        <f>IFERROR(__xludf.DUMMYFUNCTION("""COMPUTED_VALUE"""),255.84)</f>
        <v>255.84</v>
      </c>
      <c r="F118" s="7">
        <f>IFERROR(__xludf.DUMMYFUNCTION("""COMPUTED_VALUE"""),7802519.0)</f>
        <v>7802519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f>IFERROR(__xludf.DUMMYFUNCTION("""COMPUTED_VALUE"""),45722.64583333333)</f>
        <v>45722.64583</v>
      </c>
      <c r="B119" s="7">
        <f>IFERROR(__xludf.DUMMYFUNCTION("""COMPUTED_VALUE"""),260.0)</f>
        <v>260</v>
      </c>
      <c r="C119" s="7">
        <f>IFERROR(__xludf.DUMMYFUNCTION("""COMPUTED_VALUE"""),265.95)</f>
        <v>265.95</v>
      </c>
      <c r="D119" s="7">
        <f>IFERROR(__xludf.DUMMYFUNCTION("""COMPUTED_VALUE"""),259.0)</f>
        <v>259</v>
      </c>
      <c r="E119" s="7">
        <f>IFERROR(__xludf.DUMMYFUNCTION("""COMPUTED_VALUE"""),265.04)</f>
        <v>265.04</v>
      </c>
      <c r="F119" s="7">
        <f>IFERROR(__xludf.DUMMYFUNCTION("""COMPUTED_VALUE"""),1.2828381E7)</f>
        <v>12828381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f>IFERROR(__xludf.DUMMYFUNCTION("""COMPUTED_VALUE"""),45723.64583333333)</f>
        <v>45723.64583</v>
      </c>
      <c r="B120" s="7">
        <f>IFERROR(__xludf.DUMMYFUNCTION("""COMPUTED_VALUE"""),264.96)</f>
        <v>264.96</v>
      </c>
      <c r="C120" s="7">
        <f>IFERROR(__xludf.DUMMYFUNCTION("""COMPUTED_VALUE"""),265.79)</f>
        <v>265.79</v>
      </c>
      <c r="D120" s="7">
        <f>IFERROR(__xludf.DUMMYFUNCTION("""COMPUTED_VALUE"""),260.0)</f>
        <v>260</v>
      </c>
      <c r="E120" s="7">
        <f>IFERROR(__xludf.DUMMYFUNCTION("""COMPUTED_VALUE"""),261.26)</f>
        <v>261.26</v>
      </c>
      <c r="F120" s="7">
        <f>IFERROR(__xludf.DUMMYFUNCTION("""COMPUTED_VALUE"""),7057204.0)</f>
        <v>7057204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f>IFERROR(__xludf.DUMMYFUNCTION("""COMPUTED_VALUE"""),45726.64583333333)</f>
        <v>45726.64583</v>
      </c>
      <c r="B121" s="7">
        <f>IFERROR(__xludf.DUMMYFUNCTION("""COMPUTED_VALUE"""),261.26)</f>
        <v>261.26</v>
      </c>
      <c r="C121" s="7">
        <f>IFERROR(__xludf.DUMMYFUNCTION("""COMPUTED_VALUE"""),265.96)</f>
        <v>265.96</v>
      </c>
      <c r="D121" s="7">
        <f>IFERROR(__xludf.DUMMYFUNCTION("""COMPUTED_VALUE"""),256.06)</f>
        <v>256.06</v>
      </c>
      <c r="E121" s="7">
        <f>IFERROR(__xludf.DUMMYFUNCTION("""COMPUTED_VALUE"""),256.93)</f>
        <v>256.93</v>
      </c>
      <c r="F121" s="7">
        <f>IFERROR(__xludf.DUMMYFUNCTION("""COMPUTED_VALUE"""),8487911.0)</f>
        <v>8487911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f>IFERROR(__xludf.DUMMYFUNCTION("""COMPUTED_VALUE"""),45727.64583333333)</f>
        <v>45727.64583</v>
      </c>
      <c r="B122" s="7">
        <f>IFERROR(__xludf.DUMMYFUNCTION("""COMPUTED_VALUE"""),255.99)</f>
        <v>255.99</v>
      </c>
      <c r="C122" s="7">
        <f>IFERROR(__xludf.DUMMYFUNCTION("""COMPUTED_VALUE"""),264.97)</f>
        <v>264.97</v>
      </c>
      <c r="D122" s="7">
        <f>IFERROR(__xludf.DUMMYFUNCTION("""COMPUTED_VALUE"""),254.35)</f>
        <v>254.35</v>
      </c>
      <c r="E122" s="7">
        <f>IFERROR(__xludf.DUMMYFUNCTION("""COMPUTED_VALUE"""),264.58)</f>
        <v>264.58</v>
      </c>
      <c r="F122" s="7">
        <f>IFERROR(__xludf.DUMMYFUNCTION("""COMPUTED_VALUE"""),1.2306539E7)</f>
        <v>12306539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f>IFERROR(__xludf.DUMMYFUNCTION("""COMPUTED_VALUE"""),45728.64583333333)</f>
        <v>45728.64583</v>
      </c>
      <c r="B123" s="7">
        <f>IFERROR(__xludf.DUMMYFUNCTION("""COMPUTED_VALUE"""),266.5)</f>
        <v>266.5</v>
      </c>
      <c r="C123" s="7">
        <f>IFERROR(__xludf.DUMMYFUNCTION("""COMPUTED_VALUE"""),272.0)</f>
        <v>272</v>
      </c>
      <c r="D123" s="7">
        <f>IFERROR(__xludf.DUMMYFUNCTION("""COMPUTED_VALUE"""),263.4)</f>
        <v>263.4</v>
      </c>
      <c r="E123" s="7">
        <f>IFERROR(__xludf.DUMMYFUNCTION("""COMPUTED_VALUE"""),266.32)</f>
        <v>266.32</v>
      </c>
      <c r="F123" s="7">
        <f>IFERROR(__xludf.DUMMYFUNCTION("""COMPUTED_VALUE"""),1.0648004E7)</f>
        <v>10648004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f>IFERROR(__xludf.DUMMYFUNCTION("""COMPUTED_VALUE"""),45729.64583333333)</f>
        <v>45729.64583</v>
      </c>
      <c r="B124" s="7">
        <f>IFERROR(__xludf.DUMMYFUNCTION("""COMPUTED_VALUE"""),266.32)</f>
        <v>266.32</v>
      </c>
      <c r="C124" s="7">
        <f>IFERROR(__xludf.DUMMYFUNCTION("""COMPUTED_VALUE"""),266.67)</f>
        <v>266.67</v>
      </c>
      <c r="D124" s="7">
        <f>IFERROR(__xludf.DUMMYFUNCTION("""COMPUTED_VALUE"""),262.01)</f>
        <v>262.01</v>
      </c>
      <c r="E124" s="7">
        <f>IFERROR(__xludf.DUMMYFUNCTION("""COMPUTED_VALUE"""),264.41)</f>
        <v>264.41</v>
      </c>
      <c r="F124" s="7">
        <f>IFERROR(__xludf.DUMMYFUNCTION("""COMPUTED_VALUE"""),4545159.0)</f>
        <v>4545159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f>IFERROR(__xludf.DUMMYFUNCTION("""COMPUTED_VALUE"""),45733.64583333333)</f>
        <v>45733.64583</v>
      </c>
      <c r="B125" s="7">
        <f>IFERROR(__xludf.DUMMYFUNCTION("""COMPUTED_VALUE"""),261.11)</f>
        <v>261.11</v>
      </c>
      <c r="C125" s="7">
        <f>IFERROR(__xludf.DUMMYFUNCTION("""COMPUTED_VALUE"""),263.69)</f>
        <v>263.69</v>
      </c>
      <c r="D125" s="7">
        <f>IFERROR(__xludf.DUMMYFUNCTION("""COMPUTED_VALUE"""),258.31)</f>
        <v>258.31</v>
      </c>
      <c r="E125" s="7">
        <f>IFERROR(__xludf.DUMMYFUNCTION("""COMPUTED_VALUE"""),261.41)</f>
        <v>261.41</v>
      </c>
      <c r="F125" s="7">
        <f>IFERROR(__xludf.DUMMYFUNCTION("""COMPUTED_VALUE"""),6482574.0)</f>
        <v>6482574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f>IFERROR(__xludf.DUMMYFUNCTION("""COMPUTED_VALUE"""),45734.64583333333)</f>
        <v>45734.64583</v>
      </c>
      <c r="B126" s="7">
        <f>IFERROR(__xludf.DUMMYFUNCTION("""COMPUTED_VALUE"""),262.15)</f>
        <v>262.15</v>
      </c>
      <c r="C126" s="7">
        <f>IFERROR(__xludf.DUMMYFUNCTION("""COMPUTED_VALUE"""),263.3)</f>
        <v>263.3</v>
      </c>
      <c r="D126" s="7">
        <f>IFERROR(__xludf.DUMMYFUNCTION("""COMPUTED_VALUE"""),259.51)</f>
        <v>259.51</v>
      </c>
      <c r="E126" s="7">
        <f>IFERROR(__xludf.DUMMYFUNCTION("""COMPUTED_VALUE"""),262.18)</f>
        <v>262.18</v>
      </c>
      <c r="F126" s="7">
        <f>IFERROR(__xludf.DUMMYFUNCTION("""COMPUTED_VALUE"""),5548862.0)</f>
        <v>5548862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f>IFERROR(__xludf.DUMMYFUNCTION("""COMPUTED_VALUE"""),45735.64583333333)</f>
        <v>45735.64583</v>
      </c>
      <c r="B127" s="7">
        <f>IFERROR(__xludf.DUMMYFUNCTION("""COMPUTED_VALUE"""),263.51)</f>
        <v>263.51</v>
      </c>
      <c r="C127" s="7">
        <f>IFERROR(__xludf.DUMMYFUNCTION("""COMPUTED_VALUE"""),266.49)</f>
        <v>266.49</v>
      </c>
      <c r="D127" s="7">
        <f>IFERROR(__xludf.DUMMYFUNCTION("""COMPUTED_VALUE"""),263.01)</f>
        <v>263.01</v>
      </c>
      <c r="E127" s="7">
        <f>IFERROR(__xludf.DUMMYFUNCTION("""COMPUTED_VALUE"""),265.26)</f>
        <v>265.26</v>
      </c>
      <c r="F127" s="7">
        <f>IFERROR(__xludf.DUMMYFUNCTION("""COMPUTED_VALUE"""),4955027.0)</f>
        <v>4955027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f>IFERROR(__xludf.DUMMYFUNCTION("""COMPUTED_VALUE"""),45736.64583333333)</f>
        <v>45736.64583</v>
      </c>
      <c r="B128" s="7">
        <f>IFERROR(__xludf.DUMMYFUNCTION("""COMPUTED_VALUE"""),266.6)</f>
        <v>266.6</v>
      </c>
      <c r="C128" s="7">
        <f>IFERROR(__xludf.DUMMYFUNCTION("""COMPUTED_VALUE"""),272.93)</f>
        <v>272.93</v>
      </c>
      <c r="D128" s="7">
        <f>IFERROR(__xludf.DUMMYFUNCTION("""COMPUTED_VALUE"""),264.75)</f>
        <v>264.75</v>
      </c>
      <c r="E128" s="7">
        <f>IFERROR(__xludf.DUMMYFUNCTION("""COMPUTED_VALUE"""),272.13)</f>
        <v>272.13</v>
      </c>
      <c r="F128" s="7">
        <f>IFERROR(__xludf.DUMMYFUNCTION("""COMPUTED_VALUE"""),1.0789615E7)</f>
        <v>10789615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f>IFERROR(__xludf.DUMMYFUNCTION("""COMPUTED_VALUE"""),45737.64583333333)</f>
        <v>45737.64583</v>
      </c>
      <c r="B129" s="7">
        <f>IFERROR(__xludf.DUMMYFUNCTION("""COMPUTED_VALUE"""),272.2)</f>
        <v>272.2</v>
      </c>
      <c r="C129" s="7">
        <f>IFERROR(__xludf.DUMMYFUNCTION("""COMPUTED_VALUE"""),285.85)</f>
        <v>285.85</v>
      </c>
      <c r="D129" s="7">
        <f>IFERROR(__xludf.DUMMYFUNCTION("""COMPUTED_VALUE"""),271.06)</f>
        <v>271.06</v>
      </c>
      <c r="E129" s="7">
        <f>IFERROR(__xludf.DUMMYFUNCTION("""COMPUTED_VALUE"""),279.66)</f>
        <v>279.66</v>
      </c>
      <c r="F129" s="7">
        <f>IFERROR(__xludf.DUMMYFUNCTION("""COMPUTED_VALUE"""),2.6173451E7)</f>
        <v>26173451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f>IFERROR(__xludf.DUMMYFUNCTION("""COMPUTED_VALUE"""),45740.64583333333)</f>
        <v>45740.64583</v>
      </c>
      <c r="B130" s="7">
        <f>IFERROR(__xludf.DUMMYFUNCTION("""COMPUTED_VALUE"""),282.0)</f>
        <v>282</v>
      </c>
      <c r="C130" s="7">
        <f>IFERROR(__xludf.DUMMYFUNCTION("""COMPUTED_VALUE"""),285.3)</f>
        <v>285.3</v>
      </c>
      <c r="D130" s="7">
        <f>IFERROR(__xludf.DUMMYFUNCTION("""COMPUTED_VALUE"""),280.0)</f>
        <v>280</v>
      </c>
      <c r="E130" s="7">
        <f>IFERROR(__xludf.DUMMYFUNCTION("""COMPUTED_VALUE"""),280.44)</f>
        <v>280.44</v>
      </c>
      <c r="F130" s="7">
        <f>IFERROR(__xludf.DUMMYFUNCTION("""COMPUTED_VALUE"""),1.1376607E7)</f>
        <v>11376607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f>IFERROR(__xludf.DUMMYFUNCTION("""COMPUTED_VALUE"""),45741.64583333333)</f>
        <v>45741.64583</v>
      </c>
      <c r="B131" s="7">
        <f>IFERROR(__xludf.DUMMYFUNCTION("""COMPUTED_VALUE"""),280.57)</f>
        <v>280.57</v>
      </c>
      <c r="C131" s="7">
        <f>IFERROR(__xludf.DUMMYFUNCTION("""COMPUTED_VALUE"""),283.96)</f>
        <v>283.96</v>
      </c>
      <c r="D131" s="7">
        <f>IFERROR(__xludf.DUMMYFUNCTION("""COMPUTED_VALUE"""),277.18)</f>
        <v>277.18</v>
      </c>
      <c r="E131" s="7">
        <f>IFERROR(__xludf.DUMMYFUNCTION("""COMPUTED_VALUE"""),279.11)</f>
        <v>279.11</v>
      </c>
      <c r="F131" s="7">
        <f>IFERROR(__xludf.DUMMYFUNCTION("""COMPUTED_VALUE"""),1.2143699E7)</f>
        <v>12143699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f>IFERROR(__xludf.DUMMYFUNCTION("""COMPUTED_VALUE"""),45742.64583333333)</f>
        <v>45742.64583</v>
      </c>
      <c r="B132" s="7">
        <f>IFERROR(__xludf.DUMMYFUNCTION("""COMPUTED_VALUE"""),278.0)</f>
        <v>278</v>
      </c>
      <c r="C132" s="7">
        <f>IFERROR(__xludf.DUMMYFUNCTION("""COMPUTED_VALUE"""),283.33)</f>
        <v>283.33</v>
      </c>
      <c r="D132" s="7">
        <f>IFERROR(__xludf.DUMMYFUNCTION("""COMPUTED_VALUE"""),272.13)</f>
        <v>272.13</v>
      </c>
      <c r="E132" s="7">
        <f>IFERROR(__xludf.DUMMYFUNCTION("""COMPUTED_VALUE"""),273.01)</f>
        <v>273.01</v>
      </c>
      <c r="F132" s="7">
        <f>IFERROR(__xludf.DUMMYFUNCTION("""COMPUTED_VALUE"""),9475308.0)</f>
        <v>9475308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f>IFERROR(__xludf.DUMMYFUNCTION("""COMPUTED_VALUE"""),45743.64583333333)</f>
        <v>45743.64583</v>
      </c>
      <c r="B133" s="7">
        <f>IFERROR(__xludf.DUMMYFUNCTION("""COMPUTED_VALUE"""),273.39)</f>
        <v>273.39</v>
      </c>
      <c r="C133" s="7">
        <f>IFERROR(__xludf.DUMMYFUNCTION("""COMPUTED_VALUE"""),279.85)</f>
        <v>279.85</v>
      </c>
      <c r="D133" s="7">
        <f>IFERROR(__xludf.DUMMYFUNCTION("""COMPUTED_VALUE"""),272.18)</f>
        <v>272.18</v>
      </c>
      <c r="E133" s="7">
        <f>IFERROR(__xludf.DUMMYFUNCTION("""COMPUTED_VALUE"""),276.06)</f>
        <v>276.06</v>
      </c>
      <c r="F133" s="7">
        <f>IFERROR(__xludf.DUMMYFUNCTION("""COMPUTED_VALUE"""),1.07524873E8)</f>
        <v>107524873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f>IFERROR(__xludf.DUMMYFUNCTION("""COMPUTED_VALUE"""),45744.64583333333)</f>
        <v>45744.64583</v>
      </c>
      <c r="B134" s="7">
        <f>IFERROR(__xludf.DUMMYFUNCTION("""COMPUTED_VALUE"""),276.99)</f>
        <v>276.99</v>
      </c>
      <c r="C134" s="7">
        <f>IFERROR(__xludf.DUMMYFUNCTION("""COMPUTED_VALUE"""),284.33)</f>
        <v>284.33</v>
      </c>
      <c r="D134" s="7">
        <f>IFERROR(__xludf.DUMMYFUNCTION("""COMPUTED_VALUE"""),276.3)</f>
        <v>276.3</v>
      </c>
      <c r="E134" s="7">
        <f>IFERROR(__xludf.DUMMYFUNCTION("""COMPUTED_VALUE"""),278.47)</f>
        <v>278.47</v>
      </c>
      <c r="F134" s="7">
        <f>IFERROR(__xludf.DUMMYFUNCTION("""COMPUTED_VALUE"""),1.2687883E7)</f>
        <v>12687883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f>IFERROR(__xludf.DUMMYFUNCTION("""COMPUTED_VALUE"""),45748.64583333333)</f>
        <v>45748.64583</v>
      </c>
      <c r="B135" s="7">
        <f>IFERROR(__xludf.DUMMYFUNCTION("""COMPUTED_VALUE"""),275.0)</f>
        <v>275</v>
      </c>
      <c r="C135" s="7">
        <f>IFERROR(__xludf.DUMMYFUNCTION("""COMPUTED_VALUE"""),287.0)</f>
        <v>287</v>
      </c>
      <c r="D135" s="7">
        <f>IFERROR(__xludf.DUMMYFUNCTION("""COMPUTED_VALUE"""),275.0)</f>
        <v>275</v>
      </c>
      <c r="E135" s="7">
        <f>IFERROR(__xludf.DUMMYFUNCTION("""COMPUTED_VALUE"""),284.6)</f>
        <v>284.6</v>
      </c>
      <c r="F135" s="7">
        <f>IFERROR(__xludf.DUMMYFUNCTION("""COMPUTED_VALUE"""),2.0780255E7)</f>
        <v>20780255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f>IFERROR(__xludf.DUMMYFUNCTION("""COMPUTED_VALUE"""),45749.64583333333)</f>
        <v>45749.64583</v>
      </c>
      <c r="B136" s="7">
        <f>IFERROR(__xludf.DUMMYFUNCTION("""COMPUTED_VALUE"""),283.05)</f>
        <v>283.05</v>
      </c>
      <c r="C136" s="7">
        <f>IFERROR(__xludf.DUMMYFUNCTION("""COMPUTED_VALUE"""),288.05)</f>
        <v>288.05</v>
      </c>
      <c r="D136" s="7">
        <f>IFERROR(__xludf.DUMMYFUNCTION("""COMPUTED_VALUE"""),277.7)</f>
        <v>277.7</v>
      </c>
      <c r="E136" s="7">
        <f>IFERROR(__xludf.DUMMYFUNCTION("""COMPUTED_VALUE"""),286.8)</f>
        <v>286.8</v>
      </c>
      <c r="F136" s="7">
        <f>IFERROR(__xludf.DUMMYFUNCTION("""COMPUTED_VALUE"""),1.2058406E7)</f>
        <v>12058406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f>IFERROR(__xludf.DUMMYFUNCTION("""COMPUTED_VALUE"""),45750.64583333333)</f>
        <v>45750.64583</v>
      </c>
      <c r="B137" s="7">
        <f>IFERROR(__xludf.DUMMYFUNCTION("""COMPUTED_VALUE"""),283.0)</f>
        <v>283</v>
      </c>
      <c r="C137" s="7">
        <f>IFERROR(__xludf.DUMMYFUNCTION("""COMPUTED_VALUE"""),291.4)</f>
        <v>291.4</v>
      </c>
      <c r="D137" s="7">
        <f>IFERROR(__xludf.DUMMYFUNCTION("""COMPUTED_VALUE"""),283.0)</f>
        <v>283</v>
      </c>
      <c r="E137" s="7">
        <f>IFERROR(__xludf.DUMMYFUNCTION("""COMPUTED_VALUE"""),286.8)</f>
        <v>286.8</v>
      </c>
      <c r="F137" s="7">
        <f>IFERROR(__xludf.DUMMYFUNCTION("""COMPUTED_VALUE"""),6663148.0)</f>
        <v>6663148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f>IFERROR(__xludf.DUMMYFUNCTION("""COMPUTED_VALUE"""),45751.64583333333)</f>
        <v>45751.64583</v>
      </c>
      <c r="B138" s="7">
        <f>IFERROR(__xludf.DUMMYFUNCTION("""COMPUTED_VALUE"""),292.15)</f>
        <v>292.15</v>
      </c>
      <c r="C138" s="7">
        <f>IFERROR(__xludf.DUMMYFUNCTION("""COMPUTED_VALUE"""),295.7)</f>
        <v>295.7</v>
      </c>
      <c r="D138" s="7">
        <f>IFERROR(__xludf.DUMMYFUNCTION("""COMPUTED_VALUE"""),277.05)</f>
        <v>277.05</v>
      </c>
      <c r="E138" s="7">
        <f>IFERROR(__xludf.DUMMYFUNCTION("""COMPUTED_VALUE"""),279.45)</f>
        <v>279.45</v>
      </c>
      <c r="F138" s="7">
        <f>IFERROR(__xludf.DUMMYFUNCTION("""COMPUTED_VALUE"""),1.8852567E7)</f>
        <v>18852567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f>IFERROR(__xludf.DUMMYFUNCTION("""COMPUTED_VALUE"""),45754.64583333333)</f>
        <v>45754.64583</v>
      </c>
      <c r="B139" s="7">
        <f>IFERROR(__xludf.DUMMYFUNCTION("""COMPUTED_VALUE"""),262.0)</f>
        <v>262</v>
      </c>
      <c r="C139" s="7">
        <f>IFERROR(__xludf.DUMMYFUNCTION("""COMPUTED_VALUE"""),279.1)</f>
        <v>279.1</v>
      </c>
      <c r="D139" s="7">
        <f>IFERROR(__xludf.DUMMYFUNCTION("""COMPUTED_VALUE"""),262.0)</f>
        <v>262</v>
      </c>
      <c r="E139" s="7">
        <f>IFERROR(__xludf.DUMMYFUNCTION("""COMPUTED_VALUE"""),273.7)</f>
        <v>273.7</v>
      </c>
      <c r="F139" s="7">
        <f>IFERROR(__xludf.DUMMYFUNCTION("""COMPUTED_VALUE"""),1.5010047E7)</f>
        <v>15010047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f>IFERROR(__xludf.DUMMYFUNCTION("""COMPUTED_VALUE"""),45755.64583333333)</f>
        <v>45755.64583</v>
      </c>
      <c r="B140" s="7">
        <f>IFERROR(__xludf.DUMMYFUNCTION("""COMPUTED_VALUE"""),279.5)</f>
        <v>279.5</v>
      </c>
      <c r="C140" s="7">
        <f>IFERROR(__xludf.DUMMYFUNCTION("""COMPUTED_VALUE"""),287.5)</f>
        <v>287.5</v>
      </c>
      <c r="D140" s="7">
        <f>IFERROR(__xludf.DUMMYFUNCTION("""COMPUTED_VALUE"""),275.1)</f>
        <v>275.1</v>
      </c>
      <c r="E140" s="7">
        <f>IFERROR(__xludf.DUMMYFUNCTION("""COMPUTED_VALUE"""),285.9)</f>
        <v>285.9</v>
      </c>
      <c r="F140" s="7">
        <f>IFERROR(__xludf.DUMMYFUNCTION("""COMPUTED_VALUE"""),1.8994276E7)</f>
        <v>18994276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f>IFERROR(__xludf.DUMMYFUNCTION("""COMPUTED_VALUE"""),45756.64583333333)</f>
        <v>45756.64583</v>
      </c>
      <c r="B141" s="7">
        <f>IFERROR(__xludf.DUMMYFUNCTION("""COMPUTED_VALUE"""),288.7)</f>
        <v>288.7</v>
      </c>
      <c r="C141" s="7">
        <f>IFERROR(__xludf.DUMMYFUNCTION("""COMPUTED_VALUE"""),290.65)</f>
        <v>290.65</v>
      </c>
      <c r="D141" s="7">
        <f>IFERROR(__xludf.DUMMYFUNCTION("""COMPUTED_VALUE"""),279.6)</f>
        <v>279.6</v>
      </c>
      <c r="E141" s="7">
        <f>IFERROR(__xludf.DUMMYFUNCTION("""COMPUTED_VALUE"""),287.95)</f>
        <v>287.95</v>
      </c>
      <c r="F141" s="7">
        <f>IFERROR(__xludf.DUMMYFUNCTION("""COMPUTED_VALUE"""),1.4519066E7)</f>
        <v>14519066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f>IFERROR(__xludf.DUMMYFUNCTION("""COMPUTED_VALUE"""),45758.64583333333)</f>
        <v>45758.64583</v>
      </c>
      <c r="B142" s="7">
        <f>IFERROR(__xludf.DUMMYFUNCTION("""COMPUTED_VALUE"""),296.45)</f>
        <v>296.45</v>
      </c>
      <c r="C142" s="7">
        <f>IFERROR(__xludf.DUMMYFUNCTION("""COMPUTED_VALUE"""),296.45)</f>
        <v>296.45</v>
      </c>
      <c r="D142" s="7">
        <f>IFERROR(__xludf.DUMMYFUNCTION("""COMPUTED_VALUE"""),286.5)</f>
        <v>286.5</v>
      </c>
      <c r="E142" s="7">
        <f>IFERROR(__xludf.DUMMYFUNCTION("""COMPUTED_VALUE"""),293.2)</f>
        <v>293.2</v>
      </c>
      <c r="F142" s="7">
        <f>IFERROR(__xludf.DUMMYFUNCTION("""COMPUTED_VALUE"""),1.4955235E7)</f>
        <v>14955235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f>IFERROR(__xludf.DUMMYFUNCTION("""COMPUTED_VALUE"""),45762.64583333333)</f>
        <v>45762.64583</v>
      </c>
      <c r="B143" s="7">
        <f>IFERROR(__xludf.DUMMYFUNCTION("""COMPUTED_VALUE"""),296.8)</f>
        <v>296.8</v>
      </c>
      <c r="C143" s="7">
        <f>IFERROR(__xludf.DUMMYFUNCTION("""COMPUTED_VALUE"""),296.8)</f>
        <v>296.8</v>
      </c>
      <c r="D143" s="7">
        <f>IFERROR(__xludf.DUMMYFUNCTION("""COMPUTED_VALUE"""),291.1)</f>
        <v>291.1</v>
      </c>
      <c r="E143" s="7">
        <f>IFERROR(__xludf.DUMMYFUNCTION("""COMPUTED_VALUE"""),294.4)</f>
        <v>294.4</v>
      </c>
      <c r="F143" s="7">
        <f>IFERROR(__xludf.DUMMYFUNCTION("""COMPUTED_VALUE"""),8516322.0)</f>
        <v>8516322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f>IFERROR(__xludf.DUMMYFUNCTION("""COMPUTED_VALUE"""),45763.64583333333)</f>
        <v>45763.64583</v>
      </c>
      <c r="B144" s="7">
        <f>IFERROR(__xludf.DUMMYFUNCTION("""COMPUTED_VALUE"""),294.0)</f>
        <v>294</v>
      </c>
      <c r="C144" s="7">
        <f>IFERROR(__xludf.DUMMYFUNCTION("""COMPUTED_VALUE"""),300.55)</f>
        <v>300.55</v>
      </c>
      <c r="D144" s="7">
        <f>IFERROR(__xludf.DUMMYFUNCTION("""COMPUTED_VALUE"""),292.55)</f>
        <v>292.55</v>
      </c>
      <c r="E144" s="7">
        <f>IFERROR(__xludf.DUMMYFUNCTION("""COMPUTED_VALUE"""),298.75)</f>
        <v>298.75</v>
      </c>
      <c r="F144" s="7">
        <f>IFERROR(__xludf.DUMMYFUNCTION("""COMPUTED_VALUE"""),9064723.0)</f>
        <v>9064723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f>IFERROR(__xludf.DUMMYFUNCTION("""COMPUTED_VALUE"""),45764.64583333333)</f>
        <v>45764.64583</v>
      </c>
      <c r="B145" s="7">
        <f>IFERROR(__xludf.DUMMYFUNCTION("""COMPUTED_VALUE"""),298.0)</f>
        <v>298</v>
      </c>
      <c r="C145" s="7">
        <f>IFERROR(__xludf.DUMMYFUNCTION("""COMPUTED_VALUE"""),301.75)</f>
        <v>301.75</v>
      </c>
      <c r="D145" s="7">
        <f>IFERROR(__xludf.DUMMYFUNCTION("""COMPUTED_VALUE"""),295.45)</f>
        <v>295.45</v>
      </c>
      <c r="E145" s="7">
        <f>IFERROR(__xludf.DUMMYFUNCTION("""COMPUTED_VALUE"""),298.35)</f>
        <v>298.35</v>
      </c>
      <c r="F145" s="7">
        <f>IFERROR(__xludf.DUMMYFUNCTION("""COMPUTED_VALUE"""),7510897.0)</f>
        <v>7510897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f>IFERROR(__xludf.DUMMYFUNCTION("""COMPUTED_VALUE"""),45768.64583333333)</f>
        <v>45768.64583</v>
      </c>
      <c r="B146" s="7">
        <f>IFERROR(__xludf.DUMMYFUNCTION("""COMPUTED_VALUE"""),299.85)</f>
        <v>299.85</v>
      </c>
      <c r="C146" s="7">
        <f>IFERROR(__xludf.DUMMYFUNCTION("""COMPUTED_VALUE"""),305.55)</f>
        <v>305.55</v>
      </c>
      <c r="D146" s="7">
        <f>IFERROR(__xludf.DUMMYFUNCTION("""COMPUTED_VALUE"""),298.0)</f>
        <v>298</v>
      </c>
      <c r="E146" s="7">
        <f>IFERROR(__xludf.DUMMYFUNCTION("""COMPUTED_VALUE"""),304.05)</f>
        <v>304.05</v>
      </c>
      <c r="F146" s="7">
        <f>IFERROR(__xludf.DUMMYFUNCTION("""COMPUTED_VALUE"""),6455955.0)</f>
        <v>6455955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f>IFERROR(__xludf.DUMMYFUNCTION("""COMPUTED_VALUE"""),45769.64583333333)</f>
        <v>45769.64583</v>
      </c>
      <c r="B147" s="7">
        <f>IFERROR(__xludf.DUMMYFUNCTION("""COMPUTED_VALUE"""),305.0)</f>
        <v>305</v>
      </c>
      <c r="C147" s="7">
        <f>IFERROR(__xludf.DUMMYFUNCTION("""COMPUTED_VALUE"""),308.5)</f>
        <v>308.5</v>
      </c>
      <c r="D147" s="7">
        <f>IFERROR(__xludf.DUMMYFUNCTION("""COMPUTED_VALUE"""),302.65)</f>
        <v>302.65</v>
      </c>
      <c r="E147" s="7">
        <f>IFERROR(__xludf.DUMMYFUNCTION("""COMPUTED_VALUE"""),306.1)</f>
        <v>306.1</v>
      </c>
      <c r="F147" s="7">
        <f>IFERROR(__xludf.DUMMYFUNCTION("""COMPUTED_VALUE"""),7096150.0)</f>
        <v>7096150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f>IFERROR(__xludf.DUMMYFUNCTION("""COMPUTED_VALUE"""),45770.64583333333)</f>
        <v>45770.64583</v>
      </c>
      <c r="B148" s="7">
        <f>IFERROR(__xludf.DUMMYFUNCTION("""COMPUTED_VALUE"""),306.1)</f>
        <v>306.1</v>
      </c>
      <c r="C148" s="7">
        <f>IFERROR(__xludf.DUMMYFUNCTION("""COMPUTED_VALUE"""),306.65)</f>
        <v>306.65</v>
      </c>
      <c r="D148" s="7">
        <f>IFERROR(__xludf.DUMMYFUNCTION("""COMPUTED_VALUE"""),298.3)</f>
        <v>298.3</v>
      </c>
      <c r="E148" s="7">
        <f>IFERROR(__xludf.DUMMYFUNCTION("""COMPUTED_VALUE"""),300.45)</f>
        <v>300.45</v>
      </c>
      <c r="F148" s="7">
        <f>IFERROR(__xludf.DUMMYFUNCTION("""COMPUTED_VALUE"""),7400827.0)</f>
        <v>7400827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f>IFERROR(__xludf.DUMMYFUNCTION("""COMPUTED_VALUE"""),45771.64583333333)</f>
        <v>45771.64583</v>
      </c>
      <c r="B149" s="7">
        <f>IFERROR(__xludf.DUMMYFUNCTION("""COMPUTED_VALUE"""),302.95)</f>
        <v>302.95</v>
      </c>
      <c r="C149" s="7">
        <f>IFERROR(__xludf.DUMMYFUNCTION("""COMPUTED_VALUE"""),305.5)</f>
        <v>305.5</v>
      </c>
      <c r="D149" s="7">
        <f>IFERROR(__xludf.DUMMYFUNCTION("""COMPUTED_VALUE"""),300.3)</f>
        <v>300.3</v>
      </c>
      <c r="E149" s="7">
        <f>IFERROR(__xludf.DUMMYFUNCTION("""COMPUTED_VALUE"""),302.0)</f>
        <v>302</v>
      </c>
      <c r="F149" s="7">
        <f>IFERROR(__xludf.DUMMYFUNCTION("""COMPUTED_VALUE"""),5773985.0)</f>
        <v>5773985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f>IFERROR(__xludf.DUMMYFUNCTION("""COMPUTED_VALUE"""),45772.64583333333)</f>
        <v>45772.64583</v>
      </c>
      <c r="B150" s="7">
        <f>IFERROR(__xludf.DUMMYFUNCTION("""COMPUTED_VALUE"""),302.35)</f>
        <v>302.35</v>
      </c>
      <c r="C150" s="7">
        <f>IFERROR(__xludf.DUMMYFUNCTION("""COMPUTED_VALUE"""),304.95)</f>
        <v>304.95</v>
      </c>
      <c r="D150" s="7">
        <f>IFERROR(__xludf.DUMMYFUNCTION("""COMPUTED_VALUE"""),293.3)</f>
        <v>293.3</v>
      </c>
      <c r="E150" s="7">
        <f>IFERROR(__xludf.DUMMYFUNCTION("""COMPUTED_VALUE"""),295.7)</f>
        <v>295.7</v>
      </c>
      <c r="F150" s="7">
        <f>IFERROR(__xludf.DUMMYFUNCTION("""COMPUTED_VALUE"""),7773037.0)</f>
        <v>7773037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f>IFERROR(__xludf.DUMMYFUNCTION("""COMPUTED_VALUE"""),45775.64583333333)</f>
        <v>45775.64583</v>
      </c>
      <c r="B151" s="7">
        <f>IFERROR(__xludf.DUMMYFUNCTION("""COMPUTED_VALUE"""),293.1)</f>
        <v>293.1</v>
      </c>
      <c r="C151" s="7">
        <f>IFERROR(__xludf.DUMMYFUNCTION("""COMPUTED_VALUE"""),310.95)</f>
        <v>310.95</v>
      </c>
      <c r="D151" s="7">
        <f>IFERROR(__xludf.DUMMYFUNCTION("""COMPUTED_VALUE"""),293.1)</f>
        <v>293.1</v>
      </c>
      <c r="E151" s="7">
        <f>IFERROR(__xludf.DUMMYFUNCTION("""COMPUTED_VALUE"""),310.0)</f>
        <v>310</v>
      </c>
      <c r="F151" s="7">
        <f>IFERROR(__xludf.DUMMYFUNCTION("""COMPUTED_VALUE"""),1.4414879E7)</f>
        <v>14414879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f>IFERROR(__xludf.DUMMYFUNCTION("""COMPUTED_VALUE"""),45776.64583333333)</f>
        <v>45776.64583</v>
      </c>
      <c r="B152" s="7">
        <f>IFERROR(__xludf.DUMMYFUNCTION("""COMPUTED_VALUE"""),311.55)</f>
        <v>311.55</v>
      </c>
      <c r="C152" s="7">
        <f>IFERROR(__xludf.DUMMYFUNCTION("""COMPUTED_VALUE"""),315.6)</f>
        <v>315.6</v>
      </c>
      <c r="D152" s="7">
        <f>IFERROR(__xludf.DUMMYFUNCTION("""COMPUTED_VALUE"""),309.8)</f>
        <v>309.8</v>
      </c>
      <c r="E152" s="7">
        <f>IFERROR(__xludf.DUMMYFUNCTION("""COMPUTED_VALUE"""),311.7)</f>
        <v>311.7</v>
      </c>
      <c r="F152" s="7">
        <f>IFERROR(__xludf.DUMMYFUNCTION("""COMPUTED_VALUE"""),9522966.0)</f>
        <v>9522966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f>IFERROR(__xludf.DUMMYFUNCTION("""COMPUTED_VALUE"""),45777.64583333333)</f>
        <v>45777.64583</v>
      </c>
      <c r="B153" s="7">
        <f>IFERROR(__xludf.DUMMYFUNCTION("""COMPUTED_VALUE"""),319.0)</f>
        <v>319</v>
      </c>
      <c r="C153" s="7">
        <f>IFERROR(__xludf.DUMMYFUNCTION("""COMPUTED_VALUE"""),322.45)</f>
        <v>322.45</v>
      </c>
      <c r="D153" s="7">
        <f>IFERROR(__xludf.DUMMYFUNCTION("""COMPUTED_VALUE"""),309.0)</f>
        <v>309</v>
      </c>
      <c r="E153" s="7">
        <f>IFERROR(__xludf.DUMMYFUNCTION("""COMPUTED_VALUE"""),310.05)</f>
        <v>310.05</v>
      </c>
      <c r="F153" s="7">
        <f>IFERROR(__xludf.DUMMYFUNCTION("""COMPUTED_VALUE"""),2.1424437E7)</f>
        <v>21424437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f>IFERROR(__xludf.DUMMYFUNCTION("""COMPUTED_VALUE"""),45779.64583333333)</f>
        <v>45779.64583</v>
      </c>
      <c r="B154" s="7">
        <f>IFERROR(__xludf.DUMMYFUNCTION("""COMPUTED_VALUE"""),310.55)</f>
        <v>310.55</v>
      </c>
      <c r="C154" s="7">
        <f>IFERROR(__xludf.DUMMYFUNCTION("""COMPUTED_VALUE"""),317.5)</f>
        <v>317.5</v>
      </c>
      <c r="D154" s="7">
        <f>IFERROR(__xludf.DUMMYFUNCTION("""COMPUTED_VALUE"""),309.9)</f>
        <v>309.9</v>
      </c>
      <c r="E154" s="7">
        <f>IFERROR(__xludf.DUMMYFUNCTION("""COMPUTED_VALUE"""),311.15)</f>
        <v>311.15</v>
      </c>
      <c r="F154" s="7">
        <f>IFERROR(__xludf.DUMMYFUNCTION("""COMPUTED_VALUE"""),6850147.0)</f>
        <v>6850147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f>IFERROR(__xludf.DUMMYFUNCTION("""COMPUTED_VALUE"""),45782.64583333333)</f>
        <v>45782.64583</v>
      </c>
      <c r="B155" s="7">
        <f>IFERROR(__xludf.DUMMYFUNCTION("""COMPUTED_VALUE"""),317.0)</f>
        <v>317</v>
      </c>
      <c r="C155" s="7">
        <f>IFERROR(__xludf.DUMMYFUNCTION("""COMPUTED_VALUE"""),325.85)</f>
        <v>325.85</v>
      </c>
      <c r="D155" s="7">
        <f>IFERROR(__xludf.DUMMYFUNCTION("""COMPUTED_VALUE"""),316.0)</f>
        <v>316</v>
      </c>
      <c r="E155" s="7">
        <f>IFERROR(__xludf.DUMMYFUNCTION("""COMPUTED_VALUE"""),321.05)</f>
        <v>321.05</v>
      </c>
      <c r="F155" s="7">
        <f>IFERROR(__xludf.DUMMYFUNCTION("""COMPUTED_VALUE"""),1.6037327E7)</f>
        <v>16037327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f>IFERROR(__xludf.DUMMYFUNCTION("""COMPUTED_VALUE"""),45783.64583333333)</f>
        <v>45783.64583</v>
      </c>
      <c r="B156" s="7">
        <f>IFERROR(__xludf.DUMMYFUNCTION("""COMPUTED_VALUE"""),321.1)</f>
        <v>321.1</v>
      </c>
      <c r="C156" s="7">
        <f>IFERROR(__xludf.DUMMYFUNCTION("""COMPUTED_VALUE"""),322.2)</f>
        <v>322.2</v>
      </c>
      <c r="D156" s="7">
        <f>IFERROR(__xludf.DUMMYFUNCTION("""COMPUTED_VALUE"""),310.55)</f>
        <v>310.55</v>
      </c>
      <c r="E156" s="7">
        <f>IFERROR(__xludf.DUMMYFUNCTION("""COMPUTED_VALUE"""),311.45)</f>
        <v>311.45</v>
      </c>
      <c r="F156" s="7">
        <f>IFERROR(__xludf.DUMMYFUNCTION("""COMPUTED_VALUE"""),5444873.0)</f>
        <v>5444873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f>IFERROR(__xludf.DUMMYFUNCTION("""COMPUTED_VALUE"""),45784.64583333333)</f>
        <v>45784.64583</v>
      </c>
      <c r="B157" s="7">
        <f>IFERROR(__xludf.DUMMYFUNCTION("""COMPUTED_VALUE"""),307.0)</f>
        <v>307</v>
      </c>
      <c r="C157" s="7">
        <f>IFERROR(__xludf.DUMMYFUNCTION("""COMPUTED_VALUE"""),317.5)</f>
        <v>317.5</v>
      </c>
      <c r="D157" s="7">
        <f>IFERROR(__xludf.DUMMYFUNCTION("""COMPUTED_VALUE"""),307.0)</f>
        <v>307</v>
      </c>
      <c r="E157" s="7">
        <f>IFERROR(__xludf.DUMMYFUNCTION("""COMPUTED_VALUE"""),316.9)</f>
        <v>316.9</v>
      </c>
      <c r="F157" s="7">
        <f>IFERROR(__xludf.DUMMYFUNCTION("""COMPUTED_VALUE"""),7970668.0)</f>
        <v>7970668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f>IFERROR(__xludf.DUMMYFUNCTION("""COMPUTED_VALUE"""),45785.64583333333)</f>
        <v>45785.64583</v>
      </c>
      <c r="B158" s="7">
        <f>IFERROR(__xludf.DUMMYFUNCTION("""COMPUTED_VALUE"""),315.5)</f>
        <v>315.5</v>
      </c>
      <c r="C158" s="7">
        <f>IFERROR(__xludf.DUMMYFUNCTION("""COMPUTED_VALUE"""),320.2)</f>
        <v>320.2</v>
      </c>
      <c r="D158" s="7">
        <f>IFERROR(__xludf.DUMMYFUNCTION("""COMPUTED_VALUE"""),305.7)</f>
        <v>305.7</v>
      </c>
      <c r="E158" s="7">
        <f>IFERROR(__xludf.DUMMYFUNCTION("""COMPUTED_VALUE"""),307.95)</f>
        <v>307.95</v>
      </c>
      <c r="F158" s="7">
        <f>IFERROR(__xludf.DUMMYFUNCTION("""COMPUTED_VALUE"""),5918739.0)</f>
        <v>5918739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f>IFERROR(__xludf.DUMMYFUNCTION("""COMPUTED_VALUE"""),45786.64583333333)</f>
        <v>45786.64583</v>
      </c>
      <c r="B159" s="7">
        <f>IFERROR(__xludf.DUMMYFUNCTION("""COMPUTED_VALUE"""),302.55)</f>
        <v>302.55</v>
      </c>
      <c r="C159" s="7">
        <f>IFERROR(__xludf.DUMMYFUNCTION("""COMPUTED_VALUE"""),307.35)</f>
        <v>307.35</v>
      </c>
      <c r="D159" s="7">
        <f>IFERROR(__xludf.DUMMYFUNCTION("""COMPUTED_VALUE"""),301.35)</f>
        <v>301.35</v>
      </c>
      <c r="E159" s="7">
        <f>IFERROR(__xludf.DUMMYFUNCTION("""COMPUTED_VALUE"""),306.85)</f>
        <v>306.85</v>
      </c>
      <c r="F159" s="7">
        <f>IFERROR(__xludf.DUMMYFUNCTION("""COMPUTED_VALUE"""),4955934.0)</f>
        <v>4955934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f>IFERROR(__xludf.DUMMYFUNCTION("""COMPUTED_VALUE"""),45789.64583333333)</f>
        <v>45789.64583</v>
      </c>
      <c r="B160" s="7">
        <f>IFERROR(__xludf.DUMMYFUNCTION("""COMPUTED_VALUE"""),315.0)</f>
        <v>315</v>
      </c>
      <c r="C160" s="7">
        <f>IFERROR(__xludf.DUMMYFUNCTION("""COMPUTED_VALUE"""),315.95)</f>
        <v>315.95</v>
      </c>
      <c r="D160" s="7">
        <f>IFERROR(__xludf.DUMMYFUNCTION("""COMPUTED_VALUE"""),307.15)</f>
        <v>307.15</v>
      </c>
      <c r="E160" s="7">
        <f>IFERROR(__xludf.DUMMYFUNCTION("""COMPUTED_VALUE"""),309.05)</f>
        <v>309.05</v>
      </c>
      <c r="F160" s="7">
        <f>IFERROR(__xludf.DUMMYFUNCTION("""COMPUTED_VALUE"""),6844271.0)</f>
        <v>6844271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f>IFERROR(__xludf.DUMMYFUNCTION("""COMPUTED_VALUE"""),45790.64583333333)</f>
        <v>45790.64583</v>
      </c>
      <c r="B161" s="7">
        <f>IFERROR(__xludf.DUMMYFUNCTION("""COMPUTED_VALUE"""),309.05)</f>
        <v>309.05</v>
      </c>
      <c r="C161" s="7">
        <f>IFERROR(__xludf.DUMMYFUNCTION("""COMPUTED_VALUE"""),310.6)</f>
        <v>310.6</v>
      </c>
      <c r="D161" s="7">
        <f>IFERROR(__xludf.DUMMYFUNCTION("""COMPUTED_VALUE"""),304.5)</f>
        <v>304.5</v>
      </c>
      <c r="E161" s="7">
        <f>IFERROR(__xludf.DUMMYFUNCTION("""COMPUTED_VALUE"""),306.9)</f>
        <v>306.9</v>
      </c>
      <c r="F161" s="7">
        <f>IFERROR(__xludf.DUMMYFUNCTION("""COMPUTED_VALUE"""),7241358.0)</f>
        <v>7241358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f>IFERROR(__xludf.DUMMYFUNCTION("""COMPUTED_VALUE"""),45791.64583333333)</f>
        <v>45791.64583</v>
      </c>
      <c r="B162" s="7">
        <f>IFERROR(__xludf.DUMMYFUNCTION("""COMPUTED_VALUE"""),308.7)</f>
        <v>308.7</v>
      </c>
      <c r="C162" s="7">
        <f>IFERROR(__xludf.DUMMYFUNCTION("""COMPUTED_VALUE"""),313.55)</f>
        <v>313.55</v>
      </c>
      <c r="D162" s="7">
        <f>IFERROR(__xludf.DUMMYFUNCTION("""COMPUTED_VALUE"""),308.4)</f>
        <v>308.4</v>
      </c>
      <c r="E162" s="7">
        <f>IFERROR(__xludf.DUMMYFUNCTION("""COMPUTED_VALUE"""),312.5)</f>
        <v>312.5</v>
      </c>
      <c r="F162" s="7">
        <f>IFERROR(__xludf.DUMMYFUNCTION("""COMPUTED_VALUE"""),7733320.0)</f>
        <v>7733320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f>IFERROR(__xludf.DUMMYFUNCTION("""COMPUTED_VALUE"""),45792.64583333333)</f>
        <v>45792.64583</v>
      </c>
      <c r="B163" s="7">
        <f>IFERROR(__xludf.DUMMYFUNCTION("""COMPUTED_VALUE"""),314.0)</f>
        <v>314</v>
      </c>
      <c r="C163" s="7">
        <f>IFERROR(__xludf.DUMMYFUNCTION("""COMPUTED_VALUE"""),320.2)</f>
        <v>320.2</v>
      </c>
      <c r="D163" s="7">
        <f>IFERROR(__xludf.DUMMYFUNCTION("""COMPUTED_VALUE"""),313.5)</f>
        <v>313.5</v>
      </c>
      <c r="E163" s="7">
        <f>IFERROR(__xludf.DUMMYFUNCTION("""COMPUTED_VALUE"""),317.0)</f>
        <v>317</v>
      </c>
      <c r="F163" s="7">
        <f>IFERROR(__xludf.DUMMYFUNCTION("""COMPUTED_VALUE"""),7055032.0)</f>
        <v>7055032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f>IFERROR(__xludf.DUMMYFUNCTION("""COMPUTED_VALUE"""),45793.64583333333)</f>
        <v>45793.64583</v>
      </c>
      <c r="B164" s="7">
        <f>IFERROR(__xludf.DUMMYFUNCTION("""COMPUTED_VALUE"""),316.0)</f>
        <v>316</v>
      </c>
      <c r="C164" s="7">
        <f>IFERROR(__xludf.DUMMYFUNCTION("""COMPUTED_VALUE"""),321.0)</f>
        <v>321</v>
      </c>
      <c r="D164" s="7">
        <f>IFERROR(__xludf.DUMMYFUNCTION("""COMPUTED_VALUE"""),315.8)</f>
        <v>315.8</v>
      </c>
      <c r="E164" s="7">
        <f>IFERROR(__xludf.DUMMYFUNCTION("""COMPUTED_VALUE"""),320.1)</f>
        <v>320.1</v>
      </c>
      <c r="F164" s="7">
        <f>IFERROR(__xludf.DUMMYFUNCTION("""COMPUTED_VALUE"""),6861786.0)</f>
        <v>6861786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f>IFERROR(__xludf.DUMMYFUNCTION("""COMPUTED_VALUE"""),45796.64583333333)</f>
        <v>45796.64583</v>
      </c>
      <c r="B165" s="7">
        <f>IFERROR(__xludf.DUMMYFUNCTION("""COMPUTED_VALUE"""),318.55)</f>
        <v>318.55</v>
      </c>
      <c r="C165" s="7">
        <f>IFERROR(__xludf.DUMMYFUNCTION("""COMPUTED_VALUE"""),319.55)</f>
        <v>319.55</v>
      </c>
      <c r="D165" s="7">
        <f>IFERROR(__xludf.DUMMYFUNCTION("""COMPUTED_VALUE"""),316.15)</f>
        <v>316.15</v>
      </c>
      <c r="E165" s="7">
        <f>IFERROR(__xludf.DUMMYFUNCTION("""COMPUTED_VALUE"""),317.2)</f>
        <v>317.2</v>
      </c>
      <c r="F165" s="7">
        <f>IFERROR(__xludf.DUMMYFUNCTION("""COMPUTED_VALUE"""),2956007.0)</f>
        <v>2956007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f>IFERROR(__xludf.DUMMYFUNCTION("""COMPUTED_VALUE"""),45797.64583333333)</f>
        <v>45797.64583</v>
      </c>
      <c r="B166" s="7">
        <f>IFERROR(__xludf.DUMMYFUNCTION("""COMPUTED_VALUE"""),317.0)</f>
        <v>317</v>
      </c>
      <c r="C166" s="7">
        <f>IFERROR(__xludf.DUMMYFUNCTION("""COMPUTED_VALUE"""),319.65)</f>
        <v>319.65</v>
      </c>
      <c r="D166" s="7">
        <f>IFERROR(__xludf.DUMMYFUNCTION("""COMPUTED_VALUE"""),311.75)</f>
        <v>311.75</v>
      </c>
      <c r="E166" s="7">
        <f>IFERROR(__xludf.DUMMYFUNCTION("""COMPUTED_VALUE"""),312.9)</f>
        <v>312.9</v>
      </c>
      <c r="F166" s="7">
        <f>IFERROR(__xludf.DUMMYFUNCTION("""COMPUTED_VALUE"""),5016433.0)</f>
        <v>5016433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f>IFERROR(__xludf.DUMMYFUNCTION("""COMPUTED_VALUE"""),45798.64583333333)</f>
        <v>45798.64583</v>
      </c>
      <c r="B167" s="7">
        <f>IFERROR(__xludf.DUMMYFUNCTION("""COMPUTED_VALUE"""),312.3)</f>
        <v>312.3</v>
      </c>
      <c r="C167" s="7">
        <f>IFERROR(__xludf.DUMMYFUNCTION("""COMPUTED_VALUE"""),316.75)</f>
        <v>316.75</v>
      </c>
      <c r="D167" s="7">
        <f>IFERROR(__xludf.DUMMYFUNCTION("""COMPUTED_VALUE"""),309.35)</f>
        <v>309.35</v>
      </c>
      <c r="E167" s="7">
        <f>IFERROR(__xludf.DUMMYFUNCTION("""COMPUTED_VALUE"""),315.85)</f>
        <v>315.85</v>
      </c>
      <c r="F167" s="7">
        <f>IFERROR(__xludf.DUMMYFUNCTION("""COMPUTED_VALUE"""),5232094.0)</f>
        <v>5232094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f>IFERROR(__xludf.DUMMYFUNCTION("""COMPUTED_VALUE"""),45799.64583333333)</f>
        <v>45799.64583</v>
      </c>
      <c r="B168" s="7">
        <f>IFERROR(__xludf.DUMMYFUNCTION("""COMPUTED_VALUE"""),314.9)</f>
        <v>314.9</v>
      </c>
      <c r="C168" s="7">
        <f>IFERROR(__xludf.DUMMYFUNCTION("""COMPUTED_VALUE"""),318.9)</f>
        <v>318.9</v>
      </c>
      <c r="D168" s="7">
        <f>IFERROR(__xludf.DUMMYFUNCTION("""COMPUTED_VALUE"""),308.7)</f>
        <v>308.7</v>
      </c>
      <c r="E168" s="7">
        <f>IFERROR(__xludf.DUMMYFUNCTION("""COMPUTED_VALUE"""),313.05)</f>
        <v>313.05</v>
      </c>
      <c r="F168" s="7">
        <f>IFERROR(__xludf.DUMMYFUNCTION("""COMPUTED_VALUE"""),4876801.0)</f>
        <v>4876801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f>IFERROR(__xludf.DUMMYFUNCTION("""COMPUTED_VALUE"""),45800.64583333333)</f>
        <v>45800.64583</v>
      </c>
      <c r="B169" s="7">
        <f>IFERROR(__xludf.DUMMYFUNCTION("""COMPUTED_VALUE"""),312.0)</f>
        <v>312</v>
      </c>
      <c r="C169" s="7">
        <f>IFERROR(__xludf.DUMMYFUNCTION("""COMPUTED_VALUE"""),320.0)</f>
        <v>320</v>
      </c>
      <c r="D169" s="7">
        <f>IFERROR(__xludf.DUMMYFUNCTION("""COMPUTED_VALUE"""),312.0)</f>
        <v>312</v>
      </c>
      <c r="E169" s="7">
        <f>IFERROR(__xludf.DUMMYFUNCTION("""COMPUTED_VALUE"""),318.9)</f>
        <v>318.9</v>
      </c>
      <c r="F169" s="7">
        <f>IFERROR(__xludf.DUMMYFUNCTION("""COMPUTED_VALUE"""),4257721.0)</f>
        <v>4257721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f>IFERROR(__xludf.DUMMYFUNCTION("""COMPUTED_VALUE"""),45803.64583333333)</f>
        <v>45803.64583</v>
      </c>
      <c r="B170" s="7">
        <f>IFERROR(__xludf.DUMMYFUNCTION("""COMPUTED_VALUE"""),319.0)</f>
        <v>319</v>
      </c>
      <c r="C170" s="7">
        <f>IFERROR(__xludf.DUMMYFUNCTION("""COMPUTED_VALUE"""),323.95)</f>
        <v>323.95</v>
      </c>
      <c r="D170" s="7">
        <f>IFERROR(__xludf.DUMMYFUNCTION("""COMPUTED_VALUE"""),319.0)</f>
        <v>319</v>
      </c>
      <c r="E170" s="7">
        <f>IFERROR(__xludf.DUMMYFUNCTION("""COMPUTED_VALUE"""),322.95)</f>
        <v>322.95</v>
      </c>
      <c r="F170" s="7">
        <f>IFERROR(__xludf.DUMMYFUNCTION("""COMPUTED_VALUE"""),5050848.0)</f>
        <v>5050848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f>IFERROR(__xludf.DUMMYFUNCTION("""COMPUTED_VALUE"""),45804.64583333333)</f>
        <v>45804.64583</v>
      </c>
      <c r="B171" s="7">
        <f>IFERROR(__xludf.DUMMYFUNCTION("""COMPUTED_VALUE"""),322.9)</f>
        <v>322.9</v>
      </c>
      <c r="C171" s="7">
        <f>IFERROR(__xludf.DUMMYFUNCTION("""COMPUTED_VALUE"""),322.9)</f>
        <v>322.9</v>
      </c>
      <c r="D171" s="7">
        <f>IFERROR(__xludf.DUMMYFUNCTION("""COMPUTED_VALUE"""),315.5)</f>
        <v>315.5</v>
      </c>
      <c r="E171" s="7">
        <f>IFERROR(__xludf.DUMMYFUNCTION("""COMPUTED_VALUE"""),317.0)</f>
        <v>317</v>
      </c>
      <c r="F171" s="7">
        <f>IFERROR(__xludf.DUMMYFUNCTION("""COMPUTED_VALUE"""),4716473.0)</f>
        <v>4716473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f>IFERROR(__xludf.DUMMYFUNCTION("""COMPUTED_VALUE"""),45805.64583333333)</f>
        <v>45805.64583</v>
      </c>
      <c r="B172" s="7">
        <f>IFERROR(__xludf.DUMMYFUNCTION("""COMPUTED_VALUE"""),317.0)</f>
        <v>317</v>
      </c>
      <c r="C172" s="7">
        <f>IFERROR(__xludf.DUMMYFUNCTION("""COMPUTED_VALUE"""),322.6)</f>
        <v>322.6</v>
      </c>
      <c r="D172" s="7">
        <f>IFERROR(__xludf.DUMMYFUNCTION("""COMPUTED_VALUE"""),313.75)</f>
        <v>313.75</v>
      </c>
      <c r="E172" s="7">
        <f>IFERROR(__xludf.DUMMYFUNCTION("""COMPUTED_VALUE"""),321.7)</f>
        <v>321.7</v>
      </c>
      <c r="F172" s="7">
        <f>IFERROR(__xludf.DUMMYFUNCTION("""COMPUTED_VALUE"""),7112876.0)</f>
        <v>7112876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f>IFERROR(__xludf.DUMMYFUNCTION("""COMPUTED_VALUE"""),45806.64583333333)</f>
        <v>45806.64583</v>
      </c>
      <c r="B173" s="7">
        <f>IFERROR(__xludf.DUMMYFUNCTION("""COMPUTED_VALUE"""),321.2)</f>
        <v>321.2</v>
      </c>
      <c r="C173" s="7">
        <f>IFERROR(__xludf.DUMMYFUNCTION("""COMPUTED_VALUE"""),322.55)</f>
        <v>322.55</v>
      </c>
      <c r="D173" s="7">
        <f>IFERROR(__xludf.DUMMYFUNCTION("""COMPUTED_VALUE"""),317.6)</f>
        <v>317.6</v>
      </c>
      <c r="E173" s="7">
        <f>IFERROR(__xludf.DUMMYFUNCTION("""COMPUTED_VALUE"""),319.15)</f>
        <v>319.15</v>
      </c>
      <c r="F173" s="7">
        <f>IFERROR(__xludf.DUMMYFUNCTION("""COMPUTED_VALUE"""),4000772.0)</f>
        <v>4000772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f>IFERROR(__xludf.DUMMYFUNCTION("""COMPUTED_VALUE"""),45807.64583333333)</f>
        <v>45807.64583</v>
      </c>
      <c r="B174" s="7">
        <f>IFERROR(__xludf.DUMMYFUNCTION("""COMPUTED_VALUE"""),317.55)</f>
        <v>317.55</v>
      </c>
      <c r="C174" s="7">
        <f>IFERROR(__xludf.DUMMYFUNCTION("""COMPUTED_VALUE"""),322.4)</f>
        <v>322.4</v>
      </c>
      <c r="D174" s="7">
        <f>IFERROR(__xludf.DUMMYFUNCTION("""COMPUTED_VALUE"""),317.0)</f>
        <v>317</v>
      </c>
      <c r="E174" s="7">
        <f>IFERROR(__xludf.DUMMYFUNCTION("""COMPUTED_VALUE"""),318.4)</f>
        <v>318.4</v>
      </c>
      <c r="F174" s="7">
        <f>IFERROR(__xludf.DUMMYFUNCTION("""COMPUTED_VALUE"""),9148638.0)</f>
        <v>9148638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f>IFERROR(__xludf.DUMMYFUNCTION("""COMPUTED_VALUE"""),45810.64583333333)</f>
        <v>45810.64583</v>
      </c>
      <c r="B175" s="7">
        <f>IFERROR(__xludf.DUMMYFUNCTION("""COMPUTED_VALUE"""),318.4)</f>
        <v>318.4</v>
      </c>
      <c r="C175" s="7">
        <f>IFERROR(__xludf.DUMMYFUNCTION("""COMPUTED_VALUE"""),319.5)</f>
        <v>319.5</v>
      </c>
      <c r="D175" s="7">
        <f>IFERROR(__xludf.DUMMYFUNCTION("""COMPUTED_VALUE"""),315.65)</f>
        <v>315.65</v>
      </c>
      <c r="E175" s="7">
        <f>IFERROR(__xludf.DUMMYFUNCTION("""COMPUTED_VALUE"""),316.6)</f>
        <v>316.6</v>
      </c>
      <c r="F175" s="7">
        <f>IFERROR(__xludf.DUMMYFUNCTION("""COMPUTED_VALUE"""),3086437.0)</f>
        <v>3086437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f>IFERROR(__xludf.DUMMYFUNCTION("""COMPUTED_VALUE"""),45811.64583333333)</f>
        <v>45811.64583</v>
      </c>
      <c r="B176" s="7">
        <f>IFERROR(__xludf.DUMMYFUNCTION("""COMPUTED_VALUE"""),315.05)</f>
        <v>315.05</v>
      </c>
      <c r="C176" s="7">
        <f>IFERROR(__xludf.DUMMYFUNCTION("""COMPUTED_VALUE"""),320.95)</f>
        <v>320.95</v>
      </c>
      <c r="D176" s="7">
        <f>IFERROR(__xludf.DUMMYFUNCTION("""COMPUTED_VALUE"""),309.0)</f>
        <v>309</v>
      </c>
      <c r="E176" s="7">
        <f>IFERROR(__xludf.DUMMYFUNCTION("""COMPUTED_VALUE"""),309.75)</f>
        <v>309.75</v>
      </c>
      <c r="F176" s="7">
        <f>IFERROR(__xludf.DUMMYFUNCTION("""COMPUTED_VALUE"""),7853488.0)</f>
        <v>7853488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f>IFERROR(__xludf.DUMMYFUNCTION("""COMPUTED_VALUE"""),45812.64583333333)</f>
        <v>45812.64583</v>
      </c>
      <c r="B177" s="7">
        <f>IFERROR(__xludf.DUMMYFUNCTION("""COMPUTED_VALUE"""),309.75)</f>
        <v>309.75</v>
      </c>
      <c r="C177" s="7">
        <f>IFERROR(__xludf.DUMMYFUNCTION("""COMPUTED_VALUE"""),312.65)</f>
        <v>312.65</v>
      </c>
      <c r="D177" s="7">
        <f>IFERROR(__xludf.DUMMYFUNCTION("""COMPUTED_VALUE"""),308.6)</f>
        <v>308.6</v>
      </c>
      <c r="E177" s="7">
        <f>IFERROR(__xludf.DUMMYFUNCTION("""COMPUTED_VALUE"""),311.55)</f>
        <v>311.55</v>
      </c>
      <c r="F177" s="7">
        <f>IFERROR(__xludf.DUMMYFUNCTION("""COMPUTED_VALUE"""),5925942.0)</f>
        <v>5925942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f>IFERROR(__xludf.DUMMYFUNCTION("""COMPUTED_VALUE"""),45813.64583333333)</f>
        <v>45813.64583</v>
      </c>
      <c r="B178" s="7">
        <f>IFERROR(__xludf.DUMMYFUNCTION("""COMPUTED_VALUE"""),311.1)</f>
        <v>311.1</v>
      </c>
      <c r="C178" s="7">
        <f>IFERROR(__xludf.DUMMYFUNCTION("""COMPUTED_VALUE"""),315.4)</f>
        <v>315.4</v>
      </c>
      <c r="D178" s="7">
        <f>IFERROR(__xludf.DUMMYFUNCTION("""COMPUTED_VALUE"""),308.25)</f>
        <v>308.25</v>
      </c>
      <c r="E178" s="7">
        <f>IFERROR(__xludf.DUMMYFUNCTION("""COMPUTED_VALUE"""),309.8)</f>
        <v>309.8</v>
      </c>
      <c r="F178" s="7">
        <f>IFERROR(__xludf.DUMMYFUNCTION("""COMPUTED_VALUE"""),5900170.0)</f>
        <v>5900170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f>IFERROR(__xludf.DUMMYFUNCTION("""COMPUTED_VALUE"""),45814.64583333333)</f>
        <v>45814.64583</v>
      </c>
      <c r="B179" s="7">
        <f>IFERROR(__xludf.DUMMYFUNCTION("""COMPUTED_VALUE"""),309.0)</f>
        <v>309</v>
      </c>
      <c r="C179" s="7">
        <f>IFERROR(__xludf.DUMMYFUNCTION("""COMPUTED_VALUE"""),317.85)</f>
        <v>317.85</v>
      </c>
      <c r="D179" s="7">
        <f>IFERROR(__xludf.DUMMYFUNCTION("""COMPUTED_VALUE"""),309.0)</f>
        <v>309</v>
      </c>
      <c r="E179" s="7">
        <f>IFERROR(__xludf.DUMMYFUNCTION("""COMPUTED_VALUE"""),316.7)</f>
        <v>316.7</v>
      </c>
      <c r="F179" s="7">
        <f>IFERROR(__xludf.DUMMYFUNCTION("""COMPUTED_VALUE"""),5825337.0)</f>
        <v>5825337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f>IFERROR(__xludf.DUMMYFUNCTION("""COMPUTED_VALUE"""),45817.64583333333)</f>
        <v>45817.64583</v>
      </c>
      <c r="B180" s="7">
        <f>IFERROR(__xludf.DUMMYFUNCTION("""COMPUTED_VALUE"""),317.8)</f>
        <v>317.8</v>
      </c>
      <c r="C180" s="7">
        <f>IFERROR(__xludf.DUMMYFUNCTION("""COMPUTED_VALUE"""),321.45)</f>
        <v>321.45</v>
      </c>
      <c r="D180" s="7">
        <f>IFERROR(__xludf.DUMMYFUNCTION("""COMPUTED_VALUE"""),315.0)</f>
        <v>315</v>
      </c>
      <c r="E180" s="7">
        <f>IFERROR(__xludf.DUMMYFUNCTION("""COMPUTED_VALUE"""),320.4)</f>
        <v>320.4</v>
      </c>
      <c r="F180" s="7">
        <f>IFERROR(__xludf.DUMMYFUNCTION("""COMPUTED_VALUE"""),3787426.0)</f>
        <v>3787426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f>IFERROR(__xludf.DUMMYFUNCTION("""COMPUTED_VALUE"""),45818.64583333333)</f>
        <v>45818.64583</v>
      </c>
      <c r="B181" s="7">
        <f>IFERROR(__xludf.DUMMYFUNCTION("""COMPUTED_VALUE"""),321.2)</f>
        <v>321.2</v>
      </c>
      <c r="C181" s="7">
        <f>IFERROR(__xludf.DUMMYFUNCTION("""COMPUTED_VALUE"""),324.7)</f>
        <v>324.7</v>
      </c>
      <c r="D181" s="7">
        <f>IFERROR(__xludf.DUMMYFUNCTION("""COMPUTED_VALUE"""),319.4)</f>
        <v>319.4</v>
      </c>
      <c r="E181" s="7">
        <f>IFERROR(__xludf.DUMMYFUNCTION("""COMPUTED_VALUE"""),320.1)</f>
        <v>320.1</v>
      </c>
      <c r="F181" s="7">
        <f>IFERROR(__xludf.DUMMYFUNCTION("""COMPUTED_VALUE"""),6489933.0)</f>
        <v>6489933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f>IFERROR(__xludf.DUMMYFUNCTION("""COMPUTED_VALUE"""),45819.64583333333)</f>
        <v>45819.64583</v>
      </c>
      <c r="B182" s="7">
        <f>IFERROR(__xludf.DUMMYFUNCTION("""COMPUTED_VALUE"""),320.3)</f>
        <v>320.3</v>
      </c>
      <c r="C182" s="7">
        <f>IFERROR(__xludf.DUMMYFUNCTION("""COMPUTED_VALUE"""),334.5)</f>
        <v>334.5</v>
      </c>
      <c r="D182" s="7">
        <f>IFERROR(__xludf.DUMMYFUNCTION("""COMPUTED_VALUE"""),320.3)</f>
        <v>320.3</v>
      </c>
      <c r="E182" s="7">
        <f>IFERROR(__xludf.DUMMYFUNCTION("""COMPUTED_VALUE"""),333.85)</f>
        <v>333.85</v>
      </c>
      <c r="F182" s="7">
        <f>IFERROR(__xludf.DUMMYFUNCTION("""COMPUTED_VALUE"""),2.1739121E7)</f>
        <v>21739121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f>IFERROR(__xludf.DUMMYFUNCTION("""COMPUTED_VALUE"""),45820.64583333333)</f>
        <v>45820.64583</v>
      </c>
      <c r="B183" s="7">
        <f>IFERROR(__xludf.DUMMYFUNCTION("""COMPUTED_VALUE"""),330.5)</f>
        <v>330.5</v>
      </c>
      <c r="C183" s="7">
        <f>IFERROR(__xludf.DUMMYFUNCTION("""COMPUTED_VALUE"""),331.0)</f>
        <v>331</v>
      </c>
      <c r="D183" s="7">
        <f>IFERROR(__xludf.DUMMYFUNCTION("""COMPUTED_VALUE"""),317.75)</f>
        <v>317.75</v>
      </c>
      <c r="E183" s="7">
        <f>IFERROR(__xludf.DUMMYFUNCTION("""COMPUTED_VALUE"""),318.65)</f>
        <v>318.65</v>
      </c>
      <c r="F183" s="7">
        <f>IFERROR(__xludf.DUMMYFUNCTION("""COMPUTED_VALUE"""),1.3568848E7)</f>
        <v>13568848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f>IFERROR(__xludf.DUMMYFUNCTION("""COMPUTED_VALUE"""),45821.64583333333)</f>
        <v>45821.64583</v>
      </c>
      <c r="B184" s="7">
        <f>IFERROR(__xludf.DUMMYFUNCTION("""COMPUTED_VALUE"""),305.0)</f>
        <v>305</v>
      </c>
      <c r="C184" s="7">
        <f>IFERROR(__xludf.DUMMYFUNCTION("""COMPUTED_VALUE"""),314.4)</f>
        <v>314.4</v>
      </c>
      <c r="D184" s="7">
        <f>IFERROR(__xludf.DUMMYFUNCTION("""COMPUTED_VALUE"""),299.3)</f>
        <v>299.3</v>
      </c>
      <c r="E184" s="7">
        <f>IFERROR(__xludf.DUMMYFUNCTION("""COMPUTED_VALUE"""),312.3)</f>
        <v>312.3</v>
      </c>
      <c r="F184" s="7">
        <f>IFERROR(__xludf.DUMMYFUNCTION("""COMPUTED_VALUE"""),1.3958229E7)</f>
        <v>13958229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f>IFERROR(__xludf.DUMMYFUNCTION("""COMPUTED_VALUE"""),45824.64583333333)</f>
        <v>45824.64583</v>
      </c>
      <c r="B185" s="7">
        <f>IFERROR(__xludf.DUMMYFUNCTION("""COMPUTED_VALUE"""),309.95)</f>
        <v>309.95</v>
      </c>
      <c r="C185" s="7">
        <f>IFERROR(__xludf.DUMMYFUNCTION("""COMPUTED_VALUE"""),316.85)</f>
        <v>316.85</v>
      </c>
      <c r="D185" s="7">
        <f>IFERROR(__xludf.DUMMYFUNCTION("""COMPUTED_VALUE"""),308.5)</f>
        <v>308.5</v>
      </c>
      <c r="E185" s="7">
        <f>IFERROR(__xludf.DUMMYFUNCTION("""COMPUTED_VALUE"""),316.4)</f>
        <v>316.4</v>
      </c>
      <c r="F185" s="7">
        <f>IFERROR(__xludf.DUMMYFUNCTION("""COMPUTED_VALUE"""),6893567.0)</f>
        <v>6893567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f>IFERROR(__xludf.DUMMYFUNCTION("""COMPUTED_VALUE"""),45825.64583333333)</f>
        <v>45825.64583</v>
      </c>
      <c r="B186" s="7">
        <f>IFERROR(__xludf.DUMMYFUNCTION("""COMPUTED_VALUE"""),314.0)</f>
        <v>314</v>
      </c>
      <c r="C186" s="7">
        <f>IFERROR(__xludf.DUMMYFUNCTION("""COMPUTED_VALUE"""),320.45)</f>
        <v>320.45</v>
      </c>
      <c r="D186" s="7">
        <f>IFERROR(__xludf.DUMMYFUNCTION("""COMPUTED_VALUE"""),311.7)</f>
        <v>311.7</v>
      </c>
      <c r="E186" s="7">
        <f>IFERROR(__xludf.DUMMYFUNCTION("""COMPUTED_VALUE"""),312.8)</f>
        <v>312.8</v>
      </c>
      <c r="F186" s="7">
        <f>IFERROR(__xludf.DUMMYFUNCTION("""COMPUTED_VALUE"""),7219608.0)</f>
        <v>7219608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f>IFERROR(__xludf.DUMMYFUNCTION("""COMPUTED_VALUE"""),45826.64583333333)</f>
        <v>45826.64583</v>
      </c>
      <c r="B187" s="7">
        <f>IFERROR(__xludf.DUMMYFUNCTION("""COMPUTED_VALUE"""),312.0)</f>
        <v>312</v>
      </c>
      <c r="C187" s="7">
        <f>IFERROR(__xludf.DUMMYFUNCTION("""COMPUTED_VALUE"""),316.85)</f>
        <v>316.85</v>
      </c>
      <c r="D187" s="7">
        <f>IFERROR(__xludf.DUMMYFUNCTION("""COMPUTED_VALUE"""),309.7)</f>
        <v>309.7</v>
      </c>
      <c r="E187" s="7">
        <f>IFERROR(__xludf.DUMMYFUNCTION("""COMPUTED_VALUE"""),315.85)</f>
        <v>315.85</v>
      </c>
      <c r="F187" s="7">
        <f>IFERROR(__xludf.DUMMYFUNCTION("""COMPUTED_VALUE"""),1.0011198E7)</f>
        <v>10011198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f>IFERROR(__xludf.DUMMYFUNCTION("""COMPUTED_VALUE"""),45827.64583333333)</f>
        <v>45827.64583</v>
      </c>
      <c r="B188" s="7">
        <f>IFERROR(__xludf.DUMMYFUNCTION("""COMPUTED_VALUE"""),317.0)</f>
        <v>317</v>
      </c>
      <c r="C188" s="7">
        <f>IFERROR(__xludf.DUMMYFUNCTION("""COMPUTED_VALUE"""),317.0)</f>
        <v>317</v>
      </c>
      <c r="D188" s="7">
        <f>IFERROR(__xludf.DUMMYFUNCTION("""COMPUTED_VALUE"""),310.1)</f>
        <v>310.1</v>
      </c>
      <c r="E188" s="7">
        <f>IFERROR(__xludf.DUMMYFUNCTION("""COMPUTED_VALUE"""),313.45)</f>
        <v>313.45</v>
      </c>
      <c r="F188" s="7">
        <f>IFERROR(__xludf.DUMMYFUNCTION("""COMPUTED_VALUE"""),5399948.0)</f>
        <v>5399948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f>IFERROR(__xludf.DUMMYFUNCTION("""COMPUTED_VALUE"""),45828.64583333333)</f>
        <v>45828.64583</v>
      </c>
      <c r="B189" s="7">
        <f>IFERROR(__xludf.DUMMYFUNCTION("""COMPUTED_VALUE"""),310.9)</f>
        <v>310.9</v>
      </c>
      <c r="C189" s="7">
        <f>IFERROR(__xludf.DUMMYFUNCTION("""COMPUTED_VALUE"""),315.9)</f>
        <v>315.9</v>
      </c>
      <c r="D189" s="7">
        <f>IFERROR(__xludf.DUMMYFUNCTION("""COMPUTED_VALUE"""),310.0)</f>
        <v>310</v>
      </c>
      <c r="E189" s="7">
        <f>IFERROR(__xludf.DUMMYFUNCTION("""COMPUTED_VALUE"""),313.5)</f>
        <v>313.5</v>
      </c>
      <c r="F189" s="7">
        <f>IFERROR(__xludf.DUMMYFUNCTION("""COMPUTED_VALUE"""),8522458.0)</f>
        <v>8522458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f>IFERROR(__xludf.DUMMYFUNCTION("""COMPUTED_VALUE"""),45831.64583333333)</f>
        <v>45831.64583</v>
      </c>
      <c r="B190" s="7">
        <f>IFERROR(__xludf.DUMMYFUNCTION("""COMPUTED_VALUE"""),310.0)</f>
        <v>310</v>
      </c>
      <c r="C190" s="7">
        <f>IFERROR(__xludf.DUMMYFUNCTION("""COMPUTED_VALUE"""),315.5)</f>
        <v>315.5</v>
      </c>
      <c r="D190" s="7">
        <f>IFERROR(__xludf.DUMMYFUNCTION("""COMPUTED_VALUE"""),308.2)</f>
        <v>308.2</v>
      </c>
      <c r="E190" s="7">
        <f>IFERROR(__xludf.DUMMYFUNCTION("""COMPUTED_VALUE"""),313.45)</f>
        <v>313.45</v>
      </c>
      <c r="F190" s="7">
        <f>IFERROR(__xludf.DUMMYFUNCTION("""COMPUTED_VALUE"""),6848410.0)</f>
        <v>6848410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f>IFERROR(__xludf.DUMMYFUNCTION("""COMPUTED_VALUE"""),45832.64583333333)</f>
        <v>45832.64583</v>
      </c>
      <c r="B191" s="7">
        <f>IFERROR(__xludf.DUMMYFUNCTION("""COMPUTED_VALUE"""),325.5)</f>
        <v>325.5</v>
      </c>
      <c r="C191" s="7">
        <f>IFERROR(__xludf.DUMMYFUNCTION("""COMPUTED_VALUE"""),327.8)</f>
        <v>327.8</v>
      </c>
      <c r="D191" s="7">
        <f>IFERROR(__xludf.DUMMYFUNCTION("""COMPUTED_VALUE"""),317.0)</f>
        <v>317</v>
      </c>
      <c r="E191" s="7">
        <f>IFERROR(__xludf.DUMMYFUNCTION("""COMPUTED_VALUE"""),319.25)</f>
        <v>319.25</v>
      </c>
      <c r="F191" s="7">
        <f>IFERROR(__xludf.DUMMYFUNCTION("""COMPUTED_VALUE"""),1.1172373E7)</f>
        <v>11172373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f>IFERROR(__xludf.DUMMYFUNCTION("""COMPUTED_VALUE"""),45833.64583333333)</f>
        <v>45833.64583</v>
      </c>
      <c r="B192" s="7">
        <f>IFERROR(__xludf.DUMMYFUNCTION("""COMPUTED_VALUE"""),322.5)</f>
        <v>322.5</v>
      </c>
      <c r="C192" s="7">
        <f>IFERROR(__xludf.DUMMYFUNCTION("""COMPUTED_VALUE"""),323.0)</f>
        <v>323</v>
      </c>
      <c r="D192" s="7">
        <f>IFERROR(__xludf.DUMMYFUNCTION("""COMPUTED_VALUE"""),316.6)</f>
        <v>316.6</v>
      </c>
      <c r="E192" s="7">
        <f>IFERROR(__xludf.DUMMYFUNCTION("""COMPUTED_VALUE"""),319.6)</f>
        <v>319.6</v>
      </c>
      <c r="F192" s="7">
        <f>IFERROR(__xludf.DUMMYFUNCTION("""COMPUTED_VALUE"""),6658747.0)</f>
        <v>6658747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f>IFERROR(__xludf.DUMMYFUNCTION("""COMPUTED_VALUE"""),45834.64583333333)</f>
        <v>45834.64583</v>
      </c>
      <c r="B193" s="7">
        <f>IFERROR(__xludf.DUMMYFUNCTION("""COMPUTED_VALUE"""),318.85)</f>
        <v>318.85</v>
      </c>
      <c r="C193" s="7">
        <f>IFERROR(__xludf.DUMMYFUNCTION("""COMPUTED_VALUE"""),331.0)</f>
        <v>331</v>
      </c>
      <c r="D193" s="7">
        <f>IFERROR(__xludf.DUMMYFUNCTION("""COMPUTED_VALUE"""),318.85)</f>
        <v>318.85</v>
      </c>
      <c r="E193" s="7">
        <f>IFERROR(__xludf.DUMMYFUNCTION("""COMPUTED_VALUE"""),329.75)</f>
        <v>329.75</v>
      </c>
      <c r="F193" s="7">
        <f>IFERROR(__xludf.DUMMYFUNCTION("""COMPUTED_VALUE"""),1.552818E7)</f>
        <v>15528180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f>IFERROR(__xludf.DUMMYFUNCTION("""COMPUTED_VALUE"""),45835.64583333333)</f>
        <v>45835.64583</v>
      </c>
      <c r="B194" s="7">
        <f>IFERROR(__xludf.DUMMYFUNCTION("""COMPUTED_VALUE"""),330.0)</f>
        <v>330</v>
      </c>
      <c r="C194" s="7">
        <f>IFERROR(__xludf.DUMMYFUNCTION("""COMPUTED_VALUE"""),334.2)</f>
        <v>334.2</v>
      </c>
      <c r="D194" s="7">
        <f>IFERROR(__xludf.DUMMYFUNCTION("""COMPUTED_VALUE"""),327.4)</f>
        <v>327.4</v>
      </c>
      <c r="E194" s="7">
        <f>IFERROR(__xludf.DUMMYFUNCTION("""COMPUTED_VALUE"""),333.0)</f>
        <v>333</v>
      </c>
      <c r="F194" s="7">
        <f>IFERROR(__xludf.DUMMYFUNCTION("""COMPUTED_VALUE"""),9911738.0)</f>
        <v>9911738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f>IFERROR(__xludf.DUMMYFUNCTION("""COMPUTED_VALUE"""),45838.64583333333)</f>
        <v>45838.64583</v>
      </c>
      <c r="B195" s="7">
        <f>IFERROR(__xludf.DUMMYFUNCTION("""COMPUTED_VALUE"""),334.0)</f>
        <v>334</v>
      </c>
      <c r="C195" s="7">
        <f>IFERROR(__xludf.DUMMYFUNCTION("""COMPUTED_VALUE"""),337.7)</f>
        <v>337.7</v>
      </c>
      <c r="D195" s="7">
        <f>IFERROR(__xludf.DUMMYFUNCTION("""COMPUTED_VALUE"""),330.35)</f>
        <v>330.35</v>
      </c>
      <c r="E195" s="7">
        <f>IFERROR(__xludf.DUMMYFUNCTION("""COMPUTED_VALUE"""),331.95)</f>
        <v>331.95</v>
      </c>
      <c r="F195" s="7">
        <f>IFERROR(__xludf.DUMMYFUNCTION("""COMPUTED_VALUE"""),5840638.0)</f>
        <v>5840638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f>IFERROR(__xludf.DUMMYFUNCTION("""COMPUTED_VALUE"""),45839.64583333333)</f>
        <v>45839.64583</v>
      </c>
      <c r="B196" s="7">
        <f>IFERROR(__xludf.DUMMYFUNCTION("""COMPUTED_VALUE"""),331.55)</f>
        <v>331.55</v>
      </c>
      <c r="C196" s="7">
        <f>IFERROR(__xludf.DUMMYFUNCTION("""COMPUTED_VALUE"""),335.5)</f>
        <v>335.5</v>
      </c>
      <c r="D196" s="7">
        <f>IFERROR(__xludf.DUMMYFUNCTION("""COMPUTED_VALUE"""),330.9)</f>
        <v>330.9</v>
      </c>
      <c r="E196" s="7">
        <f>IFERROR(__xludf.DUMMYFUNCTION("""COMPUTED_VALUE"""),332.05)</f>
        <v>332.05</v>
      </c>
      <c r="F196" s="7">
        <f>IFERROR(__xludf.DUMMYFUNCTION("""COMPUTED_VALUE"""),3921773.0)</f>
        <v>3921773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f>IFERROR(__xludf.DUMMYFUNCTION("""COMPUTED_VALUE"""),45840.64583333333)</f>
        <v>45840.64583</v>
      </c>
      <c r="B197" s="7">
        <f>IFERROR(__xludf.DUMMYFUNCTION("""COMPUTED_VALUE"""),333.7)</f>
        <v>333.7</v>
      </c>
      <c r="C197" s="7">
        <f>IFERROR(__xludf.DUMMYFUNCTION("""COMPUTED_VALUE"""),334.95)</f>
        <v>334.95</v>
      </c>
      <c r="D197" s="7">
        <f>IFERROR(__xludf.DUMMYFUNCTION("""COMPUTED_VALUE"""),328.8)</f>
        <v>328.8</v>
      </c>
      <c r="E197" s="7">
        <f>IFERROR(__xludf.DUMMYFUNCTION("""COMPUTED_VALUE"""),331.8)</f>
        <v>331.8</v>
      </c>
      <c r="F197" s="7">
        <f>IFERROR(__xludf.DUMMYFUNCTION("""COMPUTED_VALUE"""),3799017.0)</f>
        <v>3799017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f>IFERROR(__xludf.DUMMYFUNCTION("""COMPUTED_VALUE"""),45841.64583333333)</f>
        <v>45841.64583</v>
      </c>
      <c r="B198" s="7">
        <f>IFERROR(__xludf.DUMMYFUNCTION("""COMPUTED_VALUE"""),333.0)</f>
        <v>333</v>
      </c>
      <c r="C198" s="7">
        <f>IFERROR(__xludf.DUMMYFUNCTION("""COMPUTED_VALUE"""),335.55)</f>
        <v>335.55</v>
      </c>
      <c r="D198" s="7">
        <f>IFERROR(__xludf.DUMMYFUNCTION("""COMPUTED_VALUE"""),330.55)</f>
        <v>330.55</v>
      </c>
      <c r="E198" s="7">
        <f>IFERROR(__xludf.DUMMYFUNCTION("""COMPUTED_VALUE"""),331.5)</f>
        <v>331.5</v>
      </c>
      <c r="F198" s="7">
        <f>IFERROR(__xludf.DUMMYFUNCTION("""COMPUTED_VALUE"""),5049883.0)</f>
        <v>5049883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f>IFERROR(__xludf.DUMMYFUNCTION("""COMPUTED_VALUE"""),45842.64583333333)</f>
        <v>45842.64583</v>
      </c>
      <c r="B199" s="7">
        <f>IFERROR(__xludf.DUMMYFUNCTION("""COMPUTED_VALUE"""),334.0)</f>
        <v>334</v>
      </c>
      <c r="C199" s="7">
        <f>IFERROR(__xludf.DUMMYFUNCTION("""COMPUTED_VALUE"""),347.7)</f>
        <v>347.7</v>
      </c>
      <c r="D199" s="7">
        <f>IFERROR(__xludf.DUMMYFUNCTION("""COMPUTED_VALUE"""),331.9)</f>
        <v>331.9</v>
      </c>
      <c r="E199" s="7">
        <f>IFERROR(__xludf.DUMMYFUNCTION("""COMPUTED_VALUE"""),346.2)</f>
        <v>346.2</v>
      </c>
      <c r="F199" s="7">
        <f>IFERROR(__xludf.DUMMYFUNCTION("""COMPUTED_VALUE"""),1.3743465E7)</f>
        <v>13743465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f>IFERROR(__xludf.DUMMYFUNCTION("""COMPUTED_VALUE"""),45845.64583333333)</f>
        <v>45845.64583</v>
      </c>
      <c r="B200" s="7">
        <f>IFERROR(__xludf.DUMMYFUNCTION("""COMPUTED_VALUE"""),345.8)</f>
        <v>345.8</v>
      </c>
      <c r="C200" s="7">
        <f>IFERROR(__xludf.DUMMYFUNCTION("""COMPUTED_VALUE"""),351.55)</f>
        <v>351.55</v>
      </c>
      <c r="D200" s="7">
        <f>IFERROR(__xludf.DUMMYFUNCTION("""COMPUTED_VALUE"""),343.45)</f>
        <v>343.45</v>
      </c>
      <c r="E200" s="7">
        <f>IFERROR(__xludf.DUMMYFUNCTION("""COMPUTED_VALUE"""),350.5)</f>
        <v>350.5</v>
      </c>
      <c r="F200" s="7">
        <f>IFERROR(__xludf.DUMMYFUNCTION("""COMPUTED_VALUE"""),8603937.0)</f>
        <v>8603937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f>IFERROR(__xludf.DUMMYFUNCTION("""COMPUTED_VALUE"""),45846.64583333333)</f>
        <v>45846.64583</v>
      </c>
      <c r="B201" s="7">
        <f>IFERROR(__xludf.DUMMYFUNCTION("""COMPUTED_VALUE"""),350.0)</f>
        <v>350</v>
      </c>
      <c r="C201" s="7">
        <f>IFERROR(__xludf.DUMMYFUNCTION("""COMPUTED_VALUE"""),358.65)</f>
        <v>358.65</v>
      </c>
      <c r="D201" s="7">
        <f>IFERROR(__xludf.DUMMYFUNCTION("""COMPUTED_VALUE"""),348.7)</f>
        <v>348.7</v>
      </c>
      <c r="E201" s="7">
        <f>IFERROR(__xludf.DUMMYFUNCTION("""COMPUTED_VALUE"""),355.6)</f>
        <v>355.6</v>
      </c>
      <c r="F201" s="7">
        <f>IFERROR(__xludf.DUMMYFUNCTION("""COMPUTED_VALUE"""),1.2905482E7)</f>
        <v>12905482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f>IFERROR(__xludf.DUMMYFUNCTION("""COMPUTED_VALUE"""),45847.64583333333)</f>
        <v>45847.64583</v>
      </c>
      <c r="B202" s="7">
        <f>IFERROR(__xludf.DUMMYFUNCTION("""COMPUTED_VALUE"""),355.6)</f>
        <v>355.6</v>
      </c>
      <c r="C202" s="7">
        <f>IFERROR(__xludf.DUMMYFUNCTION("""COMPUTED_VALUE"""),356.35)</f>
        <v>356.35</v>
      </c>
      <c r="D202" s="7">
        <f>IFERROR(__xludf.DUMMYFUNCTION("""COMPUTED_VALUE"""),347.65)</f>
        <v>347.65</v>
      </c>
      <c r="E202" s="7">
        <f>IFERROR(__xludf.DUMMYFUNCTION("""COMPUTED_VALUE"""),348.5)</f>
        <v>348.5</v>
      </c>
      <c r="F202" s="7">
        <f>IFERROR(__xludf.DUMMYFUNCTION("""COMPUTED_VALUE"""),8039090.0)</f>
        <v>8039090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f>IFERROR(__xludf.DUMMYFUNCTION("""COMPUTED_VALUE"""),45848.64583333333)</f>
        <v>45848.64583</v>
      </c>
      <c r="B203" s="7">
        <f>IFERROR(__xludf.DUMMYFUNCTION("""COMPUTED_VALUE"""),351.8)</f>
        <v>351.8</v>
      </c>
      <c r="C203" s="7">
        <f>IFERROR(__xludf.DUMMYFUNCTION("""COMPUTED_VALUE"""),352.85)</f>
        <v>352.85</v>
      </c>
      <c r="D203" s="7">
        <f>IFERROR(__xludf.DUMMYFUNCTION("""COMPUTED_VALUE"""),348.05)</f>
        <v>348.05</v>
      </c>
      <c r="E203" s="7">
        <f>IFERROR(__xludf.DUMMYFUNCTION("""COMPUTED_VALUE"""),350.95)</f>
        <v>350.95</v>
      </c>
      <c r="F203" s="7">
        <f>IFERROR(__xludf.DUMMYFUNCTION("""COMPUTED_VALUE"""),6580919.0)</f>
        <v>6580919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f>IFERROR(__xludf.DUMMYFUNCTION("""COMPUTED_VALUE"""),45849.64583333333)</f>
        <v>45849.64583</v>
      </c>
      <c r="B204" s="7">
        <f>IFERROR(__xludf.DUMMYFUNCTION("""COMPUTED_VALUE"""),351.8)</f>
        <v>351.8</v>
      </c>
      <c r="C204" s="7">
        <f>IFERROR(__xludf.DUMMYFUNCTION("""COMPUTED_VALUE"""),352.65)</f>
        <v>352.65</v>
      </c>
      <c r="D204" s="7">
        <f>IFERROR(__xludf.DUMMYFUNCTION("""COMPUTED_VALUE"""),343.3)</f>
        <v>343.3</v>
      </c>
      <c r="E204" s="7">
        <f>IFERROR(__xludf.DUMMYFUNCTION("""COMPUTED_VALUE"""),344.85)</f>
        <v>344.85</v>
      </c>
      <c r="F204" s="7">
        <f>IFERROR(__xludf.DUMMYFUNCTION("""COMPUTED_VALUE"""),4803470.0)</f>
        <v>4803470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f>IFERROR(__xludf.DUMMYFUNCTION("""COMPUTED_VALUE"""),45852.64583333333)</f>
        <v>45852.64583</v>
      </c>
      <c r="B205" s="7">
        <f>IFERROR(__xludf.DUMMYFUNCTION("""COMPUTED_VALUE"""),345.85)</f>
        <v>345.85</v>
      </c>
      <c r="C205" s="7">
        <f>IFERROR(__xludf.DUMMYFUNCTION("""COMPUTED_VALUE"""),348.2)</f>
        <v>348.2</v>
      </c>
      <c r="D205" s="7">
        <f>IFERROR(__xludf.DUMMYFUNCTION("""COMPUTED_VALUE"""),342.85)</f>
        <v>342.85</v>
      </c>
      <c r="E205" s="7">
        <f>IFERROR(__xludf.DUMMYFUNCTION("""COMPUTED_VALUE"""),344.4)</f>
        <v>344.4</v>
      </c>
      <c r="F205" s="7">
        <f>IFERROR(__xludf.DUMMYFUNCTION("""COMPUTED_VALUE"""),5372218.0)</f>
        <v>5372218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f>IFERROR(__xludf.DUMMYFUNCTION("""COMPUTED_VALUE"""),45853.64583333333)</f>
        <v>45853.64583</v>
      </c>
      <c r="B206" s="7">
        <f>IFERROR(__xludf.DUMMYFUNCTION("""COMPUTED_VALUE"""),347.65)</f>
        <v>347.65</v>
      </c>
      <c r="C206" s="7">
        <f>IFERROR(__xludf.DUMMYFUNCTION("""COMPUTED_VALUE"""),350.5)</f>
        <v>350.5</v>
      </c>
      <c r="D206" s="7">
        <f>IFERROR(__xludf.DUMMYFUNCTION("""COMPUTED_VALUE"""),346.15)</f>
        <v>346.15</v>
      </c>
      <c r="E206" s="7">
        <f>IFERROR(__xludf.DUMMYFUNCTION("""COMPUTED_VALUE"""),348.05)</f>
        <v>348.05</v>
      </c>
      <c r="F206" s="7">
        <f>IFERROR(__xludf.DUMMYFUNCTION("""COMPUTED_VALUE"""),6270256.0)</f>
        <v>6270256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f>IFERROR(__xludf.DUMMYFUNCTION("""COMPUTED_VALUE"""),45854.64583333333)</f>
        <v>45854.64583</v>
      </c>
      <c r="B207" s="7">
        <f>IFERROR(__xludf.DUMMYFUNCTION("""COMPUTED_VALUE"""),350.05)</f>
        <v>350.05</v>
      </c>
      <c r="C207" s="7">
        <f>IFERROR(__xludf.DUMMYFUNCTION("""COMPUTED_VALUE"""),351.7)</f>
        <v>351.7</v>
      </c>
      <c r="D207" s="7">
        <f>IFERROR(__xludf.DUMMYFUNCTION("""COMPUTED_VALUE"""),347.4)</f>
        <v>347.4</v>
      </c>
      <c r="E207" s="7">
        <f>IFERROR(__xludf.DUMMYFUNCTION("""COMPUTED_VALUE"""),347.85)</f>
        <v>347.85</v>
      </c>
      <c r="F207" s="7">
        <f>IFERROR(__xludf.DUMMYFUNCTION("""COMPUTED_VALUE"""),8426412.0)</f>
        <v>8426412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f>IFERROR(__xludf.DUMMYFUNCTION("""COMPUTED_VALUE"""),45855.64583333333)</f>
        <v>45855.64583</v>
      </c>
      <c r="B208" s="7">
        <f>IFERROR(__xludf.DUMMYFUNCTION("""COMPUTED_VALUE"""),349.6)</f>
        <v>349.6</v>
      </c>
      <c r="C208" s="7">
        <f>IFERROR(__xludf.DUMMYFUNCTION("""COMPUTED_VALUE"""),349.9)</f>
        <v>349.9</v>
      </c>
      <c r="D208" s="7">
        <f>IFERROR(__xludf.DUMMYFUNCTION("""COMPUTED_VALUE"""),344.25)</f>
        <v>344.25</v>
      </c>
      <c r="E208" s="7">
        <f>IFERROR(__xludf.DUMMYFUNCTION("""COMPUTED_VALUE"""),346.75)</f>
        <v>346.75</v>
      </c>
      <c r="F208" s="7">
        <f>IFERROR(__xludf.DUMMYFUNCTION("""COMPUTED_VALUE"""),4026086.0)</f>
        <v>4026086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f>IFERROR(__xludf.DUMMYFUNCTION("""COMPUTED_VALUE"""),45856.64583333333)</f>
        <v>45856.64583</v>
      </c>
      <c r="B209" s="7">
        <f>IFERROR(__xludf.DUMMYFUNCTION("""COMPUTED_VALUE"""),347.5)</f>
        <v>347.5</v>
      </c>
      <c r="C209" s="7">
        <f>IFERROR(__xludf.DUMMYFUNCTION("""COMPUTED_VALUE"""),351.45)</f>
        <v>351.45</v>
      </c>
      <c r="D209" s="7">
        <f>IFERROR(__xludf.DUMMYFUNCTION("""COMPUTED_VALUE"""),342.1)</f>
        <v>342.1</v>
      </c>
      <c r="E209" s="7">
        <f>IFERROR(__xludf.DUMMYFUNCTION("""COMPUTED_VALUE"""),343.5)</f>
        <v>343.5</v>
      </c>
      <c r="F209" s="7">
        <f>IFERROR(__xludf.DUMMYFUNCTION("""COMPUTED_VALUE"""),5631392.0)</f>
        <v>5631392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f>IFERROR(__xludf.DUMMYFUNCTION("""COMPUTED_VALUE"""),45859.64583333333)</f>
        <v>45859.64583</v>
      </c>
      <c r="B210" s="7">
        <f>IFERROR(__xludf.DUMMYFUNCTION("""COMPUTED_VALUE"""),343.5)</f>
        <v>343.5</v>
      </c>
      <c r="C210" s="7">
        <f>IFERROR(__xludf.DUMMYFUNCTION("""COMPUTED_VALUE"""),344.7)</f>
        <v>344.7</v>
      </c>
      <c r="D210" s="7">
        <f>IFERROR(__xludf.DUMMYFUNCTION("""COMPUTED_VALUE"""),339.45)</f>
        <v>339.45</v>
      </c>
      <c r="E210" s="7">
        <f>IFERROR(__xludf.DUMMYFUNCTION("""COMPUTED_VALUE"""),342.6)</f>
        <v>342.6</v>
      </c>
      <c r="F210" s="7">
        <f>IFERROR(__xludf.DUMMYFUNCTION("""COMPUTED_VALUE"""),5051058.0)</f>
        <v>5051058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f>IFERROR(__xludf.DUMMYFUNCTION("""COMPUTED_VALUE"""),45860.64583333333)</f>
        <v>45860.64583</v>
      </c>
      <c r="B211" s="7">
        <f>IFERROR(__xludf.DUMMYFUNCTION("""COMPUTED_VALUE"""),342.6)</f>
        <v>342.6</v>
      </c>
      <c r="C211" s="7">
        <f>IFERROR(__xludf.DUMMYFUNCTION("""COMPUTED_VALUE"""),344.35)</f>
        <v>344.35</v>
      </c>
      <c r="D211" s="7">
        <f>IFERROR(__xludf.DUMMYFUNCTION("""COMPUTED_VALUE"""),339.95)</f>
        <v>339.95</v>
      </c>
      <c r="E211" s="7">
        <f>IFERROR(__xludf.DUMMYFUNCTION("""COMPUTED_VALUE"""),340.35)</f>
        <v>340.35</v>
      </c>
      <c r="F211" s="7">
        <f>IFERROR(__xludf.DUMMYFUNCTION("""COMPUTED_VALUE"""),4447293.0)</f>
        <v>4447293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f>IFERROR(__xludf.DUMMYFUNCTION("""COMPUTED_VALUE"""),45861.64583333333)</f>
        <v>45861.64583</v>
      </c>
      <c r="B212" s="7">
        <f>IFERROR(__xludf.DUMMYFUNCTION("""COMPUTED_VALUE"""),341.85)</f>
        <v>341.85</v>
      </c>
      <c r="C212" s="7">
        <f>IFERROR(__xludf.DUMMYFUNCTION("""COMPUTED_VALUE"""),345.0)</f>
        <v>345</v>
      </c>
      <c r="D212" s="7">
        <f>IFERROR(__xludf.DUMMYFUNCTION("""COMPUTED_VALUE"""),336.8)</f>
        <v>336.8</v>
      </c>
      <c r="E212" s="7">
        <f>IFERROR(__xludf.DUMMYFUNCTION("""COMPUTED_VALUE"""),344.45)</f>
        <v>344.45</v>
      </c>
      <c r="F212" s="7">
        <f>IFERROR(__xludf.DUMMYFUNCTION("""COMPUTED_VALUE"""),5089227.0)</f>
        <v>5089227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f>IFERROR(__xludf.DUMMYFUNCTION("""COMPUTED_VALUE"""),45862.64583333333)</f>
        <v>45862.64583</v>
      </c>
      <c r="B213" s="7">
        <f>IFERROR(__xludf.DUMMYFUNCTION("""COMPUTED_VALUE"""),344.45)</f>
        <v>344.45</v>
      </c>
      <c r="C213" s="7">
        <f>IFERROR(__xludf.DUMMYFUNCTION("""COMPUTED_VALUE"""),344.9)</f>
        <v>344.9</v>
      </c>
      <c r="D213" s="7">
        <f>IFERROR(__xludf.DUMMYFUNCTION("""COMPUTED_VALUE"""),339.7)</f>
        <v>339.7</v>
      </c>
      <c r="E213" s="7">
        <f>IFERROR(__xludf.DUMMYFUNCTION("""COMPUTED_VALUE"""),341.4)</f>
        <v>341.4</v>
      </c>
      <c r="F213" s="7">
        <f>IFERROR(__xludf.DUMMYFUNCTION("""COMPUTED_VALUE"""),3270996.0)</f>
        <v>3270996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f>IFERROR(__xludf.DUMMYFUNCTION("""COMPUTED_VALUE"""),45863.64583333333)</f>
        <v>45863.64583</v>
      </c>
      <c r="B214" s="7">
        <f>IFERROR(__xludf.DUMMYFUNCTION("""COMPUTED_VALUE"""),340.1)</f>
        <v>340.1</v>
      </c>
      <c r="C214" s="7">
        <f>IFERROR(__xludf.DUMMYFUNCTION("""COMPUTED_VALUE"""),341.4)</f>
        <v>341.4</v>
      </c>
      <c r="D214" s="7">
        <f>IFERROR(__xludf.DUMMYFUNCTION("""COMPUTED_VALUE"""),331.05)</f>
        <v>331.05</v>
      </c>
      <c r="E214" s="7">
        <f>IFERROR(__xludf.DUMMYFUNCTION("""COMPUTED_VALUE"""),332.9)</f>
        <v>332.9</v>
      </c>
      <c r="F214" s="7">
        <f>IFERROR(__xludf.DUMMYFUNCTION("""COMPUTED_VALUE"""),3514659.0)</f>
        <v>3514659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f>IFERROR(__xludf.DUMMYFUNCTION("""COMPUTED_VALUE"""),45866.64583333333)</f>
        <v>45866.64583</v>
      </c>
      <c r="B215" s="7">
        <f>IFERROR(__xludf.DUMMYFUNCTION("""COMPUTED_VALUE"""),332.35)</f>
        <v>332.35</v>
      </c>
      <c r="C215" s="7">
        <f>IFERROR(__xludf.DUMMYFUNCTION("""COMPUTED_VALUE"""),338.35)</f>
        <v>338.35</v>
      </c>
      <c r="D215" s="7">
        <f>IFERROR(__xludf.DUMMYFUNCTION("""COMPUTED_VALUE"""),331.0)</f>
        <v>331</v>
      </c>
      <c r="E215" s="7">
        <f>IFERROR(__xludf.DUMMYFUNCTION("""COMPUTED_VALUE"""),333.4)</f>
        <v>333.4</v>
      </c>
      <c r="F215" s="7">
        <f>IFERROR(__xludf.DUMMYFUNCTION("""COMPUTED_VALUE"""),5630809.0)</f>
        <v>5630809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f>IFERROR(__xludf.DUMMYFUNCTION("""COMPUTED_VALUE"""),45867.64583333333)</f>
        <v>45867.64583</v>
      </c>
      <c r="B216" s="7">
        <f>IFERROR(__xludf.DUMMYFUNCTION("""COMPUTED_VALUE"""),336.0)</f>
        <v>336</v>
      </c>
      <c r="C216" s="7">
        <f>IFERROR(__xludf.DUMMYFUNCTION("""COMPUTED_VALUE"""),337.3)</f>
        <v>337.3</v>
      </c>
      <c r="D216" s="7">
        <f>IFERROR(__xludf.DUMMYFUNCTION("""COMPUTED_VALUE"""),333.2)</f>
        <v>333.2</v>
      </c>
      <c r="E216" s="7">
        <f>IFERROR(__xludf.DUMMYFUNCTION("""COMPUTED_VALUE"""),334.95)</f>
        <v>334.95</v>
      </c>
      <c r="F216" s="7">
        <f>IFERROR(__xludf.DUMMYFUNCTION("""COMPUTED_VALUE"""),7809814.0)</f>
        <v>7809814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f>IFERROR(__xludf.DUMMYFUNCTION("""COMPUTED_VALUE"""),45868.64583333333)</f>
        <v>45868.64583</v>
      </c>
      <c r="B217" s="7">
        <f>IFERROR(__xludf.DUMMYFUNCTION("""COMPUTED_VALUE"""),334.0)</f>
        <v>334</v>
      </c>
      <c r="C217" s="7">
        <f>IFERROR(__xludf.DUMMYFUNCTION("""COMPUTED_VALUE"""),343.55)</f>
        <v>343.55</v>
      </c>
      <c r="D217" s="7">
        <f>IFERROR(__xludf.DUMMYFUNCTION("""COMPUTED_VALUE"""),330.0)</f>
        <v>330</v>
      </c>
      <c r="E217" s="7">
        <f>IFERROR(__xludf.DUMMYFUNCTION("""COMPUTED_VALUE"""),337.05)</f>
        <v>337.05</v>
      </c>
      <c r="F217" s="7">
        <f>IFERROR(__xludf.DUMMYFUNCTION("""COMPUTED_VALUE"""),1.136601E7)</f>
        <v>11366010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f>IFERROR(__xludf.DUMMYFUNCTION("""COMPUTED_VALUE"""),45869.64583333333)</f>
        <v>45869.64583</v>
      </c>
      <c r="B218" s="7">
        <f>IFERROR(__xludf.DUMMYFUNCTION("""COMPUTED_VALUE"""),330.0)</f>
        <v>330</v>
      </c>
      <c r="C218" s="7">
        <f>IFERROR(__xludf.DUMMYFUNCTION("""COMPUTED_VALUE"""),331.25)</f>
        <v>331.25</v>
      </c>
      <c r="D218" s="7">
        <f>IFERROR(__xludf.DUMMYFUNCTION("""COMPUTED_VALUE"""),323.1)</f>
        <v>323.1</v>
      </c>
      <c r="E218" s="7">
        <f>IFERROR(__xludf.DUMMYFUNCTION("""COMPUTED_VALUE"""),329.3)</f>
        <v>329.3</v>
      </c>
      <c r="F218" s="7">
        <f>IFERROR(__xludf.DUMMYFUNCTION("""COMPUTED_VALUE"""),6867024.0)</f>
        <v>6867024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f>IFERROR(__xludf.DUMMYFUNCTION("""COMPUTED_VALUE"""),45870.64583333333)</f>
        <v>45870.64583</v>
      </c>
      <c r="B219" s="7">
        <f>IFERROR(__xludf.DUMMYFUNCTION("""COMPUTED_VALUE"""),329.0)</f>
        <v>329</v>
      </c>
      <c r="C219" s="7">
        <f>IFERROR(__xludf.DUMMYFUNCTION("""COMPUTED_VALUE"""),329.3)</f>
        <v>329.3</v>
      </c>
      <c r="D219" s="7">
        <f>IFERROR(__xludf.DUMMYFUNCTION("""COMPUTED_VALUE"""),316.55)</f>
        <v>316.55</v>
      </c>
      <c r="E219" s="7">
        <f>IFERROR(__xludf.DUMMYFUNCTION("""COMPUTED_VALUE"""),317.85)</f>
        <v>317.85</v>
      </c>
      <c r="F219" s="7">
        <f>IFERROR(__xludf.DUMMYFUNCTION("""COMPUTED_VALUE"""),4105518.0)</f>
        <v>4105518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f>IFERROR(__xludf.DUMMYFUNCTION("""COMPUTED_VALUE"""),45873.64583333333)</f>
        <v>45873.64583</v>
      </c>
      <c r="B220" s="7">
        <f>IFERROR(__xludf.DUMMYFUNCTION("""COMPUTED_VALUE"""),320.15)</f>
        <v>320.15</v>
      </c>
      <c r="C220" s="7">
        <f>IFERROR(__xludf.DUMMYFUNCTION("""COMPUTED_VALUE"""),320.75)</f>
        <v>320.75</v>
      </c>
      <c r="D220" s="7">
        <f>IFERROR(__xludf.DUMMYFUNCTION("""COMPUTED_VALUE"""),314.9)</f>
        <v>314.9</v>
      </c>
      <c r="E220" s="7">
        <f>IFERROR(__xludf.DUMMYFUNCTION("""COMPUTED_VALUE"""),317.85)</f>
        <v>317.85</v>
      </c>
      <c r="F220" s="7">
        <f>IFERROR(__xludf.DUMMYFUNCTION("""COMPUTED_VALUE"""),3536322.0)</f>
        <v>3536322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f>IFERROR(__xludf.DUMMYFUNCTION("""COMPUTED_VALUE"""),45874.64583333333)</f>
        <v>45874.64583</v>
      </c>
      <c r="B221" s="7">
        <f>IFERROR(__xludf.DUMMYFUNCTION("""COMPUTED_VALUE"""),317.0)</f>
        <v>317</v>
      </c>
      <c r="C221" s="7">
        <f>IFERROR(__xludf.DUMMYFUNCTION("""COMPUTED_VALUE"""),318.0)</f>
        <v>318</v>
      </c>
      <c r="D221" s="7">
        <f>IFERROR(__xludf.DUMMYFUNCTION("""COMPUTED_VALUE"""),309.55)</f>
        <v>309.55</v>
      </c>
      <c r="E221" s="7">
        <f>IFERROR(__xludf.DUMMYFUNCTION("""COMPUTED_VALUE"""),315.1)</f>
        <v>315.1</v>
      </c>
      <c r="F221" s="7">
        <f>IFERROR(__xludf.DUMMYFUNCTION("""COMPUTED_VALUE"""),6730701.0)</f>
        <v>6730701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f>IFERROR(__xludf.DUMMYFUNCTION("""COMPUTED_VALUE"""),45875.64583333333)</f>
        <v>45875.64583</v>
      </c>
      <c r="B222" s="7">
        <f>IFERROR(__xludf.DUMMYFUNCTION("""COMPUTED_VALUE"""),315.5)</f>
        <v>315.5</v>
      </c>
      <c r="C222" s="7">
        <f>IFERROR(__xludf.DUMMYFUNCTION("""COMPUTED_VALUE"""),318.15)</f>
        <v>318.15</v>
      </c>
      <c r="D222" s="7">
        <f>IFERROR(__xludf.DUMMYFUNCTION("""COMPUTED_VALUE"""),314.4)</f>
        <v>314.4</v>
      </c>
      <c r="E222" s="7">
        <f>IFERROR(__xludf.DUMMYFUNCTION("""COMPUTED_VALUE"""),315.75)</f>
        <v>315.75</v>
      </c>
      <c r="F222" s="7">
        <f>IFERROR(__xludf.DUMMYFUNCTION("""COMPUTED_VALUE"""),3601019.0)</f>
        <v>3601019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f>IFERROR(__xludf.DUMMYFUNCTION("""COMPUTED_VALUE"""),45876.64583333333)</f>
        <v>45876.64583</v>
      </c>
      <c r="B223" s="7">
        <f>IFERROR(__xludf.DUMMYFUNCTION("""COMPUTED_VALUE"""),313.3)</f>
        <v>313.3</v>
      </c>
      <c r="C223" s="7">
        <f>IFERROR(__xludf.DUMMYFUNCTION("""COMPUTED_VALUE"""),314.05)</f>
        <v>314.05</v>
      </c>
      <c r="D223" s="7">
        <f>IFERROR(__xludf.DUMMYFUNCTION("""COMPUTED_VALUE"""),307.15)</f>
        <v>307.15</v>
      </c>
      <c r="E223" s="7">
        <f>IFERROR(__xludf.DUMMYFUNCTION("""COMPUTED_VALUE"""),310.35)</f>
        <v>310.35</v>
      </c>
      <c r="F223" s="7">
        <f>IFERROR(__xludf.DUMMYFUNCTION("""COMPUTED_VALUE"""),5018154.0)</f>
        <v>5018154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f>IFERROR(__xludf.DUMMYFUNCTION("""COMPUTED_VALUE"""),45877.64583333333)</f>
        <v>45877.64583</v>
      </c>
      <c r="B224" s="7">
        <f>IFERROR(__xludf.DUMMYFUNCTION("""COMPUTED_VALUE"""),310.5)</f>
        <v>310.5</v>
      </c>
      <c r="C224" s="7">
        <f>IFERROR(__xludf.DUMMYFUNCTION("""COMPUTED_VALUE"""),321.25)</f>
        <v>321.25</v>
      </c>
      <c r="D224" s="7">
        <f>IFERROR(__xludf.DUMMYFUNCTION("""COMPUTED_VALUE"""),308.6)</f>
        <v>308.6</v>
      </c>
      <c r="E224" s="7">
        <f>IFERROR(__xludf.DUMMYFUNCTION("""COMPUTED_VALUE"""),319.45)</f>
        <v>319.45</v>
      </c>
      <c r="F224" s="7">
        <f>IFERROR(__xludf.DUMMYFUNCTION("""COMPUTED_VALUE"""),1.0028343E7)</f>
        <v>10028343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f>IFERROR(__xludf.DUMMYFUNCTION("""COMPUTED_VALUE"""),45880.64583333333)</f>
        <v>45880.64583</v>
      </c>
      <c r="B225" s="7">
        <f>IFERROR(__xludf.DUMMYFUNCTION("""COMPUTED_VALUE"""),322.25)</f>
        <v>322.25</v>
      </c>
      <c r="C225" s="7">
        <f>IFERROR(__xludf.DUMMYFUNCTION("""COMPUTED_VALUE"""),330.0)</f>
        <v>330</v>
      </c>
      <c r="D225" s="7">
        <f>IFERROR(__xludf.DUMMYFUNCTION("""COMPUTED_VALUE"""),317.2)</f>
        <v>317.2</v>
      </c>
      <c r="E225" s="7">
        <f>IFERROR(__xludf.DUMMYFUNCTION("""COMPUTED_VALUE"""),320.95)</f>
        <v>320.95</v>
      </c>
      <c r="F225" s="7">
        <f>IFERROR(__xludf.DUMMYFUNCTION("""COMPUTED_VALUE"""),7957794.0)</f>
        <v>7957794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f>IFERROR(__xludf.DUMMYFUNCTION("""COMPUTED_VALUE"""),45881.64583333333)</f>
        <v>45881.64583</v>
      </c>
      <c r="B226" s="7">
        <f>IFERROR(__xludf.DUMMYFUNCTION("""COMPUTED_VALUE"""),321.0)</f>
        <v>321</v>
      </c>
      <c r="C226" s="7">
        <f>IFERROR(__xludf.DUMMYFUNCTION("""COMPUTED_VALUE"""),326.5)</f>
        <v>326.5</v>
      </c>
      <c r="D226" s="7">
        <f>IFERROR(__xludf.DUMMYFUNCTION("""COMPUTED_VALUE"""),320.7)</f>
        <v>320.7</v>
      </c>
      <c r="E226" s="7">
        <f>IFERROR(__xludf.DUMMYFUNCTION("""COMPUTED_VALUE"""),323.7)</f>
        <v>323.7</v>
      </c>
      <c r="F226" s="7">
        <f>IFERROR(__xludf.DUMMYFUNCTION("""COMPUTED_VALUE"""),4392686.0)</f>
        <v>4392686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f>IFERROR(__xludf.DUMMYFUNCTION("""COMPUTED_VALUE"""),45882.64583333333)</f>
        <v>45882.64583</v>
      </c>
      <c r="B227" s="7">
        <f>IFERROR(__xludf.DUMMYFUNCTION("""COMPUTED_VALUE"""),325.0)</f>
        <v>325</v>
      </c>
      <c r="C227" s="7">
        <f>IFERROR(__xludf.DUMMYFUNCTION("""COMPUTED_VALUE"""),326.3)</f>
        <v>326.3</v>
      </c>
      <c r="D227" s="7">
        <f>IFERROR(__xludf.DUMMYFUNCTION("""COMPUTED_VALUE"""),321.05)</f>
        <v>321.05</v>
      </c>
      <c r="E227" s="7">
        <f>IFERROR(__xludf.DUMMYFUNCTION("""COMPUTED_VALUE"""),322.5)</f>
        <v>322.5</v>
      </c>
      <c r="F227" s="7">
        <f>IFERROR(__xludf.DUMMYFUNCTION("""COMPUTED_VALUE"""),2707971.0)</f>
        <v>2707971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f>IFERROR(__xludf.DUMMYFUNCTION("""COMPUTED_VALUE"""),45883.64583333333)</f>
        <v>45883.64583</v>
      </c>
      <c r="B228" s="7">
        <f>IFERROR(__xludf.DUMMYFUNCTION("""COMPUTED_VALUE"""),327.0)</f>
        <v>327</v>
      </c>
      <c r="C228" s="7">
        <f>IFERROR(__xludf.DUMMYFUNCTION("""COMPUTED_VALUE"""),331.4)</f>
        <v>331.4</v>
      </c>
      <c r="D228" s="7">
        <f>IFERROR(__xludf.DUMMYFUNCTION("""COMPUTED_VALUE"""),317.15)</f>
        <v>317.15</v>
      </c>
      <c r="E228" s="7">
        <f>IFERROR(__xludf.DUMMYFUNCTION("""COMPUTED_VALUE"""),318.05)</f>
        <v>318.05</v>
      </c>
      <c r="F228" s="7">
        <f>IFERROR(__xludf.DUMMYFUNCTION("""COMPUTED_VALUE"""),1.0549386E7)</f>
        <v>10549386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f>IFERROR(__xludf.DUMMYFUNCTION("""COMPUTED_VALUE"""),45887.64583333333)</f>
        <v>45887.64583</v>
      </c>
      <c r="B229" s="7">
        <f>IFERROR(__xludf.DUMMYFUNCTION("""COMPUTED_VALUE"""),321.0)</f>
        <v>321</v>
      </c>
      <c r="C229" s="7">
        <f>IFERROR(__xludf.DUMMYFUNCTION("""COMPUTED_VALUE"""),321.05)</f>
        <v>321.05</v>
      </c>
      <c r="D229" s="7">
        <f>IFERROR(__xludf.DUMMYFUNCTION("""COMPUTED_VALUE"""),312.45)</f>
        <v>312.45</v>
      </c>
      <c r="E229" s="7">
        <f>IFERROR(__xludf.DUMMYFUNCTION("""COMPUTED_VALUE"""),314.0)</f>
        <v>314</v>
      </c>
      <c r="F229" s="7">
        <f>IFERROR(__xludf.DUMMYFUNCTION("""COMPUTED_VALUE"""),8091527.0)</f>
        <v>8091527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f>IFERROR(__xludf.DUMMYFUNCTION("""COMPUTED_VALUE"""),45888.64583333333)</f>
        <v>45888.64583</v>
      </c>
      <c r="B230" s="7">
        <f>IFERROR(__xludf.DUMMYFUNCTION("""COMPUTED_VALUE"""),315.2)</f>
        <v>315.2</v>
      </c>
      <c r="C230" s="7">
        <f>IFERROR(__xludf.DUMMYFUNCTION("""COMPUTED_VALUE"""),322.2)</f>
        <v>322.2</v>
      </c>
      <c r="D230" s="7">
        <f>IFERROR(__xludf.DUMMYFUNCTION("""COMPUTED_VALUE"""),312.7)</f>
        <v>312.7</v>
      </c>
      <c r="E230" s="7">
        <f>IFERROR(__xludf.DUMMYFUNCTION("""COMPUTED_VALUE"""),321.45)</f>
        <v>321.45</v>
      </c>
      <c r="F230" s="7">
        <f>IFERROR(__xludf.DUMMYFUNCTION("""COMPUTED_VALUE"""),4343312.0)</f>
        <v>4343312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f>IFERROR(__xludf.DUMMYFUNCTION("""COMPUTED_VALUE"""),45889.64583333333)</f>
        <v>45889.64583</v>
      </c>
      <c r="B231" s="7">
        <f>IFERROR(__xludf.DUMMYFUNCTION("""COMPUTED_VALUE"""),320.0)</f>
        <v>320</v>
      </c>
      <c r="C231" s="7">
        <f>IFERROR(__xludf.DUMMYFUNCTION("""COMPUTED_VALUE"""),322.5)</f>
        <v>322.5</v>
      </c>
      <c r="D231" s="7">
        <f>IFERROR(__xludf.DUMMYFUNCTION("""COMPUTED_VALUE"""),319.0)</f>
        <v>319</v>
      </c>
      <c r="E231" s="7">
        <f>IFERROR(__xludf.DUMMYFUNCTION("""COMPUTED_VALUE"""),319.95)</f>
        <v>319.95</v>
      </c>
      <c r="F231" s="7">
        <f>IFERROR(__xludf.DUMMYFUNCTION("""COMPUTED_VALUE"""),3670375.0)</f>
        <v>3670375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f>IFERROR(__xludf.DUMMYFUNCTION("""COMPUTED_VALUE"""),45890.64583333333)</f>
        <v>45890.64583</v>
      </c>
      <c r="B232" s="7">
        <f>IFERROR(__xludf.DUMMYFUNCTION("""COMPUTED_VALUE"""),321.05)</f>
        <v>321.05</v>
      </c>
      <c r="C232" s="7">
        <f>IFERROR(__xludf.DUMMYFUNCTION("""COMPUTED_VALUE"""),323.8)</f>
        <v>323.8</v>
      </c>
      <c r="D232" s="7">
        <f>IFERROR(__xludf.DUMMYFUNCTION("""COMPUTED_VALUE"""),318.75)</f>
        <v>318.75</v>
      </c>
      <c r="E232" s="7">
        <f>IFERROR(__xludf.DUMMYFUNCTION("""COMPUTED_VALUE"""),319.95)</f>
        <v>319.95</v>
      </c>
      <c r="F232" s="7">
        <f>IFERROR(__xludf.DUMMYFUNCTION("""COMPUTED_VALUE"""),3790333.0)</f>
        <v>3790333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f>IFERROR(__xludf.DUMMYFUNCTION("""COMPUTED_VALUE"""),45891.64583333333)</f>
        <v>45891.64583</v>
      </c>
      <c r="B233" s="7">
        <f>IFERROR(__xludf.DUMMYFUNCTION("""COMPUTED_VALUE"""),320.2)</f>
        <v>320.2</v>
      </c>
      <c r="C233" s="7">
        <f>IFERROR(__xludf.DUMMYFUNCTION("""COMPUTED_VALUE"""),320.35)</f>
        <v>320.35</v>
      </c>
      <c r="D233" s="7">
        <f>IFERROR(__xludf.DUMMYFUNCTION("""COMPUTED_VALUE"""),314.7)</f>
        <v>314.7</v>
      </c>
      <c r="E233" s="7">
        <f>IFERROR(__xludf.DUMMYFUNCTION("""COMPUTED_VALUE"""),316.45)</f>
        <v>316.45</v>
      </c>
      <c r="F233" s="7">
        <f>IFERROR(__xludf.DUMMYFUNCTION("""COMPUTED_VALUE"""),3007303.0)</f>
        <v>3007303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f>IFERROR(__xludf.DUMMYFUNCTION("""COMPUTED_VALUE"""),45894.64583333333)</f>
        <v>45894.64583</v>
      </c>
      <c r="B234" s="7">
        <f>IFERROR(__xludf.DUMMYFUNCTION("""COMPUTED_VALUE"""),318.95)</f>
        <v>318.95</v>
      </c>
      <c r="C234" s="7">
        <f>IFERROR(__xludf.DUMMYFUNCTION("""COMPUTED_VALUE"""),318.95)</f>
        <v>318.95</v>
      </c>
      <c r="D234" s="7">
        <f>IFERROR(__xludf.DUMMYFUNCTION("""COMPUTED_VALUE"""),314.5)</f>
        <v>314.5</v>
      </c>
      <c r="E234" s="7">
        <f>IFERROR(__xludf.DUMMYFUNCTION("""COMPUTED_VALUE"""),315.8)</f>
        <v>315.8</v>
      </c>
      <c r="F234" s="7">
        <f>IFERROR(__xludf.DUMMYFUNCTION("""COMPUTED_VALUE"""),2841339.0)</f>
        <v>2841339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f>IFERROR(__xludf.DUMMYFUNCTION("""COMPUTED_VALUE"""),45895.64583333333)</f>
        <v>45895.64583</v>
      </c>
      <c r="B235" s="7">
        <f>IFERROR(__xludf.DUMMYFUNCTION("""COMPUTED_VALUE"""),317.3)</f>
        <v>317.3</v>
      </c>
      <c r="C235" s="7">
        <f>IFERROR(__xludf.DUMMYFUNCTION("""COMPUTED_VALUE"""),318.3)</f>
        <v>318.3</v>
      </c>
      <c r="D235" s="7">
        <f>IFERROR(__xludf.DUMMYFUNCTION("""COMPUTED_VALUE"""),311.05)</f>
        <v>311.05</v>
      </c>
      <c r="E235" s="7">
        <f>IFERROR(__xludf.DUMMYFUNCTION("""COMPUTED_VALUE"""),312.1)</f>
        <v>312.1</v>
      </c>
      <c r="F235" s="7">
        <f>IFERROR(__xludf.DUMMYFUNCTION("""COMPUTED_VALUE"""),1.081977E7)</f>
        <v>10819770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f>IFERROR(__xludf.DUMMYFUNCTION("""COMPUTED_VALUE"""),45897.64583333333)</f>
        <v>45897.64583</v>
      </c>
      <c r="B236" s="7">
        <f>IFERROR(__xludf.DUMMYFUNCTION("""COMPUTED_VALUE"""),315.6)</f>
        <v>315.6</v>
      </c>
      <c r="C236" s="7">
        <f>IFERROR(__xludf.DUMMYFUNCTION("""COMPUTED_VALUE"""),315.6)</f>
        <v>315.6</v>
      </c>
      <c r="D236" s="7">
        <f>IFERROR(__xludf.DUMMYFUNCTION("""COMPUTED_VALUE"""),310.0)</f>
        <v>310</v>
      </c>
      <c r="E236" s="7">
        <f>IFERROR(__xludf.DUMMYFUNCTION("""COMPUTED_VALUE"""),310.7)</f>
        <v>310.7</v>
      </c>
      <c r="F236" s="7">
        <f>IFERROR(__xludf.DUMMYFUNCTION("""COMPUTED_VALUE"""),8888325.0)</f>
        <v>8888325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f>IFERROR(__xludf.DUMMYFUNCTION("""COMPUTED_VALUE"""),45898.64583333333)</f>
        <v>45898.64583</v>
      </c>
      <c r="B237" s="7">
        <f>IFERROR(__xludf.DUMMYFUNCTION("""COMPUTED_VALUE"""),310.7)</f>
        <v>310.7</v>
      </c>
      <c r="C237" s="7">
        <f>IFERROR(__xludf.DUMMYFUNCTION("""COMPUTED_VALUE"""),312.3)</f>
        <v>312.3</v>
      </c>
      <c r="D237" s="7">
        <f>IFERROR(__xludf.DUMMYFUNCTION("""COMPUTED_VALUE"""),307.0)</f>
        <v>307</v>
      </c>
      <c r="E237" s="7">
        <f>IFERROR(__xludf.DUMMYFUNCTION("""COMPUTED_VALUE"""),308.2)</f>
        <v>308.2</v>
      </c>
      <c r="F237" s="7">
        <f>IFERROR(__xludf.DUMMYFUNCTION("""COMPUTED_VALUE"""),4334416.0)</f>
        <v>4334416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f>IFERROR(__xludf.DUMMYFUNCTION("""COMPUTED_VALUE"""),45901.64583333333)</f>
        <v>45901.64583</v>
      </c>
      <c r="B238" s="7">
        <f>IFERROR(__xludf.DUMMYFUNCTION("""COMPUTED_VALUE"""),308.5)</f>
        <v>308.5</v>
      </c>
      <c r="C238" s="7">
        <f>IFERROR(__xludf.DUMMYFUNCTION("""COMPUTED_VALUE"""),315.55)</f>
        <v>315.55</v>
      </c>
      <c r="D238" s="7">
        <f>IFERROR(__xludf.DUMMYFUNCTION("""COMPUTED_VALUE"""),306.8)</f>
        <v>306.8</v>
      </c>
      <c r="E238" s="7">
        <f>IFERROR(__xludf.DUMMYFUNCTION("""COMPUTED_VALUE"""),314.75)</f>
        <v>314.75</v>
      </c>
      <c r="F238" s="7">
        <f>IFERROR(__xludf.DUMMYFUNCTION("""COMPUTED_VALUE"""),3672180.0)</f>
        <v>3672180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f>IFERROR(__xludf.DUMMYFUNCTION("""COMPUTED_VALUE"""),45902.64583333333)</f>
        <v>45902.64583</v>
      </c>
      <c r="B239" s="7">
        <f>IFERROR(__xludf.DUMMYFUNCTION("""COMPUTED_VALUE"""),315.9)</f>
        <v>315.9</v>
      </c>
      <c r="C239" s="7">
        <f>IFERROR(__xludf.DUMMYFUNCTION("""COMPUTED_VALUE"""),317.3)</f>
        <v>317.3</v>
      </c>
      <c r="D239" s="7">
        <f>IFERROR(__xludf.DUMMYFUNCTION("""COMPUTED_VALUE"""),312.75)</f>
        <v>312.75</v>
      </c>
      <c r="E239" s="7">
        <f>IFERROR(__xludf.DUMMYFUNCTION("""COMPUTED_VALUE"""),314.95)</f>
        <v>314.95</v>
      </c>
      <c r="F239" s="7">
        <f>IFERROR(__xludf.DUMMYFUNCTION("""COMPUTED_VALUE"""),3405312.0)</f>
        <v>3405312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f>IFERROR(__xludf.DUMMYFUNCTION("""COMPUTED_VALUE"""),45903.64583333333)</f>
        <v>45903.64583</v>
      </c>
      <c r="B240" s="7">
        <f>IFERROR(__xludf.DUMMYFUNCTION("""COMPUTED_VALUE"""),314.95)</f>
        <v>314.95</v>
      </c>
      <c r="C240" s="7">
        <f>IFERROR(__xludf.DUMMYFUNCTION("""COMPUTED_VALUE"""),320.5)</f>
        <v>320.5</v>
      </c>
      <c r="D240" s="7">
        <f>IFERROR(__xludf.DUMMYFUNCTION("""COMPUTED_VALUE"""),314.05)</f>
        <v>314.05</v>
      </c>
      <c r="E240" s="7">
        <f>IFERROR(__xludf.DUMMYFUNCTION("""COMPUTED_VALUE"""),314.85)</f>
        <v>314.85</v>
      </c>
      <c r="F240" s="7">
        <f>IFERROR(__xludf.DUMMYFUNCTION("""COMPUTED_VALUE"""),6616690.0)</f>
        <v>6616690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f>IFERROR(__xludf.DUMMYFUNCTION("""COMPUTED_VALUE"""),45904.64583333333)</f>
        <v>45904.64583</v>
      </c>
      <c r="B241" s="7">
        <f>IFERROR(__xludf.DUMMYFUNCTION("""COMPUTED_VALUE"""),319.85)</f>
        <v>319.85</v>
      </c>
      <c r="C241" s="7">
        <f>IFERROR(__xludf.DUMMYFUNCTION("""COMPUTED_VALUE"""),319.85)</f>
        <v>319.85</v>
      </c>
      <c r="D241" s="7">
        <f>IFERROR(__xludf.DUMMYFUNCTION("""COMPUTED_VALUE"""),312.5)</f>
        <v>312.5</v>
      </c>
      <c r="E241" s="7">
        <f>IFERROR(__xludf.DUMMYFUNCTION("""COMPUTED_VALUE"""),312.9)</f>
        <v>312.9</v>
      </c>
      <c r="F241" s="7">
        <f>IFERROR(__xludf.DUMMYFUNCTION("""COMPUTED_VALUE"""),5225640.0)</f>
        <v>5225640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f>IFERROR(__xludf.DUMMYFUNCTION("""COMPUTED_VALUE"""),45905.64583333333)</f>
        <v>45905.64583</v>
      </c>
      <c r="B242" s="7">
        <f>IFERROR(__xludf.DUMMYFUNCTION("""COMPUTED_VALUE"""),313.0)</f>
        <v>313</v>
      </c>
      <c r="C242" s="7">
        <f>IFERROR(__xludf.DUMMYFUNCTION("""COMPUTED_VALUE"""),316.45)</f>
        <v>316.45</v>
      </c>
      <c r="D242" s="7">
        <f>IFERROR(__xludf.DUMMYFUNCTION("""COMPUTED_VALUE"""),311.5)</f>
        <v>311.5</v>
      </c>
      <c r="E242" s="7">
        <f>IFERROR(__xludf.DUMMYFUNCTION("""COMPUTED_VALUE"""),312.5)</f>
        <v>312.5</v>
      </c>
      <c r="F242" s="7">
        <f>IFERROR(__xludf.DUMMYFUNCTION("""COMPUTED_VALUE"""),6159420.0)</f>
        <v>6159420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f>IFERROR(__xludf.DUMMYFUNCTION("""COMPUTED_VALUE"""),45908.64583333333)</f>
        <v>45908.64583</v>
      </c>
      <c r="B243" s="7">
        <f>IFERROR(__xludf.DUMMYFUNCTION("""COMPUTED_VALUE"""),313.9)</f>
        <v>313.9</v>
      </c>
      <c r="C243" s="7">
        <f>IFERROR(__xludf.DUMMYFUNCTION("""COMPUTED_VALUE"""),318.15)</f>
        <v>318.15</v>
      </c>
      <c r="D243" s="7">
        <f>IFERROR(__xludf.DUMMYFUNCTION("""COMPUTED_VALUE"""),313.55)</f>
        <v>313.55</v>
      </c>
      <c r="E243" s="7">
        <f>IFERROR(__xludf.DUMMYFUNCTION("""COMPUTED_VALUE"""),316.45)</f>
        <v>316.45</v>
      </c>
      <c r="F243" s="7">
        <f>IFERROR(__xludf.DUMMYFUNCTION("""COMPUTED_VALUE"""),2002604.0)</f>
        <v>2002604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f>IFERROR(__xludf.DUMMYFUNCTION("""COMPUTED_VALUE"""),45909.64583333333)</f>
        <v>45909.64583</v>
      </c>
      <c r="B244" s="7">
        <f>IFERROR(__xludf.DUMMYFUNCTION("""COMPUTED_VALUE"""),317.8)</f>
        <v>317.8</v>
      </c>
      <c r="C244" s="7">
        <f>IFERROR(__xludf.DUMMYFUNCTION("""COMPUTED_VALUE"""),320.15)</f>
        <v>320.15</v>
      </c>
      <c r="D244" s="7">
        <f>IFERROR(__xludf.DUMMYFUNCTION("""COMPUTED_VALUE"""),313.55)</f>
        <v>313.55</v>
      </c>
      <c r="E244" s="7">
        <f>IFERROR(__xludf.DUMMYFUNCTION("""COMPUTED_VALUE"""),313.95)</f>
        <v>313.95</v>
      </c>
      <c r="F244" s="7">
        <f>IFERROR(__xludf.DUMMYFUNCTION("""COMPUTED_VALUE"""),6476251.0)</f>
        <v>6476251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f>IFERROR(__xludf.DUMMYFUNCTION("""COMPUTED_VALUE"""),45910.64583333333)</f>
        <v>45910.64583</v>
      </c>
      <c r="B245" s="7">
        <f>IFERROR(__xludf.DUMMYFUNCTION("""COMPUTED_VALUE"""),315.5)</f>
        <v>315.5</v>
      </c>
      <c r="C245" s="7">
        <f>IFERROR(__xludf.DUMMYFUNCTION("""COMPUTED_VALUE"""),318.25)</f>
        <v>318.25</v>
      </c>
      <c r="D245" s="7">
        <f>IFERROR(__xludf.DUMMYFUNCTION("""COMPUTED_VALUE"""),314.75)</f>
        <v>314.75</v>
      </c>
      <c r="E245" s="7">
        <f>IFERROR(__xludf.DUMMYFUNCTION("""COMPUTED_VALUE"""),317.95)</f>
        <v>317.95</v>
      </c>
      <c r="F245" s="7">
        <f>IFERROR(__xludf.DUMMYFUNCTION("""COMPUTED_VALUE"""),5214899.0)</f>
        <v>5214899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f>IFERROR(__xludf.DUMMYFUNCTION("""COMPUTED_VALUE"""),45911.64583333333)</f>
        <v>45911.64583</v>
      </c>
      <c r="B246" s="7">
        <f>IFERROR(__xludf.DUMMYFUNCTION("""COMPUTED_VALUE"""),318.2)</f>
        <v>318.2</v>
      </c>
      <c r="C246" s="7">
        <f>IFERROR(__xludf.DUMMYFUNCTION("""COMPUTED_VALUE"""),326.6)</f>
        <v>326.6</v>
      </c>
      <c r="D246" s="7">
        <f>IFERROR(__xludf.DUMMYFUNCTION("""COMPUTED_VALUE"""),317.5)</f>
        <v>317.5</v>
      </c>
      <c r="E246" s="7">
        <f>IFERROR(__xludf.DUMMYFUNCTION("""COMPUTED_VALUE"""),320.0)</f>
        <v>320</v>
      </c>
      <c r="F246" s="7">
        <f>IFERROR(__xludf.DUMMYFUNCTION("""COMPUTED_VALUE"""),7529271.0)</f>
        <v>7529271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f>IFERROR(__xludf.DUMMYFUNCTION("""COMPUTED_VALUE"""),45912.64583333333)</f>
        <v>45912.64583</v>
      </c>
      <c r="B247" s="7">
        <f>IFERROR(__xludf.DUMMYFUNCTION("""COMPUTED_VALUE"""),321.05)</f>
        <v>321.05</v>
      </c>
      <c r="C247" s="7">
        <f>IFERROR(__xludf.DUMMYFUNCTION("""COMPUTED_VALUE"""),323.2)</f>
        <v>323.2</v>
      </c>
      <c r="D247" s="7">
        <f>IFERROR(__xludf.DUMMYFUNCTION("""COMPUTED_VALUE"""),317.05)</f>
        <v>317.05</v>
      </c>
      <c r="E247" s="7">
        <f>IFERROR(__xludf.DUMMYFUNCTION("""COMPUTED_VALUE"""),318.0)</f>
        <v>318</v>
      </c>
      <c r="F247" s="7">
        <f>IFERROR(__xludf.DUMMYFUNCTION("""COMPUTED_VALUE"""),4705998.0)</f>
        <v>4705998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f>IFERROR(__xludf.DUMMYFUNCTION("""COMPUTED_VALUE"""),45915.64583333333)</f>
        <v>45915.64583</v>
      </c>
      <c r="B248" s="7">
        <f>IFERROR(__xludf.DUMMYFUNCTION("""COMPUTED_VALUE"""),318.3)</f>
        <v>318.3</v>
      </c>
      <c r="C248" s="7">
        <f>IFERROR(__xludf.DUMMYFUNCTION("""COMPUTED_VALUE"""),320.7)</f>
        <v>320.7</v>
      </c>
      <c r="D248" s="7">
        <f>IFERROR(__xludf.DUMMYFUNCTION("""COMPUTED_VALUE"""),315.7)</f>
        <v>315.7</v>
      </c>
      <c r="E248" s="7">
        <f>IFERROR(__xludf.DUMMYFUNCTION("""COMPUTED_VALUE"""),317.75)</f>
        <v>317.75</v>
      </c>
      <c r="F248" s="7">
        <f>IFERROR(__xludf.DUMMYFUNCTION("""COMPUTED_VALUE"""),4653626.0)</f>
        <v>4653626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>
        <f>IFERROR(__xludf.DUMMYFUNCTION("""COMPUTED_VALUE"""),45916.64583333333)</f>
        <v>45916.64583</v>
      </c>
      <c r="B249" s="7">
        <f>IFERROR(__xludf.DUMMYFUNCTION("""COMPUTED_VALUE"""),319.35)</f>
        <v>319.35</v>
      </c>
      <c r="C249" s="7">
        <f>IFERROR(__xludf.DUMMYFUNCTION("""COMPUTED_VALUE"""),321.1)</f>
        <v>321.1</v>
      </c>
      <c r="D249" s="7">
        <f>IFERROR(__xludf.DUMMYFUNCTION("""COMPUTED_VALUE"""),316.5)</f>
        <v>316.5</v>
      </c>
      <c r="E249" s="7">
        <f>IFERROR(__xludf.DUMMYFUNCTION("""COMPUTED_VALUE"""),318.25)</f>
        <v>318.25</v>
      </c>
      <c r="F249" s="7">
        <f>IFERROR(__xludf.DUMMYFUNCTION("""COMPUTED_VALUE"""),5381837.0)</f>
        <v>5381837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IFERROR(__xludf.DUMMYFUNCTION("IFERROR(GOOGLEFINANCE(""NSE:HINDPETRO"",""all"",EDATE(TODAY(),-12),TODAY(),""DAILY""))
"),"Date")</f>
        <v>Date</v>
      </c>
      <c r="B1" s="11" t="str">
        <f>IFERROR(__xludf.DUMMYFUNCTION("""COMPUTED_VALUE"""),"Open")</f>
        <v>Open</v>
      </c>
      <c r="C1" s="11" t="str">
        <f>IFERROR(__xludf.DUMMYFUNCTION("""COMPUTED_VALUE"""),"High")</f>
        <v>High</v>
      </c>
      <c r="D1" s="11" t="str">
        <f>IFERROR(__xludf.DUMMYFUNCTION("""COMPUTED_VALUE"""),"Low")</f>
        <v>Low</v>
      </c>
      <c r="E1" s="11" t="str">
        <f>IFERROR(__xludf.DUMMYFUNCTION("""COMPUTED_VALUE"""),"Close")</f>
        <v>Close</v>
      </c>
      <c r="F1" s="11" t="str">
        <f>IFERROR(__xludf.DUMMYFUNCTION("""COMPUTED_VALUE"""),"Volume")</f>
        <v>Volume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>
        <f>IFERROR(__xludf.DUMMYFUNCTION("""COMPUTED_VALUE"""),45551.64583333333)</f>
        <v>45551.64583</v>
      </c>
      <c r="B2" s="7">
        <f>IFERROR(__xludf.DUMMYFUNCTION("""COMPUTED_VALUE"""),411.0)</f>
        <v>411</v>
      </c>
      <c r="C2" s="7">
        <f>IFERROR(__xludf.DUMMYFUNCTION("""COMPUTED_VALUE"""),413.8)</f>
        <v>413.8</v>
      </c>
      <c r="D2" s="7">
        <f>IFERROR(__xludf.DUMMYFUNCTION("""COMPUTED_VALUE"""),405.8)</f>
        <v>405.8</v>
      </c>
      <c r="E2" s="7">
        <f>IFERROR(__xludf.DUMMYFUNCTION("""COMPUTED_VALUE"""),410.2)</f>
        <v>410.2</v>
      </c>
      <c r="F2" s="7">
        <f>IFERROR(__xludf.DUMMYFUNCTION("""COMPUTED_VALUE"""),4415935.0)</f>
        <v>4415935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f>IFERROR(__xludf.DUMMYFUNCTION("""COMPUTED_VALUE"""),45552.64583333333)</f>
        <v>45552.64583</v>
      </c>
      <c r="B3" s="7">
        <f>IFERROR(__xludf.DUMMYFUNCTION("""COMPUTED_VALUE"""),410.5)</f>
        <v>410.5</v>
      </c>
      <c r="C3" s="7">
        <f>IFERROR(__xludf.DUMMYFUNCTION("""COMPUTED_VALUE"""),412.5)</f>
        <v>412.5</v>
      </c>
      <c r="D3" s="7">
        <f>IFERROR(__xludf.DUMMYFUNCTION("""COMPUTED_VALUE"""),406.05)</f>
        <v>406.05</v>
      </c>
      <c r="E3" s="7">
        <f>IFERROR(__xludf.DUMMYFUNCTION("""COMPUTED_VALUE"""),408.7)</f>
        <v>408.7</v>
      </c>
      <c r="F3" s="7">
        <f>IFERROR(__xludf.DUMMYFUNCTION("""COMPUTED_VALUE"""),3296568.0)</f>
        <v>3296568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f>IFERROR(__xludf.DUMMYFUNCTION("""COMPUTED_VALUE"""),45553.64583333333)</f>
        <v>45553.64583</v>
      </c>
      <c r="B4" s="7">
        <f>IFERROR(__xludf.DUMMYFUNCTION("""COMPUTED_VALUE"""),406.55)</f>
        <v>406.55</v>
      </c>
      <c r="C4" s="7">
        <f>IFERROR(__xludf.DUMMYFUNCTION("""COMPUTED_VALUE"""),410.85)</f>
        <v>410.85</v>
      </c>
      <c r="D4" s="7">
        <f>IFERROR(__xludf.DUMMYFUNCTION("""COMPUTED_VALUE"""),405.0)</f>
        <v>405</v>
      </c>
      <c r="E4" s="7">
        <f>IFERROR(__xludf.DUMMYFUNCTION("""COMPUTED_VALUE"""),407.45)</f>
        <v>407.45</v>
      </c>
      <c r="F4" s="7">
        <f>IFERROR(__xludf.DUMMYFUNCTION("""COMPUTED_VALUE"""),2255708.0)</f>
        <v>2255708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f>IFERROR(__xludf.DUMMYFUNCTION("""COMPUTED_VALUE"""),45554.64583333333)</f>
        <v>45554.64583</v>
      </c>
      <c r="B5" s="7">
        <f>IFERROR(__xludf.DUMMYFUNCTION("""COMPUTED_VALUE"""),408.0)</f>
        <v>408</v>
      </c>
      <c r="C5" s="7">
        <f>IFERROR(__xludf.DUMMYFUNCTION("""COMPUTED_VALUE"""),408.7)</f>
        <v>408.7</v>
      </c>
      <c r="D5" s="7">
        <f>IFERROR(__xludf.DUMMYFUNCTION("""COMPUTED_VALUE"""),392.0)</f>
        <v>392</v>
      </c>
      <c r="E5" s="7">
        <f>IFERROR(__xludf.DUMMYFUNCTION("""COMPUTED_VALUE"""),398.05)</f>
        <v>398.05</v>
      </c>
      <c r="F5" s="7">
        <f>IFERROR(__xludf.DUMMYFUNCTION("""COMPUTED_VALUE"""),4541604.0)</f>
        <v>4541604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f>IFERROR(__xludf.DUMMYFUNCTION("""COMPUTED_VALUE"""),45555.64583333333)</f>
        <v>45555.64583</v>
      </c>
      <c r="B6" s="7">
        <f>IFERROR(__xludf.DUMMYFUNCTION("""COMPUTED_VALUE"""),398.05)</f>
        <v>398.05</v>
      </c>
      <c r="C6" s="7">
        <f>IFERROR(__xludf.DUMMYFUNCTION("""COMPUTED_VALUE"""),403.3)</f>
        <v>403.3</v>
      </c>
      <c r="D6" s="7">
        <f>IFERROR(__xludf.DUMMYFUNCTION("""COMPUTED_VALUE"""),394.4)</f>
        <v>394.4</v>
      </c>
      <c r="E6" s="7">
        <f>IFERROR(__xludf.DUMMYFUNCTION("""COMPUTED_VALUE"""),398.75)</f>
        <v>398.75</v>
      </c>
      <c r="F6" s="7">
        <f>IFERROR(__xludf.DUMMYFUNCTION("""COMPUTED_VALUE"""),9159103.0)</f>
        <v>9159103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f>IFERROR(__xludf.DUMMYFUNCTION("""COMPUTED_VALUE"""),45558.64583333333)</f>
        <v>45558.64583</v>
      </c>
      <c r="B7" s="7">
        <f>IFERROR(__xludf.DUMMYFUNCTION("""COMPUTED_VALUE"""),399.5)</f>
        <v>399.5</v>
      </c>
      <c r="C7" s="7">
        <f>IFERROR(__xludf.DUMMYFUNCTION("""COMPUTED_VALUE"""),408.95)</f>
        <v>408.95</v>
      </c>
      <c r="D7" s="7">
        <f>IFERROR(__xludf.DUMMYFUNCTION("""COMPUTED_VALUE"""),396.65)</f>
        <v>396.65</v>
      </c>
      <c r="E7" s="7">
        <f>IFERROR(__xludf.DUMMYFUNCTION("""COMPUTED_VALUE"""),403.45)</f>
        <v>403.45</v>
      </c>
      <c r="F7" s="7">
        <f>IFERROR(__xludf.DUMMYFUNCTION("""COMPUTED_VALUE"""),4899097.0)</f>
        <v>4899097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f>IFERROR(__xludf.DUMMYFUNCTION("""COMPUTED_VALUE"""),45559.64583333333)</f>
        <v>45559.64583</v>
      </c>
      <c r="B8" s="7">
        <f>IFERROR(__xludf.DUMMYFUNCTION("""COMPUTED_VALUE"""),402.9)</f>
        <v>402.9</v>
      </c>
      <c r="C8" s="7">
        <f>IFERROR(__xludf.DUMMYFUNCTION("""COMPUTED_VALUE"""),419.4)</f>
        <v>419.4</v>
      </c>
      <c r="D8" s="7">
        <f>IFERROR(__xludf.DUMMYFUNCTION("""COMPUTED_VALUE"""),402.65)</f>
        <v>402.65</v>
      </c>
      <c r="E8" s="7">
        <f>IFERROR(__xludf.DUMMYFUNCTION("""COMPUTED_VALUE"""),417.15)</f>
        <v>417.15</v>
      </c>
      <c r="F8" s="7">
        <f>IFERROR(__xludf.DUMMYFUNCTION("""COMPUTED_VALUE"""),9274367.0)</f>
        <v>9274367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f>IFERROR(__xludf.DUMMYFUNCTION("""COMPUTED_VALUE"""),45560.64583333333)</f>
        <v>45560.64583</v>
      </c>
      <c r="B9" s="7">
        <f>IFERROR(__xludf.DUMMYFUNCTION("""COMPUTED_VALUE"""),417.15)</f>
        <v>417.15</v>
      </c>
      <c r="C9" s="7">
        <f>IFERROR(__xludf.DUMMYFUNCTION("""COMPUTED_VALUE"""),419.05)</f>
        <v>419.05</v>
      </c>
      <c r="D9" s="7">
        <f>IFERROR(__xludf.DUMMYFUNCTION("""COMPUTED_VALUE"""),407.6)</f>
        <v>407.6</v>
      </c>
      <c r="E9" s="7">
        <f>IFERROR(__xludf.DUMMYFUNCTION("""COMPUTED_VALUE"""),417.4)</f>
        <v>417.4</v>
      </c>
      <c r="F9" s="7">
        <f>IFERROR(__xludf.DUMMYFUNCTION("""COMPUTED_VALUE"""),4872324.0)</f>
        <v>4872324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f>IFERROR(__xludf.DUMMYFUNCTION("""COMPUTED_VALUE"""),45561.64583333333)</f>
        <v>45561.64583</v>
      </c>
      <c r="B10" s="7">
        <f>IFERROR(__xludf.DUMMYFUNCTION("""COMPUTED_VALUE"""),418.2)</f>
        <v>418.2</v>
      </c>
      <c r="C10" s="7">
        <f>IFERROR(__xludf.DUMMYFUNCTION("""COMPUTED_VALUE"""),424.05)</f>
        <v>424.05</v>
      </c>
      <c r="D10" s="7">
        <f>IFERROR(__xludf.DUMMYFUNCTION("""COMPUTED_VALUE"""),408.6)</f>
        <v>408.6</v>
      </c>
      <c r="E10" s="7">
        <f>IFERROR(__xludf.DUMMYFUNCTION("""COMPUTED_VALUE"""),421.95)</f>
        <v>421.95</v>
      </c>
      <c r="F10" s="7">
        <f>IFERROR(__xludf.DUMMYFUNCTION("""COMPUTED_VALUE"""),6065915.0)</f>
        <v>6065915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f>IFERROR(__xludf.DUMMYFUNCTION("""COMPUTED_VALUE"""),45562.64583333333)</f>
        <v>45562.64583</v>
      </c>
      <c r="B11" s="7">
        <f>IFERROR(__xludf.DUMMYFUNCTION("""COMPUTED_VALUE"""),424.0)</f>
        <v>424</v>
      </c>
      <c r="C11" s="7">
        <f>IFERROR(__xludf.DUMMYFUNCTION("""COMPUTED_VALUE"""),439.8)</f>
        <v>439.8</v>
      </c>
      <c r="D11" s="7">
        <f>IFERROR(__xludf.DUMMYFUNCTION("""COMPUTED_VALUE"""),421.2)</f>
        <v>421.2</v>
      </c>
      <c r="E11" s="7">
        <f>IFERROR(__xludf.DUMMYFUNCTION("""COMPUTED_VALUE"""),437.95)</f>
        <v>437.95</v>
      </c>
      <c r="F11" s="7">
        <f>IFERROR(__xludf.DUMMYFUNCTION("""COMPUTED_VALUE"""),1.2190119E7)</f>
        <v>12190119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f>IFERROR(__xludf.DUMMYFUNCTION("""COMPUTED_VALUE"""),45565.64583333333)</f>
        <v>45565.64583</v>
      </c>
      <c r="B12" s="7">
        <f>IFERROR(__xludf.DUMMYFUNCTION("""COMPUTED_VALUE"""),436.0)</f>
        <v>436</v>
      </c>
      <c r="C12" s="7">
        <f>IFERROR(__xludf.DUMMYFUNCTION("""COMPUTED_VALUE"""),446.95)</f>
        <v>446.95</v>
      </c>
      <c r="D12" s="7">
        <f>IFERROR(__xludf.DUMMYFUNCTION("""COMPUTED_VALUE"""),430.5)</f>
        <v>430.5</v>
      </c>
      <c r="E12" s="7">
        <f>IFERROR(__xludf.DUMMYFUNCTION("""COMPUTED_VALUE"""),440.55)</f>
        <v>440.55</v>
      </c>
      <c r="F12" s="7">
        <f>IFERROR(__xludf.DUMMYFUNCTION("""COMPUTED_VALUE"""),7949959.0)</f>
        <v>7949959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f>IFERROR(__xludf.DUMMYFUNCTION("""COMPUTED_VALUE"""),45566.64583333333)</f>
        <v>45566.64583</v>
      </c>
      <c r="B13" s="7">
        <f>IFERROR(__xludf.DUMMYFUNCTION("""COMPUTED_VALUE"""),440.0)</f>
        <v>440</v>
      </c>
      <c r="C13" s="7">
        <f>IFERROR(__xludf.DUMMYFUNCTION("""COMPUTED_VALUE"""),446.05)</f>
        <v>446.05</v>
      </c>
      <c r="D13" s="7">
        <f>IFERROR(__xludf.DUMMYFUNCTION("""COMPUTED_VALUE"""),438.45)</f>
        <v>438.45</v>
      </c>
      <c r="E13" s="7">
        <f>IFERROR(__xludf.DUMMYFUNCTION("""COMPUTED_VALUE"""),444.9)</f>
        <v>444.9</v>
      </c>
      <c r="F13" s="7">
        <f>IFERROR(__xludf.DUMMYFUNCTION("""COMPUTED_VALUE"""),5525180.0)</f>
        <v>5525180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f>IFERROR(__xludf.DUMMYFUNCTION("""COMPUTED_VALUE"""),45568.64583333333)</f>
        <v>45568.64583</v>
      </c>
      <c r="B14" s="7">
        <f>IFERROR(__xludf.DUMMYFUNCTION("""COMPUTED_VALUE"""),429.0)</f>
        <v>429</v>
      </c>
      <c r="C14" s="7">
        <f>IFERROR(__xludf.DUMMYFUNCTION("""COMPUTED_VALUE"""),432.65)</f>
        <v>432.65</v>
      </c>
      <c r="D14" s="7">
        <f>IFERROR(__xludf.DUMMYFUNCTION("""COMPUTED_VALUE"""),413.0)</f>
        <v>413</v>
      </c>
      <c r="E14" s="7">
        <f>IFERROR(__xludf.DUMMYFUNCTION("""COMPUTED_VALUE"""),415.05)</f>
        <v>415.05</v>
      </c>
      <c r="F14" s="7">
        <f>IFERROR(__xludf.DUMMYFUNCTION("""COMPUTED_VALUE"""),1.4169317E7)</f>
        <v>14169317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f>IFERROR(__xludf.DUMMYFUNCTION("""COMPUTED_VALUE"""),45569.64583333333)</f>
        <v>45569.64583</v>
      </c>
      <c r="B15" s="7">
        <f>IFERROR(__xludf.DUMMYFUNCTION("""COMPUTED_VALUE"""),407.0)</f>
        <v>407</v>
      </c>
      <c r="C15" s="7">
        <f>IFERROR(__xludf.DUMMYFUNCTION("""COMPUTED_VALUE"""),413.75)</f>
        <v>413.75</v>
      </c>
      <c r="D15" s="7">
        <f>IFERROR(__xludf.DUMMYFUNCTION("""COMPUTED_VALUE"""),395.1)</f>
        <v>395.1</v>
      </c>
      <c r="E15" s="7">
        <f>IFERROR(__xludf.DUMMYFUNCTION("""COMPUTED_VALUE"""),406.9)</f>
        <v>406.9</v>
      </c>
      <c r="F15" s="7">
        <f>IFERROR(__xludf.DUMMYFUNCTION("""COMPUTED_VALUE"""),1.235434E7)</f>
        <v>12354340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f>IFERROR(__xludf.DUMMYFUNCTION("""COMPUTED_VALUE"""),45572.64583333333)</f>
        <v>45572.64583</v>
      </c>
      <c r="B16" s="7">
        <f>IFERROR(__xludf.DUMMYFUNCTION("""COMPUTED_VALUE"""),407.2)</f>
        <v>407.2</v>
      </c>
      <c r="C16" s="7">
        <f>IFERROR(__xludf.DUMMYFUNCTION("""COMPUTED_VALUE"""),409.35)</f>
        <v>409.35</v>
      </c>
      <c r="D16" s="7">
        <f>IFERROR(__xludf.DUMMYFUNCTION("""COMPUTED_VALUE"""),390.95)</f>
        <v>390.95</v>
      </c>
      <c r="E16" s="7">
        <f>IFERROR(__xludf.DUMMYFUNCTION("""COMPUTED_VALUE"""),393.65)</f>
        <v>393.65</v>
      </c>
      <c r="F16" s="7">
        <f>IFERROR(__xludf.DUMMYFUNCTION("""COMPUTED_VALUE"""),5679436.0)</f>
        <v>5679436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f>IFERROR(__xludf.DUMMYFUNCTION("""COMPUTED_VALUE"""),45573.64583333333)</f>
        <v>45573.64583</v>
      </c>
      <c r="B17" s="7">
        <f>IFERROR(__xludf.DUMMYFUNCTION("""COMPUTED_VALUE"""),388.0)</f>
        <v>388</v>
      </c>
      <c r="C17" s="7">
        <f>IFERROR(__xludf.DUMMYFUNCTION("""COMPUTED_VALUE"""),395.0)</f>
        <v>395</v>
      </c>
      <c r="D17" s="7">
        <f>IFERROR(__xludf.DUMMYFUNCTION("""COMPUTED_VALUE"""),381.5)</f>
        <v>381.5</v>
      </c>
      <c r="E17" s="7">
        <f>IFERROR(__xludf.DUMMYFUNCTION("""COMPUTED_VALUE"""),390.25)</f>
        <v>390.25</v>
      </c>
      <c r="F17" s="7">
        <f>IFERROR(__xludf.DUMMYFUNCTION("""COMPUTED_VALUE"""),1.2815777E7)</f>
        <v>12815777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f>IFERROR(__xludf.DUMMYFUNCTION("""COMPUTED_VALUE"""),45574.64583333333)</f>
        <v>45574.64583</v>
      </c>
      <c r="B18" s="7">
        <f>IFERROR(__xludf.DUMMYFUNCTION("""COMPUTED_VALUE"""),400.0)</f>
        <v>400</v>
      </c>
      <c r="C18" s="7">
        <f>IFERROR(__xludf.DUMMYFUNCTION("""COMPUTED_VALUE"""),413.0)</f>
        <v>413</v>
      </c>
      <c r="D18" s="7">
        <f>IFERROR(__xludf.DUMMYFUNCTION("""COMPUTED_VALUE"""),393.25)</f>
        <v>393.25</v>
      </c>
      <c r="E18" s="7">
        <f>IFERROR(__xludf.DUMMYFUNCTION("""COMPUTED_VALUE"""),394.85)</f>
        <v>394.85</v>
      </c>
      <c r="F18" s="7">
        <f>IFERROR(__xludf.DUMMYFUNCTION("""COMPUTED_VALUE"""),1.1902837E7)</f>
        <v>11902837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f>IFERROR(__xludf.DUMMYFUNCTION("""COMPUTED_VALUE"""),45575.64583333333)</f>
        <v>45575.64583</v>
      </c>
      <c r="B19" s="7">
        <f>IFERROR(__xludf.DUMMYFUNCTION("""COMPUTED_VALUE"""),397.5)</f>
        <v>397.5</v>
      </c>
      <c r="C19" s="7">
        <f>IFERROR(__xludf.DUMMYFUNCTION("""COMPUTED_VALUE"""),404.0)</f>
        <v>404</v>
      </c>
      <c r="D19" s="7">
        <f>IFERROR(__xludf.DUMMYFUNCTION("""COMPUTED_VALUE"""),392.0)</f>
        <v>392</v>
      </c>
      <c r="E19" s="7">
        <f>IFERROR(__xludf.DUMMYFUNCTION("""COMPUTED_VALUE"""),392.5)</f>
        <v>392.5</v>
      </c>
      <c r="F19" s="7">
        <f>IFERROR(__xludf.DUMMYFUNCTION("""COMPUTED_VALUE"""),3363159.0)</f>
        <v>3363159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f>IFERROR(__xludf.DUMMYFUNCTION("""COMPUTED_VALUE"""),45576.64583333333)</f>
        <v>45576.64583</v>
      </c>
      <c r="B20" s="7">
        <f>IFERROR(__xludf.DUMMYFUNCTION("""COMPUTED_VALUE"""),392.0)</f>
        <v>392</v>
      </c>
      <c r="C20" s="7">
        <f>IFERROR(__xludf.DUMMYFUNCTION("""COMPUTED_VALUE"""),397.05)</f>
        <v>397.05</v>
      </c>
      <c r="D20" s="7">
        <f>IFERROR(__xludf.DUMMYFUNCTION("""COMPUTED_VALUE"""),387.4)</f>
        <v>387.4</v>
      </c>
      <c r="E20" s="7">
        <f>IFERROR(__xludf.DUMMYFUNCTION("""COMPUTED_VALUE"""),395.5)</f>
        <v>395.5</v>
      </c>
      <c r="F20" s="7">
        <f>IFERROR(__xludf.DUMMYFUNCTION("""COMPUTED_VALUE"""),2978692.0)</f>
        <v>2978692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f>IFERROR(__xludf.DUMMYFUNCTION("""COMPUTED_VALUE"""),45579.64583333333)</f>
        <v>45579.64583</v>
      </c>
      <c r="B21" s="7">
        <f>IFERROR(__xludf.DUMMYFUNCTION("""COMPUTED_VALUE"""),397.5)</f>
        <v>397.5</v>
      </c>
      <c r="C21" s="7">
        <f>IFERROR(__xludf.DUMMYFUNCTION("""COMPUTED_VALUE"""),407.9)</f>
        <v>407.9</v>
      </c>
      <c r="D21" s="7">
        <f>IFERROR(__xludf.DUMMYFUNCTION("""COMPUTED_VALUE"""),396.05)</f>
        <v>396.05</v>
      </c>
      <c r="E21" s="7">
        <f>IFERROR(__xludf.DUMMYFUNCTION("""COMPUTED_VALUE"""),405.85)</f>
        <v>405.85</v>
      </c>
      <c r="F21" s="7">
        <f>IFERROR(__xludf.DUMMYFUNCTION("""COMPUTED_VALUE"""),6151692.0)</f>
        <v>6151692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f>IFERROR(__xludf.DUMMYFUNCTION("""COMPUTED_VALUE"""),45580.64583333333)</f>
        <v>45580.64583</v>
      </c>
      <c r="B22" s="7">
        <f>IFERROR(__xludf.DUMMYFUNCTION("""COMPUTED_VALUE"""),414.0)</f>
        <v>414</v>
      </c>
      <c r="C22" s="7">
        <f>IFERROR(__xludf.DUMMYFUNCTION("""COMPUTED_VALUE"""),426.9)</f>
        <v>426.9</v>
      </c>
      <c r="D22" s="7">
        <f>IFERROR(__xludf.DUMMYFUNCTION("""COMPUTED_VALUE"""),412.25)</f>
        <v>412.25</v>
      </c>
      <c r="E22" s="7">
        <f>IFERROR(__xludf.DUMMYFUNCTION("""COMPUTED_VALUE"""),422.9)</f>
        <v>422.9</v>
      </c>
      <c r="F22" s="7">
        <f>IFERROR(__xludf.DUMMYFUNCTION("""COMPUTED_VALUE"""),1.6856309E7)</f>
        <v>16856309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f>IFERROR(__xludf.DUMMYFUNCTION("""COMPUTED_VALUE"""),45581.64583333333)</f>
        <v>45581.64583</v>
      </c>
      <c r="B23" s="7">
        <f>IFERROR(__xludf.DUMMYFUNCTION("""COMPUTED_VALUE"""),427.0)</f>
        <v>427</v>
      </c>
      <c r="C23" s="7">
        <f>IFERROR(__xludf.DUMMYFUNCTION("""COMPUTED_VALUE"""),438.35)</f>
        <v>438.35</v>
      </c>
      <c r="D23" s="7">
        <f>IFERROR(__xludf.DUMMYFUNCTION("""COMPUTED_VALUE"""),425.15)</f>
        <v>425.15</v>
      </c>
      <c r="E23" s="7">
        <f>IFERROR(__xludf.DUMMYFUNCTION("""COMPUTED_VALUE"""),434.65)</f>
        <v>434.65</v>
      </c>
      <c r="F23" s="7">
        <f>IFERROR(__xludf.DUMMYFUNCTION("""COMPUTED_VALUE"""),1.6355809E7)</f>
        <v>16355809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f>IFERROR(__xludf.DUMMYFUNCTION("""COMPUTED_VALUE"""),45582.64583333333)</f>
        <v>45582.64583</v>
      </c>
      <c r="B24" s="7">
        <f>IFERROR(__xludf.DUMMYFUNCTION("""COMPUTED_VALUE"""),431.95)</f>
        <v>431.95</v>
      </c>
      <c r="C24" s="7">
        <f>IFERROR(__xludf.DUMMYFUNCTION("""COMPUTED_VALUE"""),439.0)</f>
        <v>439</v>
      </c>
      <c r="D24" s="7">
        <f>IFERROR(__xludf.DUMMYFUNCTION("""COMPUTED_VALUE"""),428.25)</f>
        <v>428.25</v>
      </c>
      <c r="E24" s="7">
        <f>IFERROR(__xludf.DUMMYFUNCTION("""COMPUTED_VALUE"""),433.35)</f>
        <v>433.35</v>
      </c>
      <c r="F24" s="7">
        <f>IFERROR(__xludf.DUMMYFUNCTION("""COMPUTED_VALUE"""),1.1762175E7)</f>
        <v>11762175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f>IFERROR(__xludf.DUMMYFUNCTION("""COMPUTED_VALUE"""),45583.64583333333)</f>
        <v>45583.64583</v>
      </c>
      <c r="B25" s="7">
        <f>IFERROR(__xludf.DUMMYFUNCTION("""COMPUTED_VALUE"""),430.4)</f>
        <v>430.4</v>
      </c>
      <c r="C25" s="7">
        <f>IFERROR(__xludf.DUMMYFUNCTION("""COMPUTED_VALUE"""),435.3)</f>
        <v>435.3</v>
      </c>
      <c r="D25" s="7">
        <f>IFERROR(__xludf.DUMMYFUNCTION("""COMPUTED_VALUE"""),422.65)</f>
        <v>422.65</v>
      </c>
      <c r="E25" s="7">
        <f>IFERROR(__xludf.DUMMYFUNCTION("""COMPUTED_VALUE"""),431.6)</f>
        <v>431.6</v>
      </c>
      <c r="F25" s="7">
        <f>IFERROR(__xludf.DUMMYFUNCTION("""COMPUTED_VALUE"""),4941502.0)</f>
        <v>4941502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f>IFERROR(__xludf.DUMMYFUNCTION("""COMPUTED_VALUE"""),45586.64583333333)</f>
        <v>45586.64583</v>
      </c>
      <c r="B26" s="7">
        <f>IFERROR(__xludf.DUMMYFUNCTION("""COMPUTED_VALUE"""),433.0)</f>
        <v>433</v>
      </c>
      <c r="C26" s="7">
        <f>IFERROR(__xludf.DUMMYFUNCTION("""COMPUTED_VALUE"""),436.3)</f>
        <v>436.3</v>
      </c>
      <c r="D26" s="7">
        <f>IFERROR(__xludf.DUMMYFUNCTION("""COMPUTED_VALUE"""),413.85)</f>
        <v>413.85</v>
      </c>
      <c r="E26" s="7">
        <f>IFERROR(__xludf.DUMMYFUNCTION("""COMPUTED_VALUE"""),415.15)</f>
        <v>415.15</v>
      </c>
      <c r="F26" s="7">
        <f>IFERROR(__xludf.DUMMYFUNCTION("""COMPUTED_VALUE"""),9263679.0)</f>
        <v>9263679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f>IFERROR(__xludf.DUMMYFUNCTION("""COMPUTED_VALUE"""),45587.64583333333)</f>
        <v>45587.64583</v>
      </c>
      <c r="B27" s="7">
        <f>IFERROR(__xludf.DUMMYFUNCTION("""COMPUTED_VALUE"""),414.1)</f>
        <v>414.1</v>
      </c>
      <c r="C27" s="7">
        <f>IFERROR(__xludf.DUMMYFUNCTION("""COMPUTED_VALUE"""),416.6)</f>
        <v>416.6</v>
      </c>
      <c r="D27" s="7">
        <f>IFERROR(__xludf.DUMMYFUNCTION("""COMPUTED_VALUE"""),400.5)</f>
        <v>400.5</v>
      </c>
      <c r="E27" s="7">
        <f>IFERROR(__xludf.DUMMYFUNCTION("""COMPUTED_VALUE"""),402.1)</f>
        <v>402.1</v>
      </c>
      <c r="F27" s="7">
        <f>IFERROR(__xludf.DUMMYFUNCTION("""COMPUTED_VALUE"""),5951071.0)</f>
        <v>5951071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f>IFERROR(__xludf.DUMMYFUNCTION("""COMPUTED_VALUE"""),45588.64583333333)</f>
        <v>45588.64583</v>
      </c>
      <c r="B28" s="7">
        <f>IFERROR(__xludf.DUMMYFUNCTION("""COMPUTED_VALUE"""),402.1)</f>
        <v>402.1</v>
      </c>
      <c r="C28" s="7">
        <f>IFERROR(__xludf.DUMMYFUNCTION("""COMPUTED_VALUE"""),403.3)</f>
        <v>403.3</v>
      </c>
      <c r="D28" s="7">
        <f>IFERROR(__xludf.DUMMYFUNCTION("""COMPUTED_VALUE"""),394.2)</f>
        <v>394.2</v>
      </c>
      <c r="E28" s="7">
        <f>IFERROR(__xludf.DUMMYFUNCTION("""COMPUTED_VALUE"""),397.85)</f>
        <v>397.85</v>
      </c>
      <c r="F28" s="7">
        <f>IFERROR(__xludf.DUMMYFUNCTION("""COMPUTED_VALUE"""),3779746.0)</f>
        <v>3779746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f>IFERROR(__xludf.DUMMYFUNCTION("""COMPUTED_VALUE"""),45589.64583333333)</f>
        <v>45589.64583</v>
      </c>
      <c r="B29" s="7">
        <f>IFERROR(__xludf.DUMMYFUNCTION("""COMPUTED_VALUE"""),396.0)</f>
        <v>396</v>
      </c>
      <c r="C29" s="7">
        <f>IFERROR(__xludf.DUMMYFUNCTION("""COMPUTED_VALUE"""),405.4)</f>
        <v>405.4</v>
      </c>
      <c r="D29" s="7">
        <f>IFERROR(__xludf.DUMMYFUNCTION("""COMPUTED_VALUE"""),393.45)</f>
        <v>393.45</v>
      </c>
      <c r="E29" s="7">
        <f>IFERROR(__xludf.DUMMYFUNCTION("""COMPUTED_VALUE"""),404.75)</f>
        <v>404.75</v>
      </c>
      <c r="F29" s="7">
        <f>IFERROR(__xludf.DUMMYFUNCTION("""COMPUTED_VALUE"""),7703516.0)</f>
        <v>7703516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f>IFERROR(__xludf.DUMMYFUNCTION("""COMPUTED_VALUE"""),45590.64583333333)</f>
        <v>45590.64583</v>
      </c>
      <c r="B30" s="7">
        <f>IFERROR(__xludf.DUMMYFUNCTION("""COMPUTED_VALUE"""),406.0)</f>
        <v>406</v>
      </c>
      <c r="C30" s="7">
        <f>IFERROR(__xludf.DUMMYFUNCTION("""COMPUTED_VALUE"""),406.0)</f>
        <v>406</v>
      </c>
      <c r="D30" s="7">
        <f>IFERROR(__xludf.DUMMYFUNCTION("""COMPUTED_VALUE"""),370.65)</f>
        <v>370.65</v>
      </c>
      <c r="E30" s="7">
        <f>IFERROR(__xludf.DUMMYFUNCTION("""COMPUTED_VALUE"""),372.4)</f>
        <v>372.4</v>
      </c>
      <c r="F30" s="7">
        <f>IFERROR(__xludf.DUMMYFUNCTION("""COMPUTED_VALUE"""),8522829.0)</f>
        <v>8522829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f>IFERROR(__xludf.DUMMYFUNCTION("""COMPUTED_VALUE"""),45593.64583333333)</f>
        <v>45593.64583</v>
      </c>
      <c r="B31" s="7">
        <f>IFERROR(__xludf.DUMMYFUNCTION("""COMPUTED_VALUE"""),380.0)</f>
        <v>380</v>
      </c>
      <c r="C31" s="7">
        <f>IFERROR(__xludf.DUMMYFUNCTION("""COMPUTED_VALUE"""),393.8)</f>
        <v>393.8</v>
      </c>
      <c r="D31" s="7">
        <f>IFERROR(__xludf.DUMMYFUNCTION("""COMPUTED_VALUE"""),379.0)</f>
        <v>379</v>
      </c>
      <c r="E31" s="7">
        <f>IFERROR(__xludf.DUMMYFUNCTION("""COMPUTED_VALUE"""),383.3)</f>
        <v>383.3</v>
      </c>
      <c r="F31" s="7">
        <f>IFERROR(__xludf.DUMMYFUNCTION("""COMPUTED_VALUE"""),1.2990859E7)</f>
        <v>12990859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f>IFERROR(__xludf.DUMMYFUNCTION("""COMPUTED_VALUE"""),45594.64583333333)</f>
        <v>45594.64583</v>
      </c>
      <c r="B32" s="7">
        <f>IFERROR(__xludf.DUMMYFUNCTION("""COMPUTED_VALUE"""),384.95)</f>
        <v>384.95</v>
      </c>
      <c r="C32" s="7">
        <f>IFERROR(__xludf.DUMMYFUNCTION("""COMPUTED_VALUE"""),389.85)</f>
        <v>389.85</v>
      </c>
      <c r="D32" s="7">
        <f>IFERROR(__xludf.DUMMYFUNCTION("""COMPUTED_VALUE"""),375.5)</f>
        <v>375.5</v>
      </c>
      <c r="E32" s="7">
        <f>IFERROR(__xludf.DUMMYFUNCTION("""COMPUTED_VALUE"""),388.5)</f>
        <v>388.5</v>
      </c>
      <c r="F32" s="7">
        <f>IFERROR(__xludf.DUMMYFUNCTION("""COMPUTED_VALUE"""),5115112.0)</f>
        <v>5115112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f>IFERROR(__xludf.DUMMYFUNCTION("""COMPUTED_VALUE"""),45595.64583333333)</f>
        <v>45595.64583</v>
      </c>
      <c r="B33" s="7">
        <f>IFERROR(__xludf.DUMMYFUNCTION("""COMPUTED_VALUE"""),388.5)</f>
        <v>388.5</v>
      </c>
      <c r="C33" s="7">
        <f>IFERROR(__xludf.DUMMYFUNCTION("""COMPUTED_VALUE"""),389.45)</f>
        <v>389.45</v>
      </c>
      <c r="D33" s="7">
        <f>IFERROR(__xludf.DUMMYFUNCTION("""COMPUTED_VALUE"""),376.7)</f>
        <v>376.7</v>
      </c>
      <c r="E33" s="7">
        <f>IFERROR(__xludf.DUMMYFUNCTION("""COMPUTED_VALUE"""),377.65)</f>
        <v>377.65</v>
      </c>
      <c r="F33" s="7">
        <f>IFERROR(__xludf.DUMMYFUNCTION("""COMPUTED_VALUE"""),5110158.0)</f>
        <v>5110158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f>IFERROR(__xludf.DUMMYFUNCTION("""COMPUTED_VALUE"""),45596.64583333333)</f>
        <v>45596.64583</v>
      </c>
      <c r="B34" s="7">
        <f>IFERROR(__xludf.DUMMYFUNCTION("""COMPUTED_VALUE"""),377.0)</f>
        <v>377</v>
      </c>
      <c r="C34" s="7">
        <f>IFERROR(__xludf.DUMMYFUNCTION("""COMPUTED_VALUE"""),382.45)</f>
        <v>382.45</v>
      </c>
      <c r="D34" s="7">
        <f>IFERROR(__xludf.DUMMYFUNCTION("""COMPUTED_VALUE"""),374.0)</f>
        <v>374</v>
      </c>
      <c r="E34" s="7">
        <f>IFERROR(__xludf.DUMMYFUNCTION("""COMPUTED_VALUE"""),380.9)</f>
        <v>380.9</v>
      </c>
      <c r="F34" s="7">
        <f>IFERROR(__xludf.DUMMYFUNCTION("""COMPUTED_VALUE"""),6864561.0)</f>
        <v>6864561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f>IFERROR(__xludf.DUMMYFUNCTION("""COMPUTED_VALUE"""),45600.64583333333)</f>
        <v>45600.64583</v>
      </c>
      <c r="B35" s="7">
        <f>IFERROR(__xludf.DUMMYFUNCTION("""COMPUTED_VALUE"""),382.0)</f>
        <v>382</v>
      </c>
      <c r="C35" s="7">
        <f>IFERROR(__xludf.DUMMYFUNCTION("""COMPUTED_VALUE"""),382.0)</f>
        <v>382</v>
      </c>
      <c r="D35" s="7">
        <f>IFERROR(__xludf.DUMMYFUNCTION("""COMPUTED_VALUE"""),363.65)</f>
        <v>363.65</v>
      </c>
      <c r="E35" s="7">
        <f>IFERROR(__xludf.DUMMYFUNCTION("""COMPUTED_VALUE"""),368.5)</f>
        <v>368.5</v>
      </c>
      <c r="F35" s="7">
        <f>IFERROR(__xludf.DUMMYFUNCTION("""COMPUTED_VALUE"""),8846874.0)</f>
        <v>8846874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f>IFERROR(__xludf.DUMMYFUNCTION("""COMPUTED_VALUE"""),45601.64583333333)</f>
        <v>45601.64583</v>
      </c>
      <c r="B36" s="7">
        <f>IFERROR(__xludf.DUMMYFUNCTION("""COMPUTED_VALUE"""),365.0)</f>
        <v>365</v>
      </c>
      <c r="C36" s="7">
        <f>IFERROR(__xludf.DUMMYFUNCTION("""COMPUTED_VALUE"""),376.5)</f>
        <v>376.5</v>
      </c>
      <c r="D36" s="7">
        <f>IFERROR(__xludf.DUMMYFUNCTION("""COMPUTED_VALUE"""),362.25)</f>
        <v>362.25</v>
      </c>
      <c r="E36" s="7">
        <f>IFERROR(__xludf.DUMMYFUNCTION("""COMPUTED_VALUE"""),374.85)</f>
        <v>374.85</v>
      </c>
      <c r="F36" s="7">
        <f>IFERROR(__xludf.DUMMYFUNCTION("""COMPUTED_VALUE"""),8163853.0)</f>
        <v>8163853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f>IFERROR(__xludf.DUMMYFUNCTION("""COMPUTED_VALUE"""),45602.64583333333)</f>
        <v>45602.64583</v>
      </c>
      <c r="B37" s="7">
        <f>IFERROR(__xludf.DUMMYFUNCTION("""COMPUTED_VALUE"""),379.85)</f>
        <v>379.85</v>
      </c>
      <c r="C37" s="7">
        <f>IFERROR(__xludf.DUMMYFUNCTION("""COMPUTED_VALUE"""),393.95)</f>
        <v>393.95</v>
      </c>
      <c r="D37" s="7">
        <f>IFERROR(__xludf.DUMMYFUNCTION("""COMPUTED_VALUE"""),377.15)</f>
        <v>377.15</v>
      </c>
      <c r="E37" s="7">
        <f>IFERROR(__xludf.DUMMYFUNCTION("""COMPUTED_VALUE"""),391.6)</f>
        <v>391.6</v>
      </c>
      <c r="F37" s="7">
        <f>IFERROR(__xludf.DUMMYFUNCTION("""COMPUTED_VALUE"""),8284664.0)</f>
        <v>8284664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f>IFERROR(__xludf.DUMMYFUNCTION("""COMPUTED_VALUE"""),45603.64583333333)</f>
        <v>45603.64583</v>
      </c>
      <c r="B38" s="7">
        <f>IFERROR(__xludf.DUMMYFUNCTION("""COMPUTED_VALUE"""),390.85)</f>
        <v>390.85</v>
      </c>
      <c r="C38" s="7">
        <f>IFERROR(__xludf.DUMMYFUNCTION("""COMPUTED_VALUE"""),400.0)</f>
        <v>400</v>
      </c>
      <c r="D38" s="7">
        <f>IFERROR(__xludf.DUMMYFUNCTION("""COMPUTED_VALUE"""),385.35)</f>
        <v>385.35</v>
      </c>
      <c r="E38" s="7">
        <f>IFERROR(__xludf.DUMMYFUNCTION("""COMPUTED_VALUE"""),396.5)</f>
        <v>396.5</v>
      </c>
      <c r="F38" s="7">
        <f>IFERROR(__xludf.DUMMYFUNCTION("""COMPUTED_VALUE"""),5850910.0)</f>
        <v>5850910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f>IFERROR(__xludf.DUMMYFUNCTION("""COMPUTED_VALUE"""),45604.64583333333)</f>
        <v>45604.64583</v>
      </c>
      <c r="B39" s="7">
        <f>IFERROR(__xludf.DUMMYFUNCTION("""COMPUTED_VALUE"""),395.85)</f>
        <v>395.85</v>
      </c>
      <c r="C39" s="7">
        <f>IFERROR(__xludf.DUMMYFUNCTION("""COMPUTED_VALUE"""),395.85)</f>
        <v>395.85</v>
      </c>
      <c r="D39" s="7">
        <f>IFERROR(__xludf.DUMMYFUNCTION("""COMPUTED_VALUE"""),380.3)</f>
        <v>380.3</v>
      </c>
      <c r="E39" s="7">
        <f>IFERROR(__xludf.DUMMYFUNCTION("""COMPUTED_VALUE"""),383.05)</f>
        <v>383.05</v>
      </c>
      <c r="F39" s="7">
        <f>IFERROR(__xludf.DUMMYFUNCTION("""COMPUTED_VALUE"""),5067482.0)</f>
        <v>5067482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f>IFERROR(__xludf.DUMMYFUNCTION("""COMPUTED_VALUE"""),45607.64583333333)</f>
        <v>45607.64583</v>
      </c>
      <c r="B40" s="7">
        <f>IFERROR(__xludf.DUMMYFUNCTION("""COMPUTED_VALUE"""),383.0)</f>
        <v>383</v>
      </c>
      <c r="C40" s="7">
        <f>IFERROR(__xludf.DUMMYFUNCTION("""COMPUTED_VALUE"""),387.8)</f>
        <v>387.8</v>
      </c>
      <c r="D40" s="7">
        <f>IFERROR(__xludf.DUMMYFUNCTION("""COMPUTED_VALUE"""),375.15)</f>
        <v>375.15</v>
      </c>
      <c r="E40" s="7">
        <f>IFERROR(__xludf.DUMMYFUNCTION("""COMPUTED_VALUE"""),380.95)</f>
        <v>380.95</v>
      </c>
      <c r="F40" s="7">
        <f>IFERROR(__xludf.DUMMYFUNCTION("""COMPUTED_VALUE"""),6123412.0)</f>
        <v>6123412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f>IFERROR(__xludf.DUMMYFUNCTION("""COMPUTED_VALUE"""),45608.64583333333)</f>
        <v>45608.64583</v>
      </c>
      <c r="B41" s="7">
        <f>IFERROR(__xludf.DUMMYFUNCTION("""COMPUTED_VALUE"""),384.1)</f>
        <v>384.1</v>
      </c>
      <c r="C41" s="7">
        <f>IFERROR(__xludf.DUMMYFUNCTION("""COMPUTED_VALUE"""),390.0)</f>
        <v>390</v>
      </c>
      <c r="D41" s="7">
        <f>IFERROR(__xludf.DUMMYFUNCTION("""COMPUTED_VALUE"""),374.05)</f>
        <v>374.05</v>
      </c>
      <c r="E41" s="7">
        <f>IFERROR(__xludf.DUMMYFUNCTION("""COMPUTED_VALUE"""),375.55)</f>
        <v>375.55</v>
      </c>
      <c r="F41" s="7">
        <f>IFERROR(__xludf.DUMMYFUNCTION("""COMPUTED_VALUE"""),6589595.0)</f>
        <v>6589595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f>IFERROR(__xludf.DUMMYFUNCTION("""COMPUTED_VALUE"""),45609.64583333333)</f>
        <v>45609.64583</v>
      </c>
      <c r="B42" s="7">
        <f>IFERROR(__xludf.DUMMYFUNCTION("""COMPUTED_VALUE"""),375.0)</f>
        <v>375</v>
      </c>
      <c r="C42" s="7">
        <f>IFERROR(__xludf.DUMMYFUNCTION("""COMPUTED_VALUE"""),377.9)</f>
        <v>377.9</v>
      </c>
      <c r="D42" s="7">
        <f>IFERROR(__xludf.DUMMYFUNCTION("""COMPUTED_VALUE"""),367.75)</f>
        <v>367.75</v>
      </c>
      <c r="E42" s="7">
        <f>IFERROR(__xludf.DUMMYFUNCTION("""COMPUTED_VALUE"""),371.4)</f>
        <v>371.4</v>
      </c>
      <c r="F42" s="7">
        <f>IFERROR(__xludf.DUMMYFUNCTION("""COMPUTED_VALUE"""),4346895.0)</f>
        <v>4346895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f>IFERROR(__xludf.DUMMYFUNCTION("""COMPUTED_VALUE"""),45610.64583333333)</f>
        <v>45610.64583</v>
      </c>
      <c r="B43" s="7">
        <f>IFERROR(__xludf.DUMMYFUNCTION("""COMPUTED_VALUE"""),372.5)</f>
        <v>372.5</v>
      </c>
      <c r="C43" s="7">
        <f>IFERROR(__xludf.DUMMYFUNCTION("""COMPUTED_VALUE"""),379.3)</f>
        <v>379.3</v>
      </c>
      <c r="D43" s="7">
        <f>IFERROR(__xludf.DUMMYFUNCTION("""COMPUTED_VALUE"""),365.45)</f>
        <v>365.45</v>
      </c>
      <c r="E43" s="7">
        <f>IFERROR(__xludf.DUMMYFUNCTION("""COMPUTED_VALUE"""),372.4)</f>
        <v>372.4</v>
      </c>
      <c r="F43" s="7">
        <f>IFERROR(__xludf.DUMMYFUNCTION("""COMPUTED_VALUE"""),5809877.0)</f>
        <v>5809877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f>IFERROR(__xludf.DUMMYFUNCTION("""COMPUTED_VALUE"""),45614.64583333333)</f>
        <v>45614.64583</v>
      </c>
      <c r="B44" s="7">
        <f>IFERROR(__xludf.DUMMYFUNCTION("""COMPUTED_VALUE"""),372.4)</f>
        <v>372.4</v>
      </c>
      <c r="C44" s="7">
        <f>IFERROR(__xludf.DUMMYFUNCTION("""COMPUTED_VALUE"""),375.75)</f>
        <v>375.75</v>
      </c>
      <c r="D44" s="7">
        <f>IFERROR(__xludf.DUMMYFUNCTION("""COMPUTED_VALUE"""),366.4)</f>
        <v>366.4</v>
      </c>
      <c r="E44" s="7">
        <f>IFERROR(__xludf.DUMMYFUNCTION("""COMPUTED_VALUE"""),367.3)</f>
        <v>367.3</v>
      </c>
      <c r="F44" s="7">
        <f>IFERROR(__xludf.DUMMYFUNCTION("""COMPUTED_VALUE"""),5010823.0)</f>
        <v>5010823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f>IFERROR(__xludf.DUMMYFUNCTION("""COMPUTED_VALUE"""),45615.64583333333)</f>
        <v>45615.64583</v>
      </c>
      <c r="B45" s="7">
        <f>IFERROR(__xludf.DUMMYFUNCTION("""COMPUTED_VALUE"""),366.0)</f>
        <v>366</v>
      </c>
      <c r="C45" s="7">
        <f>IFERROR(__xludf.DUMMYFUNCTION("""COMPUTED_VALUE"""),374.8)</f>
        <v>374.8</v>
      </c>
      <c r="D45" s="7">
        <f>IFERROR(__xludf.DUMMYFUNCTION("""COMPUTED_VALUE"""),360.2)</f>
        <v>360.2</v>
      </c>
      <c r="E45" s="7">
        <f>IFERROR(__xludf.DUMMYFUNCTION("""COMPUTED_VALUE"""),362.15)</f>
        <v>362.15</v>
      </c>
      <c r="F45" s="7">
        <f>IFERROR(__xludf.DUMMYFUNCTION("""COMPUTED_VALUE"""),2933169.0)</f>
        <v>2933169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f>IFERROR(__xludf.DUMMYFUNCTION("""COMPUTED_VALUE"""),45617.64583333333)</f>
        <v>45617.64583</v>
      </c>
      <c r="B46" s="7">
        <f>IFERROR(__xludf.DUMMYFUNCTION("""COMPUTED_VALUE"""),362.15)</f>
        <v>362.15</v>
      </c>
      <c r="C46" s="7">
        <f>IFERROR(__xludf.DUMMYFUNCTION("""COMPUTED_VALUE"""),363.6)</f>
        <v>363.6</v>
      </c>
      <c r="D46" s="7">
        <f>IFERROR(__xludf.DUMMYFUNCTION("""COMPUTED_VALUE"""),354.9)</f>
        <v>354.9</v>
      </c>
      <c r="E46" s="7">
        <f>IFERROR(__xludf.DUMMYFUNCTION("""COMPUTED_VALUE"""),360.1)</f>
        <v>360.1</v>
      </c>
      <c r="F46" s="7">
        <f>IFERROR(__xludf.DUMMYFUNCTION("""COMPUTED_VALUE"""),4403773.0)</f>
        <v>4403773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f>IFERROR(__xludf.DUMMYFUNCTION("""COMPUTED_VALUE"""),45618.64583333333)</f>
        <v>45618.64583</v>
      </c>
      <c r="B47" s="7">
        <f>IFERROR(__xludf.DUMMYFUNCTION("""COMPUTED_VALUE"""),362.0)</f>
        <v>362</v>
      </c>
      <c r="C47" s="7">
        <f>IFERROR(__xludf.DUMMYFUNCTION("""COMPUTED_VALUE"""),365.3)</f>
        <v>365.3</v>
      </c>
      <c r="D47" s="7">
        <f>IFERROR(__xludf.DUMMYFUNCTION("""COMPUTED_VALUE"""),358.6)</f>
        <v>358.6</v>
      </c>
      <c r="E47" s="7">
        <f>IFERROR(__xludf.DUMMYFUNCTION("""COMPUTED_VALUE"""),360.7)</f>
        <v>360.7</v>
      </c>
      <c r="F47" s="7">
        <f>IFERROR(__xludf.DUMMYFUNCTION("""COMPUTED_VALUE"""),2571975.0)</f>
        <v>2571975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f>IFERROR(__xludf.DUMMYFUNCTION("""COMPUTED_VALUE"""),45621.64583333333)</f>
        <v>45621.64583</v>
      </c>
      <c r="B48" s="7">
        <f>IFERROR(__xludf.DUMMYFUNCTION("""COMPUTED_VALUE"""),368.95)</f>
        <v>368.95</v>
      </c>
      <c r="C48" s="7">
        <f>IFERROR(__xludf.DUMMYFUNCTION("""COMPUTED_VALUE"""),384.65)</f>
        <v>384.65</v>
      </c>
      <c r="D48" s="7">
        <f>IFERROR(__xludf.DUMMYFUNCTION("""COMPUTED_VALUE"""),367.95)</f>
        <v>367.95</v>
      </c>
      <c r="E48" s="7">
        <f>IFERROR(__xludf.DUMMYFUNCTION("""COMPUTED_VALUE"""),376.85)</f>
        <v>376.85</v>
      </c>
      <c r="F48" s="7">
        <f>IFERROR(__xludf.DUMMYFUNCTION("""COMPUTED_VALUE"""),9614696.0)</f>
        <v>9614696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f>IFERROR(__xludf.DUMMYFUNCTION("""COMPUTED_VALUE"""),45622.64583333333)</f>
        <v>45622.64583</v>
      </c>
      <c r="B49" s="7">
        <f>IFERROR(__xludf.DUMMYFUNCTION("""COMPUTED_VALUE"""),382.1)</f>
        <v>382.1</v>
      </c>
      <c r="C49" s="7">
        <f>IFERROR(__xludf.DUMMYFUNCTION("""COMPUTED_VALUE"""),389.7)</f>
        <v>389.7</v>
      </c>
      <c r="D49" s="7">
        <f>IFERROR(__xludf.DUMMYFUNCTION("""COMPUTED_VALUE"""),378.0)</f>
        <v>378</v>
      </c>
      <c r="E49" s="7">
        <f>IFERROR(__xludf.DUMMYFUNCTION("""COMPUTED_VALUE"""),379.6)</f>
        <v>379.6</v>
      </c>
      <c r="F49" s="7">
        <f>IFERROR(__xludf.DUMMYFUNCTION("""COMPUTED_VALUE"""),3574299.0)</f>
        <v>3574299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f>IFERROR(__xludf.DUMMYFUNCTION("""COMPUTED_VALUE"""),45623.64583333333)</f>
        <v>45623.64583</v>
      </c>
      <c r="B50" s="7">
        <f>IFERROR(__xludf.DUMMYFUNCTION("""COMPUTED_VALUE"""),385.9)</f>
        <v>385.9</v>
      </c>
      <c r="C50" s="7">
        <f>IFERROR(__xludf.DUMMYFUNCTION("""COMPUTED_VALUE"""),386.0)</f>
        <v>386</v>
      </c>
      <c r="D50" s="7">
        <f>IFERROR(__xludf.DUMMYFUNCTION("""COMPUTED_VALUE"""),375.8)</f>
        <v>375.8</v>
      </c>
      <c r="E50" s="7">
        <f>IFERROR(__xludf.DUMMYFUNCTION("""COMPUTED_VALUE"""),380.15)</f>
        <v>380.15</v>
      </c>
      <c r="F50" s="7">
        <f>IFERROR(__xludf.DUMMYFUNCTION("""COMPUTED_VALUE"""),6106128.0)</f>
        <v>6106128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f>IFERROR(__xludf.DUMMYFUNCTION("""COMPUTED_VALUE"""),45624.64583333333)</f>
        <v>45624.64583</v>
      </c>
      <c r="B51" s="7">
        <f>IFERROR(__xludf.DUMMYFUNCTION("""COMPUTED_VALUE"""),381.9)</f>
        <v>381.9</v>
      </c>
      <c r="C51" s="7">
        <f>IFERROR(__xludf.DUMMYFUNCTION("""COMPUTED_VALUE"""),386.25)</f>
        <v>386.25</v>
      </c>
      <c r="D51" s="7">
        <f>IFERROR(__xludf.DUMMYFUNCTION("""COMPUTED_VALUE"""),377.25)</f>
        <v>377.25</v>
      </c>
      <c r="E51" s="7">
        <f>IFERROR(__xludf.DUMMYFUNCTION("""COMPUTED_VALUE"""),380.0)</f>
        <v>380</v>
      </c>
      <c r="F51" s="7">
        <f>IFERROR(__xludf.DUMMYFUNCTION("""COMPUTED_VALUE"""),5435933.0)</f>
        <v>5435933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f>IFERROR(__xludf.DUMMYFUNCTION("""COMPUTED_VALUE"""),45625.64583333333)</f>
        <v>45625.64583</v>
      </c>
      <c r="B52" s="7">
        <f>IFERROR(__xludf.DUMMYFUNCTION("""COMPUTED_VALUE"""),381.45)</f>
        <v>381.45</v>
      </c>
      <c r="C52" s="7">
        <f>IFERROR(__xludf.DUMMYFUNCTION("""COMPUTED_VALUE"""),385.0)</f>
        <v>385</v>
      </c>
      <c r="D52" s="7">
        <f>IFERROR(__xludf.DUMMYFUNCTION("""COMPUTED_VALUE"""),376.4)</f>
        <v>376.4</v>
      </c>
      <c r="E52" s="7">
        <f>IFERROR(__xludf.DUMMYFUNCTION("""COMPUTED_VALUE"""),383.1)</f>
        <v>383.1</v>
      </c>
      <c r="F52" s="7">
        <f>IFERROR(__xludf.DUMMYFUNCTION("""COMPUTED_VALUE"""),4384830.0)</f>
        <v>4384830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f>IFERROR(__xludf.DUMMYFUNCTION("""COMPUTED_VALUE"""),45628.64583333333)</f>
        <v>45628.64583</v>
      </c>
      <c r="B53" s="7">
        <f>IFERROR(__xludf.DUMMYFUNCTION("""COMPUTED_VALUE"""),383.1)</f>
        <v>383.1</v>
      </c>
      <c r="C53" s="7">
        <f>IFERROR(__xludf.DUMMYFUNCTION("""COMPUTED_VALUE"""),384.0)</f>
        <v>384</v>
      </c>
      <c r="D53" s="7">
        <f>IFERROR(__xludf.DUMMYFUNCTION("""COMPUTED_VALUE"""),379.2)</f>
        <v>379.2</v>
      </c>
      <c r="E53" s="7">
        <f>IFERROR(__xludf.DUMMYFUNCTION("""COMPUTED_VALUE"""),380.95)</f>
        <v>380.95</v>
      </c>
      <c r="F53" s="7">
        <f>IFERROR(__xludf.DUMMYFUNCTION("""COMPUTED_VALUE"""),2355565.0)</f>
        <v>2355565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f>IFERROR(__xludf.DUMMYFUNCTION("""COMPUTED_VALUE"""),45629.64583333333)</f>
        <v>45629.64583</v>
      </c>
      <c r="B54" s="7">
        <f>IFERROR(__xludf.DUMMYFUNCTION("""COMPUTED_VALUE"""),385.0)</f>
        <v>385</v>
      </c>
      <c r="C54" s="7">
        <f>IFERROR(__xludf.DUMMYFUNCTION("""COMPUTED_VALUE"""),387.6)</f>
        <v>387.6</v>
      </c>
      <c r="D54" s="7">
        <f>IFERROR(__xludf.DUMMYFUNCTION("""COMPUTED_VALUE"""),382.55)</f>
        <v>382.55</v>
      </c>
      <c r="E54" s="7">
        <f>IFERROR(__xludf.DUMMYFUNCTION("""COMPUTED_VALUE"""),384.55)</f>
        <v>384.55</v>
      </c>
      <c r="F54" s="7">
        <f>IFERROR(__xludf.DUMMYFUNCTION("""COMPUTED_VALUE"""),5317630.0)</f>
        <v>5317630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f>IFERROR(__xludf.DUMMYFUNCTION("""COMPUTED_VALUE"""),45630.64583333333)</f>
        <v>45630.64583</v>
      </c>
      <c r="B55" s="7">
        <f>IFERROR(__xludf.DUMMYFUNCTION("""COMPUTED_VALUE"""),384.0)</f>
        <v>384</v>
      </c>
      <c r="C55" s="7">
        <f>IFERROR(__xludf.DUMMYFUNCTION("""COMPUTED_VALUE"""),391.65)</f>
        <v>391.65</v>
      </c>
      <c r="D55" s="7">
        <f>IFERROR(__xludf.DUMMYFUNCTION("""COMPUTED_VALUE"""),382.7)</f>
        <v>382.7</v>
      </c>
      <c r="E55" s="7">
        <f>IFERROR(__xludf.DUMMYFUNCTION("""COMPUTED_VALUE"""),387.65)</f>
        <v>387.65</v>
      </c>
      <c r="F55" s="7">
        <f>IFERROR(__xludf.DUMMYFUNCTION("""COMPUTED_VALUE"""),3476461.0)</f>
        <v>3476461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f>IFERROR(__xludf.DUMMYFUNCTION("""COMPUTED_VALUE"""),45631.64583333333)</f>
        <v>45631.64583</v>
      </c>
      <c r="B56" s="7">
        <f>IFERROR(__xludf.DUMMYFUNCTION("""COMPUTED_VALUE"""),390.5)</f>
        <v>390.5</v>
      </c>
      <c r="C56" s="7">
        <f>IFERROR(__xludf.DUMMYFUNCTION("""COMPUTED_VALUE"""),393.1)</f>
        <v>393.1</v>
      </c>
      <c r="D56" s="7">
        <f>IFERROR(__xludf.DUMMYFUNCTION("""COMPUTED_VALUE"""),384.5)</f>
        <v>384.5</v>
      </c>
      <c r="E56" s="7">
        <f>IFERROR(__xludf.DUMMYFUNCTION("""COMPUTED_VALUE"""),391.8)</f>
        <v>391.8</v>
      </c>
      <c r="F56" s="7">
        <f>IFERROR(__xludf.DUMMYFUNCTION("""COMPUTED_VALUE"""),3583458.0)</f>
        <v>3583458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f>IFERROR(__xludf.DUMMYFUNCTION("""COMPUTED_VALUE"""),45632.64583333333)</f>
        <v>45632.64583</v>
      </c>
      <c r="B57" s="7">
        <f>IFERROR(__xludf.DUMMYFUNCTION("""COMPUTED_VALUE"""),393.85)</f>
        <v>393.85</v>
      </c>
      <c r="C57" s="7">
        <f>IFERROR(__xludf.DUMMYFUNCTION("""COMPUTED_VALUE"""),402.25)</f>
        <v>402.25</v>
      </c>
      <c r="D57" s="7">
        <f>IFERROR(__xludf.DUMMYFUNCTION("""COMPUTED_VALUE"""),392.05)</f>
        <v>392.05</v>
      </c>
      <c r="E57" s="7">
        <f>IFERROR(__xludf.DUMMYFUNCTION("""COMPUTED_VALUE"""),399.2)</f>
        <v>399.2</v>
      </c>
      <c r="F57" s="7">
        <f>IFERROR(__xludf.DUMMYFUNCTION("""COMPUTED_VALUE"""),8107943.0)</f>
        <v>8107943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f>IFERROR(__xludf.DUMMYFUNCTION("""COMPUTED_VALUE"""),45635.64583333333)</f>
        <v>45635.64583</v>
      </c>
      <c r="B58" s="7">
        <f>IFERROR(__xludf.DUMMYFUNCTION("""COMPUTED_VALUE"""),399.05)</f>
        <v>399.05</v>
      </c>
      <c r="C58" s="7">
        <f>IFERROR(__xludf.DUMMYFUNCTION("""COMPUTED_VALUE"""),404.45)</f>
        <v>404.45</v>
      </c>
      <c r="D58" s="7">
        <f>IFERROR(__xludf.DUMMYFUNCTION("""COMPUTED_VALUE"""),397.65)</f>
        <v>397.65</v>
      </c>
      <c r="E58" s="7">
        <f>IFERROR(__xludf.DUMMYFUNCTION("""COMPUTED_VALUE"""),399.7)</f>
        <v>399.7</v>
      </c>
      <c r="F58" s="7">
        <f>IFERROR(__xludf.DUMMYFUNCTION("""COMPUTED_VALUE"""),4763280.0)</f>
        <v>4763280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f>IFERROR(__xludf.DUMMYFUNCTION("""COMPUTED_VALUE"""),45636.64583333333)</f>
        <v>45636.64583</v>
      </c>
      <c r="B59" s="7">
        <f>IFERROR(__xludf.DUMMYFUNCTION("""COMPUTED_VALUE"""),400.0)</f>
        <v>400</v>
      </c>
      <c r="C59" s="7">
        <f>IFERROR(__xludf.DUMMYFUNCTION("""COMPUTED_VALUE"""),406.35)</f>
        <v>406.35</v>
      </c>
      <c r="D59" s="7">
        <f>IFERROR(__xludf.DUMMYFUNCTION("""COMPUTED_VALUE"""),397.25)</f>
        <v>397.25</v>
      </c>
      <c r="E59" s="7">
        <f>IFERROR(__xludf.DUMMYFUNCTION("""COMPUTED_VALUE"""),404.9)</f>
        <v>404.9</v>
      </c>
      <c r="F59" s="7">
        <f>IFERROR(__xludf.DUMMYFUNCTION("""COMPUTED_VALUE"""),6662197.0)</f>
        <v>6662197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f>IFERROR(__xludf.DUMMYFUNCTION("""COMPUTED_VALUE"""),45637.64583333333)</f>
        <v>45637.64583</v>
      </c>
      <c r="B60" s="7">
        <f>IFERROR(__xludf.DUMMYFUNCTION("""COMPUTED_VALUE"""),404.9)</f>
        <v>404.9</v>
      </c>
      <c r="C60" s="7">
        <f>IFERROR(__xludf.DUMMYFUNCTION("""COMPUTED_VALUE"""),412.35)</f>
        <v>412.35</v>
      </c>
      <c r="D60" s="7">
        <f>IFERROR(__xludf.DUMMYFUNCTION("""COMPUTED_VALUE"""),404.45)</f>
        <v>404.45</v>
      </c>
      <c r="E60" s="7">
        <f>IFERROR(__xludf.DUMMYFUNCTION("""COMPUTED_VALUE"""),410.1)</f>
        <v>410.1</v>
      </c>
      <c r="F60" s="7">
        <f>IFERROR(__xludf.DUMMYFUNCTION("""COMPUTED_VALUE"""),8783167.0)</f>
        <v>8783167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f>IFERROR(__xludf.DUMMYFUNCTION("""COMPUTED_VALUE"""),45638.64583333333)</f>
        <v>45638.64583</v>
      </c>
      <c r="B61" s="7">
        <f>IFERROR(__xludf.DUMMYFUNCTION("""COMPUTED_VALUE"""),410.0)</f>
        <v>410</v>
      </c>
      <c r="C61" s="7">
        <f>IFERROR(__xludf.DUMMYFUNCTION("""COMPUTED_VALUE"""),414.0)</f>
        <v>414</v>
      </c>
      <c r="D61" s="7">
        <f>IFERROR(__xludf.DUMMYFUNCTION("""COMPUTED_VALUE"""),406.05)</f>
        <v>406.05</v>
      </c>
      <c r="E61" s="7">
        <f>IFERROR(__xludf.DUMMYFUNCTION("""COMPUTED_VALUE"""),411.7)</f>
        <v>411.7</v>
      </c>
      <c r="F61" s="7">
        <f>IFERROR(__xludf.DUMMYFUNCTION("""COMPUTED_VALUE"""),4832913.0)</f>
        <v>4832913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f>IFERROR(__xludf.DUMMYFUNCTION("""COMPUTED_VALUE"""),45639.64583333333)</f>
        <v>45639.64583</v>
      </c>
      <c r="B62" s="7">
        <f>IFERROR(__xludf.DUMMYFUNCTION("""COMPUTED_VALUE"""),411.7)</f>
        <v>411.7</v>
      </c>
      <c r="C62" s="7">
        <f>IFERROR(__xludf.DUMMYFUNCTION("""COMPUTED_VALUE"""),418.05)</f>
        <v>418.05</v>
      </c>
      <c r="D62" s="7">
        <f>IFERROR(__xludf.DUMMYFUNCTION("""COMPUTED_VALUE"""),409.45)</f>
        <v>409.45</v>
      </c>
      <c r="E62" s="7">
        <f>IFERROR(__xludf.DUMMYFUNCTION("""COMPUTED_VALUE"""),415.05)</f>
        <v>415.05</v>
      </c>
      <c r="F62" s="7">
        <f>IFERROR(__xludf.DUMMYFUNCTION("""COMPUTED_VALUE"""),7106881.0)</f>
        <v>7106881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f>IFERROR(__xludf.DUMMYFUNCTION("""COMPUTED_VALUE"""),45642.64583333333)</f>
        <v>45642.64583</v>
      </c>
      <c r="B63" s="7">
        <f>IFERROR(__xludf.DUMMYFUNCTION("""COMPUTED_VALUE"""),414.9)</f>
        <v>414.9</v>
      </c>
      <c r="C63" s="7">
        <f>IFERROR(__xludf.DUMMYFUNCTION("""COMPUTED_VALUE"""),419.0)</f>
        <v>419</v>
      </c>
      <c r="D63" s="7">
        <f>IFERROR(__xludf.DUMMYFUNCTION("""COMPUTED_VALUE"""),400.3)</f>
        <v>400.3</v>
      </c>
      <c r="E63" s="7">
        <f>IFERROR(__xludf.DUMMYFUNCTION("""COMPUTED_VALUE"""),407.1)</f>
        <v>407.1</v>
      </c>
      <c r="F63" s="7">
        <f>IFERROR(__xludf.DUMMYFUNCTION("""COMPUTED_VALUE"""),7360302.0)</f>
        <v>7360302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f>IFERROR(__xludf.DUMMYFUNCTION("""COMPUTED_VALUE"""),45643.64583333333)</f>
        <v>45643.64583</v>
      </c>
      <c r="B64" s="7">
        <f>IFERROR(__xludf.DUMMYFUNCTION("""COMPUTED_VALUE"""),408.0)</f>
        <v>408</v>
      </c>
      <c r="C64" s="7">
        <f>IFERROR(__xludf.DUMMYFUNCTION("""COMPUTED_VALUE"""),409.8)</f>
        <v>409.8</v>
      </c>
      <c r="D64" s="7">
        <f>IFERROR(__xludf.DUMMYFUNCTION("""COMPUTED_VALUE"""),404.6)</f>
        <v>404.6</v>
      </c>
      <c r="E64" s="7">
        <f>IFERROR(__xludf.DUMMYFUNCTION("""COMPUTED_VALUE"""),407.1)</f>
        <v>407.1</v>
      </c>
      <c r="F64" s="7">
        <f>IFERROR(__xludf.DUMMYFUNCTION("""COMPUTED_VALUE"""),3735357.0)</f>
        <v>3735357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f>IFERROR(__xludf.DUMMYFUNCTION("""COMPUTED_VALUE"""),45644.64583333333)</f>
        <v>45644.64583</v>
      </c>
      <c r="B65" s="7">
        <f>IFERROR(__xludf.DUMMYFUNCTION("""COMPUTED_VALUE"""),406.0)</f>
        <v>406</v>
      </c>
      <c r="C65" s="7">
        <f>IFERROR(__xludf.DUMMYFUNCTION("""COMPUTED_VALUE"""),409.0)</f>
        <v>409</v>
      </c>
      <c r="D65" s="7">
        <f>IFERROR(__xludf.DUMMYFUNCTION("""COMPUTED_VALUE"""),396.95)</f>
        <v>396.95</v>
      </c>
      <c r="E65" s="7">
        <f>IFERROR(__xludf.DUMMYFUNCTION("""COMPUTED_VALUE"""),398.05)</f>
        <v>398.05</v>
      </c>
      <c r="F65" s="7">
        <f>IFERROR(__xludf.DUMMYFUNCTION("""COMPUTED_VALUE"""),4286929.0)</f>
        <v>4286929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f>IFERROR(__xludf.DUMMYFUNCTION("""COMPUTED_VALUE"""),45645.64583333333)</f>
        <v>45645.64583</v>
      </c>
      <c r="B66" s="7">
        <f>IFERROR(__xludf.DUMMYFUNCTION("""COMPUTED_VALUE"""),392.0)</f>
        <v>392</v>
      </c>
      <c r="C66" s="7">
        <f>IFERROR(__xludf.DUMMYFUNCTION("""COMPUTED_VALUE"""),411.0)</f>
        <v>411</v>
      </c>
      <c r="D66" s="7">
        <f>IFERROR(__xludf.DUMMYFUNCTION("""COMPUTED_VALUE"""),388.85)</f>
        <v>388.85</v>
      </c>
      <c r="E66" s="7">
        <f>IFERROR(__xludf.DUMMYFUNCTION("""COMPUTED_VALUE"""),407.4)</f>
        <v>407.4</v>
      </c>
      <c r="F66" s="7">
        <f>IFERROR(__xludf.DUMMYFUNCTION("""COMPUTED_VALUE"""),7226543.0)</f>
        <v>7226543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f>IFERROR(__xludf.DUMMYFUNCTION("""COMPUTED_VALUE"""),45646.64583333333)</f>
        <v>45646.64583</v>
      </c>
      <c r="B67" s="7">
        <f>IFERROR(__xludf.DUMMYFUNCTION("""COMPUTED_VALUE"""),409.0)</f>
        <v>409</v>
      </c>
      <c r="C67" s="7">
        <f>IFERROR(__xludf.DUMMYFUNCTION("""COMPUTED_VALUE"""),413.5)</f>
        <v>413.5</v>
      </c>
      <c r="D67" s="7">
        <f>IFERROR(__xludf.DUMMYFUNCTION("""COMPUTED_VALUE"""),397.95)</f>
        <v>397.95</v>
      </c>
      <c r="E67" s="7">
        <f>IFERROR(__xludf.DUMMYFUNCTION("""COMPUTED_VALUE"""),399.5)</f>
        <v>399.5</v>
      </c>
      <c r="F67" s="7">
        <f>IFERROR(__xludf.DUMMYFUNCTION("""COMPUTED_VALUE"""),8035990.0)</f>
        <v>8035990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f>IFERROR(__xludf.DUMMYFUNCTION("""COMPUTED_VALUE"""),45649.64583333333)</f>
        <v>45649.64583</v>
      </c>
      <c r="B68" s="7">
        <f>IFERROR(__xludf.DUMMYFUNCTION("""COMPUTED_VALUE"""),400.05)</f>
        <v>400.05</v>
      </c>
      <c r="C68" s="7">
        <f>IFERROR(__xludf.DUMMYFUNCTION("""COMPUTED_VALUE"""),411.45)</f>
        <v>411.45</v>
      </c>
      <c r="D68" s="7">
        <f>IFERROR(__xludf.DUMMYFUNCTION("""COMPUTED_VALUE"""),399.3)</f>
        <v>399.3</v>
      </c>
      <c r="E68" s="7">
        <f>IFERROR(__xludf.DUMMYFUNCTION("""COMPUTED_VALUE"""),403.6)</f>
        <v>403.6</v>
      </c>
      <c r="F68" s="7">
        <f>IFERROR(__xludf.DUMMYFUNCTION("""COMPUTED_VALUE"""),3951645.0)</f>
        <v>3951645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f>IFERROR(__xludf.DUMMYFUNCTION("""COMPUTED_VALUE"""),45650.64583333333)</f>
        <v>45650.64583</v>
      </c>
      <c r="B69" s="7">
        <f>IFERROR(__xludf.DUMMYFUNCTION("""COMPUTED_VALUE"""),404.0)</f>
        <v>404</v>
      </c>
      <c r="C69" s="7">
        <f>IFERROR(__xludf.DUMMYFUNCTION("""COMPUTED_VALUE"""),417.95)</f>
        <v>417.95</v>
      </c>
      <c r="D69" s="7">
        <f>IFERROR(__xludf.DUMMYFUNCTION("""COMPUTED_VALUE"""),401.6)</f>
        <v>401.6</v>
      </c>
      <c r="E69" s="7">
        <f>IFERROR(__xludf.DUMMYFUNCTION("""COMPUTED_VALUE"""),412.85)</f>
        <v>412.85</v>
      </c>
      <c r="F69" s="7">
        <f>IFERROR(__xludf.DUMMYFUNCTION("""COMPUTED_VALUE"""),6334203.0)</f>
        <v>6334203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f>IFERROR(__xludf.DUMMYFUNCTION("""COMPUTED_VALUE"""),45652.64583333333)</f>
        <v>45652.64583</v>
      </c>
      <c r="B70" s="7">
        <f>IFERROR(__xludf.DUMMYFUNCTION("""COMPUTED_VALUE"""),412.85)</f>
        <v>412.85</v>
      </c>
      <c r="C70" s="7">
        <f>IFERROR(__xludf.DUMMYFUNCTION("""COMPUTED_VALUE"""),421.5)</f>
        <v>421.5</v>
      </c>
      <c r="D70" s="7">
        <f>IFERROR(__xludf.DUMMYFUNCTION("""COMPUTED_VALUE"""),408.8)</f>
        <v>408.8</v>
      </c>
      <c r="E70" s="7">
        <f>IFERROR(__xludf.DUMMYFUNCTION("""COMPUTED_VALUE"""),419.3)</f>
        <v>419.3</v>
      </c>
      <c r="F70" s="7">
        <f>IFERROR(__xludf.DUMMYFUNCTION("""COMPUTED_VALUE"""),6201557.0)</f>
        <v>6201557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f>IFERROR(__xludf.DUMMYFUNCTION("""COMPUTED_VALUE"""),45653.64583333333)</f>
        <v>45653.64583</v>
      </c>
      <c r="B71" s="7">
        <f>IFERROR(__xludf.DUMMYFUNCTION("""COMPUTED_VALUE"""),420.4)</f>
        <v>420.4</v>
      </c>
      <c r="C71" s="7">
        <f>IFERROR(__xludf.DUMMYFUNCTION("""COMPUTED_VALUE"""),420.4)</f>
        <v>420.4</v>
      </c>
      <c r="D71" s="7">
        <f>IFERROR(__xludf.DUMMYFUNCTION("""COMPUTED_VALUE"""),409.1)</f>
        <v>409.1</v>
      </c>
      <c r="E71" s="7">
        <f>IFERROR(__xludf.DUMMYFUNCTION("""COMPUTED_VALUE"""),410.7)</f>
        <v>410.7</v>
      </c>
      <c r="F71" s="7">
        <f>IFERROR(__xludf.DUMMYFUNCTION("""COMPUTED_VALUE"""),3440755.0)</f>
        <v>3440755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f>IFERROR(__xludf.DUMMYFUNCTION("""COMPUTED_VALUE"""),45656.64583333333)</f>
        <v>45656.64583</v>
      </c>
      <c r="B72" s="7">
        <f>IFERROR(__xludf.DUMMYFUNCTION("""COMPUTED_VALUE"""),409.0)</f>
        <v>409</v>
      </c>
      <c r="C72" s="7">
        <f>IFERROR(__xludf.DUMMYFUNCTION("""COMPUTED_VALUE"""),410.4)</f>
        <v>410.4</v>
      </c>
      <c r="D72" s="7">
        <f>IFERROR(__xludf.DUMMYFUNCTION("""COMPUTED_VALUE"""),400.9)</f>
        <v>400.9</v>
      </c>
      <c r="E72" s="7">
        <f>IFERROR(__xludf.DUMMYFUNCTION("""COMPUTED_VALUE"""),405.8)</f>
        <v>405.8</v>
      </c>
      <c r="F72" s="7">
        <f>IFERROR(__xludf.DUMMYFUNCTION("""COMPUTED_VALUE"""),6858610.0)</f>
        <v>6858610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f>IFERROR(__xludf.DUMMYFUNCTION("""COMPUTED_VALUE"""),45657.64583333333)</f>
        <v>45657.64583</v>
      </c>
      <c r="B73" s="7">
        <f>IFERROR(__xludf.DUMMYFUNCTION("""COMPUTED_VALUE"""),405.8)</f>
        <v>405.8</v>
      </c>
      <c r="C73" s="7">
        <f>IFERROR(__xludf.DUMMYFUNCTION("""COMPUTED_VALUE"""),410.6)</f>
        <v>410.6</v>
      </c>
      <c r="D73" s="7">
        <f>IFERROR(__xludf.DUMMYFUNCTION("""COMPUTED_VALUE"""),402.65)</f>
        <v>402.65</v>
      </c>
      <c r="E73" s="7">
        <f>IFERROR(__xludf.DUMMYFUNCTION("""COMPUTED_VALUE"""),408.75)</f>
        <v>408.75</v>
      </c>
      <c r="F73" s="7">
        <f>IFERROR(__xludf.DUMMYFUNCTION("""COMPUTED_VALUE"""),3103194.0)</f>
        <v>3103194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f>IFERROR(__xludf.DUMMYFUNCTION("""COMPUTED_VALUE"""),45658.64583333333)</f>
        <v>45658.64583</v>
      </c>
      <c r="B74" s="7">
        <f>IFERROR(__xludf.DUMMYFUNCTION("""COMPUTED_VALUE"""),410.0)</f>
        <v>410</v>
      </c>
      <c r="C74" s="7">
        <f>IFERROR(__xludf.DUMMYFUNCTION("""COMPUTED_VALUE"""),414.0)</f>
        <v>414</v>
      </c>
      <c r="D74" s="7">
        <f>IFERROR(__xludf.DUMMYFUNCTION("""COMPUTED_VALUE"""),404.7)</f>
        <v>404.7</v>
      </c>
      <c r="E74" s="7">
        <f>IFERROR(__xludf.DUMMYFUNCTION("""COMPUTED_VALUE"""),412.35)</f>
        <v>412.35</v>
      </c>
      <c r="F74" s="7">
        <f>IFERROR(__xludf.DUMMYFUNCTION("""COMPUTED_VALUE"""),2185656.0)</f>
        <v>2185656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f>IFERROR(__xludf.DUMMYFUNCTION("""COMPUTED_VALUE"""),45659.64583333333)</f>
        <v>45659.64583</v>
      </c>
      <c r="B75" s="7">
        <f>IFERROR(__xludf.DUMMYFUNCTION("""COMPUTED_VALUE"""),412.25)</f>
        <v>412.25</v>
      </c>
      <c r="C75" s="7">
        <f>IFERROR(__xludf.DUMMYFUNCTION("""COMPUTED_VALUE"""),415.8)</f>
        <v>415.8</v>
      </c>
      <c r="D75" s="7">
        <f>IFERROR(__xludf.DUMMYFUNCTION("""COMPUTED_VALUE"""),404.5)</f>
        <v>404.5</v>
      </c>
      <c r="E75" s="7">
        <f>IFERROR(__xludf.DUMMYFUNCTION("""COMPUTED_VALUE"""),412.7)</f>
        <v>412.7</v>
      </c>
      <c r="F75" s="7">
        <f>IFERROR(__xludf.DUMMYFUNCTION("""COMPUTED_VALUE"""),2391474.0)</f>
        <v>2391474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f>IFERROR(__xludf.DUMMYFUNCTION("""COMPUTED_VALUE"""),45660.64583333333)</f>
        <v>45660.64583</v>
      </c>
      <c r="B76" s="7">
        <f>IFERROR(__xludf.DUMMYFUNCTION("""COMPUTED_VALUE"""),413.5)</f>
        <v>413.5</v>
      </c>
      <c r="C76" s="7">
        <f>IFERROR(__xludf.DUMMYFUNCTION("""COMPUTED_VALUE"""),417.1)</f>
        <v>417.1</v>
      </c>
      <c r="D76" s="7">
        <f>IFERROR(__xludf.DUMMYFUNCTION("""COMPUTED_VALUE"""),407.7)</f>
        <v>407.7</v>
      </c>
      <c r="E76" s="7">
        <f>IFERROR(__xludf.DUMMYFUNCTION("""COMPUTED_VALUE"""),413.05)</f>
        <v>413.05</v>
      </c>
      <c r="F76" s="7">
        <f>IFERROR(__xludf.DUMMYFUNCTION("""COMPUTED_VALUE"""),4037493.0)</f>
        <v>4037493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f>IFERROR(__xludf.DUMMYFUNCTION("""COMPUTED_VALUE"""),45663.64583333333)</f>
        <v>45663.64583</v>
      </c>
      <c r="B77" s="7">
        <f>IFERROR(__xludf.DUMMYFUNCTION("""COMPUTED_VALUE"""),413.05)</f>
        <v>413.05</v>
      </c>
      <c r="C77" s="7">
        <f>IFERROR(__xludf.DUMMYFUNCTION("""COMPUTED_VALUE"""),414.0)</f>
        <v>414</v>
      </c>
      <c r="D77" s="7">
        <f>IFERROR(__xludf.DUMMYFUNCTION("""COMPUTED_VALUE"""),388.0)</f>
        <v>388</v>
      </c>
      <c r="E77" s="7">
        <f>IFERROR(__xludf.DUMMYFUNCTION("""COMPUTED_VALUE"""),388.95)</f>
        <v>388.95</v>
      </c>
      <c r="F77" s="7">
        <f>IFERROR(__xludf.DUMMYFUNCTION("""COMPUTED_VALUE"""),5016149.0)</f>
        <v>5016149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f>IFERROR(__xludf.DUMMYFUNCTION("""COMPUTED_VALUE"""),45664.64583333333)</f>
        <v>45664.64583</v>
      </c>
      <c r="B78" s="7">
        <f>IFERROR(__xludf.DUMMYFUNCTION("""COMPUTED_VALUE"""),391.9)</f>
        <v>391.9</v>
      </c>
      <c r="C78" s="7">
        <f>IFERROR(__xludf.DUMMYFUNCTION("""COMPUTED_VALUE"""),397.6)</f>
        <v>397.6</v>
      </c>
      <c r="D78" s="7">
        <f>IFERROR(__xludf.DUMMYFUNCTION("""COMPUTED_VALUE"""),385.15)</f>
        <v>385.15</v>
      </c>
      <c r="E78" s="7">
        <f>IFERROR(__xludf.DUMMYFUNCTION("""COMPUTED_VALUE"""),386.2)</f>
        <v>386.2</v>
      </c>
      <c r="F78" s="7">
        <f>IFERROR(__xludf.DUMMYFUNCTION("""COMPUTED_VALUE"""),3195402.0)</f>
        <v>3195402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f>IFERROR(__xludf.DUMMYFUNCTION("""COMPUTED_VALUE"""),45665.64583333333)</f>
        <v>45665.64583</v>
      </c>
      <c r="B79" s="7">
        <f>IFERROR(__xludf.DUMMYFUNCTION("""COMPUTED_VALUE"""),386.5)</f>
        <v>386.5</v>
      </c>
      <c r="C79" s="7">
        <f>IFERROR(__xludf.DUMMYFUNCTION("""COMPUTED_VALUE"""),394.7)</f>
        <v>394.7</v>
      </c>
      <c r="D79" s="7">
        <f>IFERROR(__xludf.DUMMYFUNCTION("""COMPUTED_VALUE"""),381.7)</f>
        <v>381.7</v>
      </c>
      <c r="E79" s="7">
        <f>IFERROR(__xludf.DUMMYFUNCTION("""COMPUTED_VALUE"""),391.35)</f>
        <v>391.35</v>
      </c>
      <c r="F79" s="7">
        <f>IFERROR(__xludf.DUMMYFUNCTION("""COMPUTED_VALUE"""),3631344.0)</f>
        <v>3631344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f>IFERROR(__xludf.DUMMYFUNCTION("""COMPUTED_VALUE"""),45666.64583333333)</f>
        <v>45666.64583</v>
      </c>
      <c r="B80" s="7">
        <f>IFERROR(__xludf.DUMMYFUNCTION("""COMPUTED_VALUE"""),393.0)</f>
        <v>393</v>
      </c>
      <c r="C80" s="7">
        <f>IFERROR(__xludf.DUMMYFUNCTION("""COMPUTED_VALUE"""),393.0)</f>
        <v>393</v>
      </c>
      <c r="D80" s="7">
        <f>IFERROR(__xludf.DUMMYFUNCTION("""COMPUTED_VALUE"""),383.45)</f>
        <v>383.45</v>
      </c>
      <c r="E80" s="7">
        <f>IFERROR(__xludf.DUMMYFUNCTION("""COMPUTED_VALUE"""),384.8)</f>
        <v>384.8</v>
      </c>
      <c r="F80" s="7">
        <f>IFERROR(__xludf.DUMMYFUNCTION("""COMPUTED_VALUE"""),2525567.0)</f>
        <v>2525567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f>IFERROR(__xludf.DUMMYFUNCTION("""COMPUTED_VALUE"""),45667.64583333333)</f>
        <v>45667.64583</v>
      </c>
      <c r="B81" s="7">
        <f>IFERROR(__xludf.DUMMYFUNCTION("""COMPUTED_VALUE"""),387.55)</f>
        <v>387.55</v>
      </c>
      <c r="C81" s="7">
        <f>IFERROR(__xludf.DUMMYFUNCTION("""COMPUTED_VALUE"""),392.8)</f>
        <v>392.8</v>
      </c>
      <c r="D81" s="7">
        <f>IFERROR(__xludf.DUMMYFUNCTION("""COMPUTED_VALUE"""),379.55)</f>
        <v>379.55</v>
      </c>
      <c r="E81" s="7">
        <f>IFERROR(__xludf.DUMMYFUNCTION("""COMPUTED_VALUE"""),388.45)</f>
        <v>388.45</v>
      </c>
      <c r="F81" s="7">
        <f>IFERROR(__xludf.DUMMYFUNCTION("""COMPUTED_VALUE"""),3504508.0)</f>
        <v>3504508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f>IFERROR(__xludf.DUMMYFUNCTION("""COMPUTED_VALUE"""),45670.64583333333)</f>
        <v>45670.64583</v>
      </c>
      <c r="B82" s="7">
        <f>IFERROR(__xludf.DUMMYFUNCTION("""COMPUTED_VALUE"""),376.55)</f>
        <v>376.55</v>
      </c>
      <c r="C82" s="7">
        <f>IFERROR(__xludf.DUMMYFUNCTION("""COMPUTED_VALUE"""),376.55)</f>
        <v>376.55</v>
      </c>
      <c r="D82" s="7">
        <f>IFERROR(__xludf.DUMMYFUNCTION("""COMPUTED_VALUE"""),360.15)</f>
        <v>360.15</v>
      </c>
      <c r="E82" s="7">
        <f>IFERROR(__xludf.DUMMYFUNCTION("""COMPUTED_VALUE"""),364.4)</f>
        <v>364.4</v>
      </c>
      <c r="F82" s="7">
        <f>IFERROR(__xludf.DUMMYFUNCTION("""COMPUTED_VALUE"""),1.3439614E7)</f>
        <v>13439614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f>IFERROR(__xludf.DUMMYFUNCTION("""COMPUTED_VALUE"""),45671.64583333333)</f>
        <v>45671.64583</v>
      </c>
      <c r="B83" s="7">
        <f>IFERROR(__xludf.DUMMYFUNCTION("""COMPUTED_VALUE"""),365.0)</f>
        <v>365</v>
      </c>
      <c r="C83" s="7">
        <f>IFERROR(__xludf.DUMMYFUNCTION("""COMPUTED_VALUE"""),375.95)</f>
        <v>375.95</v>
      </c>
      <c r="D83" s="7">
        <f>IFERROR(__xludf.DUMMYFUNCTION("""COMPUTED_VALUE"""),363.85)</f>
        <v>363.85</v>
      </c>
      <c r="E83" s="7">
        <f>IFERROR(__xludf.DUMMYFUNCTION("""COMPUTED_VALUE"""),373.25)</f>
        <v>373.25</v>
      </c>
      <c r="F83" s="7">
        <f>IFERROR(__xludf.DUMMYFUNCTION("""COMPUTED_VALUE"""),3392260.0)</f>
        <v>3392260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f>IFERROR(__xludf.DUMMYFUNCTION("""COMPUTED_VALUE"""),45672.64583333333)</f>
        <v>45672.64583</v>
      </c>
      <c r="B84" s="7">
        <f>IFERROR(__xludf.DUMMYFUNCTION("""COMPUTED_VALUE"""),377.5)</f>
        <v>377.5</v>
      </c>
      <c r="C84" s="7">
        <f>IFERROR(__xludf.DUMMYFUNCTION("""COMPUTED_VALUE"""),379.45)</f>
        <v>379.45</v>
      </c>
      <c r="D84" s="7">
        <f>IFERROR(__xludf.DUMMYFUNCTION("""COMPUTED_VALUE"""),360.6)</f>
        <v>360.6</v>
      </c>
      <c r="E84" s="7">
        <f>IFERROR(__xludf.DUMMYFUNCTION("""COMPUTED_VALUE"""),363.25)</f>
        <v>363.25</v>
      </c>
      <c r="F84" s="7">
        <f>IFERROR(__xludf.DUMMYFUNCTION("""COMPUTED_VALUE"""),4162695.0)</f>
        <v>4162695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f>IFERROR(__xludf.DUMMYFUNCTION("""COMPUTED_VALUE"""),45673.64583333333)</f>
        <v>45673.64583</v>
      </c>
      <c r="B85" s="7">
        <f>IFERROR(__xludf.DUMMYFUNCTION("""COMPUTED_VALUE"""),364.0)</f>
        <v>364</v>
      </c>
      <c r="C85" s="7">
        <f>IFERROR(__xludf.DUMMYFUNCTION("""COMPUTED_VALUE"""),365.55)</f>
        <v>365.55</v>
      </c>
      <c r="D85" s="7">
        <f>IFERROR(__xludf.DUMMYFUNCTION("""COMPUTED_VALUE"""),357.4)</f>
        <v>357.4</v>
      </c>
      <c r="E85" s="7">
        <f>IFERROR(__xludf.DUMMYFUNCTION("""COMPUTED_VALUE"""),358.2)</f>
        <v>358.2</v>
      </c>
      <c r="F85" s="7">
        <f>IFERROR(__xludf.DUMMYFUNCTION("""COMPUTED_VALUE"""),5072603.0)</f>
        <v>5072603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f>IFERROR(__xludf.DUMMYFUNCTION("""COMPUTED_VALUE"""),45674.64583333333)</f>
        <v>45674.64583</v>
      </c>
      <c r="B86" s="7">
        <f>IFERROR(__xludf.DUMMYFUNCTION("""COMPUTED_VALUE"""),358.35)</f>
        <v>358.35</v>
      </c>
      <c r="C86" s="7">
        <f>IFERROR(__xludf.DUMMYFUNCTION("""COMPUTED_VALUE"""),363.2)</f>
        <v>363.2</v>
      </c>
      <c r="D86" s="7">
        <f>IFERROR(__xludf.DUMMYFUNCTION("""COMPUTED_VALUE"""),355.2)</f>
        <v>355.2</v>
      </c>
      <c r="E86" s="7">
        <f>IFERROR(__xludf.DUMMYFUNCTION("""COMPUTED_VALUE"""),358.9)</f>
        <v>358.9</v>
      </c>
      <c r="F86" s="7">
        <f>IFERROR(__xludf.DUMMYFUNCTION("""COMPUTED_VALUE"""),3122954.0)</f>
        <v>3122954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f>IFERROR(__xludf.DUMMYFUNCTION("""COMPUTED_VALUE"""),45677.64583333333)</f>
        <v>45677.64583</v>
      </c>
      <c r="B87" s="7">
        <f>IFERROR(__xludf.DUMMYFUNCTION("""COMPUTED_VALUE"""),360.0)</f>
        <v>360</v>
      </c>
      <c r="C87" s="7">
        <f>IFERROR(__xludf.DUMMYFUNCTION("""COMPUTED_VALUE"""),363.4)</f>
        <v>363.4</v>
      </c>
      <c r="D87" s="7">
        <f>IFERROR(__xludf.DUMMYFUNCTION("""COMPUTED_VALUE"""),353.35)</f>
        <v>353.35</v>
      </c>
      <c r="E87" s="7">
        <f>IFERROR(__xludf.DUMMYFUNCTION("""COMPUTED_VALUE"""),360.35)</f>
        <v>360.35</v>
      </c>
      <c r="F87" s="7">
        <f>IFERROR(__xludf.DUMMYFUNCTION("""COMPUTED_VALUE"""),6963879.0)</f>
        <v>6963879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f>IFERROR(__xludf.DUMMYFUNCTION("""COMPUTED_VALUE"""),45678.64583333333)</f>
        <v>45678.64583</v>
      </c>
      <c r="B88" s="7">
        <f>IFERROR(__xludf.DUMMYFUNCTION("""COMPUTED_VALUE"""),363.0)</f>
        <v>363</v>
      </c>
      <c r="C88" s="7">
        <f>IFERROR(__xludf.DUMMYFUNCTION("""COMPUTED_VALUE"""),372.4)</f>
        <v>372.4</v>
      </c>
      <c r="D88" s="7">
        <f>IFERROR(__xludf.DUMMYFUNCTION("""COMPUTED_VALUE"""),358.0)</f>
        <v>358</v>
      </c>
      <c r="E88" s="7">
        <f>IFERROR(__xludf.DUMMYFUNCTION("""COMPUTED_VALUE"""),369.95)</f>
        <v>369.95</v>
      </c>
      <c r="F88" s="7">
        <f>IFERROR(__xludf.DUMMYFUNCTION("""COMPUTED_VALUE"""),1.2344913E7)</f>
        <v>12344913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f>IFERROR(__xludf.DUMMYFUNCTION("""COMPUTED_VALUE"""),45679.64583333333)</f>
        <v>45679.64583</v>
      </c>
      <c r="B89" s="7">
        <f>IFERROR(__xludf.DUMMYFUNCTION("""COMPUTED_VALUE"""),373.8)</f>
        <v>373.8</v>
      </c>
      <c r="C89" s="7">
        <f>IFERROR(__xludf.DUMMYFUNCTION("""COMPUTED_VALUE"""),374.7)</f>
        <v>374.7</v>
      </c>
      <c r="D89" s="7">
        <f>IFERROR(__xludf.DUMMYFUNCTION("""COMPUTED_VALUE"""),363.2)</f>
        <v>363.2</v>
      </c>
      <c r="E89" s="7">
        <f>IFERROR(__xludf.DUMMYFUNCTION("""COMPUTED_VALUE"""),370.1)</f>
        <v>370.1</v>
      </c>
      <c r="F89" s="7">
        <f>IFERROR(__xludf.DUMMYFUNCTION("""COMPUTED_VALUE"""),6676035.0)</f>
        <v>6676035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f>IFERROR(__xludf.DUMMYFUNCTION("""COMPUTED_VALUE"""),45680.64583333333)</f>
        <v>45680.64583</v>
      </c>
      <c r="B90" s="7">
        <f>IFERROR(__xludf.DUMMYFUNCTION("""COMPUTED_VALUE"""),373.0)</f>
        <v>373</v>
      </c>
      <c r="C90" s="7">
        <f>IFERROR(__xludf.DUMMYFUNCTION("""COMPUTED_VALUE"""),373.8)</f>
        <v>373.8</v>
      </c>
      <c r="D90" s="7">
        <f>IFERROR(__xludf.DUMMYFUNCTION("""COMPUTED_VALUE"""),359.85)</f>
        <v>359.85</v>
      </c>
      <c r="E90" s="7">
        <f>IFERROR(__xludf.DUMMYFUNCTION("""COMPUTED_VALUE"""),362.1)</f>
        <v>362.1</v>
      </c>
      <c r="F90" s="7">
        <f>IFERROR(__xludf.DUMMYFUNCTION("""COMPUTED_VALUE"""),5143368.0)</f>
        <v>5143368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f>IFERROR(__xludf.DUMMYFUNCTION("""COMPUTED_VALUE"""),45681.64583333333)</f>
        <v>45681.64583</v>
      </c>
      <c r="B91" s="7">
        <f>IFERROR(__xludf.DUMMYFUNCTION("""COMPUTED_VALUE"""),374.2)</f>
        <v>374.2</v>
      </c>
      <c r="C91" s="7">
        <f>IFERROR(__xludf.DUMMYFUNCTION("""COMPUTED_VALUE"""),379.95)</f>
        <v>379.95</v>
      </c>
      <c r="D91" s="7">
        <f>IFERROR(__xludf.DUMMYFUNCTION("""COMPUTED_VALUE"""),351.25)</f>
        <v>351.25</v>
      </c>
      <c r="E91" s="7">
        <f>IFERROR(__xludf.DUMMYFUNCTION("""COMPUTED_VALUE"""),352.85)</f>
        <v>352.85</v>
      </c>
      <c r="F91" s="7">
        <f>IFERROR(__xludf.DUMMYFUNCTION("""COMPUTED_VALUE"""),1.8088473E7)</f>
        <v>18088473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f>IFERROR(__xludf.DUMMYFUNCTION("""COMPUTED_VALUE"""),45684.64583333333)</f>
        <v>45684.64583</v>
      </c>
      <c r="B92" s="7">
        <f>IFERROR(__xludf.DUMMYFUNCTION("""COMPUTED_VALUE"""),350.4)</f>
        <v>350.4</v>
      </c>
      <c r="C92" s="7">
        <f>IFERROR(__xludf.DUMMYFUNCTION("""COMPUTED_VALUE"""),350.9)</f>
        <v>350.9</v>
      </c>
      <c r="D92" s="7">
        <f>IFERROR(__xludf.DUMMYFUNCTION("""COMPUTED_VALUE"""),343.35)</f>
        <v>343.35</v>
      </c>
      <c r="E92" s="7">
        <f>IFERROR(__xludf.DUMMYFUNCTION("""COMPUTED_VALUE"""),345.95)</f>
        <v>345.95</v>
      </c>
      <c r="F92" s="7">
        <f>IFERROR(__xludf.DUMMYFUNCTION("""COMPUTED_VALUE"""),4454025.0)</f>
        <v>4454025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f>IFERROR(__xludf.DUMMYFUNCTION("""COMPUTED_VALUE"""),45685.64583333333)</f>
        <v>45685.64583</v>
      </c>
      <c r="B93" s="7">
        <f>IFERROR(__xludf.DUMMYFUNCTION("""COMPUTED_VALUE"""),350.0)</f>
        <v>350</v>
      </c>
      <c r="C93" s="7">
        <f>IFERROR(__xludf.DUMMYFUNCTION("""COMPUTED_VALUE"""),351.75)</f>
        <v>351.75</v>
      </c>
      <c r="D93" s="7">
        <f>IFERROR(__xludf.DUMMYFUNCTION("""COMPUTED_VALUE"""),341.45)</f>
        <v>341.45</v>
      </c>
      <c r="E93" s="7">
        <f>IFERROR(__xludf.DUMMYFUNCTION("""COMPUTED_VALUE"""),349.5)</f>
        <v>349.5</v>
      </c>
      <c r="F93" s="7">
        <f>IFERROR(__xludf.DUMMYFUNCTION("""COMPUTED_VALUE"""),5097372.0)</f>
        <v>5097372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f>IFERROR(__xludf.DUMMYFUNCTION("""COMPUTED_VALUE"""),45686.64583333333)</f>
        <v>45686.64583</v>
      </c>
      <c r="B94" s="7">
        <f>IFERROR(__xludf.DUMMYFUNCTION("""COMPUTED_VALUE"""),350.85)</f>
        <v>350.85</v>
      </c>
      <c r="C94" s="7">
        <f>IFERROR(__xludf.DUMMYFUNCTION("""COMPUTED_VALUE"""),352.25)</f>
        <v>352.25</v>
      </c>
      <c r="D94" s="7">
        <f>IFERROR(__xludf.DUMMYFUNCTION("""COMPUTED_VALUE"""),343.7)</f>
        <v>343.7</v>
      </c>
      <c r="E94" s="7">
        <f>IFERROR(__xludf.DUMMYFUNCTION("""COMPUTED_VALUE"""),345.25)</f>
        <v>345.25</v>
      </c>
      <c r="F94" s="7">
        <f>IFERROR(__xludf.DUMMYFUNCTION("""COMPUTED_VALUE"""),3747258.0)</f>
        <v>3747258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f>IFERROR(__xludf.DUMMYFUNCTION("""COMPUTED_VALUE"""),45687.64583333333)</f>
        <v>45687.64583</v>
      </c>
      <c r="B95" s="7">
        <f>IFERROR(__xludf.DUMMYFUNCTION("""COMPUTED_VALUE"""),348.95)</f>
        <v>348.95</v>
      </c>
      <c r="C95" s="7">
        <f>IFERROR(__xludf.DUMMYFUNCTION("""COMPUTED_VALUE"""),354.1)</f>
        <v>354.1</v>
      </c>
      <c r="D95" s="7">
        <f>IFERROR(__xludf.DUMMYFUNCTION("""COMPUTED_VALUE"""),346.0)</f>
        <v>346</v>
      </c>
      <c r="E95" s="7">
        <f>IFERROR(__xludf.DUMMYFUNCTION("""COMPUTED_VALUE"""),351.6)</f>
        <v>351.6</v>
      </c>
      <c r="F95" s="7">
        <f>IFERROR(__xludf.DUMMYFUNCTION("""COMPUTED_VALUE"""),4412278.0)</f>
        <v>4412278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f>IFERROR(__xludf.DUMMYFUNCTION("""COMPUTED_VALUE"""),45688.64583333333)</f>
        <v>45688.64583</v>
      </c>
      <c r="B96" s="7">
        <f>IFERROR(__xludf.DUMMYFUNCTION("""COMPUTED_VALUE"""),351.0)</f>
        <v>351</v>
      </c>
      <c r="C96" s="7">
        <f>IFERROR(__xludf.DUMMYFUNCTION("""COMPUTED_VALUE"""),359.45)</f>
        <v>359.45</v>
      </c>
      <c r="D96" s="7">
        <f>IFERROR(__xludf.DUMMYFUNCTION("""COMPUTED_VALUE"""),349.4)</f>
        <v>349.4</v>
      </c>
      <c r="E96" s="7">
        <f>IFERROR(__xludf.DUMMYFUNCTION("""COMPUTED_VALUE"""),358.25)</f>
        <v>358.25</v>
      </c>
      <c r="F96" s="7">
        <f>IFERROR(__xludf.DUMMYFUNCTION("""COMPUTED_VALUE"""),2019592.0)</f>
        <v>2019592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f>IFERROR(__xludf.DUMMYFUNCTION("""COMPUTED_VALUE"""),45691.64583333333)</f>
        <v>45691.64583</v>
      </c>
      <c r="B97" s="7">
        <f>IFERROR(__xludf.DUMMYFUNCTION("""COMPUTED_VALUE"""),330.0)</f>
        <v>330</v>
      </c>
      <c r="C97" s="7">
        <f>IFERROR(__xludf.DUMMYFUNCTION("""COMPUTED_VALUE"""),333.3)</f>
        <v>333.3</v>
      </c>
      <c r="D97" s="7">
        <f>IFERROR(__xludf.DUMMYFUNCTION("""COMPUTED_VALUE"""),318.7)</f>
        <v>318.7</v>
      </c>
      <c r="E97" s="7">
        <f>IFERROR(__xludf.DUMMYFUNCTION("""COMPUTED_VALUE"""),324.9)</f>
        <v>324.9</v>
      </c>
      <c r="F97" s="7">
        <f>IFERROR(__xludf.DUMMYFUNCTION("""COMPUTED_VALUE"""),2.6282943E7)</f>
        <v>26282943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f>IFERROR(__xludf.DUMMYFUNCTION("""COMPUTED_VALUE"""),45692.64583333333)</f>
        <v>45692.64583</v>
      </c>
      <c r="B98" s="7">
        <f>IFERROR(__xludf.DUMMYFUNCTION("""COMPUTED_VALUE"""),328.5)</f>
        <v>328.5</v>
      </c>
      <c r="C98" s="7">
        <f>IFERROR(__xludf.DUMMYFUNCTION("""COMPUTED_VALUE"""),334.85)</f>
        <v>334.85</v>
      </c>
      <c r="D98" s="7">
        <f>IFERROR(__xludf.DUMMYFUNCTION("""COMPUTED_VALUE"""),327.15)</f>
        <v>327.15</v>
      </c>
      <c r="E98" s="7">
        <f>IFERROR(__xludf.DUMMYFUNCTION("""COMPUTED_VALUE"""),333.7)</f>
        <v>333.7</v>
      </c>
      <c r="F98" s="7">
        <f>IFERROR(__xludf.DUMMYFUNCTION("""COMPUTED_VALUE"""),7377189.0)</f>
        <v>7377189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f>IFERROR(__xludf.DUMMYFUNCTION("""COMPUTED_VALUE"""),45693.64583333333)</f>
        <v>45693.64583</v>
      </c>
      <c r="B99" s="7">
        <f>IFERROR(__xludf.DUMMYFUNCTION("""COMPUTED_VALUE"""),342.1)</f>
        <v>342.1</v>
      </c>
      <c r="C99" s="7">
        <f>IFERROR(__xludf.DUMMYFUNCTION("""COMPUTED_VALUE"""),349.65)</f>
        <v>349.65</v>
      </c>
      <c r="D99" s="7">
        <f>IFERROR(__xludf.DUMMYFUNCTION("""COMPUTED_VALUE"""),340.1)</f>
        <v>340.1</v>
      </c>
      <c r="E99" s="7">
        <f>IFERROR(__xludf.DUMMYFUNCTION("""COMPUTED_VALUE"""),342.9)</f>
        <v>342.9</v>
      </c>
      <c r="F99" s="7">
        <f>IFERROR(__xludf.DUMMYFUNCTION("""COMPUTED_VALUE"""),7113783.0)</f>
        <v>7113783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f>IFERROR(__xludf.DUMMYFUNCTION("""COMPUTED_VALUE"""),45694.64583333333)</f>
        <v>45694.64583</v>
      </c>
      <c r="B100" s="7">
        <f>IFERROR(__xludf.DUMMYFUNCTION("""COMPUTED_VALUE"""),348.6)</f>
        <v>348.6</v>
      </c>
      <c r="C100" s="7">
        <f>IFERROR(__xludf.DUMMYFUNCTION("""COMPUTED_VALUE"""),349.15)</f>
        <v>349.15</v>
      </c>
      <c r="D100" s="7">
        <f>IFERROR(__xludf.DUMMYFUNCTION("""COMPUTED_VALUE"""),340.6)</f>
        <v>340.6</v>
      </c>
      <c r="E100" s="7">
        <f>IFERROR(__xludf.DUMMYFUNCTION("""COMPUTED_VALUE"""),343.1)</f>
        <v>343.1</v>
      </c>
      <c r="F100" s="7">
        <f>IFERROR(__xludf.DUMMYFUNCTION("""COMPUTED_VALUE"""),3123836.0)</f>
        <v>3123836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f>IFERROR(__xludf.DUMMYFUNCTION("""COMPUTED_VALUE"""),45695.64583333333)</f>
        <v>45695.64583</v>
      </c>
      <c r="B101" s="7">
        <f>IFERROR(__xludf.DUMMYFUNCTION("""COMPUTED_VALUE"""),345.0)</f>
        <v>345</v>
      </c>
      <c r="C101" s="7">
        <f>IFERROR(__xludf.DUMMYFUNCTION("""COMPUTED_VALUE"""),346.7)</f>
        <v>346.7</v>
      </c>
      <c r="D101" s="7">
        <f>IFERROR(__xludf.DUMMYFUNCTION("""COMPUTED_VALUE"""),339.55)</f>
        <v>339.55</v>
      </c>
      <c r="E101" s="7">
        <f>IFERROR(__xludf.DUMMYFUNCTION("""COMPUTED_VALUE"""),342.5)</f>
        <v>342.5</v>
      </c>
      <c r="F101" s="7">
        <f>IFERROR(__xludf.DUMMYFUNCTION("""COMPUTED_VALUE"""),1712683.0)</f>
        <v>1712683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f>IFERROR(__xludf.DUMMYFUNCTION("""COMPUTED_VALUE"""),45698.64583333333)</f>
        <v>45698.64583</v>
      </c>
      <c r="B102" s="7">
        <f>IFERROR(__xludf.DUMMYFUNCTION("""COMPUTED_VALUE"""),343.0)</f>
        <v>343</v>
      </c>
      <c r="C102" s="7">
        <f>IFERROR(__xludf.DUMMYFUNCTION("""COMPUTED_VALUE"""),344.0)</f>
        <v>344</v>
      </c>
      <c r="D102" s="7">
        <f>IFERROR(__xludf.DUMMYFUNCTION("""COMPUTED_VALUE"""),335.05)</f>
        <v>335.05</v>
      </c>
      <c r="E102" s="7">
        <f>IFERROR(__xludf.DUMMYFUNCTION("""COMPUTED_VALUE"""),338.3)</f>
        <v>338.3</v>
      </c>
      <c r="F102" s="7">
        <f>IFERROR(__xludf.DUMMYFUNCTION("""COMPUTED_VALUE"""),1957224.0)</f>
        <v>1957224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f>IFERROR(__xludf.DUMMYFUNCTION("""COMPUTED_VALUE"""),45699.64583333333)</f>
        <v>45699.64583</v>
      </c>
      <c r="B103" s="7">
        <f>IFERROR(__xludf.DUMMYFUNCTION("""COMPUTED_VALUE"""),338.3)</f>
        <v>338.3</v>
      </c>
      <c r="C103" s="7">
        <f>IFERROR(__xludf.DUMMYFUNCTION("""COMPUTED_VALUE"""),338.3)</f>
        <v>338.3</v>
      </c>
      <c r="D103" s="7">
        <f>IFERROR(__xludf.DUMMYFUNCTION("""COMPUTED_VALUE"""),328.25)</f>
        <v>328.25</v>
      </c>
      <c r="E103" s="7">
        <f>IFERROR(__xludf.DUMMYFUNCTION("""COMPUTED_VALUE"""),330.0)</f>
        <v>330</v>
      </c>
      <c r="F103" s="7">
        <f>IFERROR(__xludf.DUMMYFUNCTION("""COMPUTED_VALUE"""),1562978.0)</f>
        <v>1562978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f>IFERROR(__xludf.DUMMYFUNCTION("""COMPUTED_VALUE"""),45700.64583333333)</f>
        <v>45700.64583</v>
      </c>
      <c r="B104" s="7">
        <f>IFERROR(__xludf.DUMMYFUNCTION("""COMPUTED_VALUE"""),330.0)</f>
        <v>330</v>
      </c>
      <c r="C104" s="7">
        <f>IFERROR(__xludf.DUMMYFUNCTION("""COMPUTED_VALUE"""),330.3)</f>
        <v>330.3</v>
      </c>
      <c r="D104" s="7">
        <f>IFERROR(__xludf.DUMMYFUNCTION("""COMPUTED_VALUE"""),318.65)</f>
        <v>318.65</v>
      </c>
      <c r="E104" s="7">
        <f>IFERROR(__xludf.DUMMYFUNCTION("""COMPUTED_VALUE"""),323.95)</f>
        <v>323.95</v>
      </c>
      <c r="F104" s="7">
        <f>IFERROR(__xludf.DUMMYFUNCTION("""COMPUTED_VALUE"""),3179345.0)</f>
        <v>3179345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f>IFERROR(__xludf.DUMMYFUNCTION("""COMPUTED_VALUE"""),45701.64583333333)</f>
        <v>45701.64583</v>
      </c>
      <c r="B105" s="7">
        <f>IFERROR(__xludf.DUMMYFUNCTION("""COMPUTED_VALUE"""),328.0)</f>
        <v>328</v>
      </c>
      <c r="C105" s="7">
        <f>IFERROR(__xludf.DUMMYFUNCTION("""COMPUTED_VALUE"""),333.8)</f>
        <v>333.8</v>
      </c>
      <c r="D105" s="7">
        <f>IFERROR(__xludf.DUMMYFUNCTION("""COMPUTED_VALUE"""),319.2)</f>
        <v>319.2</v>
      </c>
      <c r="E105" s="7">
        <f>IFERROR(__xludf.DUMMYFUNCTION("""COMPUTED_VALUE"""),320.15)</f>
        <v>320.15</v>
      </c>
      <c r="F105" s="7">
        <f>IFERROR(__xludf.DUMMYFUNCTION("""COMPUTED_VALUE"""),9771116.0)</f>
        <v>9771116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f>IFERROR(__xludf.DUMMYFUNCTION("""COMPUTED_VALUE"""),45702.64583333333)</f>
        <v>45702.64583</v>
      </c>
      <c r="B106" s="7">
        <f>IFERROR(__xludf.DUMMYFUNCTION("""COMPUTED_VALUE"""),323.0)</f>
        <v>323</v>
      </c>
      <c r="C106" s="7">
        <f>IFERROR(__xludf.DUMMYFUNCTION("""COMPUTED_VALUE"""),323.45)</f>
        <v>323.45</v>
      </c>
      <c r="D106" s="7">
        <f>IFERROR(__xludf.DUMMYFUNCTION("""COMPUTED_VALUE"""),304.4)</f>
        <v>304.4</v>
      </c>
      <c r="E106" s="7">
        <f>IFERROR(__xludf.DUMMYFUNCTION("""COMPUTED_VALUE"""),312.35)</f>
        <v>312.35</v>
      </c>
      <c r="F106" s="7">
        <f>IFERROR(__xludf.DUMMYFUNCTION("""COMPUTED_VALUE"""),9525190.0)</f>
        <v>9525190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f>IFERROR(__xludf.DUMMYFUNCTION("""COMPUTED_VALUE"""),45705.64583333333)</f>
        <v>45705.64583</v>
      </c>
      <c r="B107" s="7">
        <f>IFERROR(__xludf.DUMMYFUNCTION("""COMPUTED_VALUE"""),312.65)</f>
        <v>312.65</v>
      </c>
      <c r="C107" s="7">
        <f>IFERROR(__xludf.DUMMYFUNCTION("""COMPUTED_VALUE"""),320.4)</f>
        <v>320.4</v>
      </c>
      <c r="D107" s="7">
        <f>IFERROR(__xludf.DUMMYFUNCTION("""COMPUTED_VALUE"""),303.25)</f>
        <v>303.25</v>
      </c>
      <c r="E107" s="7">
        <f>IFERROR(__xludf.DUMMYFUNCTION("""COMPUTED_VALUE"""),318.1)</f>
        <v>318.1</v>
      </c>
      <c r="F107" s="7">
        <f>IFERROR(__xludf.DUMMYFUNCTION("""COMPUTED_VALUE"""),4591304.0)</f>
        <v>4591304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f>IFERROR(__xludf.DUMMYFUNCTION("""COMPUTED_VALUE"""),45706.64583333333)</f>
        <v>45706.64583</v>
      </c>
      <c r="B108" s="7">
        <f>IFERROR(__xludf.DUMMYFUNCTION("""COMPUTED_VALUE"""),319.0)</f>
        <v>319</v>
      </c>
      <c r="C108" s="7">
        <f>IFERROR(__xludf.DUMMYFUNCTION("""COMPUTED_VALUE"""),320.7)</f>
        <v>320.7</v>
      </c>
      <c r="D108" s="7">
        <f>IFERROR(__xludf.DUMMYFUNCTION("""COMPUTED_VALUE"""),312.4)</f>
        <v>312.4</v>
      </c>
      <c r="E108" s="7">
        <f>IFERROR(__xludf.DUMMYFUNCTION("""COMPUTED_VALUE"""),319.95)</f>
        <v>319.95</v>
      </c>
      <c r="F108" s="7">
        <f>IFERROR(__xludf.DUMMYFUNCTION("""COMPUTED_VALUE"""),1673581.0)</f>
        <v>1673581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f>IFERROR(__xludf.DUMMYFUNCTION("""COMPUTED_VALUE"""),45707.64583333333)</f>
        <v>45707.64583</v>
      </c>
      <c r="B109" s="7">
        <f>IFERROR(__xludf.DUMMYFUNCTION("""COMPUTED_VALUE"""),318.95)</f>
        <v>318.95</v>
      </c>
      <c r="C109" s="7">
        <f>IFERROR(__xludf.DUMMYFUNCTION("""COMPUTED_VALUE"""),326.4)</f>
        <v>326.4</v>
      </c>
      <c r="D109" s="7">
        <f>IFERROR(__xludf.DUMMYFUNCTION("""COMPUTED_VALUE"""),316.65)</f>
        <v>316.65</v>
      </c>
      <c r="E109" s="7">
        <f>IFERROR(__xludf.DUMMYFUNCTION("""COMPUTED_VALUE"""),324.6)</f>
        <v>324.6</v>
      </c>
      <c r="F109" s="7">
        <f>IFERROR(__xludf.DUMMYFUNCTION("""COMPUTED_VALUE"""),2325236.0)</f>
        <v>2325236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f>IFERROR(__xludf.DUMMYFUNCTION("""COMPUTED_VALUE"""),45708.64583333333)</f>
        <v>45708.64583</v>
      </c>
      <c r="B110" s="7">
        <f>IFERROR(__xludf.DUMMYFUNCTION("""COMPUTED_VALUE"""),323.8)</f>
        <v>323.8</v>
      </c>
      <c r="C110" s="7">
        <f>IFERROR(__xludf.DUMMYFUNCTION("""COMPUTED_VALUE"""),332.2)</f>
        <v>332.2</v>
      </c>
      <c r="D110" s="7">
        <f>IFERROR(__xludf.DUMMYFUNCTION("""COMPUTED_VALUE"""),321.25)</f>
        <v>321.25</v>
      </c>
      <c r="E110" s="7">
        <f>IFERROR(__xludf.DUMMYFUNCTION("""COMPUTED_VALUE"""),331.7)</f>
        <v>331.7</v>
      </c>
      <c r="F110" s="7">
        <f>IFERROR(__xludf.DUMMYFUNCTION("""COMPUTED_VALUE"""),1771611.0)</f>
        <v>1771611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f>IFERROR(__xludf.DUMMYFUNCTION("""COMPUTED_VALUE"""),45709.64583333333)</f>
        <v>45709.64583</v>
      </c>
      <c r="B111" s="7">
        <f>IFERROR(__xludf.DUMMYFUNCTION("""COMPUTED_VALUE"""),331.0)</f>
        <v>331</v>
      </c>
      <c r="C111" s="7">
        <f>IFERROR(__xludf.DUMMYFUNCTION("""COMPUTED_VALUE"""),331.0)</f>
        <v>331</v>
      </c>
      <c r="D111" s="7">
        <f>IFERROR(__xludf.DUMMYFUNCTION("""COMPUTED_VALUE"""),321.9)</f>
        <v>321.9</v>
      </c>
      <c r="E111" s="7">
        <f>IFERROR(__xludf.DUMMYFUNCTION("""COMPUTED_VALUE"""),323.0)</f>
        <v>323</v>
      </c>
      <c r="F111" s="7">
        <f>IFERROR(__xludf.DUMMYFUNCTION("""COMPUTED_VALUE"""),2193356.0)</f>
        <v>2193356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f>IFERROR(__xludf.DUMMYFUNCTION("""COMPUTED_VALUE"""),45712.64583333333)</f>
        <v>45712.64583</v>
      </c>
      <c r="B112" s="7">
        <f>IFERROR(__xludf.DUMMYFUNCTION("""COMPUTED_VALUE"""),320.9)</f>
        <v>320.9</v>
      </c>
      <c r="C112" s="7">
        <f>IFERROR(__xludf.DUMMYFUNCTION("""COMPUTED_VALUE"""),325.5)</f>
        <v>325.5</v>
      </c>
      <c r="D112" s="7">
        <f>IFERROR(__xludf.DUMMYFUNCTION("""COMPUTED_VALUE"""),317.65)</f>
        <v>317.65</v>
      </c>
      <c r="E112" s="7">
        <f>IFERROR(__xludf.DUMMYFUNCTION("""COMPUTED_VALUE"""),319.3)</f>
        <v>319.3</v>
      </c>
      <c r="F112" s="7">
        <f>IFERROR(__xludf.DUMMYFUNCTION("""COMPUTED_VALUE"""),3307496.0)</f>
        <v>3307496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f>IFERROR(__xludf.DUMMYFUNCTION("""COMPUTED_VALUE"""),45713.64583333333)</f>
        <v>45713.64583</v>
      </c>
      <c r="B113" s="7">
        <f>IFERROR(__xludf.DUMMYFUNCTION("""COMPUTED_VALUE"""),319.3)</f>
        <v>319.3</v>
      </c>
      <c r="C113" s="7">
        <f>IFERROR(__xludf.DUMMYFUNCTION("""COMPUTED_VALUE"""),320.25)</f>
        <v>320.25</v>
      </c>
      <c r="D113" s="7">
        <f>IFERROR(__xludf.DUMMYFUNCTION("""COMPUTED_VALUE"""),309.35)</f>
        <v>309.35</v>
      </c>
      <c r="E113" s="7">
        <f>IFERROR(__xludf.DUMMYFUNCTION("""COMPUTED_VALUE"""),309.85)</f>
        <v>309.85</v>
      </c>
      <c r="F113" s="7">
        <f>IFERROR(__xludf.DUMMYFUNCTION("""COMPUTED_VALUE"""),4356438.0)</f>
        <v>4356438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f>IFERROR(__xludf.DUMMYFUNCTION("""COMPUTED_VALUE"""),45715.64583333333)</f>
        <v>45715.64583</v>
      </c>
      <c r="B114" s="7">
        <f>IFERROR(__xludf.DUMMYFUNCTION("""COMPUTED_VALUE"""),311.0)</f>
        <v>311</v>
      </c>
      <c r="C114" s="7">
        <f>IFERROR(__xludf.DUMMYFUNCTION("""COMPUTED_VALUE"""),312.8)</f>
        <v>312.8</v>
      </c>
      <c r="D114" s="7">
        <f>IFERROR(__xludf.DUMMYFUNCTION("""COMPUTED_VALUE"""),302.3)</f>
        <v>302.3</v>
      </c>
      <c r="E114" s="7">
        <f>IFERROR(__xludf.DUMMYFUNCTION("""COMPUTED_VALUE"""),307.0)</f>
        <v>307</v>
      </c>
      <c r="F114" s="7">
        <f>IFERROR(__xludf.DUMMYFUNCTION("""COMPUTED_VALUE"""),4865436.0)</f>
        <v>4865436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f>IFERROR(__xludf.DUMMYFUNCTION("""COMPUTED_VALUE"""),45716.64583333333)</f>
        <v>45716.64583</v>
      </c>
      <c r="B115" s="7">
        <f>IFERROR(__xludf.DUMMYFUNCTION("""COMPUTED_VALUE"""),305.0)</f>
        <v>305</v>
      </c>
      <c r="C115" s="7">
        <f>IFERROR(__xludf.DUMMYFUNCTION("""COMPUTED_VALUE"""),306.0)</f>
        <v>306</v>
      </c>
      <c r="D115" s="7">
        <f>IFERROR(__xludf.DUMMYFUNCTION("""COMPUTED_VALUE"""),292.45)</f>
        <v>292.45</v>
      </c>
      <c r="E115" s="7">
        <f>IFERROR(__xludf.DUMMYFUNCTION("""COMPUTED_VALUE"""),293.75)</f>
        <v>293.75</v>
      </c>
      <c r="F115" s="7">
        <f>IFERROR(__xludf.DUMMYFUNCTION("""COMPUTED_VALUE"""),6517549.0)</f>
        <v>6517549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f>IFERROR(__xludf.DUMMYFUNCTION("""COMPUTED_VALUE"""),45719.64583333333)</f>
        <v>45719.64583</v>
      </c>
      <c r="B116" s="7">
        <f>IFERROR(__xludf.DUMMYFUNCTION("""COMPUTED_VALUE"""),295.0)</f>
        <v>295</v>
      </c>
      <c r="C116" s="7">
        <f>IFERROR(__xludf.DUMMYFUNCTION("""COMPUTED_VALUE"""),298.9)</f>
        <v>298.9</v>
      </c>
      <c r="D116" s="7">
        <f>IFERROR(__xludf.DUMMYFUNCTION("""COMPUTED_VALUE"""),287.55)</f>
        <v>287.55</v>
      </c>
      <c r="E116" s="7">
        <f>IFERROR(__xludf.DUMMYFUNCTION("""COMPUTED_VALUE"""),297.8)</f>
        <v>297.8</v>
      </c>
      <c r="F116" s="7">
        <f>IFERROR(__xludf.DUMMYFUNCTION("""COMPUTED_VALUE"""),3792065.0)</f>
        <v>3792065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f>IFERROR(__xludf.DUMMYFUNCTION("""COMPUTED_VALUE"""),45720.64583333333)</f>
        <v>45720.64583</v>
      </c>
      <c r="B117" s="7">
        <f>IFERROR(__xludf.DUMMYFUNCTION("""COMPUTED_VALUE"""),294.1)</f>
        <v>294.1</v>
      </c>
      <c r="C117" s="7">
        <f>IFERROR(__xludf.DUMMYFUNCTION("""COMPUTED_VALUE"""),316.4)</f>
        <v>316.4</v>
      </c>
      <c r="D117" s="7">
        <f>IFERROR(__xludf.DUMMYFUNCTION("""COMPUTED_VALUE"""),290.1)</f>
        <v>290.1</v>
      </c>
      <c r="E117" s="7">
        <f>IFERROR(__xludf.DUMMYFUNCTION("""COMPUTED_VALUE"""),315.2)</f>
        <v>315.2</v>
      </c>
      <c r="F117" s="7">
        <f>IFERROR(__xludf.DUMMYFUNCTION("""COMPUTED_VALUE"""),7276713.0)</f>
        <v>7276713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f>IFERROR(__xludf.DUMMYFUNCTION("""COMPUTED_VALUE"""),45721.64583333333)</f>
        <v>45721.64583</v>
      </c>
      <c r="B118" s="7">
        <f>IFERROR(__xludf.DUMMYFUNCTION("""COMPUTED_VALUE"""),314.05)</f>
        <v>314.05</v>
      </c>
      <c r="C118" s="7">
        <f>IFERROR(__xludf.DUMMYFUNCTION("""COMPUTED_VALUE"""),334.5)</f>
        <v>334.5</v>
      </c>
      <c r="D118" s="7">
        <f>IFERROR(__xludf.DUMMYFUNCTION("""COMPUTED_VALUE"""),314.05)</f>
        <v>314.05</v>
      </c>
      <c r="E118" s="7">
        <f>IFERROR(__xludf.DUMMYFUNCTION("""COMPUTED_VALUE"""),326.15)</f>
        <v>326.15</v>
      </c>
      <c r="F118" s="7">
        <f>IFERROR(__xludf.DUMMYFUNCTION("""COMPUTED_VALUE"""),1.2406494E7)</f>
        <v>12406494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f>IFERROR(__xludf.DUMMYFUNCTION("""COMPUTED_VALUE"""),45722.64583333333)</f>
        <v>45722.64583</v>
      </c>
      <c r="B119" s="7">
        <f>IFERROR(__xludf.DUMMYFUNCTION("""COMPUTED_VALUE"""),334.7)</f>
        <v>334.7</v>
      </c>
      <c r="C119" s="7">
        <f>IFERROR(__xludf.DUMMYFUNCTION("""COMPUTED_VALUE"""),342.4)</f>
        <v>342.4</v>
      </c>
      <c r="D119" s="7">
        <f>IFERROR(__xludf.DUMMYFUNCTION("""COMPUTED_VALUE"""),331.8)</f>
        <v>331.8</v>
      </c>
      <c r="E119" s="7">
        <f>IFERROR(__xludf.DUMMYFUNCTION("""COMPUTED_VALUE"""),339.15)</f>
        <v>339.15</v>
      </c>
      <c r="F119" s="7">
        <f>IFERROR(__xludf.DUMMYFUNCTION("""COMPUTED_VALUE"""),1.2790937E7)</f>
        <v>12790937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f>IFERROR(__xludf.DUMMYFUNCTION("""COMPUTED_VALUE"""),45723.64583333333)</f>
        <v>45723.64583</v>
      </c>
      <c r="B120" s="7">
        <f>IFERROR(__xludf.DUMMYFUNCTION("""COMPUTED_VALUE"""),338.9)</f>
        <v>338.9</v>
      </c>
      <c r="C120" s="7">
        <f>IFERROR(__xludf.DUMMYFUNCTION("""COMPUTED_VALUE"""),339.05)</f>
        <v>339.05</v>
      </c>
      <c r="D120" s="7">
        <f>IFERROR(__xludf.DUMMYFUNCTION("""COMPUTED_VALUE"""),330.15)</f>
        <v>330.15</v>
      </c>
      <c r="E120" s="7">
        <f>IFERROR(__xludf.DUMMYFUNCTION("""COMPUTED_VALUE"""),332.45)</f>
        <v>332.45</v>
      </c>
      <c r="F120" s="7">
        <f>IFERROR(__xludf.DUMMYFUNCTION("""COMPUTED_VALUE"""),3825464.0)</f>
        <v>3825464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f>IFERROR(__xludf.DUMMYFUNCTION("""COMPUTED_VALUE"""),45726.64583333333)</f>
        <v>45726.64583</v>
      </c>
      <c r="B121" s="7">
        <f>IFERROR(__xludf.DUMMYFUNCTION("""COMPUTED_VALUE"""),336.5)</f>
        <v>336.5</v>
      </c>
      <c r="C121" s="7">
        <f>IFERROR(__xludf.DUMMYFUNCTION("""COMPUTED_VALUE"""),344.0)</f>
        <v>344</v>
      </c>
      <c r="D121" s="7">
        <f>IFERROR(__xludf.DUMMYFUNCTION("""COMPUTED_VALUE"""),324.25)</f>
        <v>324.25</v>
      </c>
      <c r="E121" s="7">
        <f>IFERROR(__xludf.DUMMYFUNCTION("""COMPUTED_VALUE"""),325.8)</f>
        <v>325.8</v>
      </c>
      <c r="F121" s="7">
        <f>IFERROR(__xludf.DUMMYFUNCTION("""COMPUTED_VALUE"""),7154245.0)</f>
        <v>7154245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f>IFERROR(__xludf.DUMMYFUNCTION("""COMPUTED_VALUE"""),45727.64583333333)</f>
        <v>45727.64583</v>
      </c>
      <c r="B122" s="7">
        <f>IFERROR(__xludf.DUMMYFUNCTION("""COMPUTED_VALUE"""),324.0)</f>
        <v>324</v>
      </c>
      <c r="C122" s="7">
        <f>IFERROR(__xludf.DUMMYFUNCTION("""COMPUTED_VALUE"""),333.9)</f>
        <v>333.9</v>
      </c>
      <c r="D122" s="7">
        <f>IFERROR(__xludf.DUMMYFUNCTION("""COMPUTED_VALUE"""),320.5)</f>
        <v>320.5</v>
      </c>
      <c r="E122" s="7">
        <f>IFERROR(__xludf.DUMMYFUNCTION("""COMPUTED_VALUE"""),329.7)</f>
        <v>329.7</v>
      </c>
      <c r="F122" s="7">
        <f>IFERROR(__xludf.DUMMYFUNCTION("""COMPUTED_VALUE"""),6272107.0)</f>
        <v>6272107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f>IFERROR(__xludf.DUMMYFUNCTION("""COMPUTED_VALUE"""),45728.64583333333)</f>
        <v>45728.64583</v>
      </c>
      <c r="B123" s="7">
        <f>IFERROR(__xludf.DUMMYFUNCTION("""COMPUTED_VALUE"""),334.55)</f>
        <v>334.55</v>
      </c>
      <c r="C123" s="7">
        <f>IFERROR(__xludf.DUMMYFUNCTION("""COMPUTED_VALUE"""),343.0)</f>
        <v>343</v>
      </c>
      <c r="D123" s="7">
        <f>IFERROR(__xludf.DUMMYFUNCTION("""COMPUTED_VALUE"""),325.8)</f>
        <v>325.8</v>
      </c>
      <c r="E123" s="7">
        <f>IFERROR(__xludf.DUMMYFUNCTION("""COMPUTED_VALUE"""),327.35)</f>
        <v>327.35</v>
      </c>
      <c r="F123" s="7">
        <f>IFERROR(__xludf.DUMMYFUNCTION("""COMPUTED_VALUE"""),8497676.0)</f>
        <v>8497676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f>IFERROR(__xludf.DUMMYFUNCTION("""COMPUTED_VALUE"""),45729.64583333333)</f>
        <v>45729.64583</v>
      </c>
      <c r="B124" s="7">
        <f>IFERROR(__xludf.DUMMYFUNCTION("""COMPUTED_VALUE"""),327.35)</f>
        <v>327.35</v>
      </c>
      <c r="C124" s="7">
        <f>IFERROR(__xludf.DUMMYFUNCTION("""COMPUTED_VALUE"""),328.4)</f>
        <v>328.4</v>
      </c>
      <c r="D124" s="7">
        <f>IFERROR(__xludf.DUMMYFUNCTION("""COMPUTED_VALUE"""),323.0)</f>
        <v>323</v>
      </c>
      <c r="E124" s="7">
        <f>IFERROR(__xludf.DUMMYFUNCTION("""COMPUTED_VALUE"""),323.7)</f>
        <v>323.7</v>
      </c>
      <c r="F124" s="7">
        <f>IFERROR(__xludf.DUMMYFUNCTION("""COMPUTED_VALUE"""),4696394.0)</f>
        <v>4696394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f>IFERROR(__xludf.DUMMYFUNCTION("""COMPUTED_VALUE"""),45733.64583333333)</f>
        <v>45733.64583</v>
      </c>
      <c r="B125" s="7">
        <f>IFERROR(__xludf.DUMMYFUNCTION("""COMPUTED_VALUE"""),325.85)</f>
        <v>325.85</v>
      </c>
      <c r="C125" s="7">
        <f>IFERROR(__xludf.DUMMYFUNCTION("""COMPUTED_VALUE"""),330.4)</f>
        <v>330.4</v>
      </c>
      <c r="D125" s="7">
        <f>IFERROR(__xludf.DUMMYFUNCTION("""COMPUTED_VALUE"""),323.7)</f>
        <v>323.7</v>
      </c>
      <c r="E125" s="7">
        <f>IFERROR(__xludf.DUMMYFUNCTION("""COMPUTED_VALUE"""),325.0)</f>
        <v>325</v>
      </c>
      <c r="F125" s="7">
        <f>IFERROR(__xludf.DUMMYFUNCTION("""COMPUTED_VALUE"""),5417463.0)</f>
        <v>5417463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f>IFERROR(__xludf.DUMMYFUNCTION("""COMPUTED_VALUE"""),45734.64583333333)</f>
        <v>45734.64583</v>
      </c>
      <c r="B126" s="7">
        <f>IFERROR(__xludf.DUMMYFUNCTION("""COMPUTED_VALUE"""),325.95)</f>
        <v>325.95</v>
      </c>
      <c r="C126" s="7">
        <f>IFERROR(__xludf.DUMMYFUNCTION("""COMPUTED_VALUE"""),330.0)</f>
        <v>330</v>
      </c>
      <c r="D126" s="7">
        <f>IFERROR(__xludf.DUMMYFUNCTION("""COMPUTED_VALUE"""),319.5)</f>
        <v>319.5</v>
      </c>
      <c r="E126" s="7">
        <f>IFERROR(__xludf.DUMMYFUNCTION("""COMPUTED_VALUE"""),324.0)</f>
        <v>324</v>
      </c>
      <c r="F126" s="7">
        <f>IFERROR(__xludf.DUMMYFUNCTION("""COMPUTED_VALUE"""),5203598.0)</f>
        <v>5203598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f>IFERROR(__xludf.DUMMYFUNCTION("""COMPUTED_VALUE"""),45735.64583333333)</f>
        <v>45735.64583</v>
      </c>
      <c r="B127" s="7">
        <f>IFERROR(__xludf.DUMMYFUNCTION("""COMPUTED_VALUE"""),326.0)</f>
        <v>326</v>
      </c>
      <c r="C127" s="7">
        <f>IFERROR(__xludf.DUMMYFUNCTION("""COMPUTED_VALUE"""),330.4)</f>
        <v>330.4</v>
      </c>
      <c r="D127" s="7">
        <f>IFERROR(__xludf.DUMMYFUNCTION("""COMPUTED_VALUE"""),324.1)</f>
        <v>324.1</v>
      </c>
      <c r="E127" s="7">
        <f>IFERROR(__xludf.DUMMYFUNCTION("""COMPUTED_VALUE"""),328.0)</f>
        <v>328</v>
      </c>
      <c r="F127" s="7">
        <f>IFERROR(__xludf.DUMMYFUNCTION("""COMPUTED_VALUE"""),5942282.0)</f>
        <v>5942282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f>IFERROR(__xludf.DUMMYFUNCTION("""COMPUTED_VALUE"""),45736.64583333333)</f>
        <v>45736.64583</v>
      </c>
      <c r="B128" s="7">
        <f>IFERROR(__xludf.DUMMYFUNCTION("""COMPUTED_VALUE"""),330.8)</f>
        <v>330.8</v>
      </c>
      <c r="C128" s="7">
        <f>IFERROR(__xludf.DUMMYFUNCTION("""COMPUTED_VALUE"""),339.5)</f>
        <v>339.5</v>
      </c>
      <c r="D128" s="7">
        <f>IFERROR(__xludf.DUMMYFUNCTION("""COMPUTED_VALUE"""),327.05)</f>
        <v>327.05</v>
      </c>
      <c r="E128" s="7">
        <f>IFERROR(__xludf.DUMMYFUNCTION("""COMPUTED_VALUE"""),336.55)</f>
        <v>336.55</v>
      </c>
      <c r="F128" s="7">
        <f>IFERROR(__xludf.DUMMYFUNCTION("""COMPUTED_VALUE"""),4833173.0)</f>
        <v>4833173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f>IFERROR(__xludf.DUMMYFUNCTION("""COMPUTED_VALUE"""),45737.64583333333)</f>
        <v>45737.64583</v>
      </c>
      <c r="B129" s="7">
        <f>IFERROR(__xludf.DUMMYFUNCTION("""COMPUTED_VALUE"""),336.0)</f>
        <v>336</v>
      </c>
      <c r="C129" s="7">
        <f>IFERROR(__xludf.DUMMYFUNCTION("""COMPUTED_VALUE"""),360.2)</f>
        <v>360.2</v>
      </c>
      <c r="D129" s="7">
        <f>IFERROR(__xludf.DUMMYFUNCTION("""COMPUTED_VALUE"""),334.1)</f>
        <v>334.1</v>
      </c>
      <c r="E129" s="7">
        <f>IFERROR(__xludf.DUMMYFUNCTION("""COMPUTED_VALUE"""),356.95)</f>
        <v>356.95</v>
      </c>
      <c r="F129" s="7">
        <f>IFERROR(__xludf.DUMMYFUNCTION("""COMPUTED_VALUE"""),1.573359E7)</f>
        <v>15733590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f>IFERROR(__xludf.DUMMYFUNCTION("""COMPUTED_VALUE"""),45740.64583333333)</f>
        <v>45740.64583</v>
      </c>
      <c r="B130" s="7">
        <f>IFERROR(__xludf.DUMMYFUNCTION("""COMPUTED_VALUE"""),371.0)</f>
        <v>371</v>
      </c>
      <c r="C130" s="7">
        <f>IFERROR(__xludf.DUMMYFUNCTION("""COMPUTED_VALUE"""),372.0)</f>
        <v>372</v>
      </c>
      <c r="D130" s="7">
        <f>IFERROR(__xludf.DUMMYFUNCTION("""COMPUTED_VALUE"""),354.3)</f>
        <v>354.3</v>
      </c>
      <c r="E130" s="7">
        <f>IFERROR(__xludf.DUMMYFUNCTION("""COMPUTED_VALUE"""),361.9)</f>
        <v>361.9</v>
      </c>
      <c r="F130" s="7">
        <f>IFERROR(__xludf.DUMMYFUNCTION("""COMPUTED_VALUE"""),9399628.0)</f>
        <v>9399628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f>IFERROR(__xludf.DUMMYFUNCTION("""COMPUTED_VALUE"""),45741.64583333333)</f>
        <v>45741.64583</v>
      </c>
      <c r="B131" s="7">
        <f>IFERROR(__xludf.DUMMYFUNCTION("""COMPUTED_VALUE"""),359.05)</f>
        <v>359.05</v>
      </c>
      <c r="C131" s="7">
        <f>IFERROR(__xludf.DUMMYFUNCTION("""COMPUTED_VALUE"""),365.0)</f>
        <v>365</v>
      </c>
      <c r="D131" s="7">
        <f>IFERROR(__xludf.DUMMYFUNCTION("""COMPUTED_VALUE"""),352.7)</f>
        <v>352.7</v>
      </c>
      <c r="E131" s="7">
        <f>IFERROR(__xludf.DUMMYFUNCTION("""COMPUTED_VALUE"""),361.45)</f>
        <v>361.45</v>
      </c>
      <c r="F131" s="7">
        <f>IFERROR(__xludf.DUMMYFUNCTION("""COMPUTED_VALUE"""),6724910.0)</f>
        <v>6724910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f>IFERROR(__xludf.DUMMYFUNCTION("""COMPUTED_VALUE"""),45742.64583333333)</f>
        <v>45742.64583</v>
      </c>
      <c r="B132" s="7">
        <f>IFERROR(__xludf.DUMMYFUNCTION("""COMPUTED_VALUE"""),360.15)</f>
        <v>360.15</v>
      </c>
      <c r="C132" s="7">
        <f>IFERROR(__xludf.DUMMYFUNCTION("""COMPUTED_VALUE"""),364.5)</f>
        <v>364.5</v>
      </c>
      <c r="D132" s="7">
        <f>IFERROR(__xludf.DUMMYFUNCTION("""COMPUTED_VALUE"""),351.05)</f>
        <v>351.05</v>
      </c>
      <c r="E132" s="7">
        <f>IFERROR(__xludf.DUMMYFUNCTION("""COMPUTED_VALUE"""),351.9)</f>
        <v>351.9</v>
      </c>
      <c r="F132" s="7">
        <f>IFERROR(__xludf.DUMMYFUNCTION("""COMPUTED_VALUE"""),4094188.0)</f>
        <v>4094188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f>IFERROR(__xludf.DUMMYFUNCTION("""COMPUTED_VALUE"""),45743.64583333333)</f>
        <v>45743.64583</v>
      </c>
      <c r="B133" s="7">
        <f>IFERROR(__xludf.DUMMYFUNCTION("""COMPUTED_VALUE"""),350.75)</f>
        <v>350.75</v>
      </c>
      <c r="C133" s="7">
        <f>IFERROR(__xludf.DUMMYFUNCTION("""COMPUTED_VALUE"""),364.0)</f>
        <v>364</v>
      </c>
      <c r="D133" s="7">
        <f>IFERROR(__xludf.DUMMYFUNCTION("""COMPUTED_VALUE"""),349.15)</f>
        <v>349.15</v>
      </c>
      <c r="E133" s="7">
        <f>IFERROR(__xludf.DUMMYFUNCTION("""COMPUTED_VALUE"""),359.55)</f>
        <v>359.55</v>
      </c>
      <c r="F133" s="7">
        <f>IFERROR(__xludf.DUMMYFUNCTION("""COMPUTED_VALUE"""),4545137.0)</f>
        <v>4545137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f>IFERROR(__xludf.DUMMYFUNCTION("""COMPUTED_VALUE"""),45744.64583333333)</f>
        <v>45744.64583</v>
      </c>
      <c r="B134" s="7">
        <f>IFERROR(__xludf.DUMMYFUNCTION("""COMPUTED_VALUE"""),363.75)</f>
        <v>363.75</v>
      </c>
      <c r="C134" s="7">
        <f>IFERROR(__xludf.DUMMYFUNCTION("""COMPUTED_VALUE"""),369.35)</f>
        <v>369.35</v>
      </c>
      <c r="D134" s="7">
        <f>IFERROR(__xludf.DUMMYFUNCTION("""COMPUTED_VALUE"""),358.05)</f>
        <v>358.05</v>
      </c>
      <c r="E134" s="7">
        <f>IFERROR(__xludf.DUMMYFUNCTION("""COMPUTED_VALUE"""),360.35)</f>
        <v>360.35</v>
      </c>
      <c r="F134" s="7">
        <f>IFERROR(__xludf.DUMMYFUNCTION("""COMPUTED_VALUE"""),5348515.0)</f>
        <v>5348515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f>IFERROR(__xludf.DUMMYFUNCTION("""COMPUTED_VALUE"""),45748.64583333333)</f>
        <v>45748.64583</v>
      </c>
      <c r="B135" s="7">
        <f>IFERROR(__xludf.DUMMYFUNCTION("""COMPUTED_VALUE"""),354.8)</f>
        <v>354.8</v>
      </c>
      <c r="C135" s="7">
        <f>IFERROR(__xludf.DUMMYFUNCTION("""COMPUTED_VALUE"""),363.5)</f>
        <v>363.5</v>
      </c>
      <c r="D135" s="7">
        <f>IFERROR(__xludf.DUMMYFUNCTION("""COMPUTED_VALUE"""),349.6)</f>
        <v>349.6</v>
      </c>
      <c r="E135" s="7">
        <f>IFERROR(__xludf.DUMMYFUNCTION("""COMPUTED_VALUE"""),361.7)</f>
        <v>361.7</v>
      </c>
      <c r="F135" s="7">
        <f>IFERROR(__xludf.DUMMYFUNCTION("""COMPUTED_VALUE"""),5111753.0)</f>
        <v>5111753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f>IFERROR(__xludf.DUMMYFUNCTION("""COMPUTED_VALUE"""),45749.64583333333)</f>
        <v>45749.64583</v>
      </c>
      <c r="B136" s="7">
        <f>IFERROR(__xludf.DUMMYFUNCTION("""COMPUTED_VALUE"""),360.1)</f>
        <v>360.1</v>
      </c>
      <c r="C136" s="7">
        <f>IFERROR(__xludf.DUMMYFUNCTION("""COMPUTED_VALUE"""),363.4)</f>
        <v>363.4</v>
      </c>
      <c r="D136" s="7">
        <f>IFERROR(__xludf.DUMMYFUNCTION("""COMPUTED_VALUE"""),353.05)</f>
        <v>353.05</v>
      </c>
      <c r="E136" s="7">
        <f>IFERROR(__xludf.DUMMYFUNCTION("""COMPUTED_VALUE"""),362.15)</f>
        <v>362.15</v>
      </c>
      <c r="F136" s="7">
        <f>IFERROR(__xludf.DUMMYFUNCTION("""COMPUTED_VALUE"""),2536402.0)</f>
        <v>2536402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f>IFERROR(__xludf.DUMMYFUNCTION("""COMPUTED_VALUE"""),45750.64583333333)</f>
        <v>45750.64583</v>
      </c>
      <c r="B137" s="7">
        <f>IFERROR(__xludf.DUMMYFUNCTION("""COMPUTED_VALUE"""),361.0)</f>
        <v>361</v>
      </c>
      <c r="C137" s="7">
        <f>IFERROR(__xludf.DUMMYFUNCTION("""COMPUTED_VALUE"""),374.3)</f>
        <v>374.3</v>
      </c>
      <c r="D137" s="7">
        <f>IFERROR(__xludf.DUMMYFUNCTION("""COMPUTED_VALUE"""),359.35)</f>
        <v>359.35</v>
      </c>
      <c r="E137" s="7">
        <f>IFERROR(__xludf.DUMMYFUNCTION("""COMPUTED_VALUE"""),362.45)</f>
        <v>362.45</v>
      </c>
      <c r="F137" s="7">
        <f>IFERROR(__xludf.DUMMYFUNCTION("""COMPUTED_VALUE"""),5566330.0)</f>
        <v>5566330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f>IFERROR(__xludf.DUMMYFUNCTION("""COMPUTED_VALUE"""),45751.64583333333)</f>
        <v>45751.64583</v>
      </c>
      <c r="B138" s="7">
        <f>IFERROR(__xludf.DUMMYFUNCTION("""COMPUTED_VALUE"""),373.0)</f>
        <v>373</v>
      </c>
      <c r="C138" s="7">
        <f>IFERROR(__xludf.DUMMYFUNCTION("""COMPUTED_VALUE"""),377.85)</f>
        <v>377.85</v>
      </c>
      <c r="D138" s="7">
        <f>IFERROR(__xludf.DUMMYFUNCTION("""COMPUTED_VALUE"""),350.6)</f>
        <v>350.6</v>
      </c>
      <c r="E138" s="7">
        <f>IFERROR(__xludf.DUMMYFUNCTION("""COMPUTED_VALUE"""),358.35)</f>
        <v>358.35</v>
      </c>
      <c r="F138" s="7">
        <f>IFERROR(__xludf.DUMMYFUNCTION("""COMPUTED_VALUE"""),1.2874209E7)</f>
        <v>12874209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f>IFERROR(__xludf.DUMMYFUNCTION("""COMPUTED_VALUE"""),45754.64583333333)</f>
        <v>45754.64583</v>
      </c>
      <c r="B139" s="7">
        <f>IFERROR(__xludf.DUMMYFUNCTION("""COMPUTED_VALUE"""),350.0)</f>
        <v>350</v>
      </c>
      <c r="C139" s="7">
        <f>IFERROR(__xludf.DUMMYFUNCTION("""COMPUTED_VALUE"""),366.95)</f>
        <v>366.95</v>
      </c>
      <c r="D139" s="7">
        <f>IFERROR(__xludf.DUMMYFUNCTION("""COMPUTED_VALUE"""),341.5)</f>
        <v>341.5</v>
      </c>
      <c r="E139" s="7">
        <f>IFERROR(__xludf.DUMMYFUNCTION("""COMPUTED_VALUE"""),352.8)</f>
        <v>352.8</v>
      </c>
      <c r="F139" s="7">
        <f>IFERROR(__xludf.DUMMYFUNCTION("""COMPUTED_VALUE"""),1.548962E7)</f>
        <v>15489620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f>IFERROR(__xludf.DUMMYFUNCTION("""COMPUTED_VALUE"""),45755.64583333333)</f>
        <v>45755.64583</v>
      </c>
      <c r="B140" s="7">
        <f>IFERROR(__xludf.DUMMYFUNCTION("""COMPUTED_VALUE"""),360.1)</f>
        <v>360.1</v>
      </c>
      <c r="C140" s="7">
        <f>IFERROR(__xludf.DUMMYFUNCTION("""COMPUTED_VALUE"""),371.7)</f>
        <v>371.7</v>
      </c>
      <c r="D140" s="7">
        <f>IFERROR(__xludf.DUMMYFUNCTION("""COMPUTED_VALUE"""),353.0)</f>
        <v>353</v>
      </c>
      <c r="E140" s="7">
        <f>IFERROR(__xludf.DUMMYFUNCTION("""COMPUTED_VALUE"""),369.15)</f>
        <v>369.15</v>
      </c>
      <c r="F140" s="7">
        <f>IFERROR(__xludf.DUMMYFUNCTION("""COMPUTED_VALUE"""),1.0576907E7)</f>
        <v>10576907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f>IFERROR(__xludf.DUMMYFUNCTION("""COMPUTED_VALUE"""),45756.64583333333)</f>
        <v>45756.64583</v>
      </c>
      <c r="B141" s="7">
        <f>IFERROR(__xludf.DUMMYFUNCTION("""COMPUTED_VALUE"""),372.0)</f>
        <v>372</v>
      </c>
      <c r="C141" s="7">
        <f>IFERROR(__xludf.DUMMYFUNCTION("""COMPUTED_VALUE"""),383.05)</f>
        <v>383.05</v>
      </c>
      <c r="D141" s="7">
        <f>IFERROR(__xludf.DUMMYFUNCTION("""COMPUTED_VALUE"""),365.15)</f>
        <v>365.15</v>
      </c>
      <c r="E141" s="7">
        <f>IFERROR(__xludf.DUMMYFUNCTION("""COMPUTED_VALUE"""),379.3)</f>
        <v>379.3</v>
      </c>
      <c r="F141" s="7">
        <f>IFERROR(__xludf.DUMMYFUNCTION("""COMPUTED_VALUE"""),1.11804E7)</f>
        <v>11180400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f>IFERROR(__xludf.DUMMYFUNCTION("""COMPUTED_VALUE"""),45758.64583333333)</f>
        <v>45758.64583</v>
      </c>
      <c r="B142" s="7">
        <f>IFERROR(__xludf.DUMMYFUNCTION("""COMPUTED_VALUE"""),384.5)</f>
        <v>384.5</v>
      </c>
      <c r="C142" s="7">
        <f>IFERROR(__xludf.DUMMYFUNCTION("""COMPUTED_VALUE"""),386.75)</f>
        <v>386.75</v>
      </c>
      <c r="D142" s="7">
        <f>IFERROR(__xludf.DUMMYFUNCTION("""COMPUTED_VALUE"""),377.05)</f>
        <v>377.05</v>
      </c>
      <c r="E142" s="7">
        <f>IFERROR(__xludf.DUMMYFUNCTION("""COMPUTED_VALUE"""),382.2)</f>
        <v>382.2</v>
      </c>
      <c r="F142" s="7">
        <f>IFERROR(__xludf.DUMMYFUNCTION("""COMPUTED_VALUE"""),7217670.0)</f>
        <v>7217670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f>IFERROR(__xludf.DUMMYFUNCTION("""COMPUTED_VALUE"""),45762.64583333333)</f>
        <v>45762.64583</v>
      </c>
      <c r="B143" s="7">
        <f>IFERROR(__xludf.DUMMYFUNCTION("""COMPUTED_VALUE"""),386.55)</f>
        <v>386.55</v>
      </c>
      <c r="C143" s="7">
        <f>IFERROR(__xludf.DUMMYFUNCTION("""COMPUTED_VALUE"""),386.95)</f>
        <v>386.95</v>
      </c>
      <c r="D143" s="7">
        <f>IFERROR(__xludf.DUMMYFUNCTION("""COMPUTED_VALUE"""),376.1)</f>
        <v>376.1</v>
      </c>
      <c r="E143" s="7">
        <f>IFERROR(__xludf.DUMMYFUNCTION("""COMPUTED_VALUE"""),379.1)</f>
        <v>379.1</v>
      </c>
      <c r="F143" s="7">
        <f>IFERROR(__xludf.DUMMYFUNCTION("""COMPUTED_VALUE"""),4572204.0)</f>
        <v>4572204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f>IFERROR(__xludf.DUMMYFUNCTION("""COMPUTED_VALUE"""),45763.64583333333)</f>
        <v>45763.64583</v>
      </c>
      <c r="B144" s="7">
        <f>IFERROR(__xludf.DUMMYFUNCTION("""COMPUTED_VALUE"""),378.5)</f>
        <v>378.5</v>
      </c>
      <c r="C144" s="7">
        <f>IFERROR(__xludf.DUMMYFUNCTION("""COMPUTED_VALUE"""),391.15)</f>
        <v>391.15</v>
      </c>
      <c r="D144" s="7">
        <f>IFERROR(__xludf.DUMMYFUNCTION("""COMPUTED_VALUE"""),377.3)</f>
        <v>377.3</v>
      </c>
      <c r="E144" s="7">
        <f>IFERROR(__xludf.DUMMYFUNCTION("""COMPUTED_VALUE"""),390.05)</f>
        <v>390.05</v>
      </c>
      <c r="F144" s="7">
        <f>IFERROR(__xludf.DUMMYFUNCTION("""COMPUTED_VALUE"""),3731014.0)</f>
        <v>3731014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f>IFERROR(__xludf.DUMMYFUNCTION("""COMPUTED_VALUE"""),45764.64583333333)</f>
        <v>45764.64583</v>
      </c>
      <c r="B145" s="7">
        <f>IFERROR(__xludf.DUMMYFUNCTION("""COMPUTED_VALUE"""),389.9)</f>
        <v>389.9</v>
      </c>
      <c r="C145" s="7">
        <f>IFERROR(__xludf.DUMMYFUNCTION("""COMPUTED_VALUE"""),391.3)</f>
        <v>391.3</v>
      </c>
      <c r="D145" s="7">
        <f>IFERROR(__xludf.DUMMYFUNCTION("""COMPUTED_VALUE"""),385.05)</f>
        <v>385.05</v>
      </c>
      <c r="E145" s="7">
        <f>IFERROR(__xludf.DUMMYFUNCTION("""COMPUTED_VALUE"""),387.7)</f>
        <v>387.7</v>
      </c>
      <c r="F145" s="7">
        <f>IFERROR(__xludf.DUMMYFUNCTION("""COMPUTED_VALUE"""),2358710.0)</f>
        <v>2358710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f>IFERROR(__xludf.DUMMYFUNCTION("""COMPUTED_VALUE"""),45768.64583333333)</f>
        <v>45768.64583</v>
      </c>
      <c r="B146" s="7">
        <f>IFERROR(__xludf.DUMMYFUNCTION("""COMPUTED_VALUE"""),387.7)</f>
        <v>387.7</v>
      </c>
      <c r="C146" s="7">
        <f>IFERROR(__xludf.DUMMYFUNCTION("""COMPUTED_VALUE"""),399.0)</f>
        <v>399</v>
      </c>
      <c r="D146" s="7">
        <f>IFERROR(__xludf.DUMMYFUNCTION("""COMPUTED_VALUE"""),384.5)</f>
        <v>384.5</v>
      </c>
      <c r="E146" s="7">
        <f>IFERROR(__xludf.DUMMYFUNCTION("""COMPUTED_VALUE"""),394.85)</f>
        <v>394.85</v>
      </c>
      <c r="F146" s="7">
        <f>IFERROR(__xludf.DUMMYFUNCTION("""COMPUTED_VALUE"""),2836553.0)</f>
        <v>2836553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f>IFERROR(__xludf.DUMMYFUNCTION("""COMPUTED_VALUE"""),45769.64583333333)</f>
        <v>45769.64583</v>
      </c>
      <c r="B147" s="7">
        <f>IFERROR(__xludf.DUMMYFUNCTION("""COMPUTED_VALUE"""),395.9)</f>
        <v>395.9</v>
      </c>
      <c r="C147" s="7">
        <f>IFERROR(__xludf.DUMMYFUNCTION("""COMPUTED_VALUE"""),402.25)</f>
        <v>402.25</v>
      </c>
      <c r="D147" s="7">
        <f>IFERROR(__xludf.DUMMYFUNCTION("""COMPUTED_VALUE"""),393.0)</f>
        <v>393</v>
      </c>
      <c r="E147" s="7">
        <f>IFERROR(__xludf.DUMMYFUNCTION("""COMPUTED_VALUE"""),398.45)</f>
        <v>398.45</v>
      </c>
      <c r="F147" s="7">
        <f>IFERROR(__xludf.DUMMYFUNCTION("""COMPUTED_VALUE"""),5630844.0)</f>
        <v>5630844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f>IFERROR(__xludf.DUMMYFUNCTION("""COMPUTED_VALUE"""),45770.64583333333)</f>
        <v>45770.64583</v>
      </c>
      <c r="B148" s="7">
        <f>IFERROR(__xludf.DUMMYFUNCTION("""COMPUTED_VALUE"""),398.5)</f>
        <v>398.5</v>
      </c>
      <c r="C148" s="7">
        <f>IFERROR(__xludf.DUMMYFUNCTION("""COMPUTED_VALUE"""),399.2)</f>
        <v>399.2</v>
      </c>
      <c r="D148" s="7">
        <f>IFERROR(__xludf.DUMMYFUNCTION("""COMPUTED_VALUE"""),383.85)</f>
        <v>383.85</v>
      </c>
      <c r="E148" s="7">
        <f>IFERROR(__xludf.DUMMYFUNCTION("""COMPUTED_VALUE"""),388.8)</f>
        <v>388.8</v>
      </c>
      <c r="F148" s="7">
        <f>IFERROR(__xludf.DUMMYFUNCTION("""COMPUTED_VALUE"""),4742867.0)</f>
        <v>4742867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f>IFERROR(__xludf.DUMMYFUNCTION("""COMPUTED_VALUE"""),45771.64583333333)</f>
        <v>45771.64583</v>
      </c>
      <c r="B149" s="7">
        <f>IFERROR(__xludf.DUMMYFUNCTION("""COMPUTED_VALUE"""),390.0)</f>
        <v>390</v>
      </c>
      <c r="C149" s="7">
        <f>IFERROR(__xludf.DUMMYFUNCTION("""COMPUTED_VALUE"""),394.0)</f>
        <v>394</v>
      </c>
      <c r="D149" s="7">
        <f>IFERROR(__xludf.DUMMYFUNCTION("""COMPUTED_VALUE"""),387.3)</f>
        <v>387.3</v>
      </c>
      <c r="E149" s="7">
        <f>IFERROR(__xludf.DUMMYFUNCTION("""COMPUTED_VALUE"""),390.45)</f>
        <v>390.45</v>
      </c>
      <c r="F149" s="7">
        <f>IFERROR(__xludf.DUMMYFUNCTION("""COMPUTED_VALUE"""),4385172.0)</f>
        <v>4385172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f>IFERROR(__xludf.DUMMYFUNCTION("""COMPUTED_VALUE"""),45772.64583333333)</f>
        <v>45772.64583</v>
      </c>
      <c r="B150" s="7">
        <f>IFERROR(__xludf.DUMMYFUNCTION("""COMPUTED_VALUE"""),390.4)</f>
        <v>390.4</v>
      </c>
      <c r="C150" s="7">
        <f>IFERROR(__xludf.DUMMYFUNCTION("""COMPUTED_VALUE"""),393.1)</f>
        <v>393.1</v>
      </c>
      <c r="D150" s="7">
        <f>IFERROR(__xludf.DUMMYFUNCTION("""COMPUTED_VALUE"""),378.25)</f>
        <v>378.25</v>
      </c>
      <c r="E150" s="7">
        <f>IFERROR(__xludf.DUMMYFUNCTION("""COMPUTED_VALUE"""),380.7)</f>
        <v>380.7</v>
      </c>
      <c r="F150" s="7">
        <f>IFERROR(__xludf.DUMMYFUNCTION("""COMPUTED_VALUE"""),2552932.0)</f>
        <v>2552932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f>IFERROR(__xludf.DUMMYFUNCTION("""COMPUTED_VALUE"""),45775.64583333333)</f>
        <v>45775.64583</v>
      </c>
      <c r="B151" s="7">
        <f>IFERROR(__xludf.DUMMYFUNCTION("""COMPUTED_VALUE"""),377.0)</f>
        <v>377</v>
      </c>
      <c r="C151" s="7">
        <f>IFERROR(__xludf.DUMMYFUNCTION("""COMPUTED_VALUE"""),393.0)</f>
        <v>393</v>
      </c>
      <c r="D151" s="7">
        <f>IFERROR(__xludf.DUMMYFUNCTION("""COMPUTED_VALUE"""),377.0)</f>
        <v>377</v>
      </c>
      <c r="E151" s="7">
        <f>IFERROR(__xludf.DUMMYFUNCTION("""COMPUTED_VALUE"""),392.2)</f>
        <v>392.2</v>
      </c>
      <c r="F151" s="7">
        <f>IFERROR(__xludf.DUMMYFUNCTION("""COMPUTED_VALUE"""),6104973.0)</f>
        <v>6104973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f>IFERROR(__xludf.DUMMYFUNCTION("""COMPUTED_VALUE"""),45776.64583333333)</f>
        <v>45776.64583</v>
      </c>
      <c r="B152" s="7">
        <f>IFERROR(__xludf.DUMMYFUNCTION("""COMPUTED_VALUE"""),393.1)</f>
        <v>393.1</v>
      </c>
      <c r="C152" s="7">
        <f>IFERROR(__xludf.DUMMYFUNCTION("""COMPUTED_VALUE"""),396.8)</f>
        <v>396.8</v>
      </c>
      <c r="D152" s="7">
        <f>IFERROR(__xludf.DUMMYFUNCTION("""COMPUTED_VALUE"""),389.25)</f>
        <v>389.25</v>
      </c>
      <c r="E152" s="7">
        <f>IFERROR(__xludf.DUMMYFUNCTION("""COMPUTED_VALUE"""),391.1)</f>
        <v>391.1</v>
      </c>
      <c r="F152" s="7">
        <f>IFERROR(__xludf.DUMMYFUNCTION("""COMPUTED_VALUE"""),4419920.0)</f>
        <v>4419920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f>IFERROR(__xludf.DUMMYFUNCTION("""COMPUTED_VALUE"""),45777.64583333333)</f>
        <v>45777.64583</v>
      </c>
      <c r="B153" s="7">
        <f>IFERROR(__xludf.DUMMYFUNCTION("""COMPUTED_VALUE"""),395.0)</f>
        <v>395</v>
      </c>
      <c r="C153" s="7">
        <f>IFERROR(__xludf.DUMMYFUNCTION("""COMPUTED_VALUE"""),402.75)</f>
        <v>402.75</v>
      </c>
      <c r="D153" s="7">
        <f>IFERROR(__xludf.DUMMYFUNCTION("""COMPUTED_VALUE"""),374.5)</f>
        <v>374.5</v>
      </c>
      <c r="E153" s="7">
        <f>IFERROR(__xludf.DUMMYFUNCTION("""COMPUTED_VALUE"""),378.7)</f>
        <v>378.7</v>
      </c>
      <c r="F153" s="7">
        <f>IFERROR(__xludf.DUMMYFUNCTION("""COMPUTED_VALUE"""),9150558.0)</f>
        <v>9150558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f>IFERROR(__xludf.DUMMYFUNCTION("""COMPUTED_VALUE"""),45779.64583333333)</f>
        <v>45779.64583</v>
      </c>
      <c r="B154" s="7">
        <f>IFERROR(__xludf.DUMMYFUNCTION("""COMPUTED_VALUE"""),379.95)</f>
        <v>379.95</v>
      </c>
      <c r="C154" s="7">
        <f>IFERROR(__xludf.DUMMYFUNCTION("""COMPUTED_VALUE"""),390.3)</f>
        <v>390.3</v>
      </c>
      <c r="D154" s="7">
        <f>IFERROR(__xludf.DUMMYFUNCTION("""COMPUTED_VALUE"""),379.95)</f>
        <v>379.95</v>
      </c>
      <c r="E154" s="7">
        <f>IFERROR(__xludf.DUMMYFUNCTION("""COMPUTED_VALUE"""),385.05)</f>
        <v>385.05</v>
      </c>
      <c r="F154" s="7">
        <f>IFERROR(__xludf.DUMMYFUNCTION("""COMPUTED_VALUE"""),3503397.0)</f>
        <v>3503397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f>IFERROR(__xludf.DUMMYFUNCTION("""COMPUTED_VALUE"""),45782.64583333333)</f>
        <v>45782.64583</v>
      </c>
      <c r="B155" s="7">
        <f>IFERROR(__xludf.DUMMYFUNCTION("""COMPUTED_VALUE"""),392.0)</f>
        <v>392</v>
      </c>
      <c r="C155" s="7">
        <f>IFERROR(__xludf.DUMMYFUNCTION("""COMPUTED_VALUE"""),414.0)</f>
        <v>414</v>
      </c>
      <c r="D155" s="7">
        <f>IFERROR(__xludf.DUMMYFUNCTION("""COMPUTED_VALUE"""),391.25)</f>
        <v>391.25</v>
      </c>
      <c r="E155" s="7">
        <f>IFERROR(__xludf.DUMMYFUNCTION("""COMPUTED_VALUE"""),409.85)</f>
        <v>409.85</v>
      </c>
      <c r="F155" s="7">
        <f>IFERROR(__xludf.DUMMYFUNCTION("""COMPUTED_VALUE"""),2.8073682E7)</f>
        <v>28073682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f>IFERROR(__xludf.DUMMYFUNCTION("""COMPUTED_VALUE"""),45783.64583333333)</f>
        <v>45783.64583</v>
      </c>
      <c r="B156" s="7">
        <f>IFERROR(__xludf.DUMMYFUNCTION("""COMPUTED_VALUE"""),410.0)</f>
        <v>410</v>
      </c>
      <c r="C156" s="7">
        <f>IFERROR(__xludf.DUMMYFUNCTION("""COMPUTED_VALUE"""),411.85)</f>
        <v>411.85</v>
      </c>
      <c r="D156" s="7">
        <f>IFERROR(__xludf.DUMMYFUNCTION("""COMPUTED_VALUE"""),395.1)</f>
        <v>395.1</v>
      </c>
      <c r="E156" s="7">
        <f>IFERROR(__xludf.DUMMYFUNCTION("""COMPUTED_VALUE"""),396.8)</f>
        <v>396.8</v>
      </c>
      <c r="F156" s="7">
        <f>IFERROR(__xludf.DUMMYFUNCTION("""COMPUTED_VALUE"""),5485163.0)</f>
        <v>5485163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f>IFERROR(__xludf.DUMMYFUNCTION("""COMPUTED_VALUE"""),45784.64583333333)</f>
        <v>45784.64583</v>
      </c>
      <c r="B157" s="7">
        <f>IFERROR(__xludf.DUMMYFUNCTION("""COMPUTED_VALUE"""),394.0)</f>
        <v>394</v>
      </c>
      <c r="C157" s="7">
        <f>IFERROR(__xludf.DUMMYFUNCTION("""COMPUTED_VALUE"""),405.1)</f>
        <v>405.1</v>
      </c>
      <c r="D157" s="7">
        <f>IFERROR(__xludf.DUMMYFUNCTION("""COMPUTED_VALUE"""),392.6)</f>
        <v>392.6</v>
      </c>
      <c r="E157" s="7">
        <f>IFERROR(__xludf.DUMMYFUNCTION("""COMPUTED_VALUE"""),396.95)</f>
        <v>396.95</v>
      </c>
      <c r="F157" s="7">
        <f>IFERROR(__xludf.DUMMYFUNCTION("""COMPUTED_VALUE"""),8825404.0)</f>
        <v>8825404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f>IFERROR(__xludf.DUMMYFUNCTION("""COMPUTED_VALUE"""),45785.64583333333)</f>
        <v>45785.64583</v>
      </c>
      <c r="B158" s="7">
        <f>IFERROR(__xludf.DUMMYFUNCTION("""COMPUTED_VALUE"""),399.0)</f>
        <v>399</v>
      </c>
      <c r="C158" s="7">
        <f>IFERROR(__xludf.DUMMYFUNCTION("""COMPUTED_VALUE"""),402.6)</f>
        <v>402.6</v>
      </c>
      <c r="D158" s="7">
        <f>IFERROR(__xludf.DUMMYFUNCTION("""COMPUTED_VALUE"""),385.0)</f>
        <v>385</v>
      </c>
      <c r="E158" s="7">
        <f>IFERROR(__xludf.DUMMYFUNCTION("""COMPUTED_VALUE"""),388.1)</f>
        <v>388.1</v>
      </c>
      <c r="F158" s="7">
        <f>IFERROR(__xludf.DUMMYFUNCTION("""COMPUTED_VALUE"""),5347464.0)</f>
        <v>5347464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f>IFERROR(__xludf.DUMMYFUNCTION("""COMPUTED_VALUE"""),45786.64583333333)</f>
        <v>45786.64583</v>
      </c>
      <c r="B159" s="7">
        <f>IFERROR(__xludf.DUMMYFUNCTION("""COMPUTED_VALUE"""),382.2)</f>
        <v>382.2</v>
      </c>
      <c r="C159" s="7">
        <f>IFERROR(__xludf.DUMMYFUNCTION("""COMPUTED_VALUE"""),388.0)</f>
        <v>388</v>
      </c>
      <c r="D159" s="7">
        <f>IFERROR(__xludf.DUMMYFUNCTION("""COMPUTED_VALUE"""),380.0)</f>
        <v>380</v>
      </c>
      <c r="E159" s="7">
        <f>IFERROR(__xludf.DUMMYFUNCTION("""COMPUTED_VALUE"""),386.25)</f>
        <v>386.25</v>
      </c>
      <c r="F159" s="7">
        <f>IFERROR(__xludf.DUMMYFUNCTION("""COMPUTED_VALUE"""),3757854.0)</f>
        <v>3757854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f>IFERROR(__xludf.DUMMYFUNCTION("""COMPUTED_VALUE"""),45789.64583333333)</f>
        <v>45789.64583</v>
      </c>
      <c r="B160" s="7">
        <f>IFERROR(__xludf.DUMMYFUNCTION("""COMPUTED_VALUE"""),395.0)</f>
        <v>395</v>
      </c>
      <c r="C160" s="7">
        <f>IFERROR(__xludf.DUMMYFUNCTION("""COMPUTED_VALUE"""),397.0)</f>
        <v>397</v>
      </c>
      <c r="D160" s="7">
        <f>IFERROR(__xludf.DUMMYFUNCTION("""COMPUTED_VALUE"""),386.0)</f>
        <v>386</v>
      </c>
      <c r="E160" s="7">
        <f>IFERROR(__xludf.DUMMYFUNCTION("""COMPUTED_VALUE"""),388.8)</f>
        <v>388.8</v>
      </c>
      <c r="F160" s="7">
        <f>IFERROR(__xludf.DUMMYFUNCTION("""COMPUTED_VALUE"""),4957935.0)</f>
        <v>4957935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f>IFERROR(__xludf.DUMMYFUNCTION("""COMPUTED_VALUE"""),45790.64583333333)</f>
        <v>45790.64583</v>
      </c>
      <c r="B161" s="7">
        <f>IFERROR(__xludf.DUMMYFUNCTION("""COMPUTED_VALUE"""),390.0)</f>
        <v>390</v>
      </c>
      <c r="C161" s="7">
        <f>IFERROR(__xludf.DUMMYFUNCTION("""COMPUTED_VALUE"""),393.6)</f>
        <v>393.6</v>
      </c>
      <c r="D161" s="7">
        <f>IFERROR(__xludf.DUMMYFUNCTION("""COMPUTED_VALUE"""),386.2)</f>
        <v>386.2</v>
      </c>
      <c r="E161" s="7">
        <f>IFERROR(__xludf.DUMMYFUNCTION("""COMPUTED_VALUE"""),388.9)</f>
        <v>388.9</v>
      </c>
      <c r="F161" s="7">
        <f>IFERROR(__xludf.DUMMYFUNCTION("""COMPUTED_VALUE"""),3665291.0)</f>
        <v>3665291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f>IFERROR(__xludf.DUMMYFUNCTION("""COMPUTED_VALUE"""),45791.64583333333)</f>
        <v>45791.64583</v>
      </c>
      <c r="B162" s="7">
        <f>IFERROR(__xludf.DUMMYFUNCTION("""COMPUTED_VALUE"""),392.8)</f>
        <v>392.8</v>
      </c>
      <c r="C162" s="7">
        <f>IFERROR(__xludf.DUMMYFUNCTION("""COMPUTED_VALUE"""),398.0)</f>
        <v>398</v>
      </c>
      <c r="D162" s="7">
        <f>IFERROR(__xludf.DUMMYFUNCTION("""COMPUTED_VALUE"""),391.45)</f>
        <v>391.45</v>
      </c>
      <c r="E162" s="7">
        <f>IFERROR(__xludf.DUMMYFUNCTION("""COMPUTED_VALUE"""),396.6)</f>
        <v>396.6</v>
      </c>
      <c r="F162" s="7">
        <f>IFERROR(__xludf.DUMMYFUNCTION("""COMPUTED_VALUE"""),4370060.0)</f>
        <v>4370060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f>IFERROR(__xludf.DUMMYFUNCTION("""COMPUTED_VALUE"""),45792.64583333333)</f>
        <v>45792.64583</v>
      </c>
      <c r="B163" s="7">
        <f>IFERROR(__xludf.DUMMYFUNCTION("""COMPUTED_VALUE"""),400.0)</f>
        <v>400</v>
      </c>
      <c r="C163" s="7">
        <f>IFERROR(__xludf.DUMMYFUNCTION("""COMPUTED_VALUE"""),407.3)</f>
        <v>407.3</v>
      </c>
      <c r="D163" s="7">
        <f>IFERROR(__xludf.DUMMYFUNCTION("""COMPUTED_VALUE"""),397.7)</f>
        <v>397.7</v>
      </c>
      <c r="E163" s="7">
        <f>IFERROR(__xludf.DUMMYFUNCTION("""COMPUTED_VALUE"""),402.7)</f>
        <v>402.7</v>
      </c>
      <c r="F163" s="7">
        <f>IFERROR(__xludf.DUMMYFUNCTION("""COMPUTED_VALUE"""),5828155.0)</f>
        <v>5828155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f>IFERROR(__xludf.DUMMYFUNCTION("""COMPUTED_VALUE"""),45793.64583333333)</f>
        <v>45793.64583</v>
      </c>
      <c r="B164" s="7">
        <f>IFERROR(__xludf.DUMMYFUNCTION("""COMPUTED_VALUE"""),404.45)</f>
        <v>404.45</v>
      </c>
      <c r="C164" s="7">
        <f>IFERROR(__xludf.DUMMYFUNCTION("""COMPUTED_VALUE"""),411.2)</f>
        <v>411.2</v>
      </c>
      <c r="D164" s="7">
        <f>IFERROR(__xludf.DUMMYFUNCTION("""COMPUTED_VALUE"""),402.65)</f>
        <v>402.65</v>
      </c>
      <c r="E164" s="7">
        <f>IFERROR(__xludf.DUMMYFUNCTION("""COMPUTED_VALUE"""),410.05)</f>
        <v>410.05</v>
      </c>
      <c r="F164" s="7">
        <f>IFERROR(__xludf.DUMMYFUNCTION("""COMPUTED_VALUE"""),5353067.0)</f>
        <v>5353067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f>IFERROR(__xludf.DUMMYFUNCTION("""COMPUTED_VALUE"""),45796.64583333333)</f>
        <v>45796.64583</v>
      </c>
      <c r="B165" s="7">
        <f>IFERROR(__xludf.DUMMYFUNCTION("""COMPUTED_VALUE"""),410.1)</f>
        <v>410.1</v>
      </c>
      <c r="C165" s="7">
        <f>IFERROR(__xludf.DUMMYFUNCTION("""COMPUTED_VALUE"""),411.5)</f>
        <v>411.5</v>
      </c>
      <c r="D165" s="7">
        <f>IFERROR(__xludf.DUMMYFUNCTION("""COMPUTED_VALUE"""),404.1)</f>
        <v>404.1</v>
      </c>
      <c r="E165" s="7">
        <f>IFERROR(__xludf.DUMMYFUNCTION("""COMPUTED_VALUE"""),404.9)</f>
        <v>404.9</v>
      </c>
      <c r="F165" s="7">
        <f>IFERROR(__xludf.DUMMYFUNCTION("""COMPUTED_VALUE"""),2489091.0)</f>
        <v>2489091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f>IFERROR(__xludf.DUMMYFUNCTION("""COMPUTED_VALUE"""),45797.64583333333)</f>
        <v>45797.64583</v>
      </c>
      <c r="B166" s="7">
        <f>IFERROR(__xludf.DUMMYFUNCTION("""COMPUTED_VALUE"""),406.0)</f>
        <v>406</v>
      </c>
      <c r="C166" s="7">
        <f>IFERROR(__xludf.DUMMYFUNCTION("""COMPUTED_VALUE"""),410.5)</f>
        <v>410.5</v>
      </c>
      <c r="D166" s="7">
        <f>IFERROR(__xludf.DUMMYFUNCTION("""COMPUTED_VALUE"""),392.2)</f>
        <v>392.2</v>
      </c>
      <c r="E166" s="7">
        <f>IFERROR(__xludf.DUMMYFUNCTION("""COMPUTED_VALUE"""),397.4)</f>
        <v>397.4</v>
      </c>
      <c r="F166" s="7">
        <f>IFERROR(__xludf.DUMMYFUNCTION("""COMPUTED_VALUE"""),3231580.0)</f>
        <v>3231580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f>IFERROR(__xludf.DUMMYFUNCTION("""COMPUTED_VALUE"""),45798.64583333333)</f>
        <v>45798.64583</v>
      </c>
      <c r="B167" s="7">
        <f>IFERROR(__xludf.DUMMYFUNCTION("""COMPUTED_VALUE"""),395.5)</f>
        <v>395.5</v>
      </c>
      <c r="C167" s="7">
        <f>IFERROR(__xludf.DUMMYFUNCTION("""COMPUTED_VALUE"""),405.9)</f>
        <v>405.9</v>
      </c>
      <c r="D167" s="7">
        <f>IFERROR(__xludf.DUMMYFUNCTION("""COMPUTED_VALUE"""),390.55)</f>
        <v>390.55</v>
      </c>
      <c r="E167" s="7">
        <f>IFERROR(__xludf.DUMMYFUNCTION("""COMPUTED_VALUE"""),404.9)</f>
        <v>404.9</v>
      </c>
      <c r="F167" s="7">
        <f>IFERROR(__xludf.DUMMYFUNCTION("""COMPUTED_VALUE"""),3723167.0)</f>
        <v>3723167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f>IFERROR(__xludf.DUMMYFUNCTION("""COMPUTED_VALUE"""),45799.64583333333)</f>
        <v>45799.64583</v>
      </c>
      <c r="B168" s="7">
        <f>IFERROR(__xludf.DUMMYFUNCTION("""COMPUTED_VALUE"""),405.0)</f>
        <v>405</v>
      </c>
      <c r="C168" s="7">
        <f>IFERROR(__xludf.DUMMYFUNCTION("""COMPUTED_VALUE"""),406.95)</f>
        <v>406.95</v>
      </c>
      <c r="D168" s="7">
        <f>IFERROR(__xludf.DUMMYFUNCTION("""COMPUTED_VALUE"""),397.8)</f>
        <v>397.8</v>
      </c>
      <c r="E168" s="7">
        <f>IFERROR(__xludf.DUMMYFUNCTION("""COMPUTED_VALUE"""),401.25)</f>
        <v>401.25</v>
      </c>
      <c r="F168" s="7">
        <f>IFERROR(__xludf.DUMMYFUNCTION("""COMPUTED_VALUE"""),1971376.0)</f>
        <v>1971376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f>IFERROR(__xludf.DUMMYFUNCTION("""COMPUTED_VALUE"""),45800.64583333333)</f>
        <v>45800.64583</v>
      </c>
      <c r="B169" s="7">
        <f>IFERROR(__xludf.DUMMYFUNCTION("""COMPUTED_VALUE"""),404.0)</f>
        <v>404</v>
      </c>
      <c r="C169" s="7">
        <f>IFERROR(__xludf.DUMMYFUNCTION("""COMPUTED_VALUE"""),411.75)</f>
        <v>411.75</v>
      </c>
      <c r="D169" s="7">
        <f>IFERROR(__xludf.DUMMYFUNCTION("""COMPUTED_VALUE"""),404.0)</f>
        <v>404</v>
      </c>
      <c r="E169" s="7">
        <f>IFERROR(__xludf.DUMMYFUNCTION("""COMPUTED_VALUE"""),408.1)</f>
        <v>408.1</v>
      </c>
      <c r="F169" s="7">
        <f>IFERROR(__xludf.DUMMYFUNCTION("""COMPUTED_VALUE"""),5540517.0)</f>
        <v>5540517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f>IFERROR(__xludf.DUMMYFUNCTION("""COMPUTED_VALUE"""),45803.64583333333)</f>
        <v>45803.64583</v>
      </c>
      <c r="B170" s="7">
        <f>IFERROR(__xludf.DUMMYFUNCTION("""COMPUTED_VALUE"""),408.8)</f>
        <v>408.8</v>
      </c>
      <c r="C170" s="7">
        <f>IFERROR(__xludf.DUMMYFUNCTION("""COMPUTED_VALUE"""),417.45)</f>
        <v>417.45</v>
      </c>
      <c r="D170" s="7">
        <f>IFERROR(__xludf.DUMMYFUNCTION("""COMPUTED_VALUE"""),408.45)</f>
        <v>408.45</v>
      </c>
      <c r="E170" s="7">
        <f>IFERROR(__xludf.DUMMYFUNCTION("""COMPUTED_VALUE"""),414.6)</f>
        <v>414.6</v>
      </c>
      <c r="F170" s="7">
        <f>IFERROR(__xludf.DUMMYFUNCTION("""COMPUTED_VALUE"""),2976520.0)</f>
        <v>2976520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f>IFERROR(__xludf.DUMMYFUNCTION("""COMPUTED_VALUE"""),45804.64583333333)</f>
        <v>45804.64583</v>
      </c>
      <c r="B171" s="7">
        <f>IFERROR(__xludf.DUMMYFUNCTION("""COMPUTED_VALUE"""),414.95)</f>
        <v>414.95</v>
      </c>
      <c r="C171" s="7">
        <f>IFERROR(__xludf.DUMMYFUNCTION("""COMPUTED_VALUE"""),415.55)</f>
        <v>415.55</v>
      </c>
      <c r="D171" s="7">
        <f>IFERROR(__xludf.DUMMYFUNCTION("""COMPUTED_VALUE"""),406.3)</f>
        <v>406.3</v>
      </c>
      <c r="E171" s="7">
        <f>IFERROR(__xludf.DUMMYFUNCTION("""COMPUTED_VALUE"""),412.15)</f>
        <v>412.15</v>
      </c>
      <c r="F171" s="7">
        <f>IFERROR(__xludf.DUMMYFUNCTION("""COMPUTED_VALUE"""),4849935.0)</f>
        <v>4849935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f>IFERROR(__xludf.DUMMYFUNCTION("""COMPUTED_VALUE"""),45805.64583333333)</f>
        <v>45805.64583</v>
      </c>
      <c r="B172" s="7">
        <f>IFERROR(__xludf.DUMMYFUNCTION("""COMPUTED_VALUE"""),412.15)</f>
        <v>412.15</v>
      </c>
      <c r="C172" s="7">
        <f>IFERROR(__xludf.DUMMYFUNCTION("""COMPUTED_VALUE"""),420.5)</f>
        <v>420.5</v>
      </c>
      <c r="D172" s="7">
        <f>IFERROR(__xludf.DUMMYFUNCTION("""COMPUTED_VALUE"""),409.05)</f>
        <v>409.05</v>
      </c>
      <c r="E172" s="7">
        <f>IFERROR(__xludf.DUMMYFUNCTION("""COMPUTED_VALUE"""),418.1)</f>
        <v>418.1</v>
      </c>
      <c r="F172" s="7">
        <f>IFERROR(__xludf.DUMMYFUNCTION("""COMPUTED_VALUE"""),5630546.0)</f>
        <v>5630546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f>IFERROR(__xludf.DUMMYFUNCTION("""COMPUTED_VALUE"""),45806.64583333333)</f>
        <v>45806.64583</v>
      </c>
      <c r="B173" s="7">
        <f>IFERROR(__xludf.DUMMYFUNCTION("""COMPUTED_VALUE"""),418.85)</f>
        <v>418.85</v>
      </c>
      <c r="C173" s="7">
        <f>IFERROR(__xludf.DUMMYFUNCTION("""COMPUTED_VALUE"""),419.15)</f>
        <v>419.15</v>
      </c>
      <c r="D173" s="7">
        <f>IFERROR(__xludf.DUMMYFUNCTION("""COMPUTED_VALUE"""),412.6)</f>
        <v>412.6</v>
      </c>
      <c r="E173" s="7">
        <f>IFERROR(__xludf.DUMMYFUNCTION("""COMPUTED_VALUE"""),414.75)</f>
        <v>414.75</v>
      </c>
      <c r="F173" s="7">
        <f>IFERROR(__xludf.DUMMYFUNCTION("""COMPUTED_VALUE"""),3108847.0)</f>
        <v>3108847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f>IFERROR(__xludf.DUMMYFUNCTION("""COMPUTED_VALUE"""),45807.64583333333)</f>
        <v>45807.64583</v>
      </c>
      <c r="B174" s="7">
        <f>IFERROR(__xludf.DUMMYFUNCTION("""COMPUTED_VALUE"""),414.75)</f>
        <v>414.75</v>
      </c>
      <c r="C174" s="7">
        <f>IFERROR(__xludf.DUMMYFUNCTION("""COMPUTED_VALUE"""),418.9)</f>
        <v>418.9</v>
      </c>
      <c r="D174" s="7">
        <f>IFERROR(__xludf.DUMMYFUNCTION("""COMPUTED_VALUE"""),408.9)</f>
        <v>408.9</v>
      </c>
      <c r="E174" s="7">
        <f>IFERROR(__xludf.DUMMYFUNCTION("""COMPUTED_VALUE"""),411.05)</f>
        <v>411.05</v>
      </c>
      <c r="F174" s="7">
        <f>IFERROR(__xludf.DUMMYFUNCTION("""COMPUTED_VALUE"""),6164496.0)</f>
        <v>6164496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f>IFERROR(__xludf.DUMMYFUNCTION("""COMPUTED_VALUE"""),45810.64583333333)</f>
        <v>45810.64583</v>
      </c>
      <c r="B175" s="7">
        <f>IFERROR(__xludf.DUMMYFUNCTION("""COMPUTED_VALUE"""),409.6)</f>
        <v>409.6</v>
      </c>
      <c r="C175" s="7">
        <f>IFERROR(__xludf.DUMMYFUNCTION("""COMPUTED_VALUE"""),412.7)</f>
        <v>412.7</v>
      </c>
      <c r="D175" s="7">
        <f>IFERROR(__xludf.DUMMYFUNCTION("""COMPUTED_VALUE"""),407.0)</f>
        <v>407</v>
      </c>
      <c r="E175" s="7">
        <f>IFERROR(__xludf.DUMMYFUNCTION("""COMPUTED_VALUE"""),408.2)</f>
        <v>408.2</v>
      </c>
      <c r="F175" s="7">
        <f>IFERROR(__xludf.DUMMYFUNCTION("""COMPUTED_VALUE"""),2200493.0)</f>
        <v>2200493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f>IFERROR(__xludf.DUMMYFUNCTION("""COMPUTED_VALUE"""),45811.64583333333)</f>
        <v>45811.64583</v>
      </c>
      <c r="B176" s="7">
        <f>IFERROR(__xludf.DUMMYFUNCTION("""COMPUTED_VALUE"""),407.5)</f>
        <v>407.5</v>
      </c>
      <c r="C176" s="7">
        <f>IFERROR(__xludf.DUMMYFUNCTION("""COMPUTED_VALUE"""),410.0)</f>
        <v>410</v>
      </c>
      <c r="D176" s="7">
        <f>IFERROR(__xludf.DUMMYFUNCTION("""COMPUTED_VALUE"""),401.1)</f>
        <v>401.1</v>
      </c>
      <c r="E176" s="7">
        <f>IFERROR(__xludf.DUMMYFUNCTION("""COMPUTED_VALUE"""),402.0)</f>
        <v>402</v>
      </c>
      <c r="F176" s="7">
        <f>IFERROR(__xludf.DUMMYFUNCTION("""COMPUTED_VALUE"""),2570008.0)</f>
        <v>2570008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f>IFERROR(__xludf.DUMMYFUNCTION("""COMPUTED_VALUE"""),45812.64583333333)</f>
        <v>45812.64583</v>
      </c>
      <c r="B177" s="7">
        <f>IFERROR(__xludf.DUMMYFUNCTION("""COMPUTED_VALUE"""),404.0)</f>
        <v>404</v>
      </c>
      <c r="C177" s="7">
        <f>IFERROR(__xludf.DUMMYFUNCTION("""COMPUTED_VALUE"""),407.65)</f>
        <v>407.65</v>
      </c>
      <c r="D177" s="7">
        <f>IFERROR(__xludf.DUMMYFUNCTION("""COMPUTED_VALUE"""),401.0)</f>
        <v>401</v>
      </c>
      <c r="E177" s="7">
        <f>IFERROR(__xludf.DUMMYFUNCTION("""COMPUTED_VALUE"""),406.6)</f>
        <v>406.6</v>
      </c>
      <c r="F177" s="7">
        <f>IFERROR(__xludf.DUMMYFUNCTION("""COMPUTED_VALUE"""),2415724.0)</f>
        <v>2415724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f>IFERROR(__xludf.DUMMYFUNCTION("""COMPUTED_VALUE"""),45813.64583333333)</f>
        <v>45813.64583</v>
      </c>
      <c r="B178" s="7">
        <f>IFERROR(__xludf.DUMMYFUNCTION("""COMPUTED_VALUE"""),408.5)</f>
        <v>408.5</v>
      </c>
      <c r="C178" s="7">
        <f>IFERROR(__xludf.DUMMYFUNCTION("""COMPUTED_VALUE"""),409.4)</f>
        <v>409.4</v>
      </c>
      <c r="D178" s="7">
        <f>IFERROR(__xludf.DUMMYFUNCTION("""COMPUTED_VALUE"""),399.9)</f>
        <v>399.9</v>
      </c>
      <c r="E178" s="7">
        <f>IFERROR(__xludf.DUMMYFUNCTION("""COMPUTED_VALUE"""),401.0)</f>
        <v>401</v>
      </c>
      <c r="F178" s="7">
        <f>IFERROR(__xludf.DUMMYFUNCTION("""COMPUTED_VALUE"""),2588378.0)</f>
        <v>2588378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f>IFERROR(__xludf.DUMMYFUNCTION("""COMPUTED_VALUE"""),45814.64583333333)</f>
        <v>45814.64583</v>
      </c>
      <c r="B179" s="7">
        <f>IFERROR(__xludf.DUMMYFUNCTION("""COMPUTED_VALUE"""),402.25)</f>
        <v>402.25</v>
      </c>
      <c r="C179" s="7">
        <f>IFERROR(__xludf.DUMMYFUNCTION("""COMPUTED_VALUE"""),407.75)</f>
        <v>407.75</v>
      </c>
      <c r="D179" s="7">
        <f>IFERROR(__xludf.DUMMYFUNCTION("""COMPUTED_VALUE"""),402.25)</f>
        <v>402.25</v>
      </c>
      <c r="E179" s="7">
        <f>IFERROR(__xludf.DUMMYFUNCTION("""COMPUTED_VALUE"""),407.05)</f>
        <v>407.05</v>
      </c>
      <c r="F179" s="7">
        <f>IFERROR(__xludf.DUMMYFUNCTION("""COMPUTED_VALUE"""),1443804.0)</f>
        <v>1443804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f>IFERROR(__xludf.DUMMYFUNCTION("""COMPUTED_VALUE"""),45817.64583333333)</f>
        <v>45817.64583</v>
      </c>
      <c r="B180" s="7">
        <f>IFERROR(__xludf.DUMMYFUNCTION("""COMPUTED_VALUE"""),407.05)</f>
        <v>407.05</v>
      </c>
      <c r="C180" s="7">
        <f>IFERROR(__xludf.DUMMYFUNCTION("""COMPUTED_VALUE"""),409.6)</f>
        <v>409.6</v>
      </c>
      <c r="D180" s="7">
        <f>IFERROR(__xludf.DUMMYFUNCTION("""COMPUTED_VALUE"""),404.85)</f>
        <v>404.85</v>
      </c>
      <c r="E180" s="7">
        <f>IFERROR(__xludf.DUMMYFUNCTION("""COMPUTED_VALUE"""),408.45)</f>
        <v>408.45</v>
      </c>
      <c r="F180" s="7">
        <f>IFERROR(__xludf.DUMMYFUNCTION("""COMPUTED_VALUE"""),1139355.0)</f>
        <v>1139355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f>IFERROR(__xludf.DUMMYFUNCTION("""COMPUTED_VALUE"""),45818.64583333333)</f>
        <v>45818.64583</v>
      </c>
      <c r="B181" s="7">
        <f>IFERROR(__xludf.DUMMYFUNCTION("""COMPUTED_VALUE"""),409.1)</f>
        <v>409.1</v>
      </c>
      <c r="C181" s="7">
        <f>IFERROR(__xludf.DUMMYFUNCTION("""COMPUTED_VALUE"""),409.9)</f>
        <v>409.9</v>
      </c>
      <c r="D181" s="7">
        <f>IFERROR(__xludf.DUMMYFUNCTION("""COMPUTED_VALUE"""),404.1)</f>
        <v>404.1</v>
      </c>
      <c r="E181" s="7">
        <f>IFERROR(__xludf.DUMMYFUNCTION("""COMPUTED_VALUE"""),405.1)</f>
        <v>405.1</v>
      </c>
      <c r="F181" s="7">
        <f>IFERROR(__xludf.DUMMYFUNCTION("""COMPUTED_VALUE"""),2079819.0)</f>
        <v>2079819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f>IFERROR(__xludf.DUMMYFUNCTION("""COMPUTED_VALUE"""),45819.64583333333)</f>
        <v>45819.64583</v>
      </c>
      <c r="B182" s="7">
        <f>IFERROR(__xludf.DUMMYFUNCTION("""COMPUTED_VALUE"""),406.65)</f>
        <v>406.65</v>
      </c>
      <c r="C182" s="7">
        <f>IFERROR(__xludf.DUMMYFUNCTION("""COMPUTED_VALUE"""),423.0)</f>
        <v>423</v>
      </c>
      <c r="D182" s="7">
        <f>IFERROR(__xludf.DUMMYFUNCTION("""COMPUTED_VALUE"""),406.05)</f>
        <v>406.05</v>
      </c>
      <c r="E182" s="7">
        <f>IFERROR(__xludf.DUMMYFUNCTION("""COMPUTED_VALUE"""),414.85)</f>
        <v>414.85</v>
      </c>
      <c r="F182" s="7">
        <f>IFERROR(__xludf.DUMMYFUNCTION("""COMPUTED_VALUE"""),8990781.0)</f>
        <v>8990781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f>IFERROR(__xludf.DUMMYFUNCTION("""COMPUTED_VALUE"""),45820.64583333333)</f>
        <v>45820.64583</v>
      </c>
      <c r="B183" s="7">
        <f>IFERROR(__xludf.DUMMYFUNCTION("""COMPUTED_VALUE"""),410.0)</f>
        <v>410</v>
      </c>
      <c r="C183" s="7">
        <f>IFERROR(__xludf.DUMMYFUNCTION("""COMPUTED_VALUE"""),410.0)</f>
        <v>410</v>
      </c>
      <c r="D183" s="7">
        <f>IFERROR(__xludf.DUMMYFUNCTION("""COMPUTED_VALUE"""),390.4)</f>
        <v>390.4</v>
      </c>
      <c r="E183" s="7">
        <f>IFERROR(__xludf.DUMMYFUNCTION("""COMPUTED_VALUE"""),392.55)</f>
        <v>392.55</v>
      </c>
      <c r="F183" s="7">
        <f>IFERROR(__xludf.DUMMYFUNCTION("""COMPUTED_VALUE"""),1.2405231E7)</f>
        <v>12405231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f>IFERROR(__xludf.DUMMYFUNCTION("""COMPUTED_VALUE"""),45821.64583333333)</f>
        <v>45821.64583</v>
      </c>
      <c r="B184" s="7">
        <f>IFERROR(__xludf.DUMMYFUNCTION("""COMPUTED_VALUE"""),376.0)</f>
        <v>376</v>
      </c>
      <c r="C184" s="7">
        <f>IFERROR(__xludf.DUMMYFUNCTION("""COMPUTED_VALUE"""),388.4)</f>
        <v>388.4</v>
      </c>
      <c r="D184" s="7">
        <f>IFERROR(__xludf.DUMMYFUNCTION("""COMPUTED_VALUE"""),370.15)</f>
        <v>370.15</v>
      </c>
      <c r="E184" s="7">
        <f>IFERROR(__xludf.DUMMYFUNCTION("""COMPUTED_VALUE"""),386.25)</f>
        <v>386.25</v>
      </c>
      <c r="F184" s="7">
        <f>IFERROR(__xludf.DUMMYFUNCTION("""COMPUTED_VALUE"""),1.7736231E7)</f>
        <v>17736231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f>IFERROR(__xludf.DUMMYFUNCTION("""COMPUTED_VALUE"""),45824.64583333333)</f>
        <v>45824.64583</v>
      </c>
      <c r="B185" s="7">
        <f>IFERROR(__xludf.DUMMYFUNCTION("""COMPUTED_VALUE"""),384.1)</f>
        <v>384.1</v>
      </c>
      <c r="C185" s="7">
        <f>IFERROR(__xludf.DUMMYFUNCTION("""COMPUTED_VALUE"""),396.5)</f>
        <v>396.5</v>
      </c>
      <c r="D185" s="7">
        <f>IFERROR(__xludf.DUMMYFUNCTION("""COMPUTED_VALUE"""),383.05)</f>
        <v>383.05</v>
      </c>
      <c r="E185" s="7">
        <f>IFERROR(__xludf.DUMMYFUNCTION("""COMPUTED_VALUE"""),395.35)</f>
        <v>395.35</v>
      </c>
      <c r="F185" s="7">
        <f>IFERROR(__xludf.DUMMYFUNCTION("""COMPUTED_VALUE"""),5792606.0)</f>
        <v>5792606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f>IFERROR(__xludf.DUMMYFUNCTION("""COMPUTED_VALUE"""),45825.64583333333)</f>
        <v>45825.64583</v>
      </c>
      <c r="B186" s="7">
        <f>IFERROR(__xludf.DUMMYFUNCTION("""COMPUTED_VALUE"""),393.95)</f>
        <v>393.95</v>
      </c>
      <c r="C186" s="7">
        <f>IFERROR(__xludf.DUMMYFUNCTION("""COMPUTED_VALUE"""),401.0)</f>
        <v>401</v>
      </c>
      <c r="D186" s="7">
        <f>IFERROR(__xludf.DUMMYFUNCTION("""COMPUTED_VALUE"""),392.0)</f>
        <v>392</v>
      </c>
      <c r="E186" s="7">
        <f>IFERROR(__xludf.DUMMYFUNCTION("""COMPUTED_VALUE"""),393.25)</f>
        <v>393.25</v>
      </c>
      <c r="F186" s="7">
        <f>IFERROR(__xludf.DUMMYFUNCTION("""COMPUTED_VALUE"""),3815275.0)</f>
        <v>3815275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f>IFERROR(__xludf.DUMMYFUNCTION("""COMPUTED_VALUE"""),45826.64583333333)</f>
        <v>45826.64583</v>
      </c>
      <c r="B187" s="7">
        <f>IFERROR(__xludf.DUMMYFUNCTION("""COMPUTED_VALUE"""),390.1)</f>
        <v>390.1</v>
      </c>
      <c r="C187" s="7">
        <f>IFERROR(__xludf.DUMMYFUNCTION("""COMPUTED_VALUE"""),394.95)</f>
        <v>394.95</v>
      </c>
      <c r="D187" s="7">
        <f>IFERROR(__xludf.DUMMYFUNCTION("""COMPUTED_VALUE"""),388.3)</f>
        <v>388.3</v>
      </c>
      <c r="E187" s="7">
        <f>IFERROR(__xludf.DUMMYFUNCTION("""COMPUTED_VALUE"""),393.95)</f>
        <v>393.95</v>
      </c>
      <c r="F187" s="7">
        <f>IFERROR(__xludf.DUMMYFUNCTION("""COMPUTED_VALUE"""),3440848.0)</f>
        <v>3440848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f>IFERROR(__xludf.DUMMYFUNCTION("""COMPUTED_VALUE"""),45827.64583333333)</f>
        <v>45827.64583</v>
      </c>
      <c r="B188" s="7">
        <f>IFERROR(__xludf.DUMMYFUNCTION("""COMPUTED_VALUE"""),393.7)</f>
        <v>393.7</v>
      </c>
      <c r="C188" s="7">
        <f>IFERROR(__xludf.DUMMYFUNCTION("""COMPUTED_VALUE"""),396.45)</f>
        <v>396.45</v>
      </c>
      <c r="D188" s="7">
        <f>IFERROR(__xludf.DUMMYFUNCTION("""COMPUTED_VALUE"""),388.95)</f>
        <v>388.95</v>
      </c>
      <c r="E188" s="7">
        <f>IFERROR(__xludf.DUMMYFUNCTION("""COMPUTED_VALUE"""),390.0)</f>
        <v>390</v>
      </c>
      <c r="F188" s="7">
        <f>IFERROR(__xludf.DUMMYFUNCTION("""COMPUTED_VALUE"""),3390334.0)</f>
        <v>3390334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f>IFERROR(__xludf.DUMMYFUNCTION("""COMPUTED_VALUE"""),45828.64583333333)</f>
        <v>45828.64583</v>
      </c>
      <c r="B189" s="7">
        <f>IFERROR(__xludf.DUMMYFUNCTION("""COMPUTED_VALUE"""),389.5)</f>
        <v>389.5</v>
      </c>
      <c r="C189" s="7">
        <f>IFERROR(__xludf.DUMMYFUNCTION("""COMPUTED_VALUE"""),394.45)</f>
        <v>394.45</v>
      </c>
      <c r="D189" s="7">
        <f>IFERROR(__xludf.DUMMYFUNCTION("""COMPUTED_VALUE"""),388.25)</f>
        <v>388.25</v>
      </c>
      <c r="E189" s="7">
        <f>IFERROR(__xludf.DUMMYFUNCTION("""COMPUTED_VALUE"""),392.25)</f>
        <v>392.25</v>
      </c>
      <c r="F189" s="7">
        <f>IFERROR(__xludf.DUMMYFUNCTION("""COMPUTED_VALUE"""),6244473.0)</f>
        <v>6244473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f>IFERROR(__xludf.DUMMYFUNCTION("""COMPUTED_VALUE"""),45831.64583333333)</f>
        <v>45831.64583</v>
      </c>
      <c r="B190" s="7">
        <f>IFERROR(__xludf.DUMMYFUNCTION("""COMPUTED_VALUE"""),390.35)</f>
        <v>390.35</v>
      </c>
      <c r="C190" s="7">
        <f>IFERROR(__xludf.DUMMYFUNCTION("""COMPUTED_VALUE"""),397.2)</f>
        <v>397.2</v>
      </c>
      <c r="D190" s="7">
        <f>IFERROR(__xludf.DUMMYFUNCTION("""COMPUTED_VALUE"""),383.55)</f>
        <v>383.55</v>
      </c>
      <c r="E190" s="7">
        <f>IFERROR(__xludf.DUMMYFUNCTION("""COMPUTED_VALUE"""),393.25)</f>
        <v>393.25</v>
      </c>
      <c r="F190" s="7">
        <f>IFERROR(__xludf.DUMMYFUNCTION("""COMPUTED_VALUE"""),4641365.0)</f>
        <v>4641365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f>IFERROR(__xludf.DUMMYFUNCTION("""COMPUTED_VALUE"""),45832.64583333333)</f>
        <v>45832.64583</v>
      </c>
      <c r="B191" s="7">
        <f>IFERROR(__xludf.DUMMYFUNCTION("""COMPUTED_VALUE"""),412.5)</f>
        <v>412.5</v>
      </c>
      <c r="C191" s="7">
        <f>IFERROR(__xludf.DUMMYFUNCTION("""COMPUTED_VALUE"""),414.8)</f>
        <v>414.8</v>
      </c>
      <c r="D191" s="7">
        <f>IFERROR(__xludf.DUMMYFUNCTION("""COMPUTED_VALUE"""),403.9)</f>
        <v>403.9</v>
      </c>
      <c r="E191" s="7">
        <f>IFERROR(__xludf.DUMMYFUNCTION("""COMPUTED_VALUE"""),406.25)</f>
        <v>406.25</v>
      </c>
      <c r="F191" s="7">
        <f>IFERROR(__xludf.DUMMYFUNCTION("""COMPUTED_VALUE"""),1.5143931E7)</f>
        <v>15143931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f>IFERROR(__xludf.DUMMYFUNCTION("""COMPUTED_VALUE"""),45833.64583333333)</f>
        <v>45833.64583</v>
      </c>
      <c r="B192" s="7">
        <f>IFERROR(__xludf.DUMMYFUNCTION("""COMPUTED_VALUE"""),410.0)</f>
        <v>410</v>
      </c>
      <c r="C192" s="7">
        <f>IFERROR(__xludf.DUMMYFUNCTION("""COMPUTED_VALUE"""),411.8)</f>
        <v>411.8</v>
      </c>
      <c r="D192" s="7">
        <f>IFERROR(__xludf.DUMMYFUNCTION("""COMPUTED_VALUE"""),405.05)</f>
        <v>405.05</v>
      </c>
      <c r="E192" s="7">
        <f>IFERROR(__xludf.DUMMYFUNCTION("""COMPUTED_VALUE"""),408.15)</f>
        <v>408.15</v>
      </c>
      <c r="F192" s="7">
        <f>IFERROR(__xludf.DUMMYFUNCTION("""COMPUTED_VALUE"""),4125652.0)</f>
        <v>4125652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f>IFERROR(__xludf.DUMMYFUNCTION("""COMPUTED_VALUE"""),45834.64583333333)</f>
        <v>45834.64583</v>
      </c>
      <c r="B193" s="7">
        <f>IFERROR(__xludf.DUMMYFUNCTION("""COMPUTED_VALUE"""),408.0)</f>
        <v>408</v>
      </c>
      <c r="C193" s="7">
        <f>IFERROR(__xludf.DUMMYFUNCTION("""COMPUTED_VALUE"""),424.35)</f>
        <v>424.35</v>
      </c>
      <c r="D193" s="7">
        <f>IFERROR(__xludf.DUMMYFUNCTION("""COMPUTED_VALUE"""),407.7)</f>
        <v>407.7</v>
      </c>
      <c r="E193" s="7">
        <f>IFERROR(__xludf.DUMMYFUNCTION("""COMPUTED_VALUE"""),420.3)</f>
        <v>420.3</v>
      </c>
      <c r="F193" s="7">
        <f>IFERROR(__xludf.DUMMYFUNCTION("""COMPUTED_VALUE"""),1.1364641E7)</f>
        <v>11364641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f>IFERROR(__xludf.DUMMYFUNCTION("""COMPUTED_VALUE"""),45835.64583333333)</f>
        <v>45835.64583</v>
      </c>
      <c r="B194" s="7">
        <f>IFERROR(__xludf.DUMMYFUNCTION("""COMPUTED_VALUE"""),420.95)</f>
        <v>420.95</v>
      </c>
      <c r="C194" s="7">
        <f>IFERROR(__xludf.DUMMYFUNCTION("""COMPUTED_VALUE"""),440.3)</f>
        <v>440.3</v>
      </c>
      <c r="D194" s="7">
        <f>IFERROR(__xludf.DUMMYFUNCTION("""COMPUTED_VALUE"""),419.45)</f>
        <v>419.45</v>
      </c>
      <c r="E194" s="7">
        <f>IFERROR(__xludf.DUMMYFUNCTION("""COMPUTED_VALUE"""),439.0)</f>
        <v>439</v>
      </c>
      <c r="F194" s="7">
        <f>IFERROR(__xludf.DUMMYFUNCTION("""COMPUTED_VALUE"""),1.535297E7)</f>
        <v>15352970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f>IFERROR(__xludf.DUMMYFUNCTION("""COMPUTED_VALUE"""),45838.64583333333)</f>
        <v>45838.64583</v>
      </c>
      <c r="B195" s="7">
        <f>IFERROR(__xludf.DUMMYFUNCTION("""COMPUTED_VALUE"""),440.0)</f>
        <v>440</v>
      </c>
      <c r="C195" s="7">
        <f>IFERROR(__xludf.DUMMYFUNCTION("""COMPUTED_VALUE"""),443.2)</f>
        <v>443.2</v>
      </c>
      <c r="D195" s="7">
        <f>IFERROR(__xludf.DUMMYFUNCTION("""COMPUTED_VALUE"""),436.25)</f>
        <v>436.25</v>
      </c>
      <c r="E195" s="7">
        <f>IFERROR(__xludf.DUMMYFUNCTION("""COMPUTED_VALUE"""),438.05)</f>
        <v>438.05</v>
      </c>
      <c r="F195" s="7">
        <f>IFERROR(__xludf.DUMMYFUNCTION("""COMPUTED_VALUE"""),3398554.0)</f>
        <v>3398554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f>IFERROR(__xludf.DUMMYFUNCTION("""COMPUTED_VALUE"""),45839.64583333333)</f>
        <v>45839.64583</v>
      </c>
      <c r="B196" s="7">
        <f>IFERROR(__xludf.DUMMYFUNCTION("""COMPUTED_VALUE"""),439.4)</f>
        <v>439.4</v>
      </c>
      <c r="C196" s="7">
        <f>IFERROR(__xludf.DUMMYFUNCTION("""COMPUTED_VALUE"""),441.5)</f>
        <v>441.5</v>
      </c>
      <c r="D196" s="7">
        <f>IFERROR(__xludf.DUMMYFUNCTION("""COMPUTED_VALUE"""),433.75)</f>
        <v>433.75</v>
      </c>
      <c r="E196" s="7">
        <f>IFERROR(__xludf.DUMMYFUNCTION("""COMPUTED_VALUE"""),440.45)</f>
        <v>440.45</v>
      </c>
      <c r="F196" s="7">
        <f>IFERROR(__xludf.DUMMYFUNCTION("""COMPUTED_VALUE"""),4624750.0)</f>
        <v>4624750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f>IFERROR(__xludf.DUMMYFUNCTION("""COMPUTED_VALUE"""),45840.64583333333)</f>
        <v>45840.64583</v>
      </c>
      <c r="B197" s="7">
        <f>IFERROR(__xludf.DUMMYFUNCTION("""COMPUTED_VALUE"""),444.0)</f>
        <v>444</v>
      </c>
      <c r="C197" s="7">
        <f>IFERROR(__xludf.DUMMYFUNCTION("""COMPUTED_VALUE"""),446.85)</f>
        <v>446.85</v>
      </c>
      <c r="D197" s="7">
        <f>IFERROR(__xludf.DUMMYFUNCTION("""COMPUTED_VALUE"""),433.3)</f>
        <v>433.3</v>
      </c>
      <c r="E197" s="7">
        <f>IFERROR(__xludf.DUMMYFUNCTION("""COMPUTED_VALUE"""),436.55)</f>
        <v>436.55</v>
      </c>
      <c r="F197" s="7">
        <f>IFERROR(__xludf.DUMMYFUNCTION("""COMPUTED_VALUE"""),3566248.0)</f>
        <v>3566248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f>IFERROR(__xludf.DUMMYFUNCTION("""COMPUTED_VALUE"""),45841.64583333333)</f>
        <v>45841.64583</v>
      </c>
      <c r="B198" s="7">
        <f>IFERROR(__xludf.DUMMYFUNCTION("""COMPUTED_VALUE"""),437.7)</f>
        <v>437.7</v>
      </c>
      <c r="C198" s="7">
        <f>IFERROR(__xludf.DUMMYFUNCTION("""COMPUTED_VALUE"""),441.6)</f>
        <v>441.6</v>
      </c>
      <c r="D198" s="7">
        <f>IFERROR(__xludf.DUMMYFUNCTION("""COMPUTED_VALUE"""),435.25)</f>
        <v>435.25</v>
      </c>
      <c r="E198" s="7">
        <f>IFERROR(__xludf.DUMMYFUNCTION("""COMPUTED_VALUE"""),436.6)</f>
        <v>436.6</v>
      </c>
      <c r="F198" s="7">
        <f>IFERROR(__xludf.DUMMYFUNCTION("""COMPUTED_VALUE"""),2130326.0)</f>
        <v>2130326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f>IFERROR(__xludf.DUMMYFUNCTION("""COMPUTED_VALUE"""),45842.64583333333)</f>
        <v>45842.64583</v>
      </c>
      <c r="B199" s="7">
        <f>IFERROR(__xludf.DUMMYFUNCTION("""COMPUTED_VALUE"""),438.8)</f>
        <v>438.8</v>
      </c>
      <c r="C199" s="7">
        <f>IFERROR(__xludf.DUMMYFUNCTION("""COMPUTED_VALUE"""),446.55)</f>
        <v>446.55</v>
      </c>
      <c r="D199" s="7">
        <f>IFERROR(__xludf.DUMMYFUNCTION("""COMPUTED_VALUE"""),436.15)</f>
        <v>436.15</v>
      </c>
      <c r="E199" s="7">
        <f>IFERROR(__xludf.DUMMYFUNCTION("""COMPUTED_VALUE"""),444.6)</f>
        <v>444.6</v>
      </c>
      <c r="F199" s="7">
        <f>IFERROR(__xludf.DUMMYFUNCTION("""COMPUTED_VALUE"""),4318402.0)</f>
        <v>4318402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f>IFERROR(__xludf.DUMMYFUNCTION("""COMPUTED_VALUE"""),45845.64583333333)</f>
        <v>45845.64583</v>
      </c>
      <c r="B200" s="7">
        <f>IFERROR(__xludf.DUMMYFUNCTION("""COMPUTED_VALUE"""),448.0)</f>
        <v>448</v>
      </c>
      <c r="C200" s="7">
        <f>IFERROR(__xludf.DUMMYFUNCTION("""COMPUTED_VALUE"""),455.2)</f>
        <v>455.2</v>
      </c>
      <c r="D200" s="7">
        <f>IFERROR(__xludf.DUMMYFUNCTION("""COMPUTED_VALUE"""),441.25)</f>
        <v>441.25</v>
      </c>
      <c r="E200" s="7">
        <f>IFERROR(__xludf.DUMMYFUNCTION("""COMPUTED_VALUE"""),447.9)</f>
        <v>447.9</v>
      </c>
      <c r="F200" s="7">
        <f>IFERROR(__xludf.DUMMYFUNCTION("""COMPUTED_VALUE"""),8516084.0)</f>
        <v>8516084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f>IFERROR(__xludf.DUMMYFUNCTION("""COMPUTED_VALUE"""),45846.64583333333)</f>
        <v>45846.64583</v>
      </c>
      <c r="B201" s="7">
        <f>IFERROR(__xludf.DUMMYFUNCTION("""COMPUTED_VALUE"""),447.0)</f>
        <v>447</v>
      </c>
      <c r="C201" s="7">
        <f>IFERROR(__xludf.DUMMYFUNCTION("""COMPUTED_VALUE"""),455.0)</f>
        <v>455</v>
      </c>
      <c r="D201" s="7">
        <f>IFERROR(__xludf.DUMMYFUNCTION("""COMPUTED_VALUE"""),444.7)</f>
        <v>444.7</v>
      </c>
      <c r="E201" s="7">
        <f>IFERROR(__xludf.DUMMYFUNCTION("""COMPUTED_VALUE"""),452.7)</f>
        <v>452.7</v>
      </c>
      <c r="F201" s="7">
        <f>IFERROR(__xludf.DUMMYFUNCTION("""COMPUTED_VALUE"""),3860453.0)</f>
        <v>3860453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f>IFERROR(__xludf.DUMMYFUNCTION("""COMPUTED_VALUE"""),45847.64583333333)</f>
        <v>45847.64583</v>
      </c>
      <c r="B202" s="7">
        <f>IFERROR(__xludf.DUMMYFUNCTION("""COMPUTED_VALUE"""),453.0)</f>
        <v>453</v>
      </c>
      <c r="C202" s="7">
        <f>IFERROR(__xludf.DUMMYFUNCTION("""COMPUTED_VALUE"""),454.65)</f>
        <v>454.65</v>
      </c>
      <c r="D202" s="7">
        <f>IFERROR(__xludf.DUMMYFUNCTION("""COMPUTED_VALUE"""),442.65)</f>
        <v>442.65</v>
      </c>
      <c r="E202" s="7">
        <f>IFERROR(__xludf.DUMMYFUNCTION("""COMPUTED_VALUE"""),445.45)</f>
        <v>445.45</v>
      </c>
      <c r="F202" s="7">
        <f>IFERROR(__xludf.DUMMYFUNCTION("""COMPUTED_VALUE"""),5207942.0)</f>
        <v>5207942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f>IFERROR(__xludf.DUMMYFUNCTION("""COMPUTED_VALUE"""),45848.64583333333)</f>
        <v>45848.64583</v>
      </c>
      <c r="B203" s="7">
        <f>IFERROR(__xludf.DUMMYFUNCTION("""COMPUTED_VALUE"""),445.45)</f>
        <v>445.45</v>
      </c>
      <c r="C203" s="7">
        <f>IFERROR(__xludf.DUMMYFUNCTION("""COMPUTED_VALUE"""),450.5)</f>
        <v>450.5</v>
      </c>
      <c r="D203" s="7">
        <f>IFERROR(__xludf.DUMMYFUNCTION("""COMPUTED_VALUE"""),440.05)</f>
        <v>440.05</v>
      </c>
      <c r="E203" s="7">
        <f>IFERROR(__xludf.DUMMYFUNCTION("""COMPUTED_VALUE"""),441.25)</f>
        <v>441.25</v>
      </c>
      <c r="F203" s="7">
        <f>IFERROR(__xludf.DUMMYFUNCTION("""COMPUTED_VALUE"""),4470700.0)</f>
        <v>4470700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f>IFERROR(__xludf.DUMMYFUNCTION("""COMPUTED_VALUE"""),45849.64583333333)</f>
        <v>45849.64583</v>
      </c>
      <c r="B204" s="7">
        <f>IFERROR(__xludf.DUMMYFUNCTION("""COMPUTED_VALUE"""),444.5)</f>
        <v>444.5</v>
      </c>
      <c r="C204" s="7">
        <f>IFERROR(__xludf.DUMMYFUNCTION("""COMPUTED_VALUE"""),444.5)</f>
        <v>444.5</v>
      </c>
      <c r="D204" s="7">
        <f>IFERROR(__xludf.DUMMYFUNCTION("""COMPUTED_VALUE"""),433.05)</f>
        <v>433.05</v>
      </c>
      <c r="E204" s="7">
        <f>IFERROR(__xludf.DUMMYFUNCTION("""COMPUTED_VALUE"""),435.9)</f>
        <v>435.9</v>
      </c>
      <c r="F204" s="7">
        <f>IFERROR(__xludf.DUMMYFUNCTION("""COMPUTED_VALUE"""),2627116.0)</f>
        <v>2627116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f>IFERROR(__xludf.DUMMYFUNCTION("""COMPUTED_VALUE"""),45852.64583333333)</f>
        <v>45852.64583</v>
      </c>
      <c r="B205" s="7">
        <f>IFERROR(__xludf.DUMMYFUNCTION("""COMPUTED_VALUE"""),435.9)</f>
        <v>435.9</v>
      </c>
      <c r="C205" s="7">
        <f>IFERROR(__xludf.DUMMYFUNCTION("""COMPUTED_VALUE"""),437.5)</f>
        <v>437.5</v>
      </c>
      <c r="D205" s="7">
        <f>IFERROR(__xludf.DUMMYFUNCTION("""COMPUTED_VALUE"""),428.0)</f>
        <v>428</v>
      </c>
      <c r="E205" s="7">
        <f>IFERROR(__xludf.DUMMYFUNCTION("""COMPUTED_VALUE"""),429.9)</f>
        <v>429.9</v>
      </c>
      <c r="F205" s="7">
        <f>IFERROR(__xludf.DUMMYFUNCTION("""COMPUTED_VALUE"""),4575393.0)</f>
        <v>4575393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f>IFERROR(__xludf.DUMMYFUNCTION("""COMPUTED_VALUE"""),45853.64583333333)</f>
        <v>45853.64583</v>
      </c>
      <c r="B206" s="7">
        <f>IFERROR(__xludf.DUMMYFUNCTION("""COMPUTED_VALUE"""),433.5)</f>
        <v>433.5</v>
      </c>
      <c r="C206" s="7">
        <f>IFERROR(__xludf.DUMMYFUNCTION("""COMPUTED_VALUE"""),441.0)</f>
        <v>441</v>
      </c>
      <c r="D206" s="7">
        <f>IFERROR(__xludf.DUMMYFUNCTION("""COMPUTED_VALUE"""),429.1)</f>
        <v>429.1</v>
      </c>
      <c r="E206" s="7">
        <f>IFERROR(__xludf.DUMMYFUNCTION("""COMPUTED_VALUE"""),433.45)</f>
        <v>433.45</v>
      </c>
      <c r="F206" s="7">
        <f>IFERROR(__xludf.DUMMYFUNCTION("""COMPUTED_VALUE"""),6427673.0)</f>
        <v>6427673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f>IFERROR(__xludf.DUMMYFUNCTION("""COMPUTED_VALUE"""),45854.64583333333)</f>
        <v>45854.64583</v>
      </c>
      <c r="B207" s="7">
        <f>IFERROR(__xludf.DUMMYFUNCTION("""COMPUTED_VALUE"""),434.45)</f>
        <v>434.45</v>
      </c>
      <c r="C207" s="7">
        <f>IFERROR(__xludf.DUMMYFUNCTION("""COMPUTED_VALUE"""),448.55)</f>
        <v>448.55</v>
      </c>
      <c r="D207" s="7">
        <f>IFERROR(__xludf.DUMMYFUNCTION("""COMPUTED_VALUE"""),433.7)</f>
        <v>433.7</v>
      </c>
      <c r="E207" s="7">
        <f>IFERROR(__xludf.DUMMYFUNCTION("""COMPUTED_VALUE"""),446.1)</f>
        <v>446.1</v>
      </c>
      <c r="F207" s="7">
        <f>IFERROR(__xludf.DUMMYFUNCTION("""COMPUTED_VALUE"""),6690619.0)</f>
        <v>6690619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f>IFERROR(__xludf.DUMMYFUNCTION("""COMPUTED_VALUE"""),45855.64583333333)</f>
        <v>45855.64583</v>
      </c>
      <c r="B208" s="7">
        <f>IFERROR(__xludf.DUMMYFUNCTION("""COMPUTED_VALUE"""),446.05)</f>
        <v>446.05</v>
      </c>
      <c r="C208" s="7">
        <f>IFERROR(__xludf.DUMMYFUNCTION("""COMPUTED_VALUE"""),446.4)</f>
        <v>446.4</v>
      </c>
      <c r="D208" s="7">
        <f>IFERROR(__xludf.DUMMYFUNCTION("""COMPUTED_VALUE"""),438.35)</f>
        <v>438.35</v>
      </c>
      <c r="E208" s="7">
        <f>IFERROR(__xludf.DUMMYFUNCTION("""COMPUTED_VALUE"""),440.0)</f>
        <v>440</v>
      </c>
      <c r="F208" s="7">
        <f>IFERROR(__xludf.DUMMYFUNCTION("""COMPUTED_VALUE"""),2643122.0)</f>
        <v>2643122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f>IFERROR(__xludf.DUMMYFUNCTION("""COMPUTED_VALUE"""),45856.64583333333)</f>
        <v>45856.64583</v>
      </c>
      <c r="B209" s="7">
        <f>IFERROR(__xludf.DUMMYFUNCTION("""COMPUTED_VALUE"""),440.0)</f>
        <v>440</v>
      </c>
      <c r="C209" s="7">
        <f>IFERROR(__xludf.DUMMYFUNCTION("""COMPUTED_VALUE"""),441.85)</f>
        <v>441.85</v>
      </c>
      <c r="D209" s="7">
        <f>IFERROR(__xludf.DUMMYFUNCTION("""COMPUTED_VALUE"""),429.5)</f>
        <v>429.5</v>
      </c>
      <c r="E209" s="7">
        <f>IFERROR(__xludf.DUMMYFUNCTION("""COMPUTED_VALUE"""),430.6)</f>
        <v>430.6</v>
      </c>
      <c r="F209" s="7">
        <f>IFERROR(__xludf.DUMMYFUNCTION("""COMPUTED_VALUE"""),3796647.0)</f>
        <v>3796647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f>IFERROR(__xludf.DUMMYFUNCTION("""COMPUTED_VALUE"""),45859.64583333333)</f>
        <v>45859.64583</v>
      </c>
      <c r="B210" s="7">
        <f>IFERROR(__xludf.DUMMYFUNCTION("""COMPUTED_VALUE"""),433.0)</f>
        <v>433</v>
      </c>
      <c r="C210" s="7">
        <f>IFERROR(__xludf.DUMMYFUNCTION("""COMPUTED_VALUE"""),434.6)</f>
        <v>434.6</v>
      </c>
      <c r="D210" s="7">
        <f>IFERROR(__xludf.DUMMYFUNCTION("""COMPUTED_VALUE"""),428.05)</f>
        <v>428.05</v>
      </c>
      <c r="E210" s="7">
        <f>IFERROR(__xludf.DUMMYFUNCTION("""COMPUTED_VALUE"""),431.7)</f>
        <v>431.7</v>
      </c>
      <c r="F210" s="7">
        <f>IFERROR(__xludf.DUMMYFUNCTION("""COMPUTED_VALUE"""),3426999.0)</f>
        <v>3426999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f>IFERROR(__xludf.DUMMYFUNCTION("""COMPUTED_VALUE"""),45860.64583333333)</f>
        <v>45860.64583</v>
      </c>
      <c r="B211" s="7">
        <f>IFERROR(__xludf.DUMMYFUNCTION("""COMPUTED_VALUE"""),433.0)</f>
        <v>433</v>
      </c>
      <c r="C211" s="7">
        <f>IFERROR(__xludf.DUMMYFUNCTION("""COMPUTED_VALUE"""),437.6)</f>
        <v>437.6</v>
      </c>
      <c r="D211" s="7">
        <f>IFERROR(__xludf.DUMMYFUNCTION("""COMPUTED_VALUE"""),428.45)</f>
        <v>428.45</v>
      </c>
      <c r="E211" s="7">
        <f>IFERROR(__xludf.DUMMYFUNCTION("""COMPUTED_VALUE"""),429.25)</f>
        <v>429.25</v>
      </c>
      <c r="F211" s="7">
        <f>IFERROR(__xludf.DUMMYFUNCTION("""COMPUTED_VALUE"""),4216517.0)</f>
        <v>4216517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f>IFERROR(__xludf.DUMMYFUNCTION("""COMPUTED_VALUE"""),45861.64583333333)</f>
        <v>45861.64583</v>
      </c>
      <c r="B212" s="7">
        <f>IFERROR(__xludf.DUMMYFUNCTION("""COMPUTED_VALUE"""),430.5)</f>
        <v>430.5</v>
      </c>
      <c r="C212" s="7">
        <f>IFERROR(__xludf.DUMMYFUNCTION("""COMPUTED_VALUE"""),436.0)</f>
        <v>436</v>
      </c>
      <c r="D212" s="7">
        <f>IFERROR(__xludf.DUMMYFUNCTION("""COMPUTED_VALUE"""),428.35)</f>
        <v>428.35</v>
      </c>
      <c r="E212" s="7">
        <f>IFERROR(__xludf.DUMMYFUNCTION("""COMPUTED_VALUE"""),434.5)</f>
        <v>434.5</v>
      </c>
      <c r="F212" s="7">
        <f>IFERROR(__xludf.DUMMYFUNCTION("""COMPUTED_VALUE"""),2793895.0)</f>
        <v>2793895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f>IFERROR(__xludf.DUMMYFUNCTION("""COMPUTED_VALUE"""),45862.64583333333)</f>
        <v>45862.64583</v>
      </c>
      <c r="B213" s="7">
        <f>IFERROR(__xludf.DUMMYFUNCTION("""COMPUTED_VALUE"""),435.3)</f>
        <v>435.3</v>
      </c>
      <c r="C213" s="7">
        <f>IFERROR(__xludf.DUMMYFUNCTION("""COMPUTED_VALUE"""),437.0)</f>
        <v>437</v>
      </c>
      <c r="D213" s="7">
        <f>IFERROR(__xludf.DUMMYFUNCTION("""COMPUTED_VALUE"""),432.4)</f>
        <v>432.4</v>
      </c>
      <c r="E213" s="7">
        <f>IFERROR(__xludf.DUMMYFUNCTION("""COMPUTED_VALUE"""),434.9)</f>
        <v>434.9</v>
      </c>
      <c r="F213" s="7">
        <f>IFERROR(__xludf.DUMMYFUNCTION("""COMPUTED_VALUE"""),2805754.0)</f>
        <v>2805754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f>IFERROR(__xludf.DUMMYFUNCTION("""COMPUTED_VALUE"""),45863.64583333333)</f>
        <v>45863.64583</v>
      </c>
      <c r="B214" s="7">
        <f>IFERROR(__xludf.DUMMYFUNCTION("""COMPUTED_VALUE"""),434.6)</f>
        <v>434.6</v>
      </c>
      <c r="C214" s="7">
        <f>IFERROR(__xludf.DUMMYFUNCTION("""COMPUTED_VALUE"""),434.9)</f>
        <v>434.9</v>
      </c>
      <c r="D214" s="7">
        <f>IFERROR(__xludf.DUMMYFUNCTION("""COMPUTED_VALUE"""),420.2)</f>
        <v>420.2</v>
      </c>
      <c r="E214" s="7">
        <f>IFERROR(__xludf.DUMMYFUNCTION("""COMPUTED_VALUE"""),421.8)</f>
        <v>421.8</v>
      </c>
      <c r="F214" s="7">
        <f>IFERROR(__xludf.DUMMYFUNCTION("""COMPUTED_VALUE"""),3196808.0)</f>
        <v>3196808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f>IFERROR(__xludf.DUMMYFUNCTION("""COMPUTED_VALUE"""),45866.64583333333)</f>
        <v>45866.64583</v>
      </c>
      <c r="B215" s="7">
        <f>IFERROR(__xludf.DUMMYFUNCTION("""COMPUTED_VALUE"""),422.5)</f>
        <v>422.5</v>
      </c>
      <c r="C215" s="7">
        <f>IFERROR(__xludf.DUMMYFUNCTION("""COMPUTED_VALUE"""),430.9)</f>
        <v>430.9</v>
      </c>
      <c r="D215" s="7">
        <f>IFERROR(__xludf.DUMMYFUNCTION("""COMPUTED_VALUE"""),419.5)</f>
        <v>419.5</v>
      </c>
      <c r="E215" s="7">
        <f>IFERROR(__xludf.DUMMYFUNCTION("""COMPUTED_VALUE"""),421.9)</f>
        <v>421.9</v>
      </c>
      <c r="F215" s="7">
        <f>IFERROR(__xludf.DUMMYFUNCTION("""COMPUTED_VALUE"""),2551271.0)</f>
        <v>2551271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f>IFERROR(__xludf.DUMMYFUNCTION("""COMPUTED_VALUE"""),45867.64583333333)</f>
        <v>45867.64583</v>
      </c>
      <c r="B216" s="7">
        <f>IFERROR(__xludf.DUMMYFUNCTION("""COMPUTED_VALUE"""),421.5)</f>
        <v>421.5</v>
      </c>
      <c r="C216" s="7">
        <f>IFERROR(__xludf.DUMMYFUNCTION("""COMPUTED_VALUE"""),426.6)</f>
        <v>426.6</v>
      </c>
      <c r="D216" s="7">
        <f>IFERROR(__xludf.DUMMYFUNCTION("""COMPUTED_VALUE"""),419.45)</f>
        <v>419.45</v>
      </c>
      <c r="E216" s="7">
        <f>IFERROR(__xludf.DUMMYFUNCTION("""COMPUTED_VALUE"""),425.8)</f>
        <v>425.8</v>
      </c>
      <c r="F216" s="7">
        <f>IFERROR(__xludf.DUMMYFUNCTION("""COMPUTED_VALUE"""),4743610.0)</f>
        <v>4743610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f>IFERROR(__xludf.DUMMYFUNCTION("""COMPUTED_VALUE"""),45868.64583333333)</f>
        <v>45868.64583</v>
      </c>
      <c r="B217" s="7">
        <f>IFERROR(__xludf.DUMMYFUNCTION("""COMPUTED_VALUE"""),424.0)</f>
        <v>424</v>
      </c>
      <c r="C217" s="7">
        <f>IFERROR(__xludf.DUMMYFUNCTION("""COMPUTED_VALUE"""),435.9)</f>
        <v>435.9</v>
      </c>
      <c r="D217" s="7">
        <f>IFERROR(__xludf.DUMMYFUNCTION("""COMPUTED_VALUE"""),416.0)</f>
        <v>416</v>
      </c>
      <c r="E217" s="7">
        <f>IFERROR(__xludf.DUMMYFUNCTION("""COMPUTED_VALUE"""),426.25)</f>
        <v>426.25</v>
      </c>
      <c r="F217" s="7">
        <f>IFERROR(__xludf.DUMMYFUNCTION("""COMPUTED_VALUE"""),6890461.0)</f>
        <v>6890461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f>IFERROR(__xludf.DUMMYFUNCTION("""COMPUTED_VALUE"""),45869.64583333333)</f>
        <v>45869.64583</v>
      </c>
      <c r="B218" s="7">
        <f>IFERROR(__xludf.DUMMYFUNCTION("""COMPUTED_VALUE"""),418.75)</f>
        <v>418.75</v>
      </c>
      <c r="C218" s="7">
        <f>IFERROR(__xludf.DUMMYFUNCTION("""COMPUTED_VALUE"""),421.4)</f>
        <v>421.4</v>
      </c>
      <c r="D218" s="7">
        <f>IFERROR(__xludf.DUMMYFUNCTION("""COMPUTED_VALUE"""),410.6)</f>
        <v>410.6</v>
      </c>
      <c r="E218" s="7">
        <f>IFERROR(__xludf.DUMMYFUNCTION("""COMPUTED_VALUE"""),418.45)</f>
        <v>418.45</v>
      </c>
      <c r="F218" s="7">
        <f>IFERROR(__xludf.DUMMYFUNCTION("""COMPUTED_VALUE"""),9826520.0)</f>
        <v>9826520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f>IFERROR(__xludf.DUMMYFUNCTION("""COMPUTED_VALUE"""),45870.64583333333)</f>
        <v>45870.64583</v>
      </c>
      <c r="B219" s="7">
        <f>IFERROR(__xludf.DUMMYFUNCTION("""COMPUTED_VALUE"""),420.9)</f>
        <v>420.9</v>
      </c>
      <c r="C219" s="7">
        <f>IFERROR(__xludf.DUMMYFUNCTION("""COMPUTED_VALUE"""),421.0)</f>
        <v>421</v>
      </c>
      <c r="D219" s="7">
        <f>IFERROR(__xludf.DUMMYFUNCTION("""COMPUTED_VALUE"""),402.1)</f>
        <v>402.1</v>
      </c>
      <c r="E219" s="7">
        <f>IFERROR(__xludf.DUMMYFUNCTION("""COMPUTED_VALUE"""),403.8)</f>
        <v>403.8</v>
      </c>
      <c r="F219" s="7">
        <f>IFERROR(__xludf.DUMMYFUNCTION("""COMPUTED_VALUE"""),3787580.0)</f>
        <v>3787580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f>IFERROR(__xludf.DUMMYFUNCTION("""COMPUTED_VALUE"""),45873.64583333333)</f>
        <v>45873.64583</v>
      </c>
      <c r="B220" s="7">
        <f>IFERROR(__xludf.DUMMYFUNCTION("""COMPUTED_VALUE"""),409.0)</f>
        <v>409</v>
      </c>
      <c r="C220" s="7">
        <f>IFERROR(__xludf.DUMMYFUNCTION("""COMPUTED_VALUE"""),409.55)</f>
        <v>409.55</v>
      </c>
      <c r="D220" s="7">
        <f>IFERROR(__xludf.DUMMYFUNCTION("""COMPUTED_VALUE"""),399.7)</f>
        <v>399.7</v>
      </c>
      <c r="E220" s="7">
        <f>IFERROR(__xludf.DUMMYFUNCTION("""COMPUTED_VALUE"""),408.65)</f>
        <v>408.65</v>
      </c>
      <c r="F220" s="7">
        <f>IFERROR(__xludf.DUMMYFUNCTION("""COMPUTED_VALUE"""),3277835.0)</f>
        <v>3277835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f>IFERROR(__xludf.DUMMYFUNCTION("""COMPUTED_VALUE"""),45874.64583333333)</f>
        <v>45874.64583</v>
      </c>
      <c r="B221" s="7">
        <f>IFERROR(__xludf.DUMMYFUNCTION("""COMPUTED_VALUE"""),405.9)</f>
        <v>405.9</v>
      </c>
      <c r="C221" s="7">
        <f>IFERROR(__xludf.DUMMYFUNCTION("""COMPUTED_VALUE"""),405.9)</f>
        <v>405.9</v>
      </c>
      <c r="D221" s="7">
        <f>IFERROR(__xludf.DUMMYFUNCTION("""COMPUTED_VALUE"""),394.5)</f>
        <v>394.5</v>
      </c>
      <c r="E221" s="7">
        <f>IFERROR(__xludf.DUMMYFUNCTION("""COMPUTED_VALUE"""),402.45)</f>
        <v>402.45</v>
      </c>
      <c r="F221" s="7">
        <f>IFERROR(__xludf.DUMMYFUNCTION("""COMPUTED_VALUE"""),7973897.0)</f>
        <v>7973897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f>IFERROR(__xludf.DUMMYFUNCTION("""COMPUTED_VALUE"""),45875.64583333333)</f>
        <v>45875.64583</v>
      </c>
      <c r="B222" s="7">
        <f>IFERROR(__xludf.DUMMYFUNCTION("""COMPUTED_VALUE"""),403.5)</f>
        <v>403.5</v>
      </c>
      <c r="C222" s="7">
        <f>IFERROR(__xludf.DUMMYFUNCTION("""COMPUTED_VALUE"""),404.9)</f>
        <v>404.9</v>
      </c>
      <c r="D222" s="7">
        <f>IFERROR(__xludf.DUMMYFUNCTION("""COMPUTED_VALUE"""),399.6)</f>
        <v>399.6</v>
      </c>
      <c r="E222" s="7">
        <f>IFERROR(__xludf.DUMMYFUNCTION("""COMPUTED_VALUE"""),401.4)</f>
        <v>401.4</v>
      </c>
      <c r="F222" s="7">
        <f>IFERROR(__xludf.DUMMYFUNCTION("""COMPUTED_VALUE"""),2150509.0)</f>
        <v>2150509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f>IFERROR(__xludf.DUMMYFUNCTION("""COMPUTED_VALUE"""),45876.64583333333)</f>
        <v>45876.64583</v>
      </c>
      <c r="B223" s="7">
        <f>IFERROR(__xludf.DUMMYFUNCTION("""COMPUTED_VALUE"""),401.0)</f>
        <v>401</v>
      </c>
      <c r="C223" s="7">
        <f>IFERROR(__xludf.DUMMYFUNCTION("""COMPUTED_VALUE"""),403.2)</f>
        <v>403.2</v>
      </c>
      <c r="D223" s="7">
        <f>IFERROR(__xludf.DUMMYFUNCTION("""COMPUTED_VALUE"""),392.15)</f>
        <v>392.15</v>
      </c>
      <c r="E223" s="7">
        <f>IFERROR(__xludf.DUMMYFUNCTION("""COMPUTED_VALUE"""),402.4)</f>
        <v>402.4</v>
      </c>
      <c r="F223" s="7">
        <f>IFERROR(__xludf.DUMMYFUNCTION("""COMPUTED_VALUE"""),6318838.0)</f>
        <v>6318838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f>IFERROR(__xludf.DUMMYFUNCTION("""COMPUTED_VALUE"""),45877.64583333333)</f>
        <v>45877.64583</v>
      </c>
      <c r="B224" s="7">
        <f>IFERROR(__xludf.DUMMYFUNCTION("""COMPUTED_VALUE"""),407.0)</f>
        <v>407</v>
      </c>
      <c r="C224" s="7">
        <f>IFERROR(__xludf.DUMMYFUNCTION("""COMPUTED_VALUE"""),415.35)</f>
        <v>415.35</v>
      </c>
      <c r="D224" s="7">
        <f>IFERROR(__xludf.DUMMYFUNCTION("""COMPUTED_VALUE"""),399.5)</f>
        <v>399.5</v>
      </c>
      <c r="E224" s="7">
        <f>IFERROR(__xludf.DUMMYFUNCTION("""COMPUTED_VALUE"""),409.5)</f>
        <v>409.5</v>
      </c>
      <c r="F224" s="7">
        <f>IFERROR(__xludf.DUMMYFUNCTION("""COMPUTED_VALUE"""),1.2286666E7)</f>
        <v>12286666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f>IFERROR(__xludf.DUMMYFUNCTION("""COMPUTED_VALUE"""),45880.64583333333)</f>
        <v>45880.64583</v>
      </c>
      <c r="B225" s="7">
        <f>IFERROR(__xludf.DUMMYFUNCTION("""COMPUTED_VALUE"""),414.05)</f>
        <v>414.05</v>
      </c>
      <c r="C225" s="7">
        <f>IFERROR(__xludf.DUMMYFUNCTION("""COMPUTED_VALUE"""),418.0)</f>
        <v>418</v>
      </c>
      <c r="D225" s="7">
        <f>IFERROR(__xludf.DUMMYFUNCTION("""COMPUTED_VALUE"""),400.6)</f>
        <v>400.6</v>
      </c>
      <c r="E225" s="7">
        <f>IFERROR(__xludf.DUMMYFUNCTION("""COMPUTED_VALUE"""),410.35)</f>
        <v>410.35</v>
      </c>
      <c r="F225" s="7">
        <f>IFERROR(__xludf.DUMMYFUNCTION("""COMPUTED_VALUE"""),8713932.0)</f>
        <v>8713932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f>IFERROR(__xludf.DUMMYFUNCTION("""COMPUTED_VALUE"""),45881.64583333333)</f>
        <v>45881.64583</v>
      </c>
      <c r="B226" s="7">
        <f>IFERROR(__xludf.DUMMYFUNCTION("""COMPUTED_VALUE"""),414.9)</f>
        <v>414.9</v>
      </c>
      <c r="C226" s="7">
        <f>IFERROR(__xludf.DUMMYFUNCTION("""COMPUTED_VALUE"""),414.9)</f>
        <v>414.9</v>
      </c>
      <c r="D226" s="7">
        <f>IFERROR(__xludf.DUMMYFUNCTION("""COMPUTED_VALUE"""),406.8)</f>
        <v>406.8</v>
      </c>
      <c r="E226" s="7">
        <f>IFERROR(__xludf.DUMMYFUNCTION("""COMPUTED_VALUE"""),408.05)</f>
        <v>408.05</v>
      </c>
      <c r="F226" s="7">
        <f>IFERROR(__xludf.DUMMYFUNCTION("""COMPUTED_VALUE"""),4526566.0)</f>
        <v>4526566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f>IFERROR(__xludf.DUMMYFUNCTION("""COMPUTED_VALUE"""),45882.64583333333)</f>
        <v>45882.64583</v>
      </c>
      <c r="B227" s="7">
        <f>IFERROR(__xludf.DUMMYFUNCTION("""COMPUTED_VALUE"""),411.5)</f>
        <v>411.5</v>
      </c>
      <c r="C227" s="7">
        <f>IFERROR(__xludf.DUMMYFUNCTION("""COMPUTED_VALUE"""),413.3)</f>
        <v>413.3</v>
      </c>
      <c r="D227" s="7">
        <f>IFERROR(__xludf.DUMMYFUNCTION("""COMPUTED_VALUE"""),406.7)</f>
        <v>406.7</v>
      </c>
      <c r="E227" s="7">
        <f>IFERROR(__xludf.DUMMYFUNCTION("""COMPUTED_VALUE"""),411.1)</f>
        <v>411.1</v>
      </c>
      <c r="F227" s="7">
        <f>IFERROR(__xludf.DUMMYFUNCTION("""COMPUTED_VALUE"""),3543374.0)</f>
        <v>3543374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f>IFERROR(__xludf.DUMMYFUNCTION("""COMPUTED_VALUE"""),45883.64583333333)</f>
        <v>45883.64583</v>
      </c>
      <c r="B228" s="7">
        <f>IFERROR(__xludf.DUMMYFUNCTION("""COMPUTED_VALUE"""),402.0)</f>
        <v>402</v>
      </c>
      <c r="C228" s="7">
        <f>IFERROR(__xludf.DUMMYFUNCTION("""COMPUTED_VALUE"""),406.1)</f>
        <v>406.1</v>
      </c>
      <c r="D228" s="7">
        <f>IFERROR(__xludf.DUMMYFUNCTION("""COMPUTED_VALUE"""),393.8)</f>
        <v>393.8</v>
      </c>
      <c r="E228" s="7">
        <f>IFERROR(__xludf.DUMMYFUNCTION("""COMPUTED_VALUE"""),394.35)</f>
        <v>394.35</v>
      </c>
      <c r="F228" s="7">
        <f>IFERROR(__xludf.DUMMYFUNCTION("""COMPUTED_VALUE"""),6536476.0)</f>
        <v>6536476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f>IFERROR(__xludf.DUMMYFUNCTION("""COMPUTED_VALUE"""),45887.64583333333)</f>
        <v>45887.64583</v>
      </c>
      <c r="B229" s="7">
        <f>IFERROR(__xludf.DUMMYFUNCTION("""COMPUTED_VALUE"""),397.05)</f>
        <v>397.05</v>
      </c>
      <c r="C229" s="7">
        <f>IFERROR(__xludf.DUMMYFUNCTION("""COMPUTED_VALUE"""),397.05)</f>
        <v>397.05</v>
      </c>
      <c r="D229" s="7">
        <f>IFERROR(__xludf.DUMMYFUNCTION("""COMPUTED_VALUE"""),383.4)</f>
        <v>383.4</v>
      </c>
      <c r="E229" s="7">
        <f>IFERROR(__xludf.DUMMYFUNCTION("""COMPUTED_VALUE"""),387.05)</f>
        <v>387.05</v>
      </c>
      <c r="F229" s="7">
        <f>IFERROR(__xludf.DUMMYFUNCTION("""COMPUTED_VALUE"""),6525577.0)</f>
        <v>6525577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f>IFERROR(__xludf.DUMMYFUNCTION("""COMPUTED_VALUE"""),45888.64583333333)</f>
        <v>45888.64583</v>
      </c>
      <c r="B230" s="7">
        <f>IFERROR(__xludf.DUMMYFUNCTION("""COMPUTED_VALUE"""),388.0)</f>
        <v>388</v>
      </c>
      <c r="C230" s="7">
        <f>IFERROR(__xludf.DUMMYFUNCTION("""COMPUTED_VALUE"""),397.85)</f>
        <v>397.85</v>
      </c>
      <c r="D230" s="7">
        <f>IFERROR(__xludf.DUMMYFUNCTION("""COMPUTED_VALUE"""),386.15)</f>
        <v>386.15</v>
      </c>
      <c r="E230" s="7">
        <f>IFERROR(__xludf.DUMMYFUNCTION("""COMPUTED_VALUE"""),395.6)</f>
        <v>395.6</v>
      </c>
      <c r="F230" s="7">
        <f>IFERROR(__xludf.DUMMYFUNCTION("""COMPUTED_VALUE"""),4227710.0)</f>
        <v>4227710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f>IFERROR(__xludf.DUMMYFUNCTION("""COMPUTED_VALUE"""),45889.64583333333)</f>
        <v>45889.64583</v>
      </c>
      <c r="B231" s="7">
        <f>IFERROR(__xludf.DUMMYFUNCTION("""COMPUTED_VALUE"""),394.55)</f>
        <v>394.55</v>
      </c>
      <c r="C231" s="7">
        <f>IFERROR(__xludf.DUMMYFUNCTION("""COMPUTED_VALUE"""),396.85)</f>
        <v>396.85</v>
      </c>
      <c r="D231" s="7">
        <f>IFERROR(__xludf.DUMMYFUNCTION("""COMPUTED_VALUE"""),390.1)</f>
        <v>390.1</v>
      </c>
      <c r="E231" s="7">
        <f>IFERROR(__xludf.DUMMYFUNCTION("""COMPUTED_VALUE"""),390.8)</f>
        <v>390.8</v>
      </c>
      <c r="F231" s="7">
        <f>IFERROR(__xludf.DUMMYFUNCTION("""COMPUTED_VALUE"""),5553949.0)</f>
        <v>5553949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f>IFERROR(__xludf.DUMMYFUNCTION("""COMPUTED_VALUE"""),45890.64583333333)</f>
        <v>45890.64583</v>
      </c>
      <c r="B232" s="7">
        <f>IFERROR(__xludf.DUMMYFUNCTION("""COMPUTED_VALUE"""),390.7)</f>
        <v>390.7</v>
      </c>
      <c r="C232" s="7">
        <f>IFERROR(__xludf.DUMMYFUNCTION("""COMPUTED_VALUE"""),395.45)</f>
        <v>395.45</v>
      </c>
      <c r="D232" s="7">
        <f>IFERROR(__xludf.DUMMYFUNCTION("""COMPUTED_VALUE"""),390.2)</f>
        <v>390.2</v>
      </c>
      <c r="E232" s="7">
        <f>IFERROR(__xludf.DUMMYFUNCTION("""COMPUTED_VALUE"""),393.15)</f>
        <v>393.15</v>
      </c>
      <c r="F232" s="7">
        <f>IFERROR(__xludf.DUMMYFUNCTION("""COMPUTED_VALUE"""),2094370.0)</f>
        <v>2094370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f>IFERROR(__xludf.DUMMYFUNCTION("""COMPUTED_VALUE"""),45891.64583333333)</f>
        <v>45891.64583</v>
      </c>
      <c r="B233" s="7">
        <f>IFERROR(__xludf.DUMMYFUNCTION("""COMPUTED_VALUE"""),393.0)</f>
        <v>393</v>
      </c>
      <c r="C233" s="7">
        <f>IFERROR(__xludf.DUMMYFUNCTION("""COMPUTED_VALUE"""),393.45)</f>
        <v>393.45</v>
      </c>
      <c r="D233" s="7">
        <f>IFERROR(__xludf.DUMMYFUNCTION("""COMPUTED_VALUE"""),387.7)</f>
        <v>387.7</v>
      </c>
      <c r="E233" s="7">
        <f>IFERROR(__xludf.DUMMYFUNCTION("""COMPUTED_VALUE"""),390.75)</f>
        <v>390.75</v>
      </c>
      <c r="F233" s="7">
        <f>IFERROR(__xludf.DUMMYFUNCTION("""COMPUTED_VALUE"""),2627075.0)</f>
        <v>2627075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f>IFERROR(__xludf.DUMMYFUNCTION("""COMPUTED_VALUE"""),45894.64583333333)</f>
        <v>45894.64583</v>
      </c>
      <c r="B234" s="7">
        <f>IFERROR(__xludf.DUMMYFUNCTION("""COMPUTED_VALUE"""),390.5)</f>
        <v>390.5</v>
      </c>
      <c r="C234" s="7">
        <f>IFERROR(__xludf.DUMMYFUNCTION("""COMPUTED_VALUE"""),391.5)</f>
        <v>391.5</v>
      </c>
      <c r="D234" s="7">
        <f>IFERROR(__xludf.DUMMYFUNCTION("""COMPUTED_VALUE"""),387.6)</f>
        <v>387.6</v>
      </c>
      <c r="E234" s="7">
        <f>IFERROR(__xludf.DUMMYFUNCTION("""COMPUTED_VALUE"""),390.25)</f>
        <v>390.25</v>
      </c>
      <c r="F234" s="7">
        <f>IFERROR(__xludf.DUMMYFUNCTION("""COMPUTED_VALUE"""),1235196.0)</f>
        <v>1235196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f>IFERROR(__xludf.DUMMYFUNCTION("""COMPUTED_VALUE"""),45895.64583333333)</f>
        <v>45895.64583</v>
      </c>
      <c r="B235" s="7">
        <f>IFERROR(__xludf.DUMMYFUNCTION("""COMPUTED_VALUE"""),388.2)</f>
        <v>388.2</v>
      </c>
      <c r="C235" s="7">
        <f>IFERROR(__xludf.DUMMYFUNCTION("""COMPUTED_VALUE"""),391.4)</f>
        <v>391.4</v>
      </c>
      <c r="D235" s="7">
        <f>IFERROR(__xludf.DUMMYFUNCTION("""COMPUTED_VALUE"""),381.95)</f>
        <v>381.95</v>
      </c>
      <c r="E235" s="7">
        <f>IFERROR(__xludf.DUMMYFUNCTION("""COMPUTED_VALUE"""),382.95)</f>
        <v>382.95</v>
      </c>
      <c r="F235" s="7">
        <f>IFERROR(__xludf.DUMMYFUNCTION("""COMPUTED_VALUE"""),4825204.0)</f>
        <v>4825204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f>IFERROR(__xludf.DUMMYFUNCTION("""COMPUTED_VALUE"""),45897.64583333333)</f>
        <v>45897.64583</v>
      </c>
      <c r="B236" s="7">
        <f>IFERROR(__xludf.DUMMYFUNCTION("""COMPUTED_VALUE"""),384.65)</f>
        <v>384.65</v>
      </c>
      <c r="C236" s="7">
        <f>IFERROR(__xludf.DUMMYFUNCTION("""COMPUTED_VALUE"""),386.5)</f>
        <v>386.5</v>
      </c>
      <c r="D236" s="7">
        <f>IFERROR(__xludf.DUMMYFUNCTION("""COMPUTED_VALUE"""),380.8)</f>
        <v>380.8</v>
      </c>
      <c r="E236" s="7">
        <f>IFERROR(__xludf.DUMMYFUNCTION("""COMPUTED_VALUE"""),381.75)</f>
        <v>381.75</v>
      </c>
      <c r="F236" s="7">
        <f>IFERROR(__xludf.DUMMYFUNCTION("""COMPUTED_VALUE"""),3975225.0)</f>
        <v>3975225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f>IFERROR(__xludf.DUMMYFUNCTION("""COMPUTED_VALUE"""),45898.64583333333)</f>
        <v>45898.64583</v>
      </c>
      <c r="B237" s="7">
        <f>IFERROR(__xludf.DUMMYFUNCTION("""COMPUTED_VALUE"""),381.75)</f>
        <v>381.75</v>
      </c>
      <c r="C237" s="7">
        <f>IFERROR(__xludf.DUMMYFUNCTION("""COMPUTED_VALUE"""),383.85)</f>
        <v>383.85</v>
      </c>
      <c r="D237" s="7">
        <f>IFERROR(__xludf.DUMMYFUNCTION("""COMPUTED_VALUE"""),375.05)</f>
        <v>375.05</v>
      </c>
      <c r="E237" s="7">
        <f>IFERROR(__xludf.DUMMYFUNCTION("""COMPUTED_VALUE"""),375.9)</f>
        <v>375.9</v>
      </c>
      <c r="F237" s="7">
        <f>IFERROR(__xludf.DUMMYFUNCTION("""COMPUTED_VALUE"""),3112442.0)</f>
        <v>3112442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f>IFERROR(__xludf.DUMMYFUNCTION("""COMPUTED_VALUE"""),45901.64583333333)</f>
        <v>45901.64583</v>
      </c>
      <c r="B238" s="7">
        <f>IFERROR(__xludf.DUMMYFUNCTION("""COMPUTED_VALUE"""),377.0)</f>
        <v>377</v>
      </c>
      <c r="C238" s="7">
        <f>IFERROR(__xludf.DUMMYFUNCTION("""COMPUTED_VALUE"""),385.7)</f>
        <v>385.7</v>
      </c>
      <c r="D238" s="7">
        <f>IFERROR(__xludf.DUMMYFUNCTION("""COMPUTED_VALUE"""),376.6)</f>
        <v>376.6</v>
      </c>
      <c r="E238" s="7">
        <f>IFERROR(__xludf.DUMMYFUNCTION("""COMPUTED_VALUE"""),385.25)</f>
        <v>385.25</v>
      </c>
      <c r="F238" s="7">
        <f>IFERROR(__xludf.DUMMYFUNCTION("""COMPUTED_VALUE"""),2360108.0)</f>
        <v>2360108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f>IFERROR(__xludf.DUMMYFUNCTION("""COMPUTED_VALUE"""),45902.64583333333)</f>
        <v>45902.64583</v>
      </c>
      <c r="B239" s="7">
        <f>IFERROR(__xludf.DUMMYFUNCTION("""COMPUTED_VALUE"""),385.25)</f>
        <v>385.25</v>
      </c>
      <c r="C239" s="7">
        <f>IFERROR(__xludf.DUMMYFUNCTION("""COMPUTED_VALUE"""),387.35)</f>
        <v>387.35</v>
      </c>
      <c r="D239" s="7">
        <f>IFERROR(__xludf.DUMMYFUNCTION("""COMPUTED_VALUE"""),382.0)</f>
        <v>382</v>
      </c>
      <c r="E239" s="7">
        <f>IFERROR(__xludf.DUMMYFUNCTION("""COMPUTED_VALUE"""),384.6)</f>
        <v>384.6</v>
      </c>
      <c r="F239" s="7">
        <f>IFERROR(__xludf.DUMMYFUNCTION("""COMPUTED_VALUE"""),1630216.0)</f>
        <v>1630216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f>IFERROR(__xludf.DUMMYFUNCTION("""COMPUTED_VALUE"""),45903.64583333333)</f>
        <v>45903.64583</v>
      </c>
      <c r="B240" s="7">
        <f>IFERROR(__xludf.DUMMYFUNCTION("""COMPUTED_VALUE"""),383.0)</f>
        <v>383</v>
      </c>
      <c r="C240" s="7">
        <f>IFERROR(__xludf.DUMMYFUNCTION("""COMPUTED_VALUE"""),391.65)</f>
        <v>391.65</v>
      </c>
      <c r="D240" s="7">
        <f>IFERROR(__xludf.DUMMYFUNCTION("""COMPUTED_VALUE"""),383.0)</f>
        <v>383</v>
      </c>
      <c r="E240" s="7">
        <f>IFERROR(__xludf.DUMMYFUNCTION("""COMPUTED_VALUE"""),387.25)</f>
        <v>387.25</v>
      </c>
      <c r="F240" s="7">
        <f>IFERROR(__xludf.DUMMYFUNCTION("""COMPUTED_VALUE"""),2725471.0)</f>
        <v>2725471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f>IFERROR(__xludf.DUMMYFUNCTION("""COMPUTED_VALUE"""),45904.64583333333)</f>
        <v>45904.64583</v>
      </c>
      <c r="B241" s="7">
        <f>IFERROR(__xludf.DUMMYFUNCTION("""COMPUTED_VALUE"""),389.1)</f>
        <v>389.1</v>
      </c>
      <c r="C241" s="7">
        <f>IFERROR(__xludf.DUMMYFUNCTION("""COMPUTED_VALUE"""),391.95)</f>
        <v>391.95</v>
      </c>
      <c r="D241" s="7">
        <f>IFERROR(__xludf.DUMMYFUNCTION("""COMPUTED_VALUE"""),383.5)</f>
        <v>383.5</v>
      </c>
      <c r="E241" s="7">
        <f>IFERROR(__xludf.DUMMYFUNCTION("""COMPUTED_VALUE"""),384.6)</f>
        <v>384.6</v>
      </c>
      <c r="F241" s="7">
        <f>IFERROR(__xludf.DUMMYFUNCTION("""COMPUTED_VALUE"""),2609930.0)</f>
        <v>2609930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f>IFERROR(__xludf.DUMMYFUNCTION("""COMPUTED_VALUE"""),45905.64583333333)</f>
        <v>45905.64583</v>
      </c>
      <c r="B242" s="7">
        <f>IFERROR(__xludf.DUMMYFUNCTION("""COMPUTED_VALUE"""),384.7)</f>
        <v>384.7</v>
      </c>
      <c r="C242" s="7">
        <f>IFERROR(__xludf.DUMMYFUNCTION("""COMPUTED_VALUE"""),386.55)</f>
        <v>386.55</v>
      </c>
      <c r="D242" s="7">
        <f>IFERROR(__xludf.DUMMYFUNCTION("""COMPUTED_VALUE"""),380.2)</f>
        <v>380.2</v>
      </c>
      <c r="E242" s="7">
        <f>IFERROR(__xludf.DUMMYFUNCTION("""COMPUTED_VALUE"""),383.6)</f>
        <v>383.6</v>
      </c>
      <c r="F242" s="7">
        <f>IFERROR(__xludf.DUMMYFUNCTION("""COMPUTED_VALUE"""),2017875.0)</f>
        <v>2017875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f>IFERROR(__xludf.DUMMYFUNCTION("""COMPUTED_VALUE"""),45908.64583333333)</f>
        <v>45908.64583</v>
      </c>
      <c r="B243" s="7">
        <f>IFERROR(__xludf.DUMMYFUNCTION("""COMPUTED_VALUE"""),384.15)</f>
        <v>384.15</v>
      </c>
      <c r="C243" s="7">
        <f>IFERROR(__xludf.DUMMYFUNCTION("""COMPUTED_VALUE"""),395.3)</f>
        <v>395.3</v>
      </c>
      <c r="D243" s="7">
        <f>IFERROR(__xludf.DUMMYFUNCTION("""COMPUTED_VALUE"""),384.15)</f>
        <v>384.15</v>
      </c>
      <c r="E243" s="7">
        <f>IFERROR(__xludf.DUMMYFUNCTION("""COMPUTED_VALUE"""),393.9)</f>
        <v>393.9</v>
      </c>
      <c r="F243" s="7">
        <f>IFERROR(__xludf.DUMMYFUNCTION("""COMPUTED_VALUE"""),2956578.0)</f>
        <v>2956578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f>IFERROR(__xludf.DUMMYFUNCTION("""COMPUTED_VALUE"""),45909.64583333333)</f>
        <v>45909.64583</v>
      </c>
      <c r="B244" s="7">
        <f>IFERROR(__xludf.DUMMYFUNCTION("""COMPUTED_VALUE"""),394.0)</f>
        <v>394</v>
      </c>
      <c r="C244" s="7">
        <f>IFERROR(__xludf.DUMMYFUNCTION("""COMPUTED_VALUE"""),397.0)</f>
        <v>397</v>
      </c>
      <c r="D244" s="7">
        <f>IFERROR(__xludf.DUMMYFUNCTION("""COMPUTED_VALUE"""),389.3)</f>
        <v>389.3</v>
      </c>
      <c r="E244" s="7">
        <f>IFERROR(__xludf.DUMMYFUNCTION("""COMPUTED_VALUE"""),389.9)</f>
        <v>389.9</v>
      </c>
      <c r="F244" s="7">
        <f>IFERROR(__xludf.DUMMYFUNCTION("""COMPUTED_VALUE"""),1921681.0)</f>
        <v>1921681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f>IFERROR(__xludf.DUMMYFUNCTION("""COMPUTED_VALUE"""),45910.64583333333)</f>
        <v>45910.64583</v>
      </c>
      <c r="B245" s="7">
        <f>IFERROR(__xludf.DUMMYFUNCTION("""COMPUTED_VALUE"""),391.0)</f>
        <v>391</v>
      </c>
      <c r="C245" s="7">
        <f>IFERROR(__xludf.DUMMYFUNCTION("""COMPUTED_VALUE"""),393.9)</f>
        <v>393.9</v>
      </c>
      <c r="D245" s="7">
        <f>IFERROR(__xludf.DUMMYFUNCTION("""COMPUTED_VALUE"""),388.8)</f>
        <v>388.8</v>
      </c>
      <c r="E245" s="7">
        <f>IFERROR(__xludf.DUMMYFUNCTION("""COMPUTED_VALUE"""),392.45)</f>
        <v>392.45</v>
      </c>
      <c r="F245" s="7">
        <f>IFERROR(__xludf.DUMMYFUNCTION("""COMPUTED_VALUE"""),1897568.0)</f>
        <v>1897568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f>IFERROR(__xludf.DUMMYFUNCTION("""COMPUTED_VALUE"""),45911.64583333333)</f>
        <v>45911.64583</v>
      </c>
      <c r="B246" s="7">
        <f>IFERROR(__xludf.DUMMYFUNCTION("""COMPUTED_VALUE"""),391.0)</f>
        <v>391</v>
      </c>
      <c r="C246" s="7">
        <f>IFERROR(__xludf.DUMMYFUNCTION("""COMPUTED_VALUE"""),405.8)</f>
        <v>405.8</v>
      </c>
      <c r="D246" s="7">
        <f>IFERROR(__xludf.DUMMYFUNCTION("""COMPUTED_VALUE"""),391.0)</f>
        <v>391</v>
      </c>
      <c r="E246" s="7">
        <f>IFERROR(__xludf.DUMMYFUNCTION("""COMPUTED_VALUE"""),397.8)</f>
        <v>397.8</v>
      </c>
      <c r="F246" s="7">
        <f>IFERROR(__xludf.DUMMYFUNCTION("""COMPUTED_VALUE"""),3642055.0)</f>
        <v>3642055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f>IFERROR(__xludf.DUMMYFUNCTION("""COMPUTED_VALUE"""),45912.64583333333)</f>
        <v>45912.64583</v>
      </c>
      <c r="B247" s="7">
        <f>IFERROR(__xludf.DUMMYFUNCTION("""COMPUTED_VALUE"""),398.95)</f>
        <v>398.95</v>
      </c>
      <c r="C247" s="7">
        <f>IFERROR(__xludf.DUMMYFUNCTION("""COMPUTED_VALUE"""),401.05)</f>
        <v>401.05</v>
      </c>
      <c r="D247" s="7">
        <f>IFERROR(__xludf.DUMMYFUNCTION("""COMPUTED_VALUE"""),396.55)</f>
        <v>396.55</v>
      </c>
      <c r="E247" s="7">
        <f>IFERROR(__xludf.DUMMYFUNCTION("""COMPUTED_VALUE"""),398.75)</f>
        <v>398.75</v>
      </c>
      <c r="F247" s="7">
        <f>IFERROR(__xludf.DUMMYFUNCTION("""COMPUTED_VALUE"""),1389746.0)</f>
        <v>1389746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f>IFERROR(__xludf.DUMMYFUNCTION("""COMPUTED_VALUE"""),45915.64583333333)</f>
        <v>45915.64583</v>
      </c>
      <c r="B248" s="7">
        <f>IFERROR(__xludf.DUMMYFUNCTION("""COMPUTED_VALUE"""),398.75)</f>
        <v>398.75</v>
      </c>
      <c r="C248" s="7">
        <f>IFERROR(__xludf.DUMMYFUNCTION("""COMPUTED_VALUE"""),400.65)</f>
        <v>400.65</v>
      </c>
      <c r="D248" s="7">
        <f>IFERROR(__xludf.DUMMYFUNCTION("""COMPUTED_VALUE"""),396.2)</f>
        <v>396.2</v>
      </c>
      <c r="E248" s="7">
        <f>IFERROR(__xludf.DUMMYFUNCTION("""COMPUTED_VALUE"""),399.85)</f>
        <v>399.85</v>
      </c>
      <c r="F248" s="7">
        <f>IFERROR(__xludf.DUMMYFUNCTION("""COMPUTED_VALUE"""),1227975.0)</f>
        <v>1227975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>
        <f>IFERROR(__xludf.DUMMYFUNCTION("""COMPUTED_VALUE"""),45916.64583333333)</f>
        <v>45916.64583</v>
      </c>
      <c r="B249" s="7">
        <f>IFERROR(__xludf.DUMMYFUNCTION("""COMPUTED_VALUE"""),401.8)</f>
        <v>401.8</v>
      </c>
      <c r="C249" s="7">
        <f>IFERROR(__xludf.DUMMYFUNCTION("""COMPUTED_VALUE"""),403.05)</f>
        <v>403.05</v>
      </c>
      <c r="D249" s="7">
        <f>IFERROR(__xludf.DUMMYFUNCTION("""COMPUTED_VALUE"""),400.15)</f>
        <v>400.15</v>
      </c>
      <c r="E249" s="7">
        <f>IFERROR(__xludf.DUMMYFUNCTION("""COMPUTED_VALUE"""),402.0)</f>
        <v>402</v>
      </c>
      <c r="F249" s="7">
        <f>IFERROR(__xludf.DUMMYFUNCTION("""COMPUTED_VALUE"""),1344352.0)</f>
        <v>1344352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IFERROR(__xludf.DUMMYFUNCTION("IFERROR(GOOGLEFINANCE(""NSE:ADANIGREEN"",""all"",EDATE(TODAY(),-12),TODAY(),""DAILY""))
"),"Date")</f>
        <v>Date</v>
      </c>
      <c r="B1" s="11" t="str">
        <f>IFERROR(__xludf.DUMMYFUNCTION("""COMPUTED_VALUE"""),"Open")</f>
        <v>Open</v>
      </c>
      <c r="C1" s="11" t="str">
        <f>IFERROR(__xludf.DUMMYFUNCTION("""COMPUTED_VALUE"""),"High")</f>
        <v>High</v>
      </c>
      <c r="D1" s="11" t="str">
        <f>IFERROR(__xludf.DUMMYFUNCTION("""COMPUTED_VALUE"""),"Low")</f>
        <v>Low</v>
      </c>
      <c r="E1" s="11" t="str">
        <f>IFERROR(__xludf.DUMMYFUNCTION("""COMPUTED_VALUE"""),"Close")</f>
        <v>Close</v>
      </c>
      <c r="F1" s="11" t="str">
        <f>IFERROR(__xludf.DUMMYFUNCTION("""COMPUTED_VALUE"""),"Volume")</f>
        <v>Volume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>
        <f>IFERROR(__xludf.DUMMYFUNCTION("""COMPUTED_VALUE"""),45551.64583333333)</f>
        <v>45551.64583</v>
      </c>
      <c r="B2" s="7">
        <f>IFERROR(__xludf.DUMMYFUNCTION("""COMPUTED_VALUE"""),1850.0)</f>
        <v>1850</v>
      </c>
      <c r="C2" s="7">
        <f>IFERROR(__xludf.DUMMYFUNCTION("""COMPUTED_VALUE"""),1941.65)</f>
        <v>1941.65</v>
      </c>
      <c r="D2" s="7">
        <f>IFERROR(__xludf.DUMMYFUNCTION("""COMPUTED_VALUE"""),1833.15)</f>
        <v>1833.15</v>
      </c>
      <c r="E2" s="7">
        <f>IFERROR(__xludf.DUMMYFUNCTION("""COMPUTED_VALUE"""),1930.8)</f>
        <v>1930.8</v>
      </c>
      <c r="F2" s="7">
        <f>IFERROR(__xludf.DUMMYFUNCTION("""COMPUTED_VALUE"""),5342579.0)</f>
        <v>5342579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f>IFERROR(__xludf.DUMMYFUNCTION("""COMPUTED_VALUE"""),45552.64583333333)</f>
        <v>45552.64583</v>
      </c>
      <c r="B3" s="7">
        <f>IFERROR(__xludf.DUMMYFUNCTION("""COMPUTED_VALUE"""),1930.8)</f>
        <v>1930.8</v>
      </c>
      <c r="C3" s="7">
        <f>IFERROR(__xludf.DUMMYFUNCTION("""COMPUTED_VALUE"""),1978.0)</f>
        <v>1978</v>
      </c>
      <c r="D3" s="7">
        <f>IFERROR(__xludf.DUMMYFUNCTION("""COMPUTED_VALUE"""),1886.0)</f>
        <v>1886</v>
      </c>
      <c r="E3" s="7">
        <f>IFERROR(__xludf.DUMMYFUNCTION("""COMPUTED_VALUE"""),1954.4)</f>
        <v>1954.4</v>
      </c>
      <c r="F3" s="7">
        <f>IFERROR(__xludf.DUMMYFUNCTION("""COMPUTED_VALUE"""),4392980.0)</f>
        <v>4392980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f>IFERROR(__xludf.DUMMYFUNCTION("""COMPUTED_VALUE"""),45553.64583333333)</f>
        <v>45553.64583</v>
      </c>
      <c r="B4" s="7">
        <f>IFERROR(__xludf.DUMMYFUNCTION("""COMPUTED_VALUE"""),1940.0)</f>
        <v>1940</v>
      </c>
      <c r="C4" s="7">
        <f>IFERROR(__xludf.DUMMYFUNCTION("""COMPUTED_VALUE"""),1965.0)</f>
        <v>1965</v>
      </c>
      <c r="D4" s="7">
        <f>IFERROR(__xludf.DUMMYFUNCTION("""COMPUTED_VALUE"""),1925.1)</f>
        <v>1925.1</v>
      </c>
      <c r="E4" s="7">
        <f>IFERROR(__xludf.DUMMYFUNCTION("""COMPUTED_VALUE"""),1950.8)</f>
        <v>1950.8</v>
      </c>
      <c r="F4" s="7">
        <f>IFERROR(__xludf.DUMMYFUNCTION("""COMPUTED_VALUE"""),2911792.0)</f>
        <v>2911792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f>IFERROR(__xludf.DUMMYFUNCTION("""COMPUTED_VALUE"""),45554.64583333333)</f>
        <v>45554.64583</v>
      </c>
      <c r="B5" s="7">
        <f>IFERROR(__xludf.DUMMYFUNCTION("""COMPUTED_VALUE"""),1941.0)</f>
        <v>1941</v>
      </c>
      <c r="C5" s="7">
        <f>IFERROR(__xludf.DUMMYFUNCTION("""COMPUTED_VALUE"""),1968.35)</f>
        <v>1968.35</v>
      </c>
      <c r="D5" s="7">
        <f>IFERROR(__xludf.DUMMYFUNCTION("""COMPUTED_VALUE"""),1905.8)</f>
        <v>1905.8</v>
      </c>
      <c r="E5" s="7">
        <f>IFERROR(__xludf.DUMMYFUNCTION("""COMPUTED_VALUE"""),1962.95)</f>
        <v>1962.95</v>
      </c>
      <c r="F5" s="7">
        <f>IFERROR(__xludf.DUMMYFUNCTION("""COMPUTED_VALUE"""),4625834.0)</f>
        <v>4625834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f>IFERROR(__xludf.DUMMYFUNCTION("""COMPUTED_VALUE"""),45555.64583333333)</f>
        <v>45555.64583</v>
      </c>
      <c r="B6" s="7">
        <f>IFERROR(__xludf.DUMMYFUNCTION("""COMPUTED_VALUE"""),1962.95)</f>
        <v>1962.95</v>
      </c>
      <c r="C6" s="7">
        <f>IFERROR(__xludf.DUMMYFUNCTION("""COMPUTED_VALUE"""),2019.95)</f>
        <v>2019.95</v>
      </c>
      <c r="D6" s="7">
        <f>IFERROR(__xludf.DUMMYFUNCTION("""COMPUTED_VALUE"""),1947.0)</f>
        <v>1947</v>
      </c>
      <c r="E6" s="7">
        <f>IFERROR(__xludf.DUMMYFUNCTION("""COMPUTED_VALUE"""),2003.95)</f>
        <v>2003.95</v>
      </c>
      <c r="F6" s="7">
        <f>IFERROR(__xludf.DUMMYFUNCTION("""COMPUTED_VALUE"""),5657903.0)</f>
        <v>5657903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f>IFERROR(__xludf.DUMMYFUNCTION("""COMPUTED_VALUE"""),45558.64583333333)</f>
        <v>45558.64583</v>
      </c>
      <c r="B7" s="7">
        <f>IFERROR(__xludf.DUMMYFUNCTION("""COMPUTED_VALUE"""),2028.95)</f>
        <v>2028.95</v>
      </c>
      <c r="C7" s="7">
        <f>IFERROR(__xludf.DUMMYFUNCTION("""COMPUTED_VALUE"""),2042.9)</f>
        <v>2042.9</v>
      </c>
      <c r="D7" s="7">
        <f>IFERROR(__xludf.DUMMYFUNCTION("""COMPUTED_VALUE"""),1963.05)</f>
        <v>1963.05</v>
      </c>
      <c r="E7" s="7">
        <f>IFERROR(__xludf.DUMMYFUNCTION("""COMPUTED_VALUE"""),2031.2)</f>
        <v>2031.2</v>
      </c>
      <c r="F7" s="7">
        <f>IFERROR(__xludf.DUMMYFUNCTION("""COMPUTED_VALUE"""),3976960.0)</f>
        <v>3976960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f>IFERROR(__xludf.DUMMYFUNCTION("""COMPUTED_VALUE"""),45559.64583333333)</f>
        <v>45559.64583</v>
      </c>
      <c r="B8" s="7">
        <f>IFERROR(__xludf.DUMMYFUNCTION("""COMPUTED_VALUE"""),2037.6)</f>
        <v>2037.6</v>
      </c>
      <c r="C8" s="7">
        <f>IFERROR(__xludf.DUMMYFUNCTION("""COMPUTED_VALUE"""),2079.65)</f>
        <v>2079.65</v>
      </c>
      <c r="D8" s="7">
        <f>IFERROR(__xludf.DUMMYFUNCTION("""COMPUTED_VALUE"""),2023.7)</f>
        <v>2023.7</v>
      </c>
      <c r="E8" s="7">
        <f>IFERROR(__xludf.DUMMYFUNCTION("""COMPUTED_VALUE"""),2070.55)</f>
        <v>2070.55</v>
      </c>
      <c r="F8" s="7">
        <f>IFERROR(__xludf.DUMMYFUNCTION("""COMPUTED_VALUE"""),2241165.0)</f>
        <v>2241165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f>IFERROR(__xludf.DUMMYFUNCTION("""COMPUTED_VALUE"""),45560.64583333333)</f>
        <v>45560.64583</v>
      </c>
      <c r="B9" s="7">
        <f>IFERROR(__xludf.DUMMYFUNCTION("""COMPUTED_VALUE"""),2079.0)</f>
        <v>2079</v>
      </c>
      <c r="C9" s="7">
        <f>IFERROR(__xludf.DUMMYFUNCTION("""COMPUTED_VALUE"""),2087.75)</f>
        <v>2087.75</v>
      </c>
      <c r="D9" s="7">
        <f>IFERROR(__xludf.DUMMYFUNCTION("""COMPUTED_VALUE"""),2027.1)</f>
        <v>2027.1</v>
      </c>
      <c r="E9" s="7">
        <f>IFERROR(__xludf.DUMMYFUNCTION("""COMPUTED_VALUE"""),2066.75)</f>
        <v>2066.75</v>
      </c>
      <c r="F9" s="7">
        <f>IFERROR(__xludf.DUMMYFUNCTION("""COMPUTED_VALUE"""),1112406.0)</f>
        <v>1112406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f>IFERROR(__xludf.DUMMYFUNCTION("""COMPUTED_VALUE"""),45561.64583333333)</f>
        <v>45561.64583</v>
      </c>
      <c r="B10" s="7">
        <f>IFERROR(__xludf.DUMMYFUNCTION("""COMPUTED_VALUE"""),2080.0)</f>
        <v>2080</v>
      </c>
      <c r="C10" s="7">
        <f>IFERROR(__xludf.DUMMYFUNCTION("""COMPUTED_VALUE"""),2091.0)</f>
        <v>2091</v>
      </c>
      <c r="D10" s="7">
        <f>IFERROR(__xludf.DUMMYFUNCTION("""COMPUTED_VALUE"""),2039.2)</f>
        <v>2039.2</v>
      </c>
      <c r="E10" s="7">
        <f>IFERROR(__xludf.DUMMYFUNCTION("""COMPUTED_VALUE"""),2057.85)</f>
        <v>2057.85</v>
      </c>
      <c r="F10" s="7">
        <f>IFERROR(__xludf.DUMMYFUNCTION("""COMPUTED_VALUE"""),804165.0)</f>
        <v>804165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f>IFERROR(__xludf.DUMMYFUNCTION("""COMPUTED_VALUE"""),45562.64583333333)</f>
        <v>45562.64583</v>
      </c>
      <c r="B11" s="7">
        <f>IFERROR(__xludf.DUMMYFUNCTION("""COMPUTED_VALUE"""),2060.0)</f>
        <v>2060</v>
      </c>
      <c r="C11" s="7">
        <f>IFERROR(__xludf.DUMMYFUNCTION("""COMPUTED_VALUE"""),2084.3)</f>
        <v>2084.3</v>
      </c>
      <c r="D11" s="7">
        <f>IFERROR(__xludf.DUMMYFUNCTION("""COMPUTED_VALUE"""),1963.75)</f>
        <v>1963.75</v>
      </c>
      <c r="E11" s="7">
        <f>IFERROR(__xludf.DUMMYFUNCTION("""COMPUTED_VALUE"""),1981.85)</f>
        <v>1981.85</v>
      </c>
      <c r="F11" s="7">
        <f>IFERROR(__xludf.DUMMYFUNCTION("""COMPUTED_VALUE"""),2301548.0)</f>
        <v>2301548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f>IFERROR(__xludf.DUMMYFUNCTION("""COMPUTED_VALUE"""),45565.64583333333)</f>
        <v>45565.64583</v>
      </c>
      <c r="B12" s="7">
        <f>IFERROR(__xludf.DUMMYFUNCTION("""COMPUTED_VALUE"""),1985.0)</f>
        <v>1985</v>
      </c>
      <c r="C12" s="7">
        <f>IFERROR(__xludf.DUMMYFUNCTION("""COMPUTED_VALUE"""),1988.45)</f>
        <v>1988.45</v>
      </c>
      <c r="D12" s="7">
        <f>IFERROR(__xludf.DUMMYFUNCTION("""COMPUTED_VALUE"""),1891.9)</f>
        <v>1891.9</v>
      </c>
      <c r="E12" s="7">
        <f>IFERROR(__xludf.DUMMYFUNCTION("""COMPUTED_VALUE"""),1902.7)</f>
        <v>1902.7</v>
      </c>
      <c r="F12" s="7">
        <f>IFERROR(__xludf.DUMMYFUNCTION("""COMPUTED_VALUE"""),1369027.0)</f>
        <v>1369027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f>IFERROR(__xludf.DUMMYFUNCTION("""COMPUTED_VALUE"""),45566.64583333333)</f>
        <v>45566.64583</v>
      </c>
      <c r="B13" s="7">
        <f>IFERROR(__xludf.DUMMYFUNCTION("""COMPUTED_VALUE"""),1915.55)</f>
        <v>1915.55</v>
      </c>
      <c r="C13" s="7">
        <f>IFERROR(__xludf.DUMMYFUNCTION("""COMPUTED_VALUE"""),1929.55)</f>
        <v>1929.55</v>
      </c>
      <c r="D13" s="7">
        <f>IFERROR(__xludf.DUMMYFUNCTION("""COMPUTED_VALUE"""),1880.0)</f>
        <v>1880</v>
      </c>
      <c r="E13" s="7">
        <f>IFERROR(__xludf.DUMMYFUNCTION("""COMPUTED_VALUE"""),1884.95)</f>
        <v>1884.95</v>
      </c>
      <c r="F13" s="7">
        <f>IFERROR(__xludf.DUMMYFUNCTION("""COMPUTED_VALUE"""),798097.0)</f>
        <v>798097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f>IFERROR(__xludf.DUMMYFUNCTION("""COMPUTED_VALUE"""),45568.64583333333)</f>
        <v>45568.64583</v>
      </c>
      <c r="B14" s="7">
        <f>IFERROR(__xludf.DUMMYFUNCTION("""COMPUTED_VALUE"""),1865.0)</f>
        <v>1865</v>
      </c>
      <c r="C14" s="7">
        <f>IFERROR(__xludf.DUMMYFUNCTION("""COMPUTED_VALUE"""),1868.6)</f>
        <v>1868.6</v>
      </c>
      <c r="D14" s="7">
        <f>IFERROR(__xludf.DUMMYFUNCTION("""COMPUTED_VALUE"""),1775.75)</f>
        <v>1775.75</v>
      </c>
      <c r="E14" s="7">
        <f>IFERROR(__xludf.DUMMYFUNCTION("""COMPUTED_VALUE"""),1807.8)</f>
        <v>1807.8</v>
      </c>
      <c r="F14" s="7">
        <f>IFERROR(__xludf.DUMMYFUNCTION("""COMPUTED_VALUE"""),1694940.0)</f>
        <v>1694940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f>IFERROR(__xludf.DUMMYFUNCTION("""COMPUTED_VALUE"""),45569.64583333333)</f>
        <v>45569.64583</v>
      </c>
      <c r="B15" s="7">
        <f>IFERROR(__xludf.DUMMYFUNCTION("""COMPUTED_VALUE"""),1811.9)</f>
        <v>1811.9</v>
      </c>
      <c r="C15" s="7">
        <f>IFERROR(__xludf.DUMMYFUNCTION("""COMPUTED_VALUE"""),1835.0)</f>
        <v>1835</v>
      </c>
      <c r="D15" s="7">
        <f>IFERROR(__xludf.DUMMYFUNCTION("""COMPUTED_VALUE"""),1780.0)</f>
        <v>1780</v>
      </c>
      <c r="E15" s="7">
        <f>IFERROR(__xludf.DUMMYFUNCTION("""COMPUTED_VALUE"""),1801.2)</f>
        <v>1801.2</v>
      </c>
      <c r="F15" s="7">
        <f>IFERROR(__xludf.DUMMYFUNCTION("""COMPUTED_VALUE"""),883170.0)</f>
        <v>883170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f>IFERROR(__xludf.DUMMYFUNCTION("""COMPUTED_VALUE"""),45572.64583333333)</f>
        <v>45572.64583</v>
      </c>
      <c r="B16" s="7">
        <f>IFERROR(__xludf.DUMMYFUNCTION("""COMPUTED_VALUE"""),1801.15)</f>
        <v>1801.15</v>
      </c>
      <c r="C16" s="7">
        <f>IFERROR(__xludf.DUMMYFUNCTION("""COMPUTED_VALUE"""),1815.1)</f>
        <v>1815.1</v>
      </c>
      <c r="D16" s="7">
        <f>IFERROR(__xludf.DUMMYFUNCTION("""COMPUTED_VALUE"""),1735.0)</f>
        <v>1735</v>
      </c>
      <c r="E16" s="7">
        <f>IFERROR(__xludf.DUMMYFUNCTION("""COMPUTED_VALUE"""),1752.45)</f>
        <v>1752.45</v>
      </c>
      <c r="F16" s="7">
        <f>IFERROR(__xludf.DUMMYFUNCTION("""COMPUTED_VALUE"""),694897.0)</f>
        <v>694897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f>IFERROR(__xludf.DUMMYFUNCTION("""COMPUTED_VALUE"""),45573.64583333333)</f>
        <v>45573.64583</v>
      </c>
      <c r="B17" s="7">
        <f>IFERROR(__xludf.DUMMYFUNCTION("""COMPUTED_VALUE"""),1751.0)</f>
        <v>1751</v>
      </c>
      <c r="C17" s="7">
        <f>IFERROR(__xludf.DUMMYFUNCTION("""COMPUTED_VALUE"""),1822.0)</f>
        <v>1822</v>
      </c>
      <c r="D17" s="7">
        <f>IFERROR(__xludf.DUMMYFUNCTION("""COMPUTED_VALUE"""),1725.55)</f>
        <v>1725.55</v>
      </c>
      <c r="E17" s="7">
        <f>IFERROR(__xludf.DUMMYFUNCTION("""COMPUTED_VALUE"""),1813.85)</f>
        <v>1813.85</v>
      </c>
      <c r="F17" s="7">
        <f>IFERROR(__xludf.DUMMYFUNCTION("""COMPUTED_VALUE"""),752389.0)</f>
        <v>752389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f>IFERROR(__xludf.DUMMYFUNCTION("""COMPUTED_VALUE"""),45574.64583333333)</f>
        <v>45574.64583</v>
      </c>
      <c r="B18" s="7">
        <f>IFERROR(__xludf.DUMMYFUNCTION("""COMPUTED_VALUE"""),1827.0)</f>
        <v>1827</v>
      </c>
      <c r="C18" s="7">
        <f>IFERROR(__xludf.DUMMYFUNCTION("""COMPUTED_VALUE"""),1833.95)</f>
        <v>1833.95</v>
      </c>
      <c r="D18" s="7">
        <f>IFERROR(__xludf.DUMMYFUNCTION("""COMPUTED_VALUE"""),1779.45)</f>
        <v>1779.45</v>
      </c>
      <c r="E18" s="7">
        <f>IFERROR(__xludf.DUMMYFUNCTION("""COMPUTED_VALUE"""),1784.45)</f>
        <v>1784.45</v>
      </c>
      <c r="F18" s="7">
        <f>IFERROR(__xludf.DUMMYFUNCTION("""COMPUTED_VALUE"""),542956.0)</f>
        <v>542956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f>IFERROR(__xludf.DUMMYFUNCTION("""COMPUTED_VALUE"""),45575.64583333333)</f>
        <v>45575.64583</v>
      </c>
      <c r="B19" s="7">
        <f>IFERROR(__xludf.DUMMYFUNCTION("""COMPUTED_VALUE"""),1804.7)</f>
        <v>1804.7</v>
      </c>
      <c r="C19" s="7">
        <f>IFERROR(__xludf.DUMMYFUNCTION("""COMPUTED_VALUE"""),1804.7)</f>
        <v>1804.7</v>
      </c>
      <c r="D19" s="7">
        <f>IFERROR(__xludf.DUMMYFUNCTION("""COMPUTED_VALUE"""),1758.2)</f>
        <v>1758.2</v>
      </c>
      <c r="E19" s="7">
        <f>IFERROR(__xludf.DUMMYFUNCTION("""COMPUTED_VALUE"""),1780.5)</f>
        <v>1780.5</v>
      </c>
      <c r="F19" s="7">
        <f>IFERROR(__xludf.DUMMYFUNCTION("""COMPUTED_VALUE"""),595689.0)</f>
        <v>595689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f>IFERROR(__xludf.DUMMYFUNCTION("""COMPUTED_VALUE"""),45576.64583333333)</f>
        <v>45576.64583</v>
      </c>
      <c r="B20" s="7">
        <f>IFERROR(__xludf.DUMMYFUNCTION("""COMPUTED_VALUE"""),1782.0)</f>
        <v>1782</v>
      </c>
      <c r="C20" s="7">
        <f>IFERROR(__xludf.DUMMYFUNCTION("""COMPUTED_VALUE"""),1807.0)</f>
        <v>1807</v>
      </c>
      <c r="D20" s="7">
        <f>IFERROR(__xludf.DUMMYFUNCTION("""COMPUTED_VALUE"""),1767.0)</f>
        <v>1767</v>
      </c>
      <c r="E20" s="7">
        <f>IFERROR(__xludf.DUMMYFUNCTION("""COMPUTED_VALUE"""),1792.2)</f>
        <v>1792.2</v>
      </c>
      <c r="F20" s="7">
        <f>IFERROR(__xludf.DUMMYFUNCTION("""COMPUTED_VALUE"""),475444.0)</f>
        <v>475444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f>IFERROR(__xludf.DUMMYFUNCTION("""COMPUTED_VALUE"""),45579.64583333333)</f>
        <v>45579.64583</v>
      </c>
      <c r="B21" s="7">
        <f>IFERROR(__xludf.DUMMYFUNCTION("""COMPUTED_VALUE"""),1793.0)</f>
        <v>1793</v>
      </c>
      <c r="C21" s="7">
        <f>IFERROR(__xludf.DUMMYFUNCTION("""COMPUTED_VALUE"""),1804.35)</f>
        <v>1804.35</v>
      </c>
      <c r="D21" s="7">
        <f>IFERROR(__xludf.DUMMYFUNCTION("""COMPUTED_VALUE"""),1765.05)</f>
        <v>1765.05</v>
      </c>
      <c r="E21" s="7">
        <f>IFERROR(__xludf.DUMMYFUNCTION("""COMPUTED_VALUE"""),1775.35)</f>
        <v>1775.35</v>
      </c>
      <c r="F21" s="7">
        <f>IFERROR(__xludf.DUMMYFUNCTION("""COMPUTED_VALUE"""),369972.0)</f>
        <v>369972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f>IFERROR(__xludf.DUMMYFUNCTION("""COMPUTED_VALUE"""),45580.64583333333)</f>
        <v>45580.64583</v>
      </c>
      <c r="B22" s="7">
        <f>IFERROR(__xludf.DUMMYFUNCTION("""COMPUTED_VALUE"""),1777.0)</f>
        <v>1777</v>
      </c>
      <c r="C22" s="7">
        <f>IFERROR(__xludf.DUMMYFUNCTION("""COMPUTED_VALUE"""),1783.9)</f>
        <v>1783.9</v>
      </c>
      <c r="D22" s="7">
        <f>IFERROR(__xludf.DUMMYFUNCTION("""COMPUTED_VALUE"""),1750.0)</f>
        <v>1750</v>
      </c>
      <c r="E22" s="7">
        <f>IFERROR(__xludf.DUMMYFUNCTION("""COMPUTED_VALUE"""),1763.0)</f>
        <v>1763</v>
      </c>
      <c r="F22" s="7">
        <f>IFERROR(__xludf.DUMMYFUNCTION("""COMPUTED_VALUE"""),335436.0)</f>
        <v>335436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f>IFERROR(__xludf.DUMMYFUNCTION("""COMPUTED_VALUE"""),45581.64583333333)</f>
        <v>45581.64583</v>
      </c>
      <c r="B23" s="7">
        <f>IFERROR(__xludf.DUMMYFUNCTION("""COMPUTED_VALUE"""),1760.0)</f>
        <v>1760</v>
      </c>
      <c r="C23" s="7">
        <f>IFERROR(__xludf.DUMMYFUNCTION("""COMPUTED_VALUE"""),1774.2)</f>
        <v>1774.2</v>
      </c>
      <c r="D23" s="7">
        <f>IFERROR(__xludf.DUMMYFUNCTION("""COMPUTED_VALUE"""),1740.55)</f>
        <v>1740.55</v>
      </c>
      <c r="E23" s="7">
        <f>IFERROR(__xludf.DUMMYFUNCTION("""COMPUTED_VALUE"""),1751.05)</f>
        <v>1751.05</v>
      </c>
      <c r="F23" s="7">
        <f>IFERROR(__xludf.DUMMYFUNCTION("""COMPUTED_VALUE"""),377378.0)</f>
        <v>377378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f>IFERROR(__xludf.DUMMYFUNCTION("""COMPUTED_VALUE"""),45582.64583333333)</f>
        <v>45582.64583</v>
      </c>
      <c r="B24" s="7">
        <f>IFERROR(__xludf.DUMMYFUNCTION("""COMPUTED_VALUE"""),1750.05)</f>
        <v>1750.05</v>
      </c>
      <c r="C24" s="7">
        <f>IFERROR(__xludf.DUMMYFUNCTION("""COMPUTED_VALUE"""),1767.7)</f>
        <v>1767.7</v>
      </c>
      <c r="D24" s="7">
        <f>IFERROR(__xludf.DUMMYFUNCTION("""COMPUTED_VALUE"""),1719.0)</f>
        <v>1719</v>
      </c>
      <c r="E24" s="7">
        <f>IFERROR(__xludf.DUMMYFUNCTION("""COMPUTED_VALUE"""),1733.55)</f>
        <v>1733.55</v>
      </c>
      <c r="F24" s="7">
        <f>IFERROR(__xludf.DUMMYFUNCTION("""COMPUTED_VALUE"""),355958.0)</f>
        <v>355958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f>IFERROR(__xludf.DUMMYFUNCTION("""COMPUTED_VALUE"""),45583.64583333333)</f>
        <v>45583.64583</v>
      </c>
      <c r="B25" s="7">
        <f>IFERROR(__xludf.DUMMYFUNCTION("""COMPUTED_VALUE"""),1735.0)</f>
        <v>1735</v>
      </c>
      <c r="C25" s="7">
        <f>IFERROR(__xludf.DUMMYFUNCTION("""COMPUTED_VALUE"""),1745.5)</f>
        <v>1745.5</v>
      </c>
      <c r="D25" s="7">
        <f>IFERROR(__xludf.DUMMYFUNCTION("""COMPUTED_VALUE"""),1703.0)</f>
        <v>1703</v>
      </c>
      <c r="E25" s="7">
        <f>IFERROR(__xludf.DUMMYFUNCTION("""COMPUTED_VALUE"""),1736.05)</f>
        <v>1736.05</v>
      </c>
      <c r="F25" s="7">
        <f>IFERROR(__xludf.DUMMYFUNCTION("""COMPUTED_VALUE"""),410948.0)</f>
        <v>410948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f>IFERROR(__xludf.DUMMYFUNCTION("""COMPUTED_VALUE"""),45586.64583333333)</f>
        <v>45586.64583</v>
      </c>
      <c r="B26" s="7">
        <f>IFERROR(__xludf.DUMMYFUNCTION("""COMPUTED_VALUE"""),1741.0)</f>
        <v>1741</v>
      </c>
      <c r="C26" s="7">
        <f>IFERROR(__xludf.DUMMYFUNCTION("""COMPUTED_VALUE"""),1753.0)</f>
        <v>1753</v>
      </c>
      <c r="D26" s="7">
        <f>IFERROR(__xludf.DUMMYFUNCTION("""COMPUTED_VALUE"""),1705.0)</f>
        <v>1705</v>
      </c>
      <c r="E26" s="7">
        <f>IFERROR(__xludf.DUMMYFUNCTION("""COMPUTED_VALUE"""),1710.8)</f>
        <v>1710.8</v>
      </c>
      <c r="F26" s="7">
        <f>IFERROR(__xludf.DUMMYFUNCTION("""COMPUTED_VALUE"""),298218.0)</f>
        <v>298218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f>IFERROR(__xludf.DUMMYFUNCTION("""COMPUTED_VALUE"""),45587.64583333333)</f>
        <v>45587.64583</v>
      </c>
      <c r="B27" s="7">
        <f>IFERROR(__xludf.DUMMYFUNCTION("""COMPUTED_VALUE"""),1732.0)</f>
        <v>1732</v>
      </c>
      <c r="C27" s="7">
        <f>IFERROR(__xludf.DUMMYFUNCTION("""COMPUTED_VALUE"""),1747.4)</f>
        <v>1747.4</v>
      </c>
      <c r="D27" s="7">
        <f>IFERROR(__xludf.DUMMYFUNCTION("""COMPUTED_VALUE"""),1668.25)</f>
        <v>1668.25</v>
      </c>
      <c r="E27" s="7">
        <f>IFERROR(__xludf.DUMMYFUNCTION("""COMPUTED_VALUE"""),1684.45)</f>
        <v>1684.45</v>
      </c>
      <c r="F27" s="7">
        <f>IFERROR(__xludf.DUMMYFUNCTION("""COMPUTED_VALUE"""),809408.0)</f>
        <v>809408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f>IFERROR(__xludf.DUMMYFUNCTION("""COMPUTED_VALUE"""),45588.64583333333)</f>
        <v>45588.64583</v>
      </c>
      <c r="B28" s="7">
        <f>IFERROR(__xludf.DUMMYFUNCTION("""COMPUTED_VALUE"""),1684.45)</f>
        <v>1684.45</v>
      </c>
      <c r="C28" s="7">
        <f>IFERROR(__xludf.DUMMYFUNCTION("""COMPUTED_VALUE"""),1725.0)</f>
        <v>1725</v>
      </c>
      <c r="D28" s="7">
        <f>IFERROR(__xludf.DUMMYFUNCTION("""COMPUTED_VALUE"""),1627.85)</f>
        <v>1627.85</v>
      </c>
      <c r="E28" s="7">
        <f>IFERROR(__xludf.DUMMYFUNCTION("""COMPUTED_VALUE"""),1702.1)</f>
        <v>1702.1</v>
      </c>
      <c r="F28" s="7">
        <f>IFERROR(__xludf.DUMMYFUNCTION("""COMPUTED_VALUE"""),1504049.0)</f>
        <v>1504049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f>IFERROR(__xludf.DUMMYFUNCTION("""COMPUTED_VALUE"""),45589.64583333333)</f>
        <v>45589.64583</v>
      </c>
      <c r="B29" s="7">
        <f>IFERROR(__xludf.DUMMYFUNCTION("""COMPUTED_VALUE"""),1691.0)</f>
        <v>1691</v>
      </c>
      <c r="C29" s="7">
        <f>IFERROR(__xludf.DUMMYFUNCTION("""COMPUTED_VALUE"""),1710.85)</f>
        <v>1710.85</v>
      </c>
      <c r="D29" s="7">
        <f>IFERROR(__xludf.DUMMYFUNCTION("""COMPUTED_VALUE"""),1681.0)</f>
        <v>1681</v>
      </c>
      <c r="E29" s="7">
        <f>IFERROR(__xludf.DUMMYFUNCTION("""COMPUTED_VALUE"""),1692.4)</f>
        <v>1692.4</v>
      </c>
      <c r="F29" s="7">
        <f>IFERROR(__xludf.DUMMYFUNCTION("""COMPUTED_VALUE"""),472958.0)</f>
        <v>472958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f>IFERROR(__xludf.DUMMYFUNCTION("""COMPUTED_VALUE"""),45590.64583333333)</f>
        <v>45590.64583</v>
      </c>
      <c r="B30" s="7">
        <f>IFERROR(__xludf.DUMMYFUNCTION("""COMPUTED_VALUE"""),1700.0)</f>
        <v>1700</v>
      </c>
      <c r="C30" s="7">
        <f>IFERROR(__xludf.DUMMYFUNCTION("""COMPUTED_VALUE"""),1718.9)</f>
        <v>1718.9</v>
      </c>
      <c r="D30" s="7">
        <f>IFERROR(__xludf.DUMMYFUNCTION("""COMPUTED_VALUE"""),1625.0)</f>
        <v>1625</v>
      </c>
      <c r="E30" s="7">
        <f>IFERROR(__xludf.DUMMYFUNCTION("""COMPUTED_VALUE"""),1644.0)</f>
        <v>1644</v>
      </c>
      <c r="F30" s="7">
        <f>IFERROR(__xludf.DUMMYFUNCTION("""COMPUTED_VALUE"""),707626.0)</f>
        <v>707626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f>IFERROR(__xludf.DUMMYFUNCTION("""COMPUTED_VALUE"""),45593.64583333333)</f>
        <v>45593.64583</v>
      </c>
      <c r="B31" s="7">
        <f>IFERROR(__xludf.DUMMYFUNCTION("""COMPUTED_VALUE"""),1644.0)</f>
        <v>1644</v>
      </c>
      <c r="C31" s="7">
        <f>IFERROR(__xludf.DUMMYFUNCTION("""COMPUTED_VALUE"""),1661.7)</f>
        <v>1661.7</v>
      </c>
      <c r="D31" s="7">
        <f>IFERROR(__xludf.DUMMYFUNCTION("""COMPUTED_VALUE"""),1588.55)</f>
        <v>1588.55</v>
      </c>
      <c r="E31" s="7">
        <f>IFERROR(__xludf.DUMMYFUNCTION("""COMPUTED_VALUE"""),1613.15)</f>
        <v>1613.15</v>
      </c>
      <c r="F31" s="7">
        <f>IFERROR(__xludf.DUMMYFUNCTION("""COMPUTED_VALUE"""),850381.0)</f>
        <v>850381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f>IFERROR(__xludf.DUMMYFUNCTION("""COMPUTED_VALUE"""),45594.64583333333)</f>
        <v>45594.64583</v>
      </c>
      <c r="B32" s="7">
        <f>IFERROR(__xludf.DUMMYFUNCTION("""COMPUTED_VALUE"""),1615.0)</f>
        <v>1615</v>
      </c>
      <c r="C32" s="7">
        <f>IFERROR(__xludf.DUMMYFUNCTION("""COMPUTED_VALUE"""),1653.75)</f>
        <v>1653.75</v>
      </c>
      <c r="D32" s="7">
        <f>IFERROR(__xludf.DUMMYFUNCTION("""COMPUTED_VALUE"""),1596.65)</f>
        <v>1596.65</v>
      </c>
      <c r="E32" s="7">
        <f>IFERROR(__xludf.DUMMYFUNCTION("""COMPUTED_VALUE"""),1639.0)</f>
        <v>1639</v>
      </c>
      <c r="F32" s="7">
        <f>IFERROR(__xludf.DUMMYFUNCTION("""COMPUTED_VALUE"""),471118.0)</f>
        <v>471118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f>IFERROR(__xludf.DUMMYFUNCTION("""COMPUTED_VALUE"""),45595.64583333333)</f>
        <v>45595.64583</v>
      </c>
      <c r="B33" s="7">
        <f>IFERROR(__xludf.DUMMYFUNCTION("""COMPUTED_VALUE"""),1615.0)</f>
        <v>1615</v>
      </c>
      <c r="C33" s="7">
        <f>IFERROR(__xludf.DUMMYFUNCTION("""COMPUTED_VALUE"""),1653.75)</f>
        <v>1653.75</v>
      </c>
      <c r="D33" s="7">
        <f>IFERROR(__xludf.DUMMYFUNCTION("""COMPUTED_VALUE"""),1596.65)</f>
        <v>1596.65</v>
      </c>
      <c r="E33" s="7">
        <f>IFERROR(__xludf.DUMMYFUNCTION("""COMPUTED_VALUE"""),1634.2)</f>
        <v>1634.2</v>
      </c>
      <c r="F33" s="7">
        <f>IFERROR(__xludf.DUMMYFUNCTION("""COMPUTED_VALUE"""),713381.0)</f>
        <v>713381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f>IFERROR(__xludf.DUMMYFUNCTION("""COMPUTED_VALUE"""),45596.64583333333)</f>
        <v>45596.64583</v>
      </c>
      <c r="B34" s="7">
        <f>IFERROR(__xludf.DUMMYFUNCTION("""COMPUTED_VALUE"""),1642.1)</f>
        <v>1642.1</v>
      </c>
      <c r="C34" s="7">
        <f>IFERROR(__xludf.DUMMYFUNCTION("""COMPUTED_VALUE"""),1664.0)</f>
        <v>1664</v>
      </c>
      <c r="D34" s="7">
        <f>IFERROR(__xludf.DUMMYFUNCTION("""COMPUTED_VALUE"""),1591.95)</f>
        <v>1591.95</v>
      </c>
      <c r="E34" s="7">
        <f>IFERROR(__xludf.DUMMYFUNCTION("""COMPUTED_VALUE"""),1598.3)</f>
        <v>1598.3</v>
      </c>
      <c r="F34" s="7">
        <f>IFERROR(__xludf.DUMMYFUNCTION("""COMPUTED_VALUE"""),716981.0)</f>
        <v>716981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f>IFERROR(__xludf.DUMMYFUNCTION("""COMPUTED_VALUE"""),45600.64583333333)</f>
        <v>45600.64583</v>
      </c>
      <c r="B35" s="7">
        <f>IFERROR(__xludf.DUMMYFUNCTION("""COMPUTED_VALUE"""),1625.0)</f>
        <v>1625</v>
      </c>
      <c r="C35" s="7">
        <f>IFERROR(__xludf.DUMMYFUNCTION("""COMPUTED_VALUE"""),1630.0)</f>
        <v>1630</v>
      </c>
      <c r="D35" s="7">
        <f>IFERROR(__xludf.DUMMYFUNCTION("""COMPUTED_VALUE"""),1606.3)</f>
        <v>1606.3</v>
      </c>
      <c r="E35" s="7">
        <f>IFERROR(__xludf.DUMMYFUNCTION("""COMPUTED_VALUE"""),1611.95)</f>
        <v>1611.95</v>
      </c>
      <c r="F35" s="7">
        <f>IFERROR(__xludf.DUMMYFUNCTION("""COMPUTED_VALUE"""),388291.0)</f>
        <v>388291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f>IFERROR(__xludf.DUMMYFUNCTION("""COMPUTED_VALUE"""),45601.64583333333)</f>
        <v>45601.64583</v>
      </c>
      <c r="B36" s="7">
        <f>IFERROR(__xludf.DUMMYFUNCTION("""COMPUTED_VALUE"""),1600.0)</f>
        <v>1600</v>
      </c>
      <c r="C36" s="7">
        <f>IFERROR(__xludf.DUMMYFUNCTION("""COMPUTED_VALUE"""),1655.0)</f>
        <v>1655</v>
      </c>
      <c r="D36" s="7">
        <f>IFERROR(__xludf.DUMMYFUNCTION("""COMPUTED_VALUE"""),1594.0)</f>
        <v>1594</v>
      </c>
      <c r="E36" s="7">
        <f>IFERROR(__xludf.DUMMYFUNCTION("""COMPUTED_VALUE"""),1644.25)</f>
        <v>1644.25</v>
      </c>
      <c r="F36" s="7">
        <f>IFERROR(__xludf.DUMMYFUNCTION("""COMPUTED_VALUE"""),379955.0)</f>
        <v>379955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f>IFERROR(__xludf.DUMMYFUNCTION("""COMPUTED_VALUE"""),45602.64583333333)</f>
        <v>45602.64583</v>
      </c>
      <c r="B37" s="7">
        <f>IFERROR(__xludf.DUMMYFUNCTION("""COMPUTED_VALUE"""),1652.0)</f>
        <v>1652</v>
      </c>
      <c r="C37" s="7">
        <f>IFERROR(__xludf.DUMMYFUNCTION("""COMPUTED_VALUE"""),1733.95)</f>
        <v>1733.95</v>
      </c>
      <c r="D37" s="7">
        <f>IFERROR(__xludf.DUMMYFUNCTION("""COMPUTED_VALUE"""),1636.7)</f>
        <v>1636.7</v>
      </c>
      <c r="E37" s="7">
        <f>IFERROR(__xludf.DUMMYFUNCTION("""COMPUTED_VALUE"""),1721.15)</f>
        <v>1721.15</v>
      </c>
      <c r="F37" s="7">
        <f>IFERROR(__xludf.DUMMYFUNCTION("""COMPUTED_VALUE"""),966147.0)</f>
        <v>966147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f>IFERROR(__xludf.DUMMYFUNCTION("""COMPUTED_VALUE"""),45603.64583333333)</f>
        <v>45603.64583</v>
      </c>
      <c r="B38" s="7">
        <f>IFERROR(__xludf.DUMMYFUNCTION("""COMPUTED_VALUE"""),1725.85)</f>
        <v>1725.85</v>
      </c>
      <c r="C38" s="7">
        <f>IFERROR(__xludf.DUMMYFUNCTION("""COMPUTED_VALUE"""),1725.85)</f>
        <v>1725.85</v>
      </c>
      <c r="D38" s="7">
        <f>IFERROR(__xludf.DUMMYFUNCTION("""COMPUTED_VALUE"""),1635.0)</f>
        <v>1635</v>
      </c>
      <c r="E38" s="7">
        <f>IFERROR(__xludf.DUMMYFUNCTION("""COMPUTED_VALUE"""),1642.7)</f>
        <v>1642.7</v>
      </c>
      <c r="F38" s="7">
        <f>IFERROR(__xludf.DUMMYFUNCTION("""COMPUTED_VALUE"""),848208.0)</f>
        <v>848208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f>IFERROR(__xludf.DUMMYFUNCTION("""COMPUTED_VALUE"""),45604.64583333333)</f>
        <v>45604.64583</v>
      </c>
      <c r="B39" s="7">
        <f>IFERROR(__xludf.DUMMYFUNCTION("""COMPUTED_VALUE"""),1640.05)</f>
        <v>1640.05</v>
      </c>
      <c r="C39" s="7">
        <f>IFERROR(__xludf.DUMMYFUNCTION("""COMPUTED_VALUE"""),1645.0)</f>
        <v>1645</v>
      </c>
      <c r="D39" s="7">
        <f>IFERROR(__xludf.DUMMYFUNCTION("""COMPUTED_VALUE"""),1581.4)</f>
        <v>1581.4</v>
      </c>
      <c r="E39" s="7">
        <f>IFERROR(__xludf.DUMMYFUNCTION("""COMPUTED_VALUE"""),1598.55)</f>
        <v>1598.55</v>
      </c>
      <c r="F39" s="7">
        <f>IFERROR(__xludf.DUMMYFUNCTION("""COMPUTED_VALUE"""),546531.0)</f>
        <v>546531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f>IFERROR(__xludf.DUMMYFUNCTION("""COMPUTED_VALUE"""),45607.64583333333)</f>
        <v>45607.64583</v>
      </c>
      <c r="B40" s="7">
        <f>IFERROR(__xludf.DUMMYFUNCTION("""COMPUTED_VALUE"""),1590.1)</f>
        <v>1590.1</v>
      </c>
      <c r="C40" s="7">
        <f>IFERROR(__xludf.DUMMYFUNCTION("""COMPUTED_VALUE"""),1599.55)</f>
        <v>1599.55</v>
      </c>
      <c r="D40" s="7">
        <f>IFERROR(__xludf.DUMMYFUNCTION("""COMPUTED_VALUE"""),1550.3)</f>
        <v>1550.3</v>
      </c>
      <c r="E40" s="7">
        <f>IFERROR(__xludf.DUMMYFUNCTION("""COMPUTED_VALUE"""),1557.4)</f>
        <v>1557.4</v>
      </c>
      <c r="F40" s="7">
        <f>IFERROR(__xludf.DUMMYFUNCTION("""COMPUTED_VALUE"""),430658.0)</f>
        <v>430658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f>IFERROR(__xludf.DUMMYFUNCTION("""COMPUTED_VALUE"""),45608.64583333333)</f>
        <v>45608.64583</v>
      </c>
      <c r="B41" s="7">
        <f>IFERROR(__xludf.DUMMYFUNCTION("""COMPUTED_VALUE"""),1550.0)</f>
        <v>1550</v>
      </c>
      <c r="C41" s="7">
        <f>IFERROR(__xludf.DUMMYFUNCTION("""COMPUTED_VALUE"""),1573.0)</f>
        <v>1573</v>
      </c>
      <c r="D41" s="7">
        <f>IFERROR(__xludf.DUMMYFUNCTION("""COMPUTED_VALUE"""),1511.0)</f>
        <v>1511</v>
      </c>
      <c r="E41" s="7">
        <f>IFERROR(__xludf.DUMMYFUNCTION("""COMPUTED_VALUE"""),1524.15)</f>
        <v>1524.15</v>
      </c>
      <c r="F41" s="7">
        <f>IFERROR(__xludf.DUMMYFUNCTION("""COMPUTED_VALUE"""),523181.0)</f>
        <v>523181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f>IFERROR(__xludf.DUMMYFUNCTION("""COMPUTED_VALUE"""),45609.64583333333)</f>
        <v>45609.64583</v>
      </c>
      <c r="B42" s="7">
        <f>IFERROR(__xludf.DUMMYFUNCTION("""COMPUTED_VALUE"""),1503.0)</f>
        <v>1503</v>
      </c>
      <c r="C42" s="7">
        <f>IFERROR(__xludf.DUMMYFUNCTION("""COMPUTED_VALUE"""),1542.55)</f>
        <v>1542.55</v>
      </c>
      <c r="D42" s="7">
        <f>IFERROR(__xludf.DUMMYFUNCTION("""COMPUTED_VALUE"""),1459.55)</f>
        <v>1459.55</v>
      </c>
      <c r="E42" s="7">
        <f>IFERROR(__xludf.DUMMYFUNCTION("""COMPUTED_VALUE"""),1468.45)</f>
        <v>1468.45</v>
      </c>
      <c r="F42" s="7">
        <f>IFERROR(__xludf.DUMMYFUNCTION("""COMPUTED_VALUE"""),632049.0)</f>
        <v>632049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f>IFERROR(__xludf.DUMMYFUNCTION("""COMPUTED_VALUE"""),45610.64583333333)</f>
        <v>45610.64583</v>
      </c>
      <c r="B43" s="7">
        <f>IFERROR(__xludf.DUMMYFUNCTION("""COMPUTED_VALUE"""),1480.0)</f>
        <v>1480</v>
      </c>
      <c r="C43" s="7">
        <f>IFERROR(__xludf.DUMMYFUNCTION("""COMPUTED_VALUE"""),1519.95)</f>
        <v>1519.95</v>
      </c>
      <c r="D43" s="7">
        <f>IFERROR(__xludf.DUMMYFUNCTION("""COMPUTED_VALUE"""),1473.85)</f>
        <v>1473.85</v>
      </c>
      <c r="E43" s="7">
        <f>IFERROR(__xludf.DUMMYFUNCTION("""COMPUTED_VALUE"""),1490.3)</f>
        <v>1490.3</v>
      </c>
      <c r="F43" s="7">
        <f>IFERROR(__xludf.DUMMYFUNCTION("""COMPUTED_VALUE"""),571469.0)</f>
        <v>571469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f>IFERROR(__xludf.DUMMYFUNCTION("""COMPUTED_VALUE"""),45614.64583333333)</f>
        <v>45614.64583</v>
      </c>
      <c r="B44" s="7">
        <f>IFERROR(__xludf.DUMMYFUNCTION("""COMPUTED_VALUE"""),1512.45)</f>
        <v>1512.45</v>
      </c>
      <c r="C44" s="7">
        <f>IFERROR(__xludf.DUMMYFUNCTION("""COMPUTED_VALUE"""),1517.75)</f>
        <v>1517.75</v>
      </c>
      <c r="D44" s="7">
        <f>IFERROR(__xludf.DUMMYFUNCTION("""COMPUTED_VALUE"""),1450.0)</f>
        <v>1450</v>
      </c>
      <c r="E44" s="7">
        <f>IFERROR(__xludf.DUMMYFUNCTION("""COMPUTED_VALUE"""),1456.95)</f>
        <v>1456.95</v>
      </c>
      <c r="F44" s="7">
        <f>IFERROR(__xludf.DUMMYFUNCTION("""COMPUTED_VALUE"""),626638.0)</f>
        <v>626638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f>IFERROR(__xludf.DUMMYFUNCTION("""COMPUTED_VALUE"""),45615.64583333333)</f>
        <v>45615.64583</v>
      </c>
      <c r="B45" s="7">
        <f>IFERROR(__xludf.DUMMYFUNCTION("""COMPUTED_VALUE"""),1448.05)</f>
        <v>1448.05</v>
      </c>
      <c r="C45" s="7">
        <f>IFERROR(__xludf.DUMMYFUNCTION("""COMPUTED_VALUE"""),1467.0)</f>
        <v>1467</v>
      </c>
      <c r="D45" s="7">
        <f>IFERROR(__xludf.DUMMYFUNCTION("""COMPUTED_VALUE"""),1400.1)</f>
        <v>1400.1</v>
      </c>
      <c r="E45" s="7">
        <f>IFERROR(__xludf.DUMMYFUNCTION("""COMPUTED_VALUE"""),1412.7)</f>
        <v>1412.7</v>
      </c>
      <c r="F45" s="7">
        <f>IFERROR(__xludf.DUMMYFUNCTION("""COMPUTED_VALUE"""),972102.0)</f>
        <v>972102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f>IFERROR(__xludf.DUMMYFUNCTION("""COMPUTED_VALUE"""),45617.64583333333)</f>
        <v>45617.64583</v>
      </c>
      <c r="B46" s="7">
        <f>IFERROR(__xludf.DUMMYFUNCTION("""COMPUTED_VALUE"""),1160.0)</f>
        <v>1160</v>
      </c>
      <c r="C46" s="7">
        <f>IFERROR(__xludf.DUMMYFUNCTION("""COMPUTED_VALUE"""),1212.0)</f>
        <v>1212</v>
      </c>
      <c r="D46" s="7">
        <f>IFERROR(__xludf.DUMMYFUNCTION("""COMPUTED_VALUE"""),1132.0)</f>
        <v>1132</v>
      </c>
      <c r="E46" s="7">
        <f>IFERROR(__xludf.DUMMYFUNCTION("""COMPUTED_VALUE"""),1145.7)</f>
        <v>1145.7</v>
      </c>
      <c r="F46" s="7">
        <f>IFERROR(__xludf.DUMMYFUNCTION("""COMPUTED_VALUE"""),9523600.0)</f>
        <v>9523600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f>IFERROR(__xludf.DUMMYFUNCTION("""COMPUTED_VALUE"""),45618.64583333333)</f>
        <v>45618.64583</v>
      </c>
      <c r="B47" s="7">
        <f>IFERROR(__xludf.DUMMYFUNCTION("""COMPUTED_VALUE"""),1085.0)</f>
        <v>1085</v>
      </c>
      <c r="C47" s="7">
        <f>IFERROR(__xludf.DUMMYFUNCTION("""COMPUTED_VALUE"""),1219.0)</f>
        <v>1219</v>
      </c>
      <c r="D47" s="7">
        <f>IFERROR(__xludf.DUMMYFUNCTION("""COMPUTED_VALUE"""),1021.0)</f>
        <v>1021</v>
      </c>
      <c r="E47" s="7">
        <f>IFERROR(__xludf.DUMMYFUNCTION("""COMPUTED_VALUE"""),1051.8)</f>
        <v>1051.8</v>
      </c>
      <c r="F47" s="7">
        <f>IFERROR(__xludf.DUMMYFUNCTION("""COMPUTED_VALUE"""),2.2036694E7)</f>
        <v>22036694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f>IFERROR(__xludf.DUMMYFUNCTION("""COMPUTED_VALUE"""),45621.64583333333)</f>
        <v>45621.64583</v>
      </c>
      <c r="B48" s="7">
        <f>IFERROR(__xludf.DUMMYFUNCTION("""COMPUTED_VALUE"""),1080.2)</f>
        <v>1080.2</v>
      </c>
      <c r="C48" s="7">
        <f>IFERROR(__xludf.DUMMYFUNCTION("""COMPUTED_VALUE"""),1141.0)</f>
        <v>1141</v>
      </c>
      <c r="D48" s="7">
        <f>IFERROR(__xludf.DUMMYFUNCTION("""COMPUTED_VALUE"""),933.0)</f>
        <v>933</v>
      </c>
      <c r="E48" s="7">
        <f>IFERROR(__xludf.DUMMYFUNCTION("""COMPUTED_VALUE"""),968.8)</f>
        <v>968.8</v>
      </c>
      <c r="F48" s="7">
        <f>IFERROR(__xludf.DUMMYFUNCTION("""COMPUTED_VALUE"""),2.86232E7)</f>
        <v>28623200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f>IFERROR(__xludf.DUMMYFUNCTION("""COMPUTED_VALUE"""),45622.64583333333)</f>
        <v>45622.64583</v>
      </c>
      <c r="B49" s="7">
        <f>IFERROR(__xludf.DUMMYFUNCTION("""COMPUTED_VALUE"""),968.8)</f>
        <v>968.8</v>
      </c>
      <c r="C49" s="7">
        <f>IFERROR(__xludf.DUMMYFUNCTION("""COMPUTED_VALUE"""),968.8)</f>
        <v>968.8</v>
      </c>
      <c r="D49" s="7">
        <f>IFERROR(__xludf.DUMMYFUNCTION("""COMPUTED_VALUE"""),891.85)</f>
        <v>891.85</v>
      </c>
      <c r="E49" s="7">
        <f>IFERROR(__xludf.DUMMYFUNCTION("""COMPUTED_VALUE"""),898.55)</f>
        <v>898.55</v>
      </c>
      <c r="F49" s="7">
        <f>IFERROR(__xludf.DUMMYFUNCTION("""COMPUTED_VALUE"""),7526340.0)</f>
        <v>7526340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f>IFERROR(__xludf.DUMMYFUNCTION("""COMPUTED_VALUE"""),45623.64583333333)</f>
        <v>45623.64583</v>
      </c>
      <c r="B50" s="7">
        <f>IFERROR(__xludf.DUMMYFUNCTION("""COMPUTED_VALUE"""),890.0)</f>
        <v>890</v>
      </c>
      <c r="C50" s="7">
        <f>IFERROR(__xludf.DUMMYFUNCTION("""COMPUTED_VALUE"""),988.4)</f>
        <v>988.4</v>
      </c>
      <c r="D50" s="7">
        <f>IFERROR(__xludf.DUMMYFUNCTION("""COMPUTED_VALUE"""),870.25)</f>
        <v>870.25</v>
      </c>
      <c r="E50" s="7">
        <f>IFERROR(__xludf.DUMMYFUNCTION("""COMPUTED_VALUE"""),988.4)</f>
        <v>988.4</v>
      </c>
      <c r="F50" s="7">
        <f>IFERROR(__xludf.DUMMYFUNCTION("""COMPUTED_VALUE"""),1.0995732E7)</f>
        <v>10995732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f>IFERROR(__xludf.DUMMYFUNCTION("""COMPUTED_VALUE"""),45624.64583333333)</f>
        <v>45624.64583</v>
      </c>
      <c r="B51" s="7">
        <f>IFERROR(__xludf.DUMMYFUNCTION("""COMPUTED_VALUE"""),1020.0)</f>
        <v>1020</v>
      </c>
      <c r="C51" s="7">
        <f>IFERROR(__xludf.DUMMYFUNCTION("""COMPUTED_VALUE"""),1087.2)</f>
        <v>1087.2</v>
      </c>
      <c r="D51" s="7">
        <f>IFERROR(__xludf.DUMMYFUNCTION("""COMPUTED_VALUE"""),1014.0)</f>
        <v>1014</v>
      </c>
      <c r="E51" s="7">
        <f>IFERROR(__xludf.DUMMYFUNCTION("""COMPUTED_VALUE"""),1087.2)</f>
        <v>1087.2</v>
      </c>
      <c r="F51" s="7">
        <f>IFERROR(__xludf.DUMMYFUNCTION("""COMPUTED_VALUE"""),7840622.0)</f>
        <v>7840622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f>IFERROR(__xludf.DUMMYFUNCTION("""COMPUTED_VALUE"""),45625.64583333333)</f>
        <v>45625.64583</v>
      </c>
      <c r="B52" s="7">
        <f>IFERROR(__xludf.DUMMYFUNCTION("""COMPUTED_VALUE"""),1149.0)</f>
        <v>1149</v>
      </c>
      <c r="C52" s="7">
        <f>IFERROR(__xludf.DUMMYFUNCTION("""COMPUTED_VALUE"""),1368.0)</f>
        <v>1368</v>
      </c>
      <c r="D52" s="7">
        <f>IFERROR(__xludf.DUMMYFUNCTION("""COMPUTED_VALUE"""),1138.5)</f>
        <v>1138.5</v>
      </c>
      <c r="E52" s="7">
        <f>IFERROR(__xludf.DUMMYFUNCTION("""COMPUTED_VALUE"""),1323.9)</f>
        <v>1323.9</v>
      </c>
      <c r="F52" s="7">
        <f>IFERROR(__xludf.DUMMYFUNCTION("""COMPUTED_VALUE"""),2.3771119E7)</f>
        <v>23771119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f>IFERROR(__xludf.DUMMYFUNCTION("""COMPUTED_VALUE"""),45628.64583333333)</f>
        <v>45628.64583</v>
      </c>
      <c r="B53" s="7">
        <f>IFERROR(__xludf.DUMMYFUNCTION("""COMPUTED_VALUE"""),1360.55)</f>
        <v>1360.55</v>
      </c>
      <c r="C53" s="7">
        <f>IFERROR(__xludf.DUMMYFUNCTION("""COMPUTED_VALUE"""),1447.7)</f>
        <v>1447.7</v>
      </c>
      <c r="D53" s="7">
        <f>IFERROR(__xludf.DUMMYFUNCTION("""COMPUTED_VALUE"""),1301.9)</f>
        <v>1301.9</v>
      </c>
      <c r="E53" s="7">
        <f>IFERROR(__xludf.DUMMYFUNCTION("""COMPUTED_VALUE"""),1327.95)</f>
        <v>1327.95</v>
      </c>
      <c r="F53" s="7">
        <f>IFERROR(__xludf.DUMMYFUNCTION("""COMPUTED_VALUE"""),1.9679024E7)</f>
        <v>19679024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f>IFERROR(__xludf.DUMMYFUNCTION("""COMPUTED_VALUE"""),45629.64583333333)</f>
        <v>45629.64583</v>
      </c>
      <c r="B54" s="7">
        <f>IFERROR(__xludf.DUMMYFUNCTION("""COMPUTED_VALUE"""),1344.0)</f>
        <v>1344</v>
      </c>
      <c r="C54" s="7">
        <f>IFERROR(__xludf.DUMMYFUNCTION("""COMPUTED_VALUE"""),1365.0)</f>
        <v>1365</v>
      </c>
      <c r="D54" s="7">
        <f>IFERROR(__xludf.DUMMYFUNCTION("""COMPUTED_VALUE"""),1305.0)</f>
        <v>1305</v>
      </c>
      <c r="E54" s="7">
        <f>IFERROR(__xludf.DUMMYFUNCTION("""COMPUTED_VALUE"""),1312.8)</f>
        <v>1312.8</v>
      </c>
      <c r="F54" s="7">
        <f>IFERROR(__xludf.DUMMYFUNCTION("""COMPUTED_VALUE"""),7685780.0)</f>
        <v>7685780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f>IFERROR(__xludf.DUMMYFUNCTION("""COMPUTED_VALUE"""),45630.64583333333)</f>
        <v>45630.64583</v>
      </c>
      <c r="B55" s="7">
        <f>IFERROR(__xludf.DUMMYFUNCTION("""COMPUTED_VALUE"""),1320.0)</f>
        <v>1320</v>
      </c>
      <c r="C55" s="7">
        <f>IFERROR(__xludf.DUMMYFUNCTION("""COMPUTED_VALUE"""),1330.05)</f>
        <v>1330.05</v>
      </c>
      <c r="D55" s="7">
        <f>IFERROR(__xludf.DUMMYFUNCTION("""COMPUTED_VALUE"""),1251.9)</f>
        <v>1251.9</v>
      </c>
      <c r="E55" s="7">
        <f>IFERROR(__xludf.DUMMYFUNCTION("""COMPUTED_VALUE"""),1260.85)</f>
        <v>1260.85</v>
      </c>
      <c r="F55" s="7">
        <f>IFERROR(__xludf.DUMMYFUNCTION("""COMPUTED_VALUE"""),5109679.0)</f>
        <v>5109679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f>IFERROR(__xludf.DUMMYFUNCTION("""COMPUTED_VALUE"""),45631.64583333333)</f>
        <v>45631.64583</v>
      </c>
      <c r="B56" s="7">
        <f>IFERROR(__xludf.DUMMYFUNCTION("""COMPUTED_VALUE"""),1270.0)</f>
        <v>1270</v>
      </c>
      <c r="C56" s="7">
        <f>IFERROR(__xludf.DUMMYFUNCTION("""COMPUTED_VALUE"""),1270.6)</f>
        <v>1270.6</v>
      </c>
      <c r="D56" s="7">
        <f>IFERROR(__xludf.DUMMYFUNCTION("""COMPUTED_VALUE"""),1220.0)</f>
        <v>1220</v>
      </c>
      <c r="E56" s="7">
        <f>IFERROR(__xludf.DUMMYFUNCTION("""COMPUTED_VALUE"""),1229.6)</f>
        <v>1229.6</v>
      </c>
      <c r="F56" s="7">
        <f>IFERROR(__xludf.DUMMYFUNCTION("""COMPUTED_VALUE"""),4522158.0)</f>
        <v>4522158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f>IFERROR(__xludf.DUMMYFUNCTION("""COMPUTED_VALUE"""),45632.64583333333)</f>
        <v>45632.64583</v>
      </c>
      <c r="B57" s="7">
        <f>IFERROR(__xludf.DUMMYFUNCTION("""COMPUTED_VALUE"""),1236.05)</f>
        <v>1236.05</v>
      </c>
      <c r="C57" s="7">
        <f>IFERROR(__xludf.DUMMYFUNCTION("""COMPUTED_VALUE"""),1266.85)</f>
        <v>1266.85</v>
      </c>
      <c r="D57" s="7">
        <f>IFERROR(__xludf.DUMMYFUNCTION("""COMPUTED_VALUE"""),1205.15)</f>
        <v>1205.15</v>
      </c>
      <c r="E57" s="7">
        <f>IFERROR(__xludf.DUMMYFUNCTION("""COMPUTED_VALUE"""),1210.65)</f>
        <v>1210.65</v>
      </c>
      <c r="F57" s="7">
        <f>IFERROR(__xludf.DUMMYFUNCTION("""COMPUTED_VALUE"""),3815815.0)</f>
        <v>3815815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f>IFERROR(__xludf.DUMMYFUNCTION("""COMPUTED_VALUE"""),45635.64583333333)</f>
        <v>45635.64583</v>
      </c>
      <c r="B58" s="7">
        <f>IFERROR(__xludf.DUMMYFUNCTION("""COMPUTED_VALUE"""),1210.65)</f>
        <v>1210.65</v>
      </c>
      <c r="C58" s="7">
        <f>IFERROR(__xludf.DUMMYFUNCTION("""COMPUTED_VALUE"""),1236.0)</f>
        <v>1236</v>
      </c>
      <c r="D58" s="7">
        <f>IFERROR(__xludf.DUMMYFUNCTION("""COMPUTED_VALUE"""),1180.0)</f>
        <v>1180</v>
      </c>
      <c r="E58" s="7">
        <f>IFERROR(__xludf.DUMMYFUNCTION("""COMPUTED_VALUE"""),1216.95)</f>
        <v>1216.95</v>
      </c>
      <c r="F58" s="7">
        <f>IFERROR(__xludf.DUMMYFUNCTION("""COMPUTED_VALUE"""),3505936.0)</f>
        <v>3505936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f>IFERROR(__xludf.DUMMYFUNCTION("""COMPUTED_VALUE"""),45636.64583333333)</f>
        <v>45636.64583</v>
      </c>
      <c r="B59" s="7">
        <f>IFERROR(__xludf.DUMMYFUNCTION("""COMPUTED_VALUE"""),1224.95)</f>
        <v>1224.95</v>
      </c>
      <c r="C59" s="7">
        <f>IFERROR(__xludf.DUMMYFUNCTION("""COMPUTED_VALUE"""),1224.95)</f>
        <v>1224.95</v>
      </c>
      <c r="D59" s="7">
        <f>IFERROR(__xludf.DUMMYFUNCTION("""COMPUTED_VALUE"""),1165.35)</f>
        <v>1165.35</v>
      </c>
      <c r="E59" s="7">
        <f>IFERROR(__xludf.DUMMYFUNCTION("""COMPUTED_VALUE"""),1176.65)</f>
        <v>1176.65</v>
      </c>
      <c r="F59" s="7">
        <f>IFERROR(__xludf.DUMMYFUNCTION("""COMPUTED_VALUE"""),3096278.0)</f>
        <v>3096278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f>IFERROR(__xludf.DUMMYFUNCTION("""COMPUTED_VALUE"""),45637.64583333333)</f>
        <v>45637.64583</v>
      </c>
      <c r="B60" s="7">
        <f>IFERROR(__xludf.DUMMYFUNCTION("""COMPUTED_VALUE"""),1171.0)</f>
        <v>1171</v>
      </c>
      <c r="C60" s="7">
        <f>IFERROR(__xludf.DUMMYFUNCTION("""COMPUTED_VALUE"""),1189.45)</f>
        <v>1189.45</v>
      </c>
      <c r="D60" s="7">
        <f>IFERROR(__xludf.DUMMYFUNCTION("""COMPUTED_VALUE"""),1143.0)</f>
        <v>1143</v>
      </c>
      <c r="E60" s="7">
        <f>IFERROR(__xludf.DUMMYFUNCTION("""COMPUTED_VALUE"""),1148.05)</f>
        <v>1148.05</v>
      </c>
      <c r="F60" s="7">
        <f>IFERROR(__xludf.DUMMYFUNCTION("""COMPUTED_VALUE"""),2666340.0)</f>
        <v>2666340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f>IFERROR(__xludf.DUMMYFUNCTION("""COMPUTED_VALUE"""),45638.64583333333)</f>
        <v>45638.64583</v>
      </c>
      <c r="B61" s="7">
        <f>IFERROR(__xludf.DUMMYFUNCTION("""COMPUTED_VALUE"""),1143.85)</f>
        <v>1143.85</v>
      </c>
      <c r="C61" s="7">
        <f>IFERROR(__xludf.DUMMYFUNCTION("""COMPUTED_VALUE"""),1249.0)</f>
        <v>1249</v>
      </c>
      <c r="D61" s="7">
        <f>IFERROR(__xludf.DUMMYFUNCTION("""COMPUTED_VALUE"""),1124.2)</f>
        <v>1124.2</v>
      </c>
      <c r="E61" s="7">
        <f>IFERROR(__xludf.DUMMYFUNCTION("""COMPUTED_VALUE"""),1217.95)</f>
        <v>1217.95</v>
      </c>
      <c r="F61" s="7">
        <f>IFERROR(__xludf.DUMMYFUNCTION("""COMPUTED_VALUE"""),1.0821668E7)</f>
        <v>10821668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f>IFERROR(__xludf.DUMMYFUNCTION("""COMPUTED_VALUE"""),45639.64583333333)</f>
        <v>45639.64583</v>
      </c>
      <c r="B62" s="7">
        <f>IFERROR(__xludf.DUMMYFUNCTION("""COMPUTED_VALUE"""),1220.0)</f>
        <v>1220</v>
      </c>
      <c r="C62" s="7">
        <f>IFERROR(__xludf.DUMMYFUNCTION("""COMPUTED_VALUE"""),1252.3)</f>
        <v>1252.3</v>
      </c>
      <c r="D62" s="7">
        <f>IFERROR(__xludf.DUMMYFUNCTION("""COMPUTED_VALUE"""),1179.3)</f>
        <v>1179.3</v>
      </c>
      <c r="E62" s="7">
        <f>IFERROR(__xludf.DUMMYFUNCTION("""COMPUTED_VALUE"""),1198.4)</f>
        <v>1198.4</v>
      </c>
      <c r="F62" s="7">
        <f>IFERROR(__xludf.DUMMYFUNCTION("""COMPUTED_VALUE"""),6893497.0)</f>
        <v>6893497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f>IFERROR(__xludf.DUMMYFUNCTION("""COMPUTED_VALUE"""),45642.64583333333)</f>
        <v>45642.64583</v>
      </c>
      <c r="B63" s="7">
        <f>IFERROR(__xludf.DUMMYFUNCTION("""COMPUTED_VALUE"""),1200.95)</f>
        <v>1200.95</v>
      </c>
      <c r="C63" s="7">
        <f>IFERROR(__xludf.DUMMYFUNCTION("""COMPUTED_VALUE"""),1210.5)</f>
        <v>1210.5</v>
      </c>
      <c r="D63" s="7">
        <f>IFERROR(__xludf.DUMMYFUNCTION("""COMPUTED_VALUE"""),1163.65)</f>
        <v>1163.65</v>
      </c>
      <c r="E63" s="7">
        <f>IFERROR(__xludf.DUMMYFUNCTION("""COMPUTED_VALUE"""),1168.05)</f>
        <v>1168.05</v>
      </c>
      <c r="F63" s="7">
        <f>IFERROR(__xludf.DUMMYFUNCTION("""COMPUTED_VALUE"""),2717545.0)</f>
        <v>2717545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f>IFERROR(__xludf.DUMMYFUNCTION("""COMPUTED_VALUE"""),45643.64583333333)</f>
        <v>45643.64583</v>
      </c>
      <c r="B64" s="7">
        <f>IFERROR(__xludf.DUMMYFUNCTION("""COMPUTED_VALUE"""),1167.9)</f>
        <v>1167.9</v>
      </c>
      <c r="C64" s="7">
        <f>IFERROR(__xludf.DUMMYFUNCTION("""COMPUTED_VALUE"""),1178.95)</f>
        <v>1178.95</v>
      </c>
      <c r="D64" s="7">
        <f>IFERROR(__xludf.DUMMYFUNCTION("""COMPUTED_VALUE"""),1138.0)</f>
        <v>1138</v>
      </c>
      <c r="E64" s="7">
        <f>IFERROR(__xludf.DUMMYFUNCTION("""COMPUTED_VALUE"""),1143.25)</f>
        <v>1143.25</v>
      </c>
      <c r="F64" s="7">
        <f>IFERROR(__xludf.DUMMYFUNCTION("""COMPUTED_VALUE"""),2303877.0)</f>
        <v>2303877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f>IFERROR(__xludf.DUMMYFUNCTION("""COMPUTED_VALUE"""),45644.64583333333)</f>
        <v>45644.64583</v>
      </c>
      <c r="B65" s="7">
        <f>IFERROR(__xludf.DUMMYFUNCTION("""COMPUTED_VALUE"""),1145.05)</f>
        <v>1145.05</v>
      </c>
      <c r="C65" s="7">
        <f>IFERROR(__xludf.DUMMYFUNCTION("""COMPUTED_VALUE"""),1150.0)</f>
        <v>1150</v>
      </c>
      <c r="D65" s="7">
        <f>IFERROR(__xludf.DUMMYFUNCTION("""COMPUTED_VALUE"""),1102.0)</f>
        <v>1102</v>
      </c>
      <c r="E65" s="7">
        <f>IFERROR(__xludf.DUMMYFUNCTION("""COMPUTED_VALUE"""),1105.5)</f>
        <v>1105.5</v>
      </c>
      <c r="F65" s="7">
        <f>IFERROR(__xludf.DUMMYFUNCTION("""COMPUTED_VALUE"""),2654966.0)</f>
        <v>2654966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f>IFERROR(__xludf.DUMMYFUNCTION("""COMPUTED_VALUE"""),45645.64583333333)</f>
        <v>45645.64583</v>
      </c>
      <c r="B66" s="7">
        <f>IFERROR(__xludf.DUMMYFUNCTION("""COMPUTED_VALUE"""),1080.0)</f>
        <v>1080</v>
      </c>
      <c r="C66" s="7">
        <f>IFERROR(__xludf.DUMMYFUNCTION("""COMPUTED_VALUE"""),1103.55)</f>
        <v>1103.55</v>
      </c>
      <c r="D66" s="7">
        <f>IFERROR(__xludf.DUMMYFUNCTION("""COMPUTED_VALUE"""),1062.55)</f>
        <v>1062.55</v>
      </c>
      <c r="E66" s="7">
        <f>IFERROR(__xludf.DUMMYFUNCTION("""COMPUTED_VALUE"""),1073.65)</f>
        <v>1073.65</v>
      </c>
      <c r="F66" s="7">
        <f>IFERROR(__xludf.DUMMYFUNCTION("""COMPUTED_VALUE"""),2938214.0)</f>
        <v>2938214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f>IFERROR(__xludf.DUMMYFUNCTION("""COMPUTED_VALUE"""),45646.64583333333)</f>
        <v>45646.64583</v>
      </c>
      <c r="B67" s="7">
        <f>IFERROR(__xludf.DUMMYFUNCTION("""COMPUTED_VALUE"""),1074.9)</f>
        <v>1074.9</v>
      </c>
      <c r="C67" s="7">
        <f>IFERROR(__xludf.DUMMYFUNCTION("""COMPUTED_VALUE"""),1119.0)</f>
        <v>1119</v>
      </c>
      <c r="D67" s="7">
        <f>IFERROR(__xludf.DUMMYFUNCTION("""COMPUTED_VALUE"""),1015.1)</f>
        <v>1015.1</v>
      </c>
      <c r="E67" s="7">
        <f>IFERROR(__xludf.DUMMYFUNCTION("""COMPUTED_VALUE"""),1034.35)</f>
        <v>1034.35</v>
      </c>
      <c r="F67" s="7">
        <f>IFERROR(__xludf.DUMMYFUNCTION("""COMPUTED_VALUE"""),1.4340608E7)</f>
        <v>14340608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f>IFERROR(__xludf.DUMMYFUNCTION("""COMPUTED_VALUE"""),45649.64583333333)</f>
        <v>45649.64583</v>
      </c>
      <c r="B68" s="7">
        <f>IFERROR(__xludf.DUMMYFUNCTION("""COMPUTED_VALUE"""),1049.7)</f>
        <v>1049.7</v>
      </c>
      <c r="C68" s="7">
        <f>IFERROR(__xludf.DUMMYFUNCTION("""COMPUTED_VALUE"""),1057.95)</f>
        <v>1057.95</v>
      </c>
      <c r="D68" s="7">
        <f>IFERROR(__xludf.DUMMYFUNCTION("""COMPUTED_VALUE"""),1023.6)</f>
        <v>1023.6</v>
      </c>
      <c r="E68" s="7">
        <f>IFERROR(__xludf.DUMMYFUNCTION("""COMPUTED_VALUE"""),1034.65)</f>
        <v>1034.65</v>
      </c>
      <c r="F68" s="7">
        <f>IFERROR(__xludf.DUMMYFUNCTION("""COMPUTED_VALUE"""),2775914.0)</f>
        <v>2775914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f>IFERROR(__xludf.DUMMYFUNCTION("""COMPUTED_VALUE"""),45650.64583333333)</f>
        <v>45650.64583</v>
      </c>
      <c r="B69" s="7">
        <f>IFERROR(__xludf.DUMMYFUNCTION("""COMPUTED_VALUE"""),1035.6)</f>
        <v>1035.6</v>
      </c>
      <c r="C69" s="7">
        <f>IFERROR(__xludf.DUMMYFUNCTION("""COMPUTED_VALUE"""),1059.05)</f>
        <v>1059.05</v>
      </c>
      <c r="D69" s="7">
        <f>IFERROR(__xludf.DUMMYFUNCTION("""COMPUTED_VALUE"""),1020.0)</f>
        <v>1020</v>
      </c>
      <c r="E69" s="7">
        <f>IFERROR(__xludf.DUMMYFUNCTION("""COMPUTED_VALUE"""),1031.05)</f>
        <v>1031.05</v>
      </c>
      <c r="F69" s="7">
        <f>IFERROR(__xludf.DUMMYFUNCTION("""COMPUTED_VALUE"""),2494981.0)</f>
        <v>2494981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f>IFERROR(__xludf.DUMMYFUNCTION("""COMPUTED_VALUE"""),45652.64583333333)</f>
        <v>45652.64583</v>
      </c>
      <c r="B70" s="7">
        <f>IFERROR(__xludf.DUMMYFUNCTION("""COMPUTED_VALUE"""),1030.25)</f>
        <v>1030.25</v>
      </c>
      <c r="C70" s="7">
        <f>IFERROR(__xludf.DUMMYFUNCTION("""COMPUTED_VALUE"""),1082.2)</f>
        <v>1082.2</v>
      </c>
      <c r="D70" s="7">
        <f>IFERROR(__xludf.DUMMYFUNCTION("""COMPUTED_VALUE"""),1023.0)</f>
        <v>1023</v>
      </c>
      <c r="E70" s="7">
        <f>IFERROR(__xludf.DUMMYFUNCTION("""COMPUTED_VALUE"""),1064.25)</f>
        <v>1064.25</v>
      </c>
      <c r="F70" s="7">
        <f>IFERROR(__xludf.DUMMYFUNCTION("""COMPUTED_VALUE"""),5614636.0)</f>
        <v>5614636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f>IFERROR(__xludf.DUMMYFUNCTION("""COMPUTED_VALUE"""),45653.64583333333)</f>
        <v>45653.64583</v>
      </c>
      <c r="B71" s="7">
        <f>IFERROR(__xludf.DUMMYFUNCTION("""COMPUTED_VALUE"""),1065.0)</f>
        <v>1065</v>
      </c>
      <c r="C71" s="7">
        <f>IFERROR(__xludf.DUMMYFUNCTION("""COMPUTED_VALUE"""),1076.65)</f>
        <v>1076.65</v>
      </c>
      <c r="D71" s="7">
        <f>IFERROR(__xludf.DUMMYFUNCTION("""COMPUTED_VALUE"""),1044.25)</f>
        <v>1044.25</v>
      </c>
      <c r="E71" s="7">
        <f>IFERROR(__xludf.DUMMYFUNCTION("""COMPUTED_VALUE"""),1054.0)</f>
        <v>1054</v>
      </c>
      <c r="F71" s="7">
        <f>IFERROR(__xludf.DUMMYFUNCTION("""COMPUTED_VALUE"""),2871766.0)</f>
        <v>2871766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f>IFERROR(__xludf.DUMMYFUNCTION("""COMPUTED_VALUE"""),45656.64583333333)</f>
        <v>45656.64583</v>
      </c>
      <c r="B72" s="7">
        <f>IFERROR(__xludf.DUMMYFUNCTION("""COMPUTED_VALUE"""),1060.0)</f>
        <v>1060</v>
      </c>
      <c r="C72" s="7">
        <f>IFERROR(__xludf.DUMMYFUNCTION("""COMPUTED_VALUE"""),1113.7)</f>
        <v>1113.7</v>
      </c>
      <c r="D72" s="7">
        <f>IFERROR(__xludf.DUMMYFUNCTION("""COMPUTED_VALUE"""),1042.0)</f>
        <v>1042</v>
      </c>
      <c r="E72" s="7">
        <f>IFERROR(__xludf.DUMMYFUNCTION("""COMPUTED_VALUE"""),1075.65)</f>
        <v>1075.65</v>
      </c>
      <c r="F72" s="7">
        <f>IFERROR(__xludf.DUMMYFUNCTION("""COMPUTED_VALUE"""),6974681.0)</f>
        <v>6974681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f>IFERROR(__xludf.DUMMYFUNCTION("""COMPUTED_VALUE"""),45657.64583333333)</f>
        <v>45657.64583</v>
      </c>
      <c r="B73" s="7">
        <f>IFERROR(__xludf.DUMMYFUNCTION("""COMPUTED_VALUE"""),1070.95)</f>
        <v>1070.95</v>
      </c>
      <c r="C73" s="7">
        <f>IFERROR(__xludf.DUMMYFUNCTION("""COMPUTED_VALUE"""),1070.95)</f>
        <v>1070.95</v>
      </c>
      <c r="D73" s="7">
        <f>IFERROR(__xludf.DUMMYFUNCTION("""COMPUTED_VALUE"""),1029.0)</f>
        <v>1029</v>
      </c>
      <c r="E73" s="7">
        <f>IFERROR(__xludf.DUMMYFUNCTION("""COMPUTED_VALUE"""),1040.7)</f>
        <v>1040.7</v>
      </c>
      <c r="F73" s="7">
        <f>IFERROR(__xludf.DUMMYFUNCTION("""COMPUTED_VALUE"""),2589661.0)</f>
        <v>2589661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f>IFERROR(__xludf.DUMMYFUNCTION("""COMPUTED_VALUE"""),45658.64583333333)</f>
        <v>45658.64583</v>
      </c>
      <c r="B74" s="7">
        <f>IFERROR(__xludf.DUMMYFUNCTION("""COMPUTED_VALUE"""),1040.7)</f>
        <v>1040.7</v>
      </c>
      <c r="C74" s="7">
        <f>IFERROR(__xludf.DUMMYFUNCTION("""COMPUTED_VALUE"""),1060.0)</f>
        <v>1060</v>
      </c>
      <c r="D74" s="7">
        <f>IFERROR(__xludf.DUMMYFUNCTION("""COMPUTED_VALUE"""),1038.95)</f>
        <v>1038.95</v>
      </c>
      <c r="E74" s="7">
        <f>IFERROR(__xludf.DUMMYFUNCTION("""COMPUTED_VALUE"""),1046.4)</f>
        <v>1046.4</v>
      </c>
      <c r="F74" s="7">
        <f>IFERROR(__xludf.DUMMYFUNCTION("""COMPUTED_VALUE"""),1560588.0)</f>
        <v>1560588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f>IFERROR(__xludf.DUMMYFUNCTION("""COMPUTED_VALUE"""),45659.64583333333)</f>
        <v>45659.64583</v>
      </c>
      <c r="B75" s="7">
        <f>IFERROR(__xludf.DUMMYFUNCTION("""COMPUTED_VALUE"""),1048.0)</f>
        <v>1048</v>
      </c>
      <c r="C75" s="7">
        <f>IFERROR(__xludf.DUMMYFUNCTION("""COMPUTED_VALUE"""),1055.9)</f>
        <v>1055.9</v>
      </c>
      <c r="D75" s="7">
        <f>IFERROR(__xludf.DUMMYFUNCTION("""COMPUTED_VALUE"""),1035.0)</f>
        <v>1035</v>
      </c>
      <c r="E75" s="7">
        <f>IFERROR(__xludf.DUMMYFUNCTION("""COMPUTED_VALUE"""),1046.5)</f>
        <v>1046.5</v>
      </c>
      <c r="F75" s="7">
        <f>IFERROR(__xludf.DUMMYFUNCTION("""COMPUTED_VALUE"""),1415783.0)</f>
        <v>1415783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f>IFERROR(__xludf.DUMMYFUNCTION("""COMPUTED_VALUE"""),45660.64583333333)</f>
        <v>45660.64583</v>
      </c>
      <c r="B76" s="7">
        <f>IFERROR(__xludf.DUMMYFUNCTION("""COMPUTED_VALUE"""),1049.65)</f>
        <v>1049.65</v>
      </c>
      <c r="C76" s="7">
        <f>IFERROR(__xludf.DUMMYFUNCTION("""COMPUTED_VALUE"""),1069.9)</f>
        <v>1069.9</v>
      </c>
      <c r="D76" s="7">
        <f>IFERROR(__xludf.DUMMYFUNCTION("""COMPUTED_VALUE"""),1036.0)</f>
        <v>1036</v>
      </c>
      <c r="E76" s="7">
        <f>IFERROR(__xludf.DUMMYFUNCTION("""COMPUTED_VALUE"""),1038.25)</f>
        <v>1038.25</v>
      </c>
      <c r="F76" s="7">
        <f>IFERROR(__xludf.DUMMYFUNCTION("""COMPUTED_VALUE"""),2143236.0)</f>
        <v>2143236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f>IFERROR(__xludf.DUMMYFUNCTION("""COMPUTED_VALUE"""),45663.64583333333)</f>
        <v>45663.64583</v>
      </c>
      <c r="B77" s="7">
        <f>IFERROR(__xludf.DUMMYFUNCTION("""COMPUTED_VALUE"""),1039.0)</f>
        <v>1039</v>
      </c>
      <c r="C77" s="7">
        <f>IFERROR(__xludf.DUMMYFUNCTION("""COMPUTED_VALUE"""),1040.5)</f>
        <v>1040.5</v>
      </c>
      <c r="D77" s="7">
        <f>IFERROR(__xludf.DUMMYFUNCTION("""COMPUTED_VALUE"""),980.0)</f>
        <v>980</v>
      </c>
      <c r="E77" s="7">
        <f>IFERROR(__xludf.DUMMYFUNCTION("""COMPUTED_VALUE"""),982.6)</f>
        <v>982.6</v>
      </c>
      <c r="F77" s="7">
        <f>IFERROR(__xludf.DUMMYFUNCTION("""COMPUTED_VALUE"""),3322540.0)</f>
        <v>3322540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f>IFERROR(__xludf.DUMMYFUNCTION("""COMPUTED_VALUE"""),45664.64583333333)</f>
        <v>45664.64583</v>
      </c>
      <c r="B78" s="7">
        <f>IFERROR(__xludf.DUMMYFUNCTION("""COMPUTED_VALUE"""),986.95)</f>
        <v>986.95</v>
      </c>
      <c r="C78" s="7">
        <f>IFERROR(__xludf.DUMMYFUNCTION("""COMPUTED_VALUE"""),1014.8)</f>
        <v>1014.8</v>
      </c>
      <c r="D78" s="7">
        <f>IFERROR(__xludf.DUMMYFUNCTION("""COMPUTED_VALUE"""),985.1)</f>
        <v>985.1</v>
      </c>
      <c r="E78" s="7">
        <f>IFERROR(__xludf.DUMMYFUNCTION("""COMPUTED_VALUE"""),1005.5)</f>
        <v>1005.5</v>
      </c>
      <c r="F78" s="7">
        <f>IFERROR(__xludf.DUMMYFUNCTION("""COMPUTED_VALUE"""),2637204.0)</f>
        <v>2637204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f>IFERROR(__xludf.DUMMYFUNCTION("""COMPUTED_VALUE"""),45665.64583333333)</f>
        <v>45665.64583</v>
      </c>
      <c r="B79" s="7">
        <f>IFERROR(__xludf.DUMMYFUNCTION("""COMPUTED_VALUE"""),1010.0)</f>
        <v>1010</v>
      </c>
      <c r="C79" s="7">
        <f>IFERROR(__xludf.DUMMYFUNCTION("""COMPUTED_VALUE"""),1011.55)</f>
        <v>1011.55</v>
      </c>
      <c r="D79" s="7">
        <f>IFERROR(__xludf.DUMMYFUNCTION("""COMPUTED_VALUE"""),981.0)</f>
        <v>981</v>
      </c>
      <c r="E79" s="7">
        <f>IFERROR(__xludf.DUMMYFUNCTION("""COMPUTED_VALUE"""),988.95)</f>
        <v>988.95</v>
      </c>
      <c r="F79" s="7">
        <f>IFERROR(__xludf.DUMMYFUNCTION("""COMPUTED_VALUE"""),1702163.0)</f>
        <v>1702163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f>IFERROR(__xludf.DUMMYFUNCTION("""COMPUTED_VALUE"""),45666.64583333333)</f>
        <v>45666.64583</v>
      </c>
      <c r="B80" s="7">
        <f>IFERROR(__xludf.DUMMYFUNCTION("""COMPUTED_VALUE"""),989.5)</f>
        <v>989.5</v>
      </c>
      <c r="C80" s="7">
        <f>IFERROR(__xludf.DUMMYFUNCTION("""COMPUTED_VALUE"""),1002.0)</f>
        <v>1002</v>
      </c>
      <c r="D80" s="7">
        <f>IFERROR(__xludf.DUMMYFUNCTION("""COMPUTED_VALUE"""),975.1)</f>
        <v>975.1</v>
      </c>
      <c r="E80" s="7">
        <f>IFERROR(__xludf.DUMMYFUNCTION("""COMPUTED_VALUE"""),977.7)</f>
        <v>977.7</v>
      </c>
      <c r="F80" s="7">
        <f>IFERROR(__xludf.DUMMYFUNCTION("""COMPUTED_VALUE"""),1237540.0)</f>
        <v>1237540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f>IFERROR(__xludf.DUMMYFUNCTION("""COMPUTED_VALUE"""),45667.64583333333)</f>
        <v>45667.64583</v>
      </c>
      <c r="B81" s="7">
        <f>IFERROR(__xludf.DUMMYFUNCTION("""COMPUTED_VALUE"""),970.05)</f>
        <v>970.05</v>
      </c>
      <c r="C81" s="7">
        <f>IFERROR(__xludf.DUMMYFUNCTION("""COMPUTED_VALUE"""),977.5)</f>
        <v>977.5</v>
      </c>
      <c r="D81" s="7">
        <f>IFERROR(__xludf.DUMMYFUNCTION("""COMPUTED_VALUE"""),940.4)</f>
        <v>940.4</v>
      </c>
      <c r="E81" s="7">
        <f>IFERROR(__xludf.DUMMYFUNCTION("""COMPUTED_VALUE"""),943.05)</f>
        <v>943.05</v>
      </c>
      <c r="F81" s="7">
        <f>IFERROR(__xludf.DUMMYFUNCTION("""COMPUTED_VALUE"""),2096676.0)</f>
        <v>2096676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f>IFERROR(__xludf.DUMMYFUNCTION("""COMPUTED_VALUE"""),45670.64583333333)</f>
        <v>45670.64583</v>
      </c>
      <c r="B82" s="7">
        <f>IFERROR(__xludf.DUMMYFUNCTION("""COMPUTED_VALUE"""),937.8)</f>
        <v>937.8</v>
      </c>
      <c r="C82" s="7">
        <f>IFERROR(__xludf.DUMMYFUNCTION("""COMPUTED_VALUE"""),937.8)</f>
        <v>937.8</v>
      </c>
      <c r="D82" s="7">
        <f>IFERROR(__xludf.DUMMYFUNCTION("""COMPUTED_VALUE"""),885.0)</f>
        <v>885</v>
      </c>
      <c r="E82" s="7">
        <f>IFERROR(__xludf.DUMMYFUNCTION("""COMPUTED_VALUE"""),889.75)</f>
        <v>889.75</v>
      </c>
      <c r="F82" s="7">
        <f>IFERROR(__xludf.DUMMYFUNCTION("""COMPUTED_VALUE"""),2618478.0)</f>
        <v>2618478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f>IFERROR(__xludf.DUMMYFUNCTION("""COMPUTED_VALUE"""),45671.64583333333)</f>
        <v>45671.64583</v>
      </c>
      <c r="B83" s="7">
        <f>IFERROR(__xludf.DUMMYFUNCTION("""COMPUTED_VALUE"""),898.05)</f>
        <v>898.05</v>
      </c>
      <c r="C83" s="7">
        <f>IFERROR(__xludf.DUMMYFUNCTION("""COMPUTED_VALUE"""),1018.4)</f>
        <v>1018.4</v>
      </c>
      <c r="D83" s="7">
        <f>IFERROR(__xludf.DUMMYFUNCTION("""COMPUTED_VALUE"""),897.5)</f>
        <v>897.5</v>
      </c>
      <c r="E83" s="7">
        <f>IFERROR(__xludf.DUMMYFUNCTION("""COMPUTED_VALUE"""),1006.85)</f>
        <v>1006.85</v>
      </c>
      <c r="F83" s="7">
        <f>IFERROR(__xludf.DUMMYFUNCTION("""COMPUTED_VALUE"""),1.719831E7)</f>
        <v>17198310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f>IFERROR(__xludf.DUMMYFUNCTION("""COMPUTED_VALUE"""),45672.64583333333)</f>
        <v>45672.64583</v>
      </c>
      <c r="B84" s="7">
        <f>IFERROR(__xludf.DUMMYFUNCTION("""COMPUTED_VALUE"""),1040.0)</f>
        <v>1040</v>
      </c>
      <c r="C84" s="7">
        <f>IFERROR(__xludf.DUMMYFUNCTION("""COMPUTED_VALUE"""),1080.0)</f>
        <v>1080</v>
      </c>
      <c r="D84" s="7">
        <f>IFERROR(__xludf.DUMMYFUNCTION("""COMPUTED_VALUE"""),1023.5)</f>
        <v>1023.5</v>
      </c>
      <c r="E84" s="7">
        <f>IFERROR(__xludf.DUMMYFUNCTION("""COMPUTED_VALUE"""),1035.05)</f>
        <v>1035.05</v>
      </c>
      <c r="F84" s="7">
        <f>IFERROR(__xludf.DUMMYFUNCTION("""COMPUTED_VALUE"""),1.3279463E7)</f>
        <v>13279463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f>IFERROR(__xludf.DUMMYFUNCTION("""COMPUTED_VALUE"""),45673.64583333333)</f>
        <v>45673.64583</v>
      </c>
      <c r="B85" s="7">
        <f>IFERROR(__xludf.DUMMYFUNCTION("""COMPUTED_VALUE"""),1107.05)</f>
        <v>1107.05</v>
      </c>
      <c r="C85" s="7">
        <f>IFERROR(__xludf.DUMMYFUNCTION("""COMPUTED_VALUE"""),1127.0)</f>
        <v>1127</v>
      </c>
      <c r="D85" s="7">
        <f>IFERROR(__xludf.DUMMYFUNCTION("""COMPUTED_VALUE"""),1063.4)</f>
        <v>1063.4</v>
      </c>
      <c r="E85" s="7">
        <f>IFERROR(__xludf.DUMMYFUNCTION("""COMPUTED_VALUE"""),1070.25)</f>
        <v>1070.25</v>
      </c>
      <c r="F85" s="7">
        <f>IFERROR(__xludf.DUMMYFUNCTION("""COMPUTED_VALUE"""),7083726.0)</f>
        <v>7083726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f>IFERROR(__xludf.DUMMYFUNCTION("""COMPUTED_VALUE"""),45674.64583333333)</f>
        <v>45674.64583</v>
      </c>
      <c r="B86" s="7">
        <f>IFERROR(__xludf.DUMMYFUNCTION("""COMPUTED_VALUE"""),1078.9)</f>
        <v>1078.9</v>
      </c>
      <c r="C86" s="7">
        <f>IFERROR(__xludf.DUMMYFUNCTION("""COMPUTED_VALUE"""),1089.5)</f>
        <v>1089.5</v>
      </c>
      <c r="D86" s="7">
        <f>IFERROR(__xludf.DUMMYFUNCTION("""COMPUTED_VALUE"""),1056.15)</f>
        <v>1056.15</v>
      </c>
      <c r="E86" s="7">
        <f>IFERROR(__xludf.DUMMYFUNCTION("""COMPUTED_VALUE"""),1078.2)</f>
        <v>1078.2</v>
      </c>
      <c r="F86" s="7">
        <f>IFERROR(__xludf.DUMMYFUNCTION("""COMPUTED_VALUE"""),3486290.0)</f>
        <v>3486290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f>IFERROR(__xludf.DUMMYFUNCTION("""COMPUTED_VALUE"""),45677.64583333333)</f>
        <v>45677.64583</v>
      </c>
      <c r="B87" s="7">
        <f>IFERROR(__xludf.DUMMYFUNCTION("""COMPUTED_VALUE"""),1082.0)</f>
        <v>1082</v>
      </c>
      <c r="C87" s="7">
        <f>IFERROR(__xludf.DUMMYFUNCTION("""COMPUTED_VALUE"""),1088.0)</f>
        <v>1088</v>
      </c>
      <c r="D87" s="7">
        <f>IFERROR(__xludf.DUMMYFUNCTION("""COMPUTED_VALUE"""),1054.25)</f>
        <v>1054.25</v>
      </c>
      <c r="E87" s="7">
        <f>IFERROR(__xludf.DUMMYFUNCTION("""COMPUTED_VALUE"""),1066.75)</f>
        <v>1066.75</v>
      </c>
      <c r="F87" s="7">
        <f>IFERROR(__xludf.DUMMYFUNCTION("""COMPUTED_VALUE"""),2463260.0)</f>
        <v>2463260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f>IFERROR(__xludf.DUMMYFUNCTION("""COMPUTED_VALUE"""),45678.64583333333)</f>
        <v>45678.64583</v>
      </c>
      <c r="B88" s="7">
        <f>IFERROR(__xludf.DUMMYFUNCTION("""COMPUTED_VALUE"""),1063.3)</f>
        <v>1063.3</v>
      </c>
      <c r="C88" s="7">
        <f>IFERROR(__xludf.DUMMYFUNCTION("""COMPUTED_VALUE"""),1070.0)</f>
        <v>1070</v>
      </c>
      <c r="D88" s="7">
        <f>IFERROR(__xludf.DUMMYFUNCTION("""COMPUTED_VALUE"""),1037.75)</f>
        <v>1037.75</v>
      </c>
      <c r="E88" s="7">
        <f>IFERROR(__xludf.DUMMYFUNCTION("""COMPUTED_VALUE"""),1045.7)</f>
        <v>1045.7</v>
      </c>
      <c r="F88" s="7">
        <f>IFERROR(__xludf.DUMMYFUNCTION("""COMPUTED_VALUE"""),1985986.0)</f>
        <v>1985986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f>IFERROR(__xludf.DUMMYFUNCTION("""COMPUTED_VALUE"""),45679.64583333333)</f>
        <v>45679.64583</v>
      </c>
      <c r="B89" s="7">
        <f>IFERROR(__xludf.DUMMYFUNCTION("""COMPUTED_VALUE"""),1040.0)</f>
        <v>1040</v>
      </c>
      <c r="C89" s="7">
        <f>IFERROR(__xludf.DUMMYFUNCTION("""COMPUTED_VALUE"""),1042.8)</f>
        <v>1042.8</v>
      </c>
      <c r="D89" s="7">
        <f>IFERROR(__xludf.DUMMYFUNCTION("""COMPUTED_VALUE"""),1007.0)</f>
        <v>1007</v>
      </c>
      <c r="E89" s="7">
        <f>IFERROR(__xludf.DUMMYFUNCTION("""COMPUTED_VALUE"""),1031.7)</f>
        <v>1031.7</v>
      </c>
      <c r="F89" s="7">
        <f>IFERROR(__xludf.DUMMYFUNCTION("""COMPUTED_VALUE"""),2656247.0)</f>
        <v>2656247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f>IFERROR(__xludf.DUMMYFUNCTION("""COMPUTED_VALUE"""),45680.64583333333)</f>
        <v>45680.64583</v>
      </c>
      <c r="B90" s="7">
        <f>IFERROR(__xludf.DUMMYFUNCTION("""COMPUTED_VALUE"""),1026.0)</f>
        <v>1026</v>
      </c>
      <c r="C90" s="7">
        <f>IFERROR(__xludf.DUMMYFUNCTION("""COMPUTED_VALUE"""),1049.4)</f>
        <v>1049.4</v>
      </c>
      <c r="D90" s="7">
        <f>IFERROR(__xludf.DUMMYFUNCTION("""COMPUTED_VALUE"""),1015.0)</f>
        <v>1015</v>
      </c>
      <c r="E90" s="7">
        <f>IFERROR(__xludf.DUMMYFUNCTION("""COMPUTED_VALUE"""),1030.25)</f>
        <v>1030.25</v>
      </c>
      <c r="F90" s="7">
        <f>IFERROR(__xludf.DUMMYFUNCTION("""COMPUTED_VALUE"""),3052259.0)</f>
        <v>3052259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f>IFERROR(__xludf.DUMMYFUNCTION("""COMPUTED_VALUE"""),45681.64583333333)</f>
        <v>45681.64583</v>
      </c>
      <c r="B91" s="7">
        <f>IFERROR(__xludf.DUMMYFUNCTION("""COMPUTED_VALUE"""),1037.25)</f>
        <v>1037.25</v>
      </c>
      <c r="C91" s="7">
        <f>IFERROR(__xludf.DUMMYFUNCTION("""COMPUTED_VALUE"""),1065.0)</f>
        <v>1065</v>
      </c>
      <c r="D91" s="7">
        <f>IFERROR(__xludf.DUMMYFUNCTION("""COMPUTED_VALUE"""),1006.0)</f>
        <v>1006</v>
      </c>
      <c r="E91" s="7">
        <f>IFERROR(__xludf.DUMMYFUNCTION("""COMPUTED_VALUE"""),1012.1)</f>
        <v>1012.1</v>
      </c>
      <c r="F91" s="7">
        <f>IFERROR(__xludf.DUMMYFUNCTION("""COMPUTED_VALUE"""),4978974.0)</f>
        <v>4978974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f>IFERROR(__xludf.DUMMYFUNCTION("""COMPUTED_VALUE"""),45684.64583333333)</f>
        <v>45684.64583</v>
      </c>
      <c r="B92" s="7">
        <f>IFERROR(__xludf.DUMMYFUNCTION("""COMPUTED_VALUE"""),995.1)</f>
        <v>995.1</v>
      </c>
      <c r="C92" s="7">
        <f>IFERROR(__xludf.DUMMYFUNCTION("""COMPUTED_VALUE"""),1003.0)</f>
        <v>1003</v>
      </c>
      <c r="D92" s="7">
        <f>IFERROR(__xludf.DUMMYFUNCTION("""COMPUTED_VALUE"""),982.95)</f>
        <v>982.95</v>
      </c>
      <c r="E92" s="7">
        <f>IFERROR(__xludf.DUMMYFUNCTION("""COMPUTED_VALUE"""),998.95)</f>
        <v>998.95</v>
      </c>
      <c r="F92" s="7">
        <f>IFERROR(__xludf.DUMMYFUNCTION("""COMPUTED_VALUE"""),2286903.0)</f>
        <v>2286903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f>IFERROR(__xludf.DUMMYFUNCTION("""COMPUTED_VALUE"""),45685.64583333333)</f>
        <v>45685.64583</v>
      </c>
      <c r="B93" s="7">
        <f>IFERROR(__xludf.DUMMYFUNCTION("""COMPUTED_VALUE"""),999.0)</f>
        <v>999</v>
      </c>
      <c r="C93" s="7">
        <f>IFERROR(__xludf.DUMMYFUNCTION("""COMPUTED_VALUE"""),1012.75)</f>
        <v>1012.75</v>
      </c>
      <c r="D93" s="7">
        <f>IFERROR(__xludf.DUMMYFUNCTION("""COMPUTED_VALUE"""),965.7)</f>
        <v>965.7</v>
      </c>
      <c r="E93" s="7">
        <f>IFERROR(__xludf.DUMMYFUNCTION("""COMPUTED_VALUE"""),987.3)</f>
        <v>987.3</v>
      </c>
      <c r="F93" s="7">
        <f>IFERROR(__xludf.DUMMYFUNCTION("""COMPUTED_VALUE"""),2102556.0)</f>
        <v>2102556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f>IFERROR(__xludf.DUMMYFUNCTION("""COMPUTED_VALUE"""),45686.64583333333)</f>
        <v>45686.64583</v>
      </c>
      <c r="B94" s="7">
        <f>IFERROR(__xludf.DUMMYFUNCTION("""COMPUTED_VALUE"""),989.0)</f>
        <v>989</v>
      </c>
      <c r="C94" s="7">
        <f>IFERROR(__xludf.DUMMYFUNCTION("""COMPUTED_VALUE"""),1006.35)</f>
        <v>1006.35</v>
      </c>
      <c r="D94" s="7">
        <f>IFERROR(__xludf.DUMMYFUNCTION("""COMPUTED_VALUE"""),982.4)</f>
        <v>982.4</v>
      </c>
      <c r="E94" s="7">
        <f>IFERROR(__xludf.DUMMYFUNCTION("""COMPUTED_VALUE"""),987.65)</f>
        <v>987.65</v>
      </c>
      <c r="F94" s="7">
        <f>IFERROR(__xludf.DUMMYFUNCTION("""COMPUTED_VALUE"""),1865241.0)</f>
        <v>1865241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f>IFERROR(__xludf.DUMMYFUNCTION("""COMPUTED_VALUE"""),45687.64583333333)</f>
        <v>45687.64583</v>
      </c>
      <c r="B95" s="7">
        <f>IFERROR(__xludf.DUMMYFUNCTION("""COMPUTED_VALUE"""),986.0)</f>
        <v>986</v>
      </c>
      <c r="C95" s="7">
        <f>IFERROR(__xludf.DUMMYFUNCTION("""COMPUTED_VALUE"""),1001.9)</f>
        <v>1001.9</v>
      </c>
      <c r="D95" s="7">
        <f>IFERROR(__xludf.DUMMYFUNCTION("""COMPUTED_VALUE"""),965.7)</f>
        <v>965.7</v>
      </c>
      <c r="E95" s="7">
        <f>IFERROR(__xludf.DUMMYFUNCTION("""COMPUTED_VALUE"""),971.85)</f>
        <v>971.85</v>
      </c>
      <c r="F95" s="7">
        <f>IFERROR(__xludf.DUMMYFUNCTION("""COMPUTED_VALUE"""),1871049.0)</f>
        <v>1871049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f>IFERROR(__xludf.DUMMYFUNCTION("""COMPUTED_VALUE"""),45688.64583333333)</f>
        <v>45688.64583</v>
      </c>
      <c r="B96" s="7">
        <f>IFERROR(__xludf.DUMMYFUNCTION("""COMPUTED_VALUE"""),973.9)</f>
        <v>973.9</v>
      </c>
      <c r="C96" s="7">
        <f>IFERROR(__xludf.DUMMYFUNCTION("""COMPUTED_VALUE"""),1006.8)</f>
        <v>1006.8</v>
      </c>
      <c r="D96" s="7">
        <f>IFERROR(__xludf.DUMMYFUNCTION("""COMPUTED_VALUE"""),971.55)</f>
        <v>971.55</v>
      </c>
      <c r="E96" s="7">
        <f>IFERROR(__xludf.DUMMYFUNCTION("""COMPUTED_VALUE"""),997.55)</f>
        <v>997.55</v>
      </c>
      <c r="F96" s="7">
        <f>IFERROR(__xludf.DUMMYFUNCTION("""COMPUTED_VALUE"""),3123886.0)</f>
        <v>3123886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f>IFERROR(__xludf.DUMMYFUNCTION("""COMPUTED_VALUE"""),45691.64583333333)</f>
        <v>45691.64583</v>
      </c>
      <c r="B97" s="7">
        <f>IFERROR(__xludf.DUMMYFUNCTION("""COMPUTED_VALUE"""),994.9)</f>
        <v>994.9</v>
      </c>
      <c r="C97" s="7">
        <f>IFERROR(__xludf.DUMMYFUNCTION("""COMPUTED_VALUE"""),994.9)</f>
        <v>994.9</v>
      </c>
      <c r="D97" s="7">
        <f>IFERROR(__xludf.DUMMYFUNCTION("""COMPUTED_VALUE"""),967.5)</f>
        <v>967.5</v>
      </c>
      <c r="E97" s="7">
        <f>IFERROR(__xludf.DUMMYFUNCTION("""COMPUTED_VALUE"""),970.1)</f>
        <v>970.1</v>
      </c>
      <c r="F97" s="7">
        <f>IFERROR(__xludf.DUMMYFUNCTION("""COMPUTED_VALUE"""),1672435.0)</f>
        <v>1672435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f>IFERROR(__xludf.DUMMYFUNCTION("""COMPUTED_VALUE"""),45692.64583333333)</f>
        <v>45692.64583</v>
      </c>
      <c r="B98" s="7">
        <f>IFERROR(__xludf.DUMMYFUNCTION("""COMPUTED_VALUE"""),973.2)</f>
        <v>973.2</v>
      </c>
      <c r="C98" s="7">
        <f>IFERROR(__xludf.DUMMYFUNCTION("""COMPUTED_VALUE"""),990.0)</f>
        <v>990</v>
      </c>
      <c r="D98" s="7">
        <f>IFERROR(__xludf.DUMMYFUNCTION("""COMPUTED_VALUE"""),973.2)</f>
        <v>973.2</v>
      </c>
      <c r="E98" s="7">
        <f>IFERROR(__xludf.DUMMYFUNCTION("""COMPUTED_VALUE"""),983.15)</f>
        <v>983.15</v>
      </c>
      <c r="F98" s="7">
        <f>IFERROR(__xludf.DUMMYFUNCTION("""COMPUTED_VALUE"""),1333100.0)</f>
        <v>1333100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f>IFERROR(__xludf.DUMMYFUNCTION("""COMPUTED_VALUE"""),45693.64583333333)</f>
        <v>45693.64583</v>
      </c>
      <c r="B99" s="7">
        <f>IFERROR(__xludf.DUMMYFUNCTION("""COMPUTED_VALUE"""),987.05)</f>
        <v>987.05</v>
      </c>
      <c r="C99" s="7">
        <f>IFERROR(__xludf.DUMMYFUNCTION("""COMPUTED_VALUE"""),1028.7)</f>
        <v>1028.7</v>
      </c>
      <c r="D99" s="7">
        <f>IFERROR(__xludf.DUMMYFUNCTION("""COMPUTED_VALUE"""),987.05)</f>
        <v>987.05</v>
      </c>
      <c r="E99" s="7">
        <f>IFERROR(__xludf.DUMMYFUNCTION("""COMPUTED_VALUE"""),1017.8)</f>
        <v>1017.8</v>
      </c>
      <c r="F99" s="7">
        <f>IFERROR(__xludf.DUMMYFUNCTION("""COMPUTED_VALUE"""),2434579.0)</f>
        <v>2434579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f>IFERROR(__xludf.DUMMYFUNCTION("""COMPUTED_VALUE"""),45694.64583333333)</f>
        <v>45694.64583</v>
      </c>
      <c r="B100" s="7">
        <f>IFERROR(__xludf.DUMMYFUNCTION("""COMPUTED_VALUE"""),1025.9)</f>
        <v>1025.9</v>
      </c>
      <c r="C100" s="7">
        <f>IFERROR(__xludf.DUMMYFUNCTION("""COMPUTED_VALUE"""),1025.9)</f>
        <v>1025.9</v>
      </c>
      <c r="D100" s="7">
        <f>IFERROR(__xludf.DUMMYFUNCTION("""COMPUTED_VALUE"""),993.5)</f>
        <v>993.5</v>
      </c>
      <c r="E100" s="7">
        <f>IFERROR(__xludf.DUMMYFUNCTION("""COMPUTED_VALUE"""),997.6)</f>
        <v>997.6</v>
      </c>
      <c r="F100" s="7">
        <f>IFERROR(__xludf.DUMMYFUNCTION("""COMPUTED_VALUE"""),1097383.0)</f>
        <v>1097383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f>IFERROR(__xludf.DUMMYFUNCTION("""COMPUTED_VALUE"""),45695.64583333333)</f>
        <v>45695.64583</v>
      </c>
      <c r="B101" s="7">
        <f>IFERROR(__xludf.DUMMYFUNCTION("""COMPUTED_VALUE"""),999.9)</f>
        <v>999.9</v>
      </c>
      <c r="C101" s="7">
        <f>IFERROR(__xludf.DUMMYFUNCTION("""COMPUTED_VALUE"""),1009.55)</f>
        <v>1009.55</v>
      </c>
      <c r="D101" s="7">
        <f>IFERROR(__xludf.DUMMYFUNCTION("""COMPUTED_VALUE"""),984.1)</f>
        <v>984.1</v>
      </c>
      <c r="E101" s="7">
        <f>IFERROR(__xludf.DUMMYFUNCTION("""COMPUTED_VALUE"""),989.5)</f>
        <v>989.5</v>
      </c>
      <c r="F101" s="7">
        <f>IFERROR(__xludf.DUMMYFUNCTION("""COMPUTED_VALUE"""),1238324.0)</f>
        <v>1238324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f>IFERROR(__xludf.DUMMYFUNCTION("""COMPUTED_VALUE"""),45698.64583333333)</f>
        <v>45698.64583</v>
      </c>
      <c r="B102" s="7">
        <f>IFERROR(__xludf.DUMMYFUNCTION("""COMPUTED_VALUE"""),996.0)</f>
        <v>996</v>
      </c>
      <c r="C102" s="7">
        <f>IFERROR(__xludf.DUMMYFUNCTION("""COMPUTED_VALUE"""),998.95)</f>
        <v>998.95</v>
      </c>
      <c r="D102" s="7">
        <f>IFERROR(__xludf.DUMMYFUNCTION("""COMPUTED_VALUE"""),950.05)</f>
        <v>950.05</v>
      </c>
      <c r="E102" s="7">
        <f>IFERROR(__xludf.DUMMYFUNCTION("""COMPUTED_VALUE"""),954.05)</f>
        <v>954.05</v>
      </c>
      <c r="F102" s="7">
        <f>IFERROR(__xludf.DUMMYFUNCTION("""COMPUTED_VALUE"""),1527205.0)</f>
        <v>1527205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f>IFERROR(__xludf.DUMMYFUNCTION("""COMPUTED_VALUE"""),45699.64583333333)</f>
        <v>45699.64583</v>
      </c>
      <c r="B103" s="7">
        <f>IFERROR(__xludf.DUMMYFUNCTION("""COMPUTED_VALUE"""),965.0)</f>
        <v>965</v>
      </c>
      <c r="C103" s="7">
        <f>IFERROR(__xludf.DUMMYFUNCTION("""COMPUTED_VALUE"""),985.9)</f>
        <v>985.9</v>
      </c>
      <c r="D103" s="7">
        <f>IFERROR(__xludf.DUMMYFUNCTION("""COMPUTED_VALUE"""),938.05)</f>
        <v>938.05</v>
      </c>
      <c r="E103" s="7">
        <f>IFERROR(__xludf.DUMMYFUNCTION("""COMPUTED_VALUE"""),946.2)</f>
        <v>946.2</v>
      </c>
      <c r="F103" s="7">
        <f>IFERROR(__xludf.DUMMYFUNCTION("""COMPUTED_VALUE"""),3770394.0)</f>
        <v>3770394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f>IFERROR(__xludf.DUMMYFUNCTION("""COMPUTED_VALUE"""),45700.64583333333)</f>
        <v>45700.64583</v>
      </c>
      <c r="B104" s="7">
        <f>IFERROR(__xludf.DUMMYFUNCTION("""COMPUTED_VALUE"""),950.05)</f>
        <v>950.05</v>
      </c>
      <c r="C104" s="7">
        <f>IFERROR(__xludf.DUMMYFUNCTION("""COMPUTED_VALUE"""),956.95)</f>
        <v>956.95</v>
      </c>
      <c r="D104" s="7">
        <f>IFERROR(__xludf.DUMMYFUNCTION("""COMPUTED_VALUE"""),897.05)</f>
        <v>897.05</v>
      </c>
      <c r="E104" s="7">
        <f>IFERROR(__xludf.DUMMYFUNCTION("""COMPUTED_VALUE"""),916.9)</f>
        <v>916.9</v>
      </c>
      <c r="F104" s="7">
        <f>IFERROR(__xludf.DUMMYFUNCTION("""COMPUTED_VALUE"""),4095054.0)</f>
        <v>4095054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f>IFERROR(__xludf.DUMMYFUNCTION("""COMPUTED_VALUE"""),45701.64583333333)</f>
        <v>45701.64583</v>
      </c>
      <c r="B105" s="7">
        <f>IFERROR(__xludf.DUMMYFUNCTION("""COMPUTED_VALUE"""),927.05)</f>
        <v>927.05</v>
      </c>
      <c r="C105" s="7">
        <f>IFERROR(__xludf.DUMMYFUNCTION("""COMPUTED_VALUE"""),945.95)</f>
        <v>945.95</v>
      </c>
      <c r="D105" s="7">
        <f>IFERROR(__xludf.DUMMYFUNCTION("""COMPUTED_VALUE"""),908.05)</f>
        <v>908.05</v>
      </c>
      <c r="E105" s="7">
        <f>IFERROR(__xludf.DUMMYFUNCTION("""COMPUTED_VALUE"""),913.75)</f>
        <v>913.75</v>
      </c>
      <c r="F105" s="7">
        <f>IFERROR(__xludf.DUMMYFUNCTION("""COMPUTED_VALUE"""),2474769.0)</f>
        <v>2474769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f>IFERROR(__xludf.DUMMYFUNCTION("""COMPUTED_VALUE"""),45702.64583333333)</f>
        <v>45702.64583</v>
      </c>
      <c r="B106" s="7">
        <f>IFERROR(__xludf.DUMMYFUNCTION("""COMPUTED_VALUE"""),920.0)</f>
        <v>920</v>
      </c>
      <c r="C106" s="7">
        <f>IFERROR(__xludf.DUMMYFUNCTION("""COMPUTED_VALUE"""),923.65)</f>
        <v>923.65</v>
      </c>
      <c r="D106" s="7">
        <f>IFERROR(__xludf.DUMMYFUNCTION("""COMPUTED_VALUE"""),873.0)</f>
        <v>873</v>
      </c>
      <c r="E106" s="7">
        <f>IFERROR(__xludf.DUMMYFUNCTION("""COMPUTED_VALUE"""),884.4)</f>
        <v>884.4</v>
      </c>
      <c r="F106" s="7">
        <f>IFERROR(__xludf.DUMMYFUNCTION("""COMPUTED_VALUE"""),2874948.0)</f>
        <v>2874948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f>IFERROR(__xludf.DUMMYFUNCTION("""COMPUTED_VALUE"""),45705.64583333333)</f>
        <v>45705.64583</v>
      </c>
      <c r="B107" s="7">
        <f>IFERROR(__xludf.DUMMYFUNCTION("""COMPUTED_VALUE"""),878.95)</f>
        <v>878.95</v>
      </c>
      <c r="C107" s="7">
        <f>IFERROR(__xludf.DUMMYFUNCTION("""COMPUTED_VALUE"""),900.85)</f>
        <v>900.85</v>
      </c>
      <c r="D107" s="7">
        <f>IFERROR(__xludf.DUMMYFUNCTION("""COMPUTED_VALUE"""),840.45)</f>
        <v>840.45</v>
      </c>
      <c r="E107" s="7">
        <f>IFERROR(__xludf.DUMMYFUNCTION("""COMPUTED_VALUE"""),890.35)</f>
        <v>890.35</v>
      </c>
      <c r="F107" s="7">
        <f>IFERROR(__xludf.DUMMYFUNCTION("""COMPUTED_VALUE"""),4343277.0)</f>
        <v>4343277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f>IFERROR(__xludf.DUMMYFUNCTION("""COMPUTED_VALUE"""),45706.64583333333)</f>
        <v>45706.64583</v>
      </c>
      <c r="B108" s="7">
        <f>IFERROR(__xludf.DUMMYFUNCTION("""COMPUTED_VALUE"""),899.0)</f>
        <v>899</v>
      </c>
      <c r="C108" s="7">
        <f>IFERROR(__xludf.DUMMYFUNCTION("""COMPUTED_VALUE"""),904.9)</f>
        <v>904.9</v>
      </c>
      <c r="D108" s="7">
        <f>IFERROR(__xludf.DUMMYFUNCTION("""COMPUTED_VALUE"""),870.1)</f>
        <v>870.1</v>
      </c>
      <c r="E108" s="7">
        <f>IFERROR(__xludf.DUMMYFUNCTION("""COMPUTED_VALUE"""),897.55)</f>
        <v>897.55</v>
      </c>
      <c r="F108" s="7">
        <f>IFERROR(__xludf.DUMMYFUNCTION("""COMPUTED_VALUE"""),2718141.0)</f>
        <v>2718141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f>IFERROR(__xludf.DUMMYFUNCTION("""COMPUTED_VALUE"""),45707.64583333333)</f>
        <v>45707.64583</v>
      </c>
      <c r="B109" s="7">
        <f>IFERROR(__xludf.DUMMYFUNCTION("""COMPUTED_VALUE"""),875.25)</f>
        <v>875.25</v>
      </c>
      <c r="C109" s="7">
        <f>IFERROR(__xludf.DUMMYFUNCTION("""COMPUTED_VALUE"""),885.85)</f>
        <v>885.85</v>
      </c>
      <c r="D109" s="7">
        <f>IFERROR(__xludf.DUMMYFUNCTION("""COMPUTED_VALUE"""),860.95)</f>
        <v>860.95</v>
      </c>
      <c r="E109" s="7">
        <f>IFERROR(__xludf.DUMMYFUNCTION("""COMPUTED_VALUE"""),864.7)</f>
        <v>864.7</v>
      </c>
      <c r="F109" s="7">
        <f>IFERROR(__xludf.DUMMYFUNCTION("""COMPUTED_VALUE"""),4121742.0)</f>
        <v>4121742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f>IFERROR(__xludf.DUMMYFUNCTION("""COMPUTED_VALUE"""),45708.64583333333)</f>
        <v>45708.64583</v>
      </c>
      <c r="B110" s="7">
        <f>IFERROR(__xludf.DUMMYFUNCTION("""COMPUTED_VALUE"""),861.0)</f>
        <v>861</v>
      </c>
      <c r="C110" s="7">
        <f>IFERROR(__xludf.DUMMYFUNCTION("""COMPUTED_VALUE"""),883.95)</f>
        <v>883.95</v>
      </c>
      <c r="D110" s="7">
        <f>IFERROR(__xludf.DUMMYFUNCTION("""COMPUTED_VALUE"""),845.0)</f>
        <v>845</v>
      </c>
      <c r="E110" s="7">
        <f>IFERROR(__xludf.DUMMYFUNCTION("""COMPUTED_VALUE"""),864.95)</f>
        <v>864.95</v>
      </c>
      <c r="F110" s="7">
        <f>IFERROR(__xludf.DUMMYFUNCTION("""COMPUTED_VALUE"""),3499937.0)</f>
        <v>3499937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f>IFERROR(__xludf.DUMMYFUNCTION("""COMPUTED_VALUE"""),45709.64583333333)</f>
        <v>45709.64583</v>
      </c>
      <c r="B111" s="7">
        <f>IFERROR(__xludf.DUMMYFUNCTION("""COMPUTED_VALUE"""),864.95)</f>
        <v>864.95</v>
      </c>
      <c r="C111" s="7">
        <f>IFERROR(__xludf.DUMMYFUNCTION("""COMPUTED_VALUE"""),877.0)</f>
        <v>877</v>
      </c>
      <c r="D111" s="7">
        <f>IFERROR(__xludf.DUMMYFUNCTION("""COMPUTED_VALUE"""),841.0)</f>
        <v>841</v>
      </c>
      <c r="E111" s="7">
        <f>IFERROR(__xludf.DUMMYFUNCTION("""COMPUTED_VALUE"""),849.35)</f>
        <v>849.35</v>
      </c>
      <c r="F111" s="7">
        <f>IFERROR(__xludf.DUMMYFUNCTION("""COMPUTED_VALUE"""),2895228.0)</f>
        <v>2895228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f>IFERROR(__xludf.DUMMYFUNCTION("""COMPUTED_VALUE"""),45712.64583333333)</f>
        <v>45712.64583</v>
      </c>
      <c r="B112" s="7">
        <f>IFERROR(__xludf.DUMMYFUNCTION("""COMPUTED_VALUE"""),840.0)</f>
        <v>840</v>
      </c>
      <c r="C112" s="7">
        <f>IFERROR(__xludf.DUMMYFUNCTION("""COMPUTED_VALUE"""),842.7)</f>
        <v>842.7</v>
      </c>
      <c r="D112" s="7">
        <f>IFERROR(__xludf.DUMMYFUNCTION("""COMPUTED_VALUE"""),819.1)</f>
        <v>819.1</v>
      </c>
      <c r="E112" s="7">
        <f>IFERROR(__xludf.DUMMYFUNCTION("""COMPUTED_VALUE"""),836.05)</f>
        <v>836.05</v>
      </c>
      <c r="F112" s="7">
        <f>IFERROR(__xludf.DUMMYFUNCTION("""COMPUTED_VALUE"""),3682290.0)</f>
        <v>3682290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f>IFERROR(__xludf.DUMMYFUNCTION("""COMPUTED_VALUE"""),45713.64583333333)</f>
        <v>45713.64583</v>
      </c>
      <c r="B113" s="7">
        <f>IFERROR(__xludf.DUMMYFUNCTION("""COMPUTED_VALUE"""),836.5)</f>
        <v>836.5</v>
      </c>
      <c r="C113" s="7">
        <f>IFERROR(__xludf.DUMMYFUNCTION("""COMPUTED_VALUE"""),867.0)</f>
        <v>867</v>
      </c>
      <c r="D113" s="7">
        <f>IFERROR(__xludf.DUMMYFUNCTION("""COMPUTED_VALUE"""),828.65)</f>
        <v>828.65</v>
      </c>
      <c r="E113" s="7">
        <f>IFERROR(__xludf.DUMMYFUNCTION("""COMPUTED_VALUE"""),840.65)</f>
        <v>840.65</v>
      </c>
      <c r="F113" s="7">
        <f>IFERROR(__xludf.DUMMYFUNCTION("""COMPUTED_VALUE"""),5299509.0)</f>
        <v>5299509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f>IFERROR(__xludf.DUMMYFUNCTION("""COMPUTED_VALUE"""),45715.64583333333)</f>
        <v>45715.64583</v>
      </c>
      <c r="B114" s="7">
        <f>IFERROR(__xludf.DUMMYFUNCTION("""COMPUTED_VALUE"""),848.65)</f>
        <v>848.65</v>
      </c>
      <c r="C114" s="7">
        <f>IFERROR(__xludf.DUMMYFUNCTION("""COMPUTED_VALUE"""),859.45)</f>
        <v>859.45</v>
      </c>
      <c r="D114" s="7">
        <f>IFERROR(__xludf.DUMMYFUNCTION("""COMPUTED_VALUE"""),806.3)</f>
        <v>806.3</v>
      </c>
      <c r="E114" s="7">
        <f>IFERROR(__xludf.DUMMYFUNCTION("""COMPUTED_VALUE"""),811.75)</f>
        <v>811.75</v>
      </c>
      <c r="F114" s="7">
        <f>IFERROR(__xludf.DUMMYFUNCTION("""COMPUTED_VALUE"""),5612214.0)</f>
        <v>5612214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f>IFERROR(__xludf.DUMMYFUNCTION("""COMPUTED_VALUE"""),45716.64583333333)</f>
        <v>45716.64583</v>
      </c>
      <c r="B115" s="7">
        <f>IFERROR(__xludf.DUMMYFUNCTION("""COMPUTED_VALUE"""),795.1)</f>
        <v>795.1</v>
      </c>
      <c r="C115" s="7">
        <f>IFERROR(__xludf.DUMMYFUNCTION("""COMPUTED_VALUE"""),815.0)</f>
        <v>815</v>
      </c>
      <c r="D115" s="7">
        <f>IFERROR(__xludf.DUMMYFUNCTION("""COMPUTED_VALUE"""),760.15)</f>
        <v>760.15</v>
      </c>
      <c r="E115" s="7">
        <f>IFERROR(__xludf.DUMMYFUNCTION("""COMPUTED_VALUE"""),774.4)</f>
        <v>774.4</v>
      </c>
      <c r="F115" s="7">
        <f>IFERROR(__xludf.DUMMYFUNCTION("""COMPUTED_VALUE"""),4.3947584E7)</f>
        <v>43947584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f>IFERROR(__xludf.DUMMYFUNCTION("""COMPUTED_VALUE"""),45719.64583333333)</f>
        <v>45719.64583</v>
      </c>
      <c r="B116" s="7">
        <f>IFERROR(__xludf.DUMMYFUNCTION("""COMPUTED_VALUE"""),775.0)</f>
        <v>775</v>
      </c>
      <c r="C116" s="7">
        <f>IFERROR(__xludf.DUMMYFUNCTION("""COMPUTED_VALUE"""),808.8)</f>
        <v>808.8</v>
      </c>
      <c r="D116" s="7">
        <f>IFERROR(__xludf.DUMMYFUNCTION("""COMPUTED_VALUE"""),758.0)</f>
        <v>758</v>
      </c>
      <c r="E116" s="7">
        <f>IFERROR(__xludf.DUMMYFUNCTION("""COMPUTED_VALUE"""),804.1)</f>
        <v>804.1</v>
      </c>
      <c r="F116" s="7">
        <f>IFERROR(__xludf.DUMMYFUNCTION("""COMPUTED_VALUE"""),5720645.0)</f>
        <v>5720645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f>IFERROR(__xludf.DUMMYFUNCTION("""COMPUTED_VALUE"""),45720.64583333333)</f>
        <v>45720.64583</v>
      </c>
      <c r="B117" s="7">
        <f>IFERROR(__xludf.DUMMYFUNCTION("""COMPUTED_VALUE"""),783.2)</f>
        <v>783.2</v>
      </c>
      <c r="C117" s="7">
        <f>IFERROR(__xludf.DUMMYFUNCTION("""COMPUTED_VALUE"""),796.65)</f>
        <v>796.65</v>
      </c>
      <c r="D117" s="7">
        <f>IFERROR(__xludf.DUMMYFUNCTION("""COMPUTED_VALUE"""),765.6)</f>
        <v>765.6</v>
      </c>
      <c r="E117" s="7">
        <f>IFERROR(__xludf.DUMMYFUNCTION("""COMPUTED_VALUE"""),768.55)</f>
        <v>768.55</v>
      </c>
      <c r="F117" s="7">
        <f>IFERROR(__xludf.DUMMYFUNCTION("""COMPUTED_VALUE"""),7726332.0)</f>
        <v>7726332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f>IFERROR(__xludf.DUMMYFUNCTION("""COMPUTED_VALUE"""),45721.64583333333)</f>
        <v>45721.64583</v>
      </c>
      <c r="B118" s="7">
        <f>IFERROR(__xludf.DUMMYFUNCTION("""COMPUTED_VALUE"""),769.0)</f>
        <v>769</v>
      </c>
      <c r="C118" s="7">
        <f>IFERROR(__xludf.DUMMYFUNCTION("""COMPUTED_VALUE"""),857.9)</f>
        <v>857.9</v>
      </c>
      <c r="D118" s="7">
        <f>IFERROR(__xludf.DUMMYFUNCTION("""COMPUTED_VALUE"""),769.0)</f>
        <v>769</v>
      </c>
      <c r="E118" s="7">
        <f>IFERROR(__xludf.DUMMYFUNCTION("""COMPUTED_VALUE"""),848.7)</f>
        <v>848.7</v>
      </c>
      <c r="F118" s="7">
        <f>IFERROR(__xludf.DUMMYFUNCTION("""COMPUTED_VALUE"""),1.790224E7)</f>
        <v>17902240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f>IFERROR(__xludf.DUMMYFUNCTION("""COMPUTED_VALUE"""),45722.64583333333)</f>
        <v>45722.64583</v>
      </c>
      <c r="B119" s="7">
        <f>IFERROR(__xludf.DUMMYFUNCTION("""COMPUTED_VALUE"""),868.8)</f>
        <v>868.8</v>
      </c>
      <c r="C119" s="7">
        <f>IFERROR(__xludf.DUMMYFUNCTION("""COMPUTED_VALUE"""),872.45)</f>
        <v>872.45</v>
      </c>
      <c r="D119" s="7">
        <f>IFERROR(__xludf.DUMMYFUNCTION("""COMPUTED_VALUE"""),836.0)</f>
        <v>836</v>
      </c>
      <c r="E119" s="7">
        <f>IFERROR(__xludf.DUMMYFUNCTION("""COMPUTED_VALUE"""),845.95)</f>
        <v>845.95</v>
      </c>
      <c r="F119" s="7">
        <f>IFERROR(__xludf.DUMMYFUNCTION("""COMPUTED_VALUE"""),1.0166566E7)</f>
        <v>10166566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f>IFERROR(__xludf.DUMMYFUNCTION("""COMPUTED_VALUE"""),45723.64583333333)</f>
        <v>45723.64583</v>
      </c>
      <c r="B120" s="7">
        <f>IFERROR(__xludf.DUMMYFUNCTION("""COMPUTED_VALUE"""),840.0)</f>
        <v>840</v>
      </c>
      <c r="C120" s="7">
        <f>IFERROR(__xludf.DUMMYFUNCTION("""COMPUTED_VALUE"""),847.3)</f>
        <v>847.3</v>
      </c>
      <c r="D120" s="7">
        <f>IFERROR(__xludf.DUMMYFUNCTION("""COMPUTED_VALUE"""),823.15)</f>
        <v>823.15</v>
      </c>
      <c r="E120" s="7">
        <f>IFERROR(__xludf.DUMMYFUNCTION("""COMPUTED_VALUE"""),837.2)</f>
        <v>837.2</v>
      </c>
      <c r="F120" s="7">
        <f>IFERROR(__xludf.DUMMYFUNCTION("""COMPUTED_VALUE"""),6078435.0)</f>
        <v>6078435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f>IFERROR(__xludf.DUMMYFUNCTION("""COMPUTED_VALUE"""),45726.64583333333)</f>
        <v>45726.64583</v>
      </c>
      <c r="B121" s="7">
        <f>IFERROR(__xludf.DUMMYFUNCTION("""COMPUTED_VALUE"""),840.9)</f>
        <v>840.9</v>
      </c>
      <c r="C121" s="7">
        <f>IFERROR(__xludf.DUMMYFUNCTION("""COMPUTED_VALUE"""),871.0)</f>
        <v>871</v>
      </c>
      <c r="D121" s="7">
        <f>IFERROR(__xludf.DUMMYFUNCTION("""COMPUTED_VALUE"""),823.25)</f>
        <v>823.25</v>
      </c>
      <c r="E121" s="7">
        <f>IFERROR(__xludf.DUMMYFUNCTION("""COMPUTED_VALUE"""),826.05)</f>
        <v>826.05</v>
      </c>
      <c r="F121" s="7">
        <f>IFERROR(__xludf.DUMMYFUNCTION("""COMPUTED_VALUE"""),6595111.0)</f>
        <v>6595111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f>IFERROR(__xludf.DUMMYFUNCTION("""COMPUTED_VALUE"""),45727.64583333333)</f>
        <v>45727.64583</v>
      </c>
      <c r="B122" s="7">
        <f>IFERROR(__xludf.DUMMYFUNCTION("""COMPUTED_VALUE"""),819.25)</f>
        <v>819.25</v>
      </c>
      <c r="C122" s="7">
        <f>IFERROR(__xludf.DUMMYFUNCTION("""COMPUTED_VALUE"""),834.35)</f>
        <v>834.35</v>
      </c>
      <c r="D122" s="7">
        <f>IFERROR(__xludf.DUMMYFUNCTION("""COMPUTED_VALUE"""),810.6)</f>
        <v>810.6</v>
      </c>
      <c r="E122" s="7">
        <f>IFERROR(__xludf.DUMMYFUNCTION("""COMPUTED_VALUE"""),824.2)</f>
        <v>824.2</v>
      </c>
      <c r="F122" s="7">
        <f>IFERROR(__xludf.DUMMYFUNCTION("""COMPUTED_VALUE"""),3495317.0)</f>
        <v>3495317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f>IFERROR(__xludf.DUMMYFUNCTION("""COMPUTED_VALUE"""),45728.64583333333)</f>
        <v>45728.64583</v>
      </c>
      <c r="B123" s="7">
        <f>IFERROR(__xludf.DUMMYFUNCTION("""COMPUTED_VALUE"""),834.4)</f>
        <v>834.4</v>
      </c>
      <c r="C123" s="7">
        <f>IFERROR(__xludf.DUMMYFUNCTION("""COMPUTED_VALUE"""),858.0)</f>
        <v>858</v>
      </c>
      <c r="D123" s="7">
        <f>IFERROR(__xludf.DUMMYFUNCTION("""COMPUTED_VALUE"""),806.35)</f>
        <v>806.35</v>
      </c>
      <c r="E123" s="7">
        <f>IFERROR(__xludf.DUMMYFUNCTION("""COMPUTED_VALUE"""),853.45)</f>
        <v>853.45</v>
      </c>
      <c r="F123" s="7">
        <f>IFERROR(__xludf.DUMMYFUNCTION("""COMPUTED_VALUE"""),4826264.0)</f>
        <v>4826264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f>IFERROR(__xludf.DUMMYFUNCTION("""COMPUTED_VALUE"""),45729.64583333333)</f>
        <v>45729.64583</v>
      </c>
      <c r="B124" s="7">
        <f>IFERROR(__xludf.DUMMYFUNCTION("""COMPUTED_VALUE"""),874.0)</f>
        <v>874</v>
      </c>
      <c r="C124" s="7">
        <f>IFERROR(__xludf.DUMMYFUNCTION("""COMPUTED_VALUE"""),896.85)</f>
        <v>896.85</v>
      </c>
      <c r="D124" s="7">
        <f>IFERROR(__xludf.DUMMYFUNCTION("""COMPUTED_VALUE"""),858.0)</f>
        <v>858</v>
      </c>
      <c r="E124" s="7">
        <f>IFERROR(__xludf.DUMMYFUNCTION("""COMPUTED_VALUE"""),873.65)</f>
        <v>873.65</v>
      </c>
      <c r="F124" s="7">
        <f>IFERROR(__xludf.DUMMYFUNCTION("""COMPUTED_VALUE"""),1.177918E7)</f>
        <v>11779180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f>IFERROR(__xludf.DUMMYFUNCTION("""COMPUTED_VALUE"""),45733.64583333333)</f>
        <v>45733.64583</v>
      </c>
      <c r="B125" s="7">
        <f>IFERROR(__xludf.DUMMYFUNCTION("""COMPUTED_VALUE"""),873.65)</f>
        <v>873.65</v>
      </c>
      <c r="C125" s="7">
        <f>IFERROR(__xludf.DUMMYFUNCTION("""COMPUTED_VALUE"""),908.45)</f>
        <v>908.45</v>
      </c>
      <c r="D125" s="7">
        <f>IFERROR(__xludf.DUMMYFUNCTION("""COMPUTED_VALUE"""),868.85)</f>
        <v>868.85</v>
      </c>
      <c r="E125" s="7">
        <f>IFERROR(__xludf.DUMMYFUNCTION("""COMPUTED_VALUE"""),896.0)</f>
        <v>896</v>
      </c>
      <c r="F125" s="7">
        <f>IFERROR(__xludf.DUMMYFUNCTION("""COMPUTED_VALUE"""),5903492.0)</f>
        <v>5903492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f>IFERROR(__xludf.DUMMYFUNCTION("""COMPUTED_VALUE"""),45734.64583333333)</f>
        <v>45734.64583</v>
      </c>
      <c r="B126" s="7">
        <f>IFERROR(__xludf.DUMMYFUNCTION("""COMPUTED_VALUE"""),904.7)</f>
        <v>904.7</v>
      </c>
      <c r="C126" s="7">
        <f>IFERROR(__xludf.DUMMYFUNCTION("""COMPUTED_VALUE"""),911.9)</f>
        <v>911.9</v>
      </c>
      <c r="D126" s="7">
        <f>IFERROR(__xludf.DUMMYFUNCTION("""COMPUTED_VALUE"""),889.1)</f>
        <v>889.1</v>
      </c>
      <c r="E126" s="7">
        <f>IFERROR(__xludf.DUMMYFUNCTION("""COMPUTED_VALUE"""),900.9)</f>
        <v>900.9</v>
      </c>
      <c r="F126" s="7">
        <f>IFERROR(__xludf.DUMMYFUNCTION("""COMPUTED_VALUE"""),4222109.0)</f>
        <v>4222109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f>IFERROR(__xludf.DUMMYFUNCTION("""COMPUTED_VALUE"""),45735.64583333333)</f>
        <v>45735.64583</v>
      </c>
      <c r="B127" s="7">
        <f>IFERROR(__xludf.DUMMYFUNCTION("""COMPUTED_VALUE"""),904.05)</f>
        <v>904.05</v>
      </c>
      <c r="C127" s="7">
        <f>IFERROR(__xludf.DUMMYFUNCTION("""COMPUTED_VALUE"""),918.75)</f>
        <v>918.75</v>
      </c>
      <c r="D127" s="7">
        <f>IFERROR(__xludf.DUMMYFUNCTION("""COMPUTED_VALUE"""),901.4)</f>
        <v>901.4</v>
      </c>
      <c r="E127" s="7">
        <f>IFERROR(__xludf.DUMMYFUNCTION("""COMPUTED_VALUE"""),911.2)</f>
        <v>911.2</v>
      </c>
      <c r="F127" s="7">
        <f>IFERROR(__xludf.DUMMYFUNCTION("""COMPUTED_VALUE"""),2980425.0)</f>
        <v>2980425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f>IFERROR(__xludf.DUMMYFUNCTION("""COMPUTED_VALUE"""),45736.64583333333)</f>
        <v>45736.64583</v>
      </c>
      <c r="B128" s="7">
        <f>IFERROR(__xludf.DUMMYFUNCTION("""COMPUTED_VALUE"""),920.3)</f>
        <v>920.3</v>
      </c>
      <c r="C128" s="7">
        <f>IFERROR(__xludf.DUMMYFUNCTION("""COMPUTED_VALUE"""),927.95)</f>
        <v>927.95</v>
      </c>
      <c r="D128" s="7">
        <f>IFERROR(__xludf.DUMMYFUNCTION("""COMPUTED_VALUE"""),902.05)</f>
        <v>902.05</v>
      </c>
      <c r="E128" s="7">
        <f>IFERROR(__xludf.DUMMYFUNCTION("""COMPUTED_VALUE"""),923.4)</f>
        <v>923.4</v>
      </c>
      <c r="F128" s="7">
        <f>IFERROR(__xludf.DUMMYFUNCTION("""COMPUTED_VALUE"""),3210117.0)</f>
        <v>3210117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f>IFERROR(__xludf.DUMMYFUNCTION("""COMPUTED_VALUE"""),45737.64583333333)</f>
        <v>45737.64583</v>
      </c>
      <c r="B129" s="7">
        <f>IFERROR(__xludf.DUMMYFUNCTION("""COMPUTED_VALUE"""),925.0)</f>
        <v>925</v>
      </c>
      <c r="C129" s="7">
        <f>IFERROR(__xludf.DUMMYFUNCTION("""COMPUTED_VALUE"""),983.35)</f>
        <v>983.35</v>
      </c>
      <c r="D129" s="7">
        <f>IFERROR(__xludf.DUMMYFUNCTION("""COMPUTED_VALUE"""),920.55)</f>
        <v>920.55</v>
      </c>
      <c r="E129" s="7">
        <f>IFERROR(__xludf.DUMMYFUNCTION("""COMPUTED_VALUE"""),954.25)</f>
        <v>954.25</v>
      </c>
      <c r="F129" s="7">
        <f>IFERROR(__xludf.DUMMYFUNCTION("""COMPUTED_VALUE"""),8147557.0)</f>
        <v>8147557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f>IFERROR(__xludf.DUMMYFUNCTION("""COMPUTED_VALUE"""),45740.64583333333)</f>
        <v>45740.64583</v>
      </c>
      <c r="B130" s="7">
        <f>IFERROR(__xludf.DUMMYFUNCTION("""COMPUTED_VALUE"""),972.0)</f>
        <v>972</v>
      </c>
      <c r="C130" s="7">
        <f>IFERROR(__xludf.DUMMYFUNCTION("""COMPUTED_VALUE"""),981.0)</f>
        <v>981</v>
      </c>
      <c r="D130" s="7">
        <f>IFERROR(__xludf.DUMMYFUNCTION("""COMPUTED_VALUE"""),949.05)</f>
        <v>949.05</v>
      </c>
      <c r="E130" s="7">
        <f>IFERROR(__xludf.DUMMYFUNCTION("""COMPUTED_VALUE"""),952.9)</f>
        <v>952.9</v>
      </c>
      <c r="F130" s="7">
        <f>IFERROR(__xludf.DUMMYFUNCTION("""COMPUTED_VALUE"""),3632791.0)</f>
        <v>3632791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f>IFERROR(__xludf.DUMMYFUNCTION("""COMPUTED_VALUE"""),45741.64583333333)</f>
        <v>45741.64583</v>
      </c>
      <c r="B131" s="7">
        <f>IFERROR(__xludf.DUMMYFUNCTION("""COMPUTED_VALUE"""),959.0)</f>
        <v>959</v>
      </c>
      <c r="C131" s="7">
        <f>IFERROR(__xludf.DUMMYFUNCTION("""COMPUTED_VALUE"""),966.0)</f>
        <v>966</v>
      </c>
      <c r="D131" s="7">
        <f>IFERROR(__xludf.DUMMYFUNCTION("""COMPUTED_VALUE"""),916.0)</f>
        <v>916</v>
      </c>
      <c r="E131" s="7">
        <f>IFERROR(__xludf.DUMMYFUNCTION("""COMPUTED_VALUE"""),923.4)</f>
        <v>923.4</v>
      </c>
      <c r="F131" s="7">
        <f>IFERROR(__xludf.DUMMYFUNCTION("""COMPUTED_VALUE"""),3504686.0)</f>
        <v>3504686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f>IFERROR(__xludf.DUMMYFUNCTION("""COMPUTED_VALUE"""),45742.64583333333)</f>
        <v>45742.64583</v>
      </c>
      <c r="B132" s="7">
        <f>IFERROR(__xludf.DUMMYFUNCTION("""COMPUTED_VALUE"""),921.95)</f>
        <v>921.95</v>
      </c>
      <c r="C132" s="7">
        <f>IFERROR(__xludf.DUMMYFUNCTION("""COMPUTED_VALUE"""),942.0)</f>
        <v>942</v>
      </c>
      <c r="D132" s="7">
        <f>IFERROR(__xludf.DUMMYFUNCTION("""COMPUTED_VALUE"""),910.0)</f>
        <v>910</v>
      </c>
      <c r="E132" s="7">
        <f>IFERROR(__xludf.DUMMYFUNCTION("""COMPUTED_VALUE"""),912.1)</f>
        <v>912.1</v>
      </c>
      <c r="F132" s="7">
        <f>IFERROR(__xludf.DUMMYFUNCTION("""COMPUTED_VALUE"""),3194761.0)</f>
        <v>3194761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f>IFERROR(__xludf.DUMMYFUNCTION("""COMPUTED_VALUE"""),45743.64583333333)</f>
        <v>45743.64583</v>
      </c>
      <c r="B133" s="7">
        <f>IFERROR(__xludf.DUMMYFUNCTION("""COMPUTED_VALUE"""),910.0)</f>
        <v>910</v>
      </c>
      <c r="C133" s="7">
        <f>IFERROR(__xludf.DUMMYFUNCTION("""COMPUTED_VALUE"""),966.6)</f>
        <v>966.6</v>
      </c>
      <c r="D133" s="7">
        <f>IFERROR(__xludf.DUMMYFUNCTION("""COMPUTED_VALUE"""),905.2)</f>
        <v>905.2</v>
      </c>
      <c r="E133" s="7">
        <f>IFERROR(__xludf.DUMMYFUNCTION("""COMPUTED_VALUE"""),959.9)</f>
        <v>959.9</v>
      </c>
      <c r="F133" s="7">
        <f>IFERROR(__xludf.DUMMYFUNCTION("""COMPUTED_VALUE"""),5918219.0)</f>
        <v>5918219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f>IFERROR(__xludf.DUMMYFUNCTION("""COMPUTED_VALUE"""),45744.64583333333)</f>
        <v>45744.64583</v>
      </c>
      <c r="B134" s="7">
        <f>IFERROR(__xludf.DUMMYFUNCTION("""COMPUTED_VALUE"""),967.85)</f>
        <v>967.85</v>
      </c>
      <c r="C134" s="7">
        <f>IFERROR(__xludf.DUMMYFUNCTION("""COMPUTED_VALUE"""),976.45)</f>
        <v>976.45</v>
      </c>
      <c r="D134" s="7">
        <f>IFERROR(__xludf.DUMMYFUNCTION("""COMPUTED_VALUE"""),942.05)</f>
        <v>942.05</v>
      </c>
      <c r="E134" s="7">
        <f>IFERROR(__xludf.DUMMYFUNCTION("""COMPUTED_VALUE"""),948.65)</f>
        <v>948.65</v>
      </c>
      <c r="F134" s="7">
        <f>IFERROR(__xludf.DUMMYFUNCTION("""COMPUTED_VALUE"""),4083088.0)</f>
        <v>4083088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f>IFERROR(__xludf.DUMMYFUNCTION("""COMPUTED_VALUE"""),45748.64583333333)</f>
        <v>45748.64583</v>
      </c>
      <c r="B135" s="7">
        <f>IFERROR(__xludf.DUMMYFUNCTION("""COMPUTED_VALUE"""),948.0)</f>
        <v>948</v>
      </c>
      <c r="C135" s="7">
        <f>IFERROR(__xludf.DUMMYFUNCTION("""COMPUTED_VALUE"""),962.0)</f>
        <v>962</v>
      </c>
      <c r="D135" s="7">
        <f>IFERROR(__xludf.DUMMYFUNCTION("""COMPUTED_VALUE"""),916.65)</f>
        <v>916.65</v>
      </c>
      <c r="E135" s="7">
        <f>IFERROR(__xludf.DUMMYFUNCTION("""COMPUTED_VALUE"""),919.15)</f>
        <v>919.15</v>
      </c>
      <c r="F135" s="7">
        <f>IFERROR(__xludf.DUMMYFUNCTION("""COMPUTED_VALUE"""),3393666.0)</f>
        <v>3393666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f>IFERROR(__xludf.DUMMYFUNCTION("""COMPUTED_VALUE"""),45749.64583333333)</f>
        <v>45749.64583</v>
      </c>
      <c r="B136" s="7">
        <f>IFERROR(__xludf.DUMMYFUNCTION("""COMPUTED_VALUE"""),926.9)</f>
        <v>926.9</v>
      </c>
      <c r="C136" s="7">
        <f>IFERROR(__xludf.DUMMYFUNCTION("""COMPUTED_VALUE"""),945.1)</f>
        <v>945.1</v>
      </c>
      <c r="D136" s="7">
        <f>IFERROR(__xludf.DUMMYFUNCTION("""COMPUTED_VALUE"""),910.7)</f>
        <v>910.7</v>
      </c>
      <c r="E136" s="7">
        <f>IFERROR(__xludf.DUMMYFUNCTION("""COMPUTED_VALUE"""),943.05)</f>
        <v>943.05</v>
      </c>
      <c r="F136" s="7">
        <f>IFERROR(__xludf.DUMMYFUNCTION("""COMPUTED_VALUE"""),2965379.0)</f>
        <v>2965379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f>IFERROR(__xludf.DUMMYFUNCTION("""COMPUTED_VALUE"""),45750.64583333333)</f>
        <v>45750.64583</v>
      </c>
      <c r="B137" s="7">
        <f>IFERROR(__xludf.DUMMYFUNCTION("""COMPUTED_VALUE"""),927.0)</f>
        <v>927</v>
      </c>
      <c r="C137" s="7">
        <f>IFERROR(__xludf.DUMMYFUNCTION("""COMPUTED_VALUE"""),966.5)</f>
        <v>966.5</v>
      </c>
      <c r="D137" s="7">
        <f>IFERROR(__xludf.DUMMYFUNCTION("""COMPUTED_VALUE"""),927.0)</f>
        <v>927</v>
      </c>
      <c r="E137" s="7">
        <f>IFERROR(__xludf.DUMMYFUNCTION("""COMPUTED_VALUE"""),955.3)</f>
        <v>955.3</v>
      </c>
      <c r="F137" s="7">
        <f>IFERROR(__xludf.DUMMYFUNCTION("""COMPUTED_VALUE"""),3305378.0)</f>
        <v>3305378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f>IFERROR(__xludf.DUMMYFUNCTION("""COMPUTED_VALUE"""),45751.64583333333)</f>
        <v>45751.64583</v>
      </c>
      <c r="B138" s="7">
        <f>IFERROR(__xludf.DUMMYFUNCTION("""COMPUTED_VALUE"""),949.95)</f>
        <v>949.95</v>
      </c>
      <c r="C138" s="7">
        <f>IFERROR(__xludf.DUMMYFUNCTION("""COMPUTED_VALUE"""),956.0)</f>
        <v>956</v>
      </c>
      <c r="D138" s="7">
        <f>IFERROR(__xludf.DUMMYFUNCTION("""COMPUTED_VALUE"""),917.65)</f>
        <v>917.65</v>
      </c>
      <c r="E138" s="7">
        <f>IFERROR(__xludf.DUMMYFUNCTION("""COMPUTED_VALUE"""),923.8)</f>
        <v>923.8</v>
      </c>
      <c r="F138" s="7">
        <f>IFERROR(__xludf.DUMMYFUNCTION("""COMPUTED_VALUE"""),3226540.0)</f>
        <v>3226540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f>IFERROR(__xludf.DUMMYFUNCTION("""COMPUTED_VALUE"""),45754.64583333333)</f>
        <v>45754.64583</v>
      </c>
      <c r="B139" s="7">
        <f>IFERROR(__xludf.DUMMYFUNCTION("""COMPUTED_VALUE"""),850.0)</f>
        <v>850</v>
      </c>
      <c r="C139" s="7">
        <f>IFERROR(__xludf.DUMMYFUNCTION("""COMPUTED_VALUE"""),891.95)</f>
        <v>891.95</v>
      </c>
      <c r="D139" s="7">
        <f>IFERROR(__xludf.DUMMYFUNCTION("""COMPUTED_VALUE"""),850.0)</f>
        <v>850</v>
      </c>
      <c r="E139" s="7">
        <f>IFERROR(__xludf.DUMMYFUNCTION("""COMPUTED_VALUE"""),873.3)</f>
        <v>873.3</v>
      </c>
      <c r="F139" s="7">
        <f>IFERROR(__xludf.DUMMYFUNCTION("""COMPUTED_VALUE"""),3317613.0)</f>
        <v>3317613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f>IFERROR(__xludf.DUMMYFUNCTION("""COMPUTED_VALUE"""),45755.64583333333)</f>
        <v>45755.64583</v>
      </c>
      <c r="B140" s="7">
        <f>IFERROR(__xludf.DUMMYFUNCTION("""COMPUTED_VALUE"""),899.0)</f>
        <v>899</v>
      </c>
      <c r="C140" s="7">
        <f>IFERROR(__xludf.DUMMYFUNCTION("""COMPUTED_VALUE"""),908.1)</f>
        <v>908.1</v>
      </c>
      <c r="D140" s="7">
        <f>IFERROR(__xludf.DUMMYFUNCTION("""COMPUTED_VALUE"""),873.3)</f>
        <v>873.3</v>
      </c>
      <c r="E140" s="7">
        <f>IFERROR(__xludf.DUMMYFUNCTION("""COMPUTED_VALUE"""),875.8)</f>
        <v>875.8</v>
      </c>
      <c r="F140" s="7">
        <f>IFERROR(__xludf.DUMMYFUNCTION("""COMPUTED_VALUE"""),3363547.0)</f>
        <v>3363547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f>IFERROR(__xludf.DUMMYFUNCTION("""COMPUTED_VALUE"""),45756.64583333333)</f>
        <v>45756.64583</v>
      </c>
      <c r="B141" s="7">
        <f>IFERROR(__xludf.DUMMYFUNCTION("""COMPUTED_VALUE"""),874.0)</f>
        <v>874</v>
      </c>
      <c r="C141" s="7">
        <f>IFERROR(__xludf.DUMMYFUNCTION("""COMPUTED_VALUE"""),878.95)</f>
        <v>878.95</v>
      </c>
      <c r="D141" s="7">
        <f>IFERROR(__xludf.DUMMYFUNCTION("""COMPUTED_VALUE"""),850.5)</f>
        <v>850.5</v>
      </c>
      <c r="E141" s="7">
        <f>IFERROR(__xludf.DUMMYFUNCTION("""COMPUTED_VALUE"""),860.75)</f>
        <v>860.75</v>
      </c>
      <c r="F141" s="7">
        <f>IFERROR(__xludf.DUMMYFUNCTION("""COMPUTED_VALUE"""),2518172.0)</f>
        <v>2518172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f>IFERROR(__xludf.DUMMYFUNCTION("""COMPUTED_VALUE"""),45758.64583333333)</f>
        <v>45758.64583</v>
      </c>
      <c r="B142" s="7">
        <f>IFERROR(__xludf.DUMMYFUNCTION("""COMPUTED_VALUE"""),890.0)</f>
        <v>890</v>
      </c>
      <c r="C142" s="7">
        <f>IFERROR(__xludf.DUMMYFUNCTION("""COMPUTED_VALUE"""),903.4)</f>
        <v>903.4</v>
      </c>
      <c r="D142" s="7">
        <f>IFERROR(__xludf.DUMMYFUNCTION("""COMPUTED_VALUE"""),878.7)</f>
        <v>878.7</v>
      </c>
      <c r="E142" s="7">
        <f>IFERROR(__xludf.DUMMYFUNCTION("""COMPUTED_VALUE"""),893.65)</f>
        <v>893.65</v>
      </c>
      <c r="F142" s="7">
        <f>IFERROR(__xludf.DUMMYFUNCTION("""COMPUTED_VALUE"""),2380909.0)</f>
        <v>2380909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f>IFERROR(__xludf.DUMMYFUNCTION("""COMPUTED_VALUE"""),45762.64583333333)</f>
        <v>45762.64583</v>
      </c>
      <c r="B143" s="7">
        <f>IFERROR(__xludf.DUMMYFUNCTION("""COMPUTED_VALUE"""),910.0)</f>
        <v>910</v>
      </c>
      <c r="C143" s="7">
        <f>IFERROR(__xludf.DUMMYFUNCTION("""COMPUTED_VALUE"""),942.0)</f>
        <v>942</v>
      </c>
      <c r="D143" s="7">
        <f>IFERROR(__xludf.DUMMYFUNCTION("""COMPUTED_VALUE"""),901.3)</f>
        <v>901.3</v>
      </c>
      <c r="E143" s="7">
        <f>IFERROR(__xludf.DUMMYFUNCTION("""COMPUTED_VALUE"""),936.65)</f>
        <v>936.65</v>
      </c>
      <c r="F143" s="7">
        <f>IFERROR(__xludf.DUMMYFUNCTION("""COMPUTED_VALUE"""),2944940.0)</f>
        <v>2944940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f>IFERROR(__xludf.DUMMYFUNCTION("""COMPUTED_VALUE"""),45763.64583333333)</f>
        <v>45763.64583</v>
      </c>
      <c r="B144" s="7">
        <f>IFERROR(__xludf.DUMMYFUNCTION("""COMPUTED_VALUE"""),936.95)</f>
        <v>936.95</v>
      </c>
      <c r="C144" s="7">
        <f>IFERROR(__xludf.DUMMYFUNCTION("""COMPUTED_VALUE"""),955.95)</f>
        <v>955.95</v>
      </c>
      <c r="D144" s="7">
        <f>IFERROR(__xludf.DUMMYFUNCTION("""COMPUTED_VALUE"""),931.5)</f>
        <v>931.5</v>
      </c>
      <c r="E144" s="7">
        <f>IFERROR(__xludf.DUMMYFUNCTION("""COMPUTED_VALUE"""),945.6)</f>
        <v>945.6</v>
      </c>
      <c r="F144" s="7">
        <f>IFERROR(__xludf.DUMMYFUNCTION("""COMPUTED_VALUE"""),2203548.0)</f>
        <v>2203548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f>IFERROR(__xludf.DUMMYFUNCTION("""COMPUTED_VALUE"""),45764.64583333333)</f>
        <v>45764.64583</v>
      </c>
      <c r="B145" s="7">
        <f>IFERROR(__xludf.DUMMYFUNCTION("""COMPUTED_VALUE"""),945.6)</f>
        <v>945.6</v>
      </c>
      <c r="C145" s="7">
        <f>IFERROR(__xludf.DUMMYFUNCTION("""COMPUTED_VALUE"""),972.0)</f>
        <v>972</v>
      </c>
      <c r="D145" s="7">
        <f>IFERROR(__xludf.DUMMYFUNCTION("""COMPUTED_VALUE"""),940.0)</f>
        <v>940</v>
      </c>
      <c r="E145" s="7">
        <f>IFERROR(__xludf.DUMMYFUNCTION("""COMPUTED_VALUE"""),947.15)</f>
        <v>947.15</v>
      </c>
      <c r="F145" s="7">
        <f>IFERROR(__xludf.DUMMYFUNCTION("""COMPUTED_VALUE"""),2905274.0)</f>
        <v>2905274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f>IFERROR(__xludf.DUMMYFUNCTION("""COMPUTED_VALUE"""),45768.64583333333)</f>
        <v>45768.64583</v>
      </c>
      <c r="B146" s="7">
        <f>IFERROR(__xludf.DUMMYFUNCTION("""COMPUTED_VALUE"""),954.7)</f>
        <v>954.7</v>
      </c>
      <c r="C146" s="7">
        <f>IFERROR(__xludf.DUMMYFUNCTION("""COMPUTED_VALUE"""),966.6)</f>
        <v>966.6</v>
      </c>
      <c r="D146" s="7">
        <f>IFERROR(__xludf.DUMMYFUNCTION("""COMPUTED_VALUE"""),944.0)</f>
        <v>944</v>
      </c>
      <c r="E146" s="7">
        <f>IFERROR(__xludf.DUMMYFUNCTION("""COMPUTED_VALUE"""),956.25)</f>
        <v>956.25</v>
      </c>
      <c r="F146" s="7">
        <f>IFERROR(__xludf.DUMMYFUNCTION("""COMPUTED_VALUE"""),2149379.0)</f>
        <v>2149379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f>IFERROR(__xludf.DUMMYFUNCTION("""COMPUTED_VALUE"""),45769.64583333333)</f>
        <v>45769.64583</v>
      </c>
      <c r="B147" s="7">
        <f>IFERROR(__xludf.DUMMYFUNCTION("""COMPUTED_VALUE"""),962.0)</f>
        <v>962</v>
      </c>
      <c r="C147" s="7">
        <f>IFERROR(__xludf.DUMMYFUNCTION("""COMPUTED_VALUE"""),965.5)</f>
        <v>965.5</v>
      </c>
      <c r="D147" s="7">
        <f>IFERROR(__xludf.DUMMYFUNCTION("""COMPUTED_VALUE"""),941.55)</f>
        <v>941.55</v>
      </c>
      <c r="E147" s="7">
        <f>IFERROR(__xludf.DUMMYFUNCTION("""COMPUTED_VALUE"""),943.3)</f>
        <v>943.3</v>
      </c>
      <c r="F147" s="7">
        <f>IFERROR(__xludf.DUMMYFUNCTION("""COMPUTED_VALUE"""),2283380.0)</f>
        <v>2283380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f>IFERROR(__xludf.DUMMYFUNCTION("""COMPUTED_VALUE"""),45770.64583333333)</f>
        <v>45770.64583</v>
      </c>
      <c r="B148" s="7">
        <f>IFERROR(__xludf.DUMMYFUNCTION("""COMPUTED_VALUE"""),950.0)</f>
        <v>950</v>
      </c>
      <c r="C148" s="7">
        <f>IFERROR(__xludf.DUMMYFUNCTION("""COMPUTED_VALUE"""),956.9)</f>
        <v>956.9</v>
      </c>
      <c r="D148" s="7">
        <f>IFERROR(__xludf.DUMMYFUNCTION("""COMPUTED_VALUE"""),926.0)</f>
        <v>926</v>
      </c>
      <c r="E148" s="7">
        <f>IFERROR(__xludf.DUMMYFUNCTION("""COMPUTED_VALUE"""),952.5)</f>
        <v>952.5</v>
      </c>
      <c r="F148" s="7">
        <f>IFERROR(__xludf.DUMMYFUNCTION("""COMPUTED_VALUE"""),2614789.0)</f>
        <v>2614789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f>IFERROR(__xludf.DUMMYFUNCTION("""COMPUTED_VALUE"""),45771.64583333333)</f>
        <v>45771.64583</v>
      </c>
      <c r="B149" s="7">
        <f>IFERROR(__xludf.DUMMYFUNCTION("""COMPUTED_VALUE"""),956.9)</f>
        <v>956.9</v>
      </c>
      <c r="C149" s="7">
        <f>IFERROR(__xludf.DUMMYFUNCTION("""COMPUTED_VALUE"""),974.0)</f>
        <v>974</v>
      </c>
      <c r="D149" s="7">
        <f>IFERROR(__xludf.DUMMYFUNCTION("""COMPUTED_VALUE"""),948.75)</f>
        <v>948.75</v>
      </c>
      <c r="E149" s="7">
        <f>IFERROR(__xludf.DUMMYFUNCTION("""COMPUTED_VALUE"""),968.95)</f>
        <v>968.95</v>
      </c>
      <c r="F149" s="7">
        <f>IFERROR(__xludf.DUMMYFUNCTION("""COMPUTED_VALUE"""),3604578.0)</f>
        <v>3604578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f>IFERROR(__xludf.DUMMYFUNCTION("""COMPUTED_VALUE"""),45772.64583333333)</f>
        <v>45772.64583</v>
      </c>
      <c r="B150" s="7">
        <f>IFERROR(__xludf.DUMMYFUNCTION("""COMPUTED_VALUE"""),974.0)</f>
        <v>974</v>
      </c>
      <c r="C150" s="7">
        <f>IFERROR(__xludf.DUMMYFUNCTION("""COMPUTED_VALUE"""),975.85)</f>
        <v>975.85</v>
      </c>
      <c r="D150" s="7">
        <f>IFERROR(__xludf.DUMMYFUNCTION("""COMPUTED_VALUE"""),903.7)</f>
        <v>903.7</v>
      </c>
      <c r="E150" s="7">
        <f>IFERROR(__xludf.DUMMYFUNCTION("""COMPUTED_VALUE"""),912.55)</f>
        <v>912.55</v>
      </c>
      <c r="F150" s="7">
        <f>IFERROR(__xludf.DUMMYFUNCTION("""COMPUTED_VALUE"""),6824718.0)</f>
        <v>6824718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f>IFERROR(__xludf.DUMMYFUNCTION("""COMPUTED_VALUE"""),45775.64583333333)</f>
        <v>45775.64583</v>
      </c>
      <c r="B151" s="7">
        <f>IFERROR(__xludf.DUMMYFUNCTION("""COMPUTED_VALUE"""),915.35)</f>
        <v>915.35</v>
      </c>
      <c r="C151" s="7">
        <f>IFERROR(__xludf.DUMMYFUNCTION("""COMPUTED_VALUE"""),944.95)</f>
        <v>944.95</v>
      </c>
      <c r="D151" s="7">
        <f>IFERROR(__xludf.DUMMYFUNCTION("""COMPUTED_VALUE"""),909.15)</f>
        <v>909.15</v>
      </c>
      <c r="E151" s="7">
        <f>IFERROR(__xludf.DUMMYFUNCTION("""COMPUTED_VALUE"""),941.0)</f>
        <v>941</v>
      </c>
      <c r="F151" s="7">
        <f>IFERROR(__xludf.DUMMYFUNCTION("""COMPUTED_VALUE"""),3691409.0)</f>
        <v>3691409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f>IFERROR(__xludf.DUMMYFUNCTION("""COMPUTED_VALUE"""),45776.64583333333)</f>
        <v>45776.64583</v>
      </c>
      <c r="B152" s="7">
        <f>IFERROR(__xludf.DUMMYFUNCTION("""COMPUTED_VALUE"""),960.0)</f>
        <v>960</v>
      </c>
      <c r="C152" s="7">
        <f>IFERROR(__xludf.DUMMYFUNCTION("""COMPUTED_VALUE"""),961.9)</f>
        <v>961.9</v>
      </c>
      <c r="D152" s="7">
        <f>IFERROR(__xludf.DUMMYFUNCTION("""COMPUTED_VALUE"""),918.9)</f>
        <v>918.9</v>
      </c>
      <c r="E152" s="7">
        <f>IFERROR(__xludf.DUMMYFUNCTION("""COMPUTED_VALUE"""),922.4)</f>
        <v>922.4</v>
      </c>
      <c r="F152" s="7">
        <f>IFERROR(__xludf.DUMMYFUNCTION("""COMPUTED_VALUE"""),6040053.0)</f>
        <v>6040053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f>IFERROR(__xludf.DUMMYFUNCTION("""COMPUTED_VALUE"""),45777.64583333333)</f>
        <v>45777.64583</v>
      </c>
      <c r="B153" s="7">
        <f>IFERROR(__xludf.DUMMYFUNCTION("""COMPUTED_VALUE"""),922.8)</f>
        <v>922.8</v>
      </c>
      <c r="C153" s="7">
        <f>IFERROR(__xludf.DUMMYFUNCTION("""COMPUTED_VALUE"""),929.0)</f>
        <v>929</v>
      </c>
      <c r="D153" s="7">
        <f>IFERROR(__xludf.DUMMYFUNCTION("""COMPUTED_VALUE"""),895.0)</f>
        <v>895</v>
      </c>
      <c r="E153" s="7">
        <f>IFERROR(__xludf.DUMMYFUNCTION("""COMPUTED_VALUE"""),900.7)</f>
        <v>900.7</v>
      </c>
      <c r="F153" s="7">
        <f>IFERROR(__xludf.DUMMYFUNCTION("""COMPUTED_VALUE"""),3000004.0)</f>
        <v>3000004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f>IFERROR(__xludf.DUMMYFUNCTION("""COMPUTED_VALUE"""),45779.64583333333)</f>
        <v>45779.64583</v>
      </c>
      <c r="B154" s="7">
        <f>IFERROR(__xludf.DUMMYFUNCTION("""COMPUTED_VALUE"""),902.05)</f>
        <v>902.05</v>
      </c>
      <c r="C154" s="7">
        <f>IFERROR(__xludf.DUMMYFUNCTION("""COMPUTED_VALUE"""),931.95)</f>
        <v>931.95</v>
      </c>
      <c r="D154" s="7">
        <f>IFERROR(__xludf.DUMMYFUNCTION("""COMPUTED_VALUE"""),900.0)</f>
        <v>900</v>
      </c>
      <c r="E154" s="7">
        <f>IFERROR(__xludf.DUMMYFUNCTION("""COMPUTED_VALUE"""),905.25)</f>
        <v>905.25</v>
      </c>
      <c r="F154" s="7">
        <f>IFERROR(__xludf.DUMMYFUNCTION("""COMPUTED_VALUE"""),3047594.0)</f>
        <v>3047594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f>IFERROR(__xludf.DUMMYFUNCTION("""COMPUTED_VALUE"""),45782.64583333333)</f>
        <v>45782.64583</v>
      </c>
      <c r="B155" s="7">
        <f>IFERROR(__xludf.DUMMYFUNCTION("""COMPUTED_VALUE"""),912.7)</f>
        <v>912.7</v>
      </c>
      <c r="C155" s="7">
        <f>IFERROR(__xludf.DUMMYFUNCTION("""COMPUTED_VALUE"""),1003.5)</f>
        <v>1003.5</v>
      </c>
      <c r="D155" s="7">
        <f>IFERROR(__xludf.DUMMYFUNCTION("""COMPUTED_VALUE"""),910.55)</f>
        <v>910.55</v>
      </c>
      <c r="E155" s="7">
        <f>IFERROR(__xludf.DUMMYFUNCTION("""COMPUTED_VALUE"""),965.7)</f>
        <v>965.7</v>
      </c>
      <c r="F155" s="7">
        <f>IFERROR(__xludf.DUMMYFUNCTION("""COMPUTED_VALUE"""),1.365218E7)</f>
        <v>13652180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f>IFERROR(__xludf.DUMMYFUNCTION("""COMPUTED_VALUE"""),45783.64583333333)</f>
        <v>45783.64583</v>
      </c>
      <c r="B156" s="7">
        <f>IFERROR(__xludf.DUMMYFUNCTION("""COMPUTED_VALUE"""),966.0)</f>
        <v>966</v>
      </c>
      <c r="C156" s="7">
        <f>IFERROR(__xludf.DUMMYFUNCTION("""COMPUTED_VALUE"""),971.25)</f>
        <v>971.25</v>
      </c>
      <c r="D156" s="7">
        <f>IFERROR(__xludf.DUMMYFUNCTION("""COMPUTED_VALUE"""),918.0)</f>
        <v>918</v>
      </c>
      <c r="E156" s="7">
        <f>IFERROR(__xludf.DUMMYFUNCTION("""COMPUTED_VALUE"""),923.25)</f>
        <v>923.25</v>
      </c>
      <c r="F156" s="7">
        <f>IFERROR(__xludf.DUMMYFUNCTION("""COMPUTED_VALUE"""),4153763.0)</f>
        <v>4153763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f>IFERROR(__xludf.DUMMYFUNCTION("""COMPUTED_VALUE"""),45784.64583333333)</f>
        <v>45784.64583</v>
      </c>
      <c r="B157" s="7">
        <f>IFERROR(__xludf.DUMMYFUNCTION("""COMPUTED_VALUE"""),901.2)</f>
        <v>901.2</v>
      </c>
      <c r="C157" s="7">
        <f>IFERROR(__xludf.DUMMYFUNCTION("""COMPUTED_VALUE"""),929.0)</f>
        <v>929</v>
      </c>
      <c r="D157" s="7">
        <f>IFERROR(__xludf.DUMMYFUNCTION("""COMPUTED_VALUE"""),901.1)</f>
        <v>901.1</v>
      </c>
      <c r="E157" s="7">
        <f>IFERROR(__xludf.DUMMYFUNCTION("""COMPUTED_VALUE"""),917.25)</f>
        <v>917.25</v>
      </c>
      <c r="F157" s="7">
        <f>IFERROR(__xludf.DUMMYFUNCTION("""COMPUTED_VALUE"""),3179762.0)</f>
        <v>3179762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f>IFERROR(__xludf.DUMMYFUNCTION("""COMPUTED_VALUE"""),45785.64583333333)</f>
        <v>45785.64583</v>
      </c>
      <c r="B158" s="7">
        <f>IFERROR(__xludf.DUMMYFUNCTION("""COMPUTED_VALUE"""),926.05)</f>
        <v>926.05</v>
      </c>
      <c r="C158" s="7">
        <f>IFERROR(__xludf.DUMMYFUNCTION("""COMPUTED_VALUE"""),933.2)</f>
        <v>933.2</v>
      </c>
      <c r="D158" s="7">
        <f>IFERROR(__xludf.DUMMYFUNCTION("""COMPUTED_VALUE"""),870.2)</f>
        <v>870.2</v>
      </c>
      <c r="E158" s="7">
        <f>IFERROR(__xludf.DUMMYFUNCTION("""COMPUTED_VALUE"""),880.5)</f>
        <v>880.5</v>
      </c>
      <c r="F158" s="7">
        <f>IFERROR(__xludf.DUMMYFUNCTION("""COMPUTED_VALUE"""),4281975.0)</f>
        <v>4281975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f>IFERROR(__xludf.DUMMYFUNCTION("""COMPUTED_VALUE"""),45786.64583333333)</f>
        <v>45786.64583</v>
      </c>
      <c r="B159" s="7">
        <f>IFERROR(__xludf.DUMMYFUNCTION("""COMPUTED_VALUE"""),859.4)</f>
        <v>859.4</v>
      </c>
      <c r="C159" s="7">
        <f>IFERROR(__xludf.DUMMYFUNCTION("""COMPUTED_VALUE"""),887.85)</f>
        <v>887.85</v>
      </c>
      <c r="D159" s="7">
        <f>IFERROR(__xludf.DUMMYFUNCTION("""COMPUTED_VALUE"""),854.35)</f>
        <v>854.35</v>
      </c>
      <c r="E159" s="7">
        <f>IFERROR(__xludf.DUMMYFUNCTION("""COMPUTED_VALUE"""),879.45)</f>
        <v>879.45</v>
      </c>
      <c r="F159" s="7">
        <f>IFERROR(__xludf.DUMMYFUNCTION("""COMPUTED_VALUE"""),3051122.0)</f>
        <v>3051122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f>IFERROR(__xludf.DUMMYFUNCTION("""COMPUTED_VALUE"""),45789.64583333333)</f>
        <v>45789.64583</v>
      </c>
      <c r="B160" s="7">
        <f>IFERROR(__xludf.DUMMYFUNCTION("""COMPUTED_VALUE"""),914.9)</f>
        <v>914.9</v>
      </c>
      <c r="C160" s="7">
        <f>IFERROR(__xludf.DUMMYFUNCTION("""COMPUTED_VALUE"""),945.0)</f>
        <v>945</v>
      </c>
      <c r="D160" s="7">
        <f>IFERROR(__xludf.DUMMYFUNCTION("""COMPUTED_VALUE"""),911.05)</f>
        <v>911.05</v>
      </c>
      <c r="E160" s="7">
        <f>IFERROR(__xludf.DUMMYFUNCTION("""COMPUTED_VALUE"""),940.55)</f>
        <v>940.55</v>
      </c>
      <c r="F160" s="7">
        <f>IFERROR(__xludf.DUMMYFUNCTION("""COMPUTED_VALUE"""),6222615.0)</f>
        <v>6222615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f>IFERROR(__xludf.DUMMYFUNCTION("""COMPUTED_VALUE"""),45790.64583333333)</f>
        <v>45790.64583</v>
      </c>
      <c r="B161" s="7">
        <f>IFERROR(__xludf.DUMMYFUNCTION("""COMPUTED_VALUE"""),940.55)</f>
        <v>940.55</v>
      </c>
      <c r="C161" s="7">
        <f>IFERROR(__xludf.DUMMYFUNCTION("""COMPUTED_VALUE"""),973.7)</f>
        <v>973.7</v>
      </c>
      <c r="D161" s="7">
        <f>IFERROR(__xludf.DUMMYFUNCTION("""COMPUTED_VALUE"""),933.2)</f>
        <v>933.2</v>
      </c>
      <c r="E161" s="7">
        <f>IFERROR(__xludf.DUMMYFUNCTION("""COMPUTED_VALUE"""),958.05)</f>
        <v>958.05</v>
      </c>
      <c r="F161" s="7">
        <f>IFERROR(__xludf.DUMMYFUNCTION("""COMPUTED_VALUE"""),4260617.0)</f>
        <v>4260617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f>IFERROR(__xludf.DUMMYFUNCTION("""COMPUTED_VALUE"""),45791.64583333333)</f>
        <v>45791.64583</v>
      </c>
      <c r="B162" s="7">
        <f>IFERROR(__xludf.DUMMYFUNCTION("""COMPUTED_VALUE"""),966.0)</f>
        <v>966</v>
      </c>
      <c r="C162" s="7">
        <f>IFERROR(__xludf.DUMMYFUNCTION("""COMPUTED_VALUE"""),975.0)</f>
        <v>975</v>
      </c>
      <c r="D162" s="7">
        <f>IFERROR(__xludf.DUMMYFUNCTION("""COMPUTED_VALUE"""),957.8)</f>
        <v>957.8</v>
      </c>
      <c r="E162" s="7">
        <f>IFERROR(__xludf.DUMMYFUNCTION("""COMPUTED_VALUE"""),967.25)</f>
        <v>967.25</v>
      </c>
      <c r="F162" s="7">
        <f>IFERROR(__xludf.DUMMYFUNCTION("""COMPUTED_VALUE"""),3634440.0)</f>
        <v>3634440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f>IFERROR(__xludf.DUMMYFUNCTION("""COMPUTED_VALUE"""),45792.64583333333)</f>
        <v>45792.64583</v>
      </c>
      <c r="B163" s="7">
        <f>IFERROR(__xludf.DUMMYFUNCTION("""COMPUTED_VALUE"""),972.1)</f>
        <v>972.1</v>
      </c>
      <c r="C163" s="7">
        <f>IFERROR(__xludf.DUMMYFUNCTION("""COMPUTED_VALUE"""),972.8)</f>
        <v>972.8</v>
      </c>
      <c r="D163" s="7">
        <f>IFERROR(__xludf.DUMMYFUNCTION("""COMPUTED_VALUE"""),953.4)</f>
        <v>953.4</v>
      </c>
      <c r="E163" s="7">
        <f>IFERROR(__xludf.DUMMYFUNCTION("""COMPUTED_VALUE"""),967.9)</f>
        <v>967.9</v>
      </c>
      <c r="F163" s="7">
        <f>IFERROR(__xludf.DUMMYFUNCTION("""COMPUTED_VALUE"""),4951675.0)</f>
        <v>4951675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f>IFERROR(__xludf.DUMMYFUNCTION("""COMPUTED_VALUE"""),45793.64583333333)</f>
        <v>45793.64583</v>
      </c>
      <c r="B164" s="7">
        <f>IFERROR(__xludf.DUMMYFUNCTION("""COMPUTED_VALUE"""),971.45)</f>
        <v>971.45</v>
      </c>
      <c r="C164" s="7">
        <f>IFERROR(__xludf.DUMMYFUNCTION("""COMPUTED_VALUE"""),1025.0)</f>
        <v>1025</v>
      </c>
      <c r="D164" s="7">
        <f>IFERROR(__xludf.DUMMYFUNCTION("""COMPUTED_VALUE"""),965.2)</f>
        <v>965.2</v>
      </c>
      <c r="E164" s="7">
        <f>IFERROR(__xludf.DUMMYFUNCTION("""COMPUTED_VALUE"""),1020.1)</f>
        <v>1020.1</v>
      </c>
      <c r="F164" s="7">
        <f>IFERROR(__xludf.DUMMYFUNCTION("""COMPUTED_VALUE"""),7644511.0)</f>
        <v>7644511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f>IFERROR(__xludf.DUMMYFUNCTION("""COMPUTED_VALUE"""),45796.64583333333)</f>
        <v>45796.64583</v>
      </c>
      <c r="B165" s="7">
        <f>IFERROR(__xludf.DUMMYFUNCTION("""COMPUTED_VALUE"""),1031.95)</f>
        <v>1031.95</v>
      </c>
      <c r="C165" s="7">
        <f>IFERROR(__xludf.DUMMYFUNCTION("""COMPUTED_VALUE"""),1038.35)</f>
        <v>1038.35</v>
      </c>
      <c r="D165" s="7">
        <f>IFERROR(__xludf.DUMMYFUNCTION("""COMPUTED_VALUE"""),1010.05)</f>
        <v>1010.05</v>
      </c>
      <c r="E165" s="7">
        <f>IFERROR(__xludf.DUMMYFUNCTION("""COMPUTED_VALUE"""),1014.0)</f>
        <v>1014</v>
      </c>
      <c r="F165" s="7">
        <f>IFERROR(__xludf.DUMMYFUNCTION("""COMPUTED_VALUE"""),3176879.0)</f>
        <v>3176879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f>IFERROR(__xludf.DUMMYFUNCTION("""COMPUTED_VALUE"""),45797.64583333333)</f>
        <v>45797.64583</v>
      </c>
      <c r="B166" s="7">
        <f>IFERROR(__xludf.DUMMYFUNCTION("""COMPUTED_VALUE"""),1016.0)</f>
        <v>1016</v>
      </c>
      <c r="C166" s="7">
        <f>IFERROR(__xludf.DUMMYFUNCTION("""COMPUTED_VALUE"""),1020.95)</f>
        <v>1020.95</v>
      </c>
      <c r="D166" s="7">
        <f>IFERROR(__xludf.DUMMYFUNCTION("""COMPUTED_VALUE"""),981.8)</f>
        <v>981.8</v>
      </c>
      <c r="E166" s="7">
        <f>IFERROR(__xludf.DUMMYFUNCTION("""COMPUTED_VALUE"""),983.95)</f>
        <v>983.95</v>
      </c>
      <c r="F166" s="7">
        <f>IFERROR(__xludf.DUMMYFUNCTION("""COMPUTED_VALUE"""),2713486.0)</f>
        <v>2713486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f>IFERROR(__xludf.DUMMYFUNCTION("""COMPUTED_VALUE"""),45798.64583333333)</f>
        <v>45798.64583</v>
      </c>
      <c r="B167" s="7">
        <f>IFERROR(__xludf.DUMMYFUNCTION("""COMPUTED_VALUE"""),985.0)</f>
        <v>985</v>
      </c>
      <c r="C167" s="7">
        <f>IFERROR(__xludf.DUMMYFUNCTION("""COMPUTED_VALUE"""),1003.0)</f>
        <v>1003</v>
      </c>
      <c r="D167" s="7">
        <f>IFERROR(__xludf.DUMMYFUNCTION("""COMPUTED_VALUE"""),977.2)</f>
        <v>977.2</v>
      </c>
      <c r="E167" s="7">
        <f>IFERROR(__xludf.DUMMYFUNCTION("""COMPUTED_VALUE"""),996.5)</f>
        <v>996.5</v>
      </c>
      <c r="F167" s="7">
        <f>IFERROR(__xludf.DUMMYFUNCTION("""COMPUTED_VALUE"""),2228757.0)</f>
        <v>2228757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f>IFERROR(__xludf.DUMMYFUNCTION("""COMPUTED_VALUE"""),45799.64583333333)</f>
        <v>45799.64583</v>
      </c>
      <c r="B168" s="7">
        <f>IFERROR(__xludf.DUMMYFUNCTION("""COMPUTED_VALUE"""),996.1)</f>
        <v>996.1</v>
      </c>
      <c r="C168" s="7">
        <f>IFERROR(__xludf.DUMMYFUNCTION("""COMPUTED_VALUE"""),1006.0)</f>
        <v>1006</v>
      </c>
      <c r="D168" s="7">
        <f>IFERROR(__xludf.DUMMYFUNCTION("""COMPUTED_VALUE"""),977.0)</f>
        <v>977</v>
      </c>
      <c r="E168" s="7">
        <f>IFERROR(__xludf.DUMMYFUNCTION("""COMPUTED_VALUE"""),985.85)</f>
        <v>985.85</v>
      </c>
      <c r="F168" s="7">
        <f>IFERROR(__xludf.DUMMYFUNCTION("""COMPUTED_VALUE"""),2233560.0)</f>
        <v>2233560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f>IFERROR(__xludf.DUMMYFUNCTION("""COMPUTED_VALUE"""),45800.64583333333)</f>
        <v>45800.64583</v>
      </c>
      <c r="B169" s="7">
        <f>IFERROR(__xludf.DUMMYFUNCTION("""COMPUTED_VALUE"""),987.0)</f>
        <v>987</v>
      </c>
      <c r="C169" s="7">
        <f>IFERROR(__xludf.DUMMYFUNCTION("""COMPUTED_VALUE"""),999.05)</f>
        <v>999.05</v>
      </c>
      <c r="D169" s="7">
        <f>IFERROR(__xludf.DUMMYFUNCTION("""COMPUTED_VALUE"""),976.0)</f>
        <v>976</v>
      </c>
      <c r="E169" s="7">
        <f>IFERROR(__xludf.DUMMYFUNCTION("""COMPUTED_VALUE"""),986.95)</f>
        <v>986.95</v>
      </c>
      <c r="F169" s="7">
        <f>IFERROR(__xludf.DUMMYFUNCTION("""COMPUTED_VALUE"""),2538927.0)</f>
        <v>2538927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f>IFERROR(__xludf.DUMMYFUNCTION("""COMPUTED_VALUE"""),45803.64583333333)</f>
        <v>45803.64583</v>
      </c>
      <c r="B170" s="7">
        <f>IFERROR(__xludf.DUMMYFUNCTION("""COMPUTED_VALUE"""),997.0)</f>
        <v>997</v>
      </c>
      <c r="C170" s="7">
        <f>IFERROR(__xludf.DUMMYFUNCTION("""COMPUTED_VALUE"""),1021.4)</f>
        <v>1021.4</v>
      </c>
      <c r="D170" s="7">
        <f>IFERROR(__xludf.DUMMYFUNCTION("""COMPUTED_VALUE"""),993.3)</f>
        <v>993.3</v>
      </c>
      <c r="E170" s="7">
        <f>IFERROR(__xludf.DUMMYFUNCTION("""COMPUTED_VALUE"""),1011.85)</f>
        <v>1011.85</v>
      </c>
      <c r="F170" s="7">
        <f>IFERROR(__xludf.DUMMYFUNCTION("""COMPUTED_VALUE"""),3403161.0)</f>
        <v>3403161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f>IFERROR(__xludf.DUMMYFUNCTION("""COMPUTED_VALUE"""),45804.64583333333)</f>
        <v>45804.64583</v>
      </c>
      <c r="B171" s="7">
        <f>IFERROR(__xludf.DUMMYFUNCTION("""COMPUTED_VALUE"""),1011.5)</f>
        <v>1011.5</v>
      </c>
      <c r="C171" s="7">
        <f>IFERROR(__xludf.DUMMYFUNCTION("""COMPUTED_VALUE"""),1022.5)</f>
        <v>1022.5</v>
      </c>
      <c r="D171" s="7">
        <f>IFERROR(__xludf.DUMMYFUNCTION("""COMPUTED_VALUE"""),1001.0)</f>
        <v>1001</v>
      </c>
      <c r="E171" s="7">
        <f>IFERROR(__xludf.DUMMYFUNCTION("""COMPUTED_VALUE"""),1013.0)</f>
        <v>1013</v>
      </c>
      <c r="F171" s="7">
        <f>IFERROR(__xludf.DUMMYFUNCTION("""COMPUTED_VALUE"""),1740741.0)</f>
        <v>1740741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f>IFERROR(__xludf.DUMMYFUNCTION("""COMPUTED_VALUE"""),45805.64583333333)</f>
        <v>45805.64583</v>
      </c>
      <c r="B172" s="7">
        <f>IFERROR(__xludf.DUMMYFUNCTION("""COMPUTED_VALUE"""),1013.2)</f>
        <v>1013.2</v>
      </c>
      <c r="C172" s="7">
        <f>IFERROR(__xludf.DUMMYFUNCTION("""COMPUTED_VALUE"""),1025.45)</f>
        <v>1025.45</v>
      </c>
      <c r="D172" s="7">
        <f>IFERROR(__xludf.DUMMYFUNCTION("""COMPUTED_VALUE"""),999.6)</f>
        <v>999.6</v>
      </c>
      <c r="E172" s="7">
        <f>IFERROR(__xludf.DUMMYFUNCTION("""COMPUTED_VALUE"""),1001.85)</f>
        <v>1001.85</v>
      </c>
      <c r="F172" s="7">
        <f>IFERROR(__xludf.DUMMYFUNCTION("""COMPUTED_VALUE"""),2099725.0)</f>
        <v>2099725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f>IFERROR(__xludf.DUMMYFUNCTION("""COMPUTED_VALUE"""),45806.64583333333)</f>
        <v>45806.64583</v>
      </c>
      <c r="B173" s="7">
        <f>IFERROR(__xludf.DUMMYFUNCTION("""COMPUTED_VALUE"""),1009.2)</f>
        <v>1009.2</v>
      </c>
      <c r="C173" s="7">
        <f>IFERROR(__xludf.DUMMYFUNCTION("""COMPUTED_VALUE"""),1027.0)</f>
        <v>1027</v>
      </c>
      <c r="D173" s="7">
        <f>IFERROR(__xludf.DUMMYFUNCTION("""COMPUTED_VALUE"""),1000.55)</f>
        <v>1000.55</v>
      </c>
      <c r="E173" s="7">
        <f>IFERROR(__xludf.DUMMYFUNCTION("""COMPUTED_VALUE"""),1019.05)</f>
        <v>1019.05</v>
      </c>
      <c r="F173" s="7">
        <f>IFERROR(__xludf.DUMMYFUNCTION("""COMPUTED_VALUE"""),2700851.0)</f>
        <v>2700851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f>IFERROR(__xludf.DUMMYFUNCTION("""COMPUTED_VALUE"""),45807.64583333333)</f>
        <v>45807.64583</v>
      </c>
      <c r="B174" s="7">
        <f>IFERROR(__xludf.DUMMYFUNCTION("""COMPUTED_VALUE"""),1019.5)</f>
        <v>1019.5</v>
      </c>
      <c r="C174" s="7">
        <f>IFERROR(__xludf.DUMMYFUNCTION("""COMPUTED_VALUE"""),1028.0)</f>
        <v>1028</v>
      </c>
      <c r="D174" s="7">
        <f>IFERROR(__xludf.DUMMYFUNCTION("""COMPUTED_VALUE"""),1004.2)</f>
        <v>1004.2</v>
      </c>
      <c r="E174" s="7">
        <f>IFERROR(__xludf.DUMMYFUNCTION("""COMPUTED_VALUE"""),1014.35)</f>
        <v>1014.35</v>
      </c>
      <c r="F174" s="7">
        <f>IFERROR(__xludf.DUMMYFUNCTION("""COMPUTED_VALUE"""),1669801.0)</f>
        <v>1669801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f>IFERROR(__xludf.DUMMYFUNCTION("""COMPUTED_VALUE"""),45810.64583333333)</f>
        <v>45810.64583</v>
      </c>
      <c r="B175" s="7">
        <f>IFERROR(__xludf.DUMMYFUNCTION("""COMPUTED_VALUE"""),1018.5)</f>
        <v>1018.5</v>
      </c>
      <c r="C175" s="7">
        <f>IFERROR(__xludf.DUMMYFUNCTION("""COMPUTED_VALUE"""),1024.7)</f>
        <v>1024.7</v>
      </c>
      <c r="D175" s="7">
        <f>IFERROR(__xludf.DUMMYFUNCTION("""COMPUTED_VALUE"""),1007.0)</f>
        <v>1007</v>
      </c>
      <c r="E175" s="7">
        <f>IFERROR(__xludf.DUMMYFUNCTION("""COMPUTED_VALUE"""),1009.1)</f>
        <v>1009.1</v>
      </c>
      <c r="F175" s="7">
        <f>IFERROR(__xludf.DUMMYFUNCTION("""COMPUTED_VALUE"""),2230527.0)</f>
        <v>2230527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f>IFERROR(__xludf.DUMMYFUNCTION("""COMPUTED_VALUE"""),45811.64583333333)</f>
        <v>45811.64583</v>
      </c>
      <c r="B176" s="7">
        <f>IFERROR(__xludf.DUMMYFUNCTION("""COMPUTED_VALUE"""),1009.1)</f>
        <v>1009.1</v>
      </c>
      <c r="C176" s="7">
        <f>IFERROR(__xludf.DUMMYFUNCTION("""COMPUTED_VALUE"""),1018.0)</f>
        <v>1018</v>
      </c>
      <c r="D176" s="7">
        <f>IFERROR(__xludf.DUMMYFUNCTION("""COMPUTED_VALUE"""),988.0)</f>
        <v>988</v>
      </c>
      <c r="E176" s="7">
        <f>IFERROR(__xludf.DUMMYFUNCTION("""COMPUTED_VALUE"""),992.6)</f>
        <v>992.6</v>
      </c>
      <c r="F176" s="7">
        <f>IFERROR(__xludf.DUMMYFUNCTION("""COMPUTED_VALUE"""),2438866.0)</f>
        <v>2438866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f>IFERROR(__xludf.DUMMYFUNCTION("""COMPUTED_VALUE"""),45812.64583333333)</f>
        <v>45812.64583</v>
      </c>
      <c r="B177" s="7">
        <f>IFERROR(__xludf.DUMMYFUNCTION("""COMPUTED_VALUE"""),997.5)</f>
        <v>997.5</v>
      </c>
      <c r="C177" s="7">
        <f>IFERROR(__xludf.DUMMYFUNCTION("""COMPUTED_VALUE"""),1009.0)</f>
        <v>1009</v>
      </c>
      <c r="D177" s="7">
        <f>IFERROR(__xludf.DUMMYFUNCTION("""COMPUTED_VALUE"""),983.7)</f>
        <v>983.7</v>
      </c>
      <c r="E177" s="7">
        <f>IFERROR(__xludf.DUMMYFUNCTION("""COMPUTED_VALUE"""),1004.8)</f>
        <v>1004.8</v>
      </c>
      <c r="F177" s="7">
        <f>IFERROR(__xludf.DUMMYFUNCTION("""COMPUTED_VALUE"""),1700483.0)</f>
        <v>1700483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f>IFERROR(__xludf.DUMMYFUNCTION("""COMPUTED_VALUE"""),45813.64583333333)</f>
        <v>45813.64583</v>
      </c>
      <c r="B178" s="7">
        <f>IFERROR(__xludf.DUMMYFUNCTION("""COMPUTED_VALUE"""),1006.0)</f>
        <v>1006</v>
      </c>
      <c r="C178" s="7">
        <f>IFERROR(__xludf.DUMMYFUNCTION("""COMPUTED_VALUE"""),1019.0)</f>
        <v>1019</v>
      </c>
      <c r="D178" s="7">
        <f>IFERROR(__xludf.DUMMYFUNCTION("""COMPUTED_VALUE"""),1002.0)</f>
        <v>1002</v>
      </c>
      <c r="E178" s="7">
        <f>IFERROR(__xludf.DUMMYFUNCTION("""COMPUTED_VALUE"""),1003.6)</f>
        <v>1003.6</v>
      </c>
      <c r="F178" s="7">
        <f>IFERROR(__xludf.DUMMYFUNCTION("""COMPUTED_VALUE"""),1454736.0)</f>
        <v>1454736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f>IFERROR(__xludf.DUMMYFUNCTION("""COMPUTED_VALUE"""),45814.64583333333)</f>
        <v>45814.64583</v>
      </c>
      <c r="B179" s="7">
        <f>IFERROR(__xludf.DUMMYFUNCTION("""COMPUTED_VALUE"""),1008.0)</f>
        <v>1008</v>
      </c>
      <c r="C179" s="7">
        <f>IFERROR(__xludf.DUMMYFUNCTION("""COMPUTED_VALUE"""),1024.2)</f>
        <v>1024.2</v>
      </c>
      <c r="D179" s="7">
        <f>IFERROR(__xludf.DUMMYFUNCTION("""COMPUTED_VALUE"""),1004.8)</f>
        <v>1004.8</v>
      </c>
      <c r="E179" s="7">
        <f>IFERROR(__xludf.DUMMYFUNCTION("""COMPUTED_VALUE"""),1018.8)</f>
        <v>1018.8</v>
      </c>
      <c r="F179" s="7">
        <f>IFERROR(__xludf.DUMMYFUNCTION("""COMPUTED_VALUE"""),2617425.0)</f>
        <v>2617425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f>IFERROR(__xludf.DUMMYFUNCTION("""COMPUTED_VALUE"""),45817.64583333333)</f>
        <v>45817.64583</v>
      </c>
      <c r="B180" s="7">
        <f>IFERROR(__xludf.DUMMYFUNCTION("""COMPUTED_VALUE"""),1024.2)</f>
        <v>1024.2</v>
      </c>
      <c r="C180" s="7">
        <f>IFERROR(__xludf.DUMMYFUNCTION("""COMPUTED_VALUE"""),1044.4)</f>
        <v>1044.4</v>
      </c>
      <c r="D180" s="7">
        <f>IFERROR(__xludf.DUMMYFUNCTION("""COMPUTED_VALUE"""),1020.0)</f>
        <v>1020</v>
      </c>
      <c r="E180" s="7">
        <f>IFERROR(__xludf.DUMMYFUNCTION("""COMPUTED_VALUE"""),1034.3)</f>
        <v>1034.3</v>
      </c>
      <c r="F180" s="7">
        <f>IFERROR(__xludf.DUMMYFUNCTION("""COMPUTED_VALUE"""),3700815.0)</f>
        <v>3700815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f>IFERROR(__xludf.DUMMYFUNCTION("""COMPUTED_VALUE"""),45818.64583333333)</f>
        <v>45818.64583</v>
      </c>
      <c r="B181" s="7">
        <f>IFERROR(__xludf.DUMMYFUNCTION("""COMPUTED_VALUE"""),1039.7)</f>
        <v>1039.7</v>
      </c>
      <c r="C181" s="7">
        <f>IFERROR(__xludf.DUMMYFUNCTION("""COMPUTED_VALUE"""),1077.0)</f>
        <v>1077</v>
      </c>
      <c r="D181" s="7">
        <f>IFERROR(__xludf.DUMMYFUNCTION("""COMPUTED_VALUE"""),1034.7)</f>
        <v>1034.7</v>
      </c>
      <c r="E181" s="7">
        <f>IFERROR(__xludf.DUMMYFUNCTION("""COMPUTED_VALUE"""),1060.5)</f>
        <v>1060.5</v>
      </c>
      <c r="F181" s="7">
        <f>IFERROR(__xludf.DUMMYFUNCTION("""COMPUTED_VALUE"""),5441911.0)</f>
        <v>5441911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f>IFERROR(__xludf.DUMMYFUNCTION("""COMPUTED_VALUE"""),45819.64583333333)</f>
        <v>45819.64583</v>
      </c>
      <c r="B182" s="7">
        <f>IFERROR(__xludf.DUMMYFUNCTION("""COMPUTED_VALUE"""),1066.0)</f>
        <v>1066</v>
      </c>
      <c r="C182" s="7">
        <f>IFERROR(__xludf.DUMMYFUNCTION("""COMPUTED_VALUE"""),1070.0)</f>
        <v>1070</v>
      </c>
      <c r="D182" s="7">
        <f>IFERROR(__xludf.DUMMYFUNCTION("""COMPUTED_VALUE"""),1033.3)</f>
        <v>1033.3</v>
      </c>
      <c r="E182" s="7">
        <f>IFERROR(__xludf.DUMMYFUNCTION("""COMPUTED_VALUE"""),1046.8)</f>
        <v>1046.8</v>
      </c>
      <c r="F182" s="7">
        <f>IFERROR(__xludf.DUMMYFUNCTION("""COMPUTED_VALUE"""),2515373.0)</f>
        <v>2515373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f>IFERROR(__xludf.DUMMYFUNCTION("""COMPUTED_VALUE"""),45820.64583333333)</f>
        <v>45820.64583</v>
      </c>
      <c r="B183" s="7">
        <f>IFERROR(__xludf.DUMMYFUNCTION("""COMPUTED_VALUE"""),1050.0)</f>
        <v>1050</v>
      </c>
      <c r="C183" s="7">
        <f>IFERROR(__xludf.DUMMYFUNCTION("""COMPUTED_VALUE"""),1050.0)</f>
        <v>1050</v>
      </c>
      <c r="D183" s="7">
        <f>IFERROR(__xludf.DUMMYFUNCTION("""COMPUTED_VALUE"""),1012.0)</f>
        <v>1012</v>
      </c>
      <c r="E183" s="7">
        <f>IFERROR(__xludf.DUMMYFUNCTION("""COMPUTED_VALUE"""),1015.8)</f>
        <v>1015.8</v>
      </c>
      <c r="F183" s="7">
        <f>IFERROR(__xludf.DUMMYFUNCTION("""COMPUTED_VALUE"""),2183895.0)</f>
        <v>2183895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f>IFERROR(__xludf.DUMMYFUNCTION("""COMPUTED_VALUE"""),45821.64583333333)</f>
        <v>45821.64583</v>
      </c>
      <c r="B184" s="7">
        <f>IFERROR(__xludf.DUMMYFUNCTION("""COMPUTED_VALUE"""),996.0)</f>
        <v>996</v>
      </c>
      <c r="C184" s="7">
        <f>IFERROR(__xludf.DUMMYFUNCTION("""COMPUTED_VALUE"""),1002.9)</f>
        <v>1002.9</v>
      </c>
      <c r="D184" s="7">
        <f>IFERROR(__xludf.DUMMYFUNCTION("""COMPUTED_VALUE"""),985.3)</f>
        <v>985.3</v>
      </c>
      <c r="E184" s="7">
        <f>IFERROR(__xludf.DUMMYFUNCTION("""COMPUTED_VALUE"""),989.5)</f>
        <v>989.5</v>
      </c>
      <c r="F184" s="7">
        <f>IFERROR(__xludf.DUMMYFUNCTION("""COMPUTED_VALUE"""),2435259.0)</f>
        <v>2435259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f>IFERROR(__xludf.DUMMYFUNCTION("""COMPUTED_VALUE"""),45824.64583333333)</f>
        <v>45824.64583</v>
      </c>
      <c r="B185" s="7">
        <f>IFERROR(__xludf.DUMMYFUNCTION("""COMPUTED_VALUE"""),989.5)</f>
        <v>989.5</v>
      </c>
      <c r="C185" s="7">
        <f>IFERROR(__xludf.DUMMYFUNCTION("""COMPUTED_VALUE"""),997.0)</f>
        <v>997</v>
      </c>
      <c r="D185" s="7">
        <f>IFERROR(__xludf.DUMMYFUNCTION("""COMPUTED_VALUE"""),968.6)</f>
        <v>968.6</v>
      </c>
      <c r="E185" s="7">
        <f>IFERROR(__xludf.DUMMYFUNCTION("""COMPUTED_VALUE"""),992.0)</f>
        <v>992</v>
      </c>
      <c r="F185" s="7">
        <f>IFERROR(__xludf.DUMMYFUNCTION("""COMPUTED_VALUE"""),1898670.0)</f>
        <v>1898670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f>IFERROR(__xludf.DUMMYFUNCTION("""COMPUTED_VALUE"""),45825.64583333333)</f>
        <v>45825.64583</v>
      </c>
      <c r="B186" s="7">
        <f>IFERROR(__xludf.DUMMYFUNCTION("""COMPUTED_VALUE"""),992.8)</f>
        <v>992.8</v>
      </c>
      <c r="C186" s="7">
        <f>IFERROR(__xludf.DUMMYFUNCTION("""COMPUTED_VALUE"""),997.5)</f>
        <v>997.5</v>
      </c>
      <c r="D186" s="7">
        <f>IFERROR(__xludf.DUMMYFUNCTION("""COMPUTED_VALUE"""),975.0)</f>
        <v>975</v>
      </c>
      <c r="E186" s="7">
        <f>IFERROR(__xludf.DUMMYFUNCTION("""COMPUTED_VALUE"""),977.5)</f>
        <v>977.5</v>
      </c>
      <c r="F186" s="7">
        <f>IFERROR(__xludf.DUMMYFUNCTION("""COMPUTED_VALUE"""),1281462.0)</f>
        <v>1281462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f>IFERROR(__xludf.DUMMYFUNCTION("""COMPUTED_VALUE"""),45826.64583333333)</f>
        <v>45826.64583</v>
      </c>
      <c r="B187" s="7">
        <f>IFERROR(__xludf.DUMMYFUNCTION("""COMPUTED_VALUE"""),977.5)</f>
        <v>977.5</v>
      </c>
      <c r="C187" s="7">
        <f>IFERROR(__xludf.DUMMYFUNCTION("""COMPUTED_VALUE"""),985.6)</f>
        <v>985.6</v>
      </c>
      <c r="D187" s="7">
        <f>IFERROR(__xludf.DUMMYFUNCTION("""COMPUTED_VALUE"""),963.2)</f>
        <v>963.2</v>
      </c>
      <c r="E187" s="7">
        <f>IFERROR(__xludf.DUMMYFUNCTION("""COMPUTED_VALUE"""),968.9)</f>
        <v>968.9</v>
      </c>
      <c r="F187" s="7">
        <f>IFERROR(__xludf.DUMMYFUNCTION("""COMPUTED_VALUE"""),1632269.0)</f>
        <v>1632269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f>IFERROR(__xludf.DUMMYFUNCTION("""COMPUTED_VALUE"""),45827.64583333333)</f>
        <v>45827.64583</v>
      </c>
      <c r="B188" s="7">
        <f>IFERROR(__xludf.DUMMYFUNCTION("""COMPUTED_VALUE"""),970.0)</f>
        <v>970</v>
      </c>
      <c r="C188" s="7">
        <f>IFERROR(__xludf.DUMMYFUNCTION("""COMPUTED_VALUE"""),973.4)</f>
        <v>973.4</v>
      </c>
      <c r="D188" s="7">
        <f>IFERROR(__xludf.DUMMYFUNCTION("""COMPUTED_VALUE"""),929.0)</f>
        <v>929</v>
      </c>
      <c r="E188" s="7">
        <f>IFERROR(__xludf.DUMMYFUNCTION("""COMPUTED_VALUE"""),934.0)</f>
        <v>934</v>
      </c>
      <c r="F188" s="7">
        <f>IFERROR(__xludf.DUMMYFUNCTION("""COMPUTED_VALUE"""),2415130.0)</f>
        <v>2415130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f>IFERROR(__xludf.DUMMYFUNCTION("""COMPUTED_VALUE"""),45828.64583333333)</f>
        <v>45828.64583</v>
      </c>
      <c r="B189" s="7">
        <f>IFERROR(__xludf.DUMMYFUNCTION("""COMPUTED_VALUE"""),938.0)</f>
        <v>938</v>
      </c>
      <c r="C189" s="7">
        <f>IFERROR(__xludf.DUMMYFUNCTION("""COMPUTED_VALUE"""),959.4)</f>
        <v>959.4</v>
      </c>
      <c r="D189" s="7">
        <f>IFERROR(__xludf.DUMMYFUNCTION("""COMPUTED_VALUE"""),936.0)</f>
        <v>936</v>
      </c>
      <c r="E189" s="7">
        <f>IFERROR(__xludf.DUMMYFUNCTION("""COMPUTED_VALUE"""),947.7)</f>
        <v>947.7</v>
      </c>
      <c r="F189" s="7">
        <f>IFERROR(__xludf.DUMMYFUNCTION("""COMPUTED_VALUE"""),3308667.0)</f>
        <v>3308667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f>IFERROR(__xludf.DUMMYFUNCTION("""COMPUTED_VALUE"""),45831.64583333333)</f>
        <v>45831.64583</v>
      </c>
      <c r="B190" s="7">
        <f>IFERROR(__xludf.DUMMYFUNCTION("""COMPUTED_VALUE"""),939.8)</f>
        <v>939.8</v>
      </c>
      <c r="C190" s="7">
        <f>IFERROR(__xludf.DUMMYFUNCTION("""COMPUTED_VALUE"""),964.9)</f>
        <v>964.9</v>
      </c>
      <c r="D190" s="7">
        <f>IFERROR(__xludf.DUMMYFUNCTION("""COMPUTED_VALUE"""),935.0)</f>
        <v>935</v>
      </c>
      <c r="E190" s="7">
        <f>IFERROR(__xludf.DUMMYFUNCTION("""COMPUTED_VALUE"""),960.5)</f>
        <v>960.5</v>
      </c>
      <c r="F190" s="7">
        <f>IFERROR(__xludf.DUMMYFUNCTION("""COMPUTED_VALUE"""),1728394.0)</f>
        <v>1728394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f>IFERROR(__xludf.DUMMYFUNCTION("""COMPUTED_VALUE"""),45832.64583333333)</f>
        <v>45832.64583</v>
      </c>
      <c r="B191" s="7">
        <f>IFERROR(__xludf.DUMMYFUNCTION("""COMPUTED_VALUE"""),975.0)</f>
        <v>975</v>
      </c>
      <c r="C191" s="7">
        <f>IFERROR(__xludf.DUMMYFUNCTION("""COMPUTED_VALUE"""),1001.9)</f>
        <v>1001.9</v>
      </c>
      <c r="D191" s="7">
        <f>IFERROR(__xludf.DUMMYFUNCTION("""COMPUTED_VALUE"""),974.0)</f>
        <v>974</v>
      </c>
      <c r="E191" s="7">
        <f>IFERROR(__xludf.DUMMYFUNCTION("""COMPUTED_VALUE"""),987.3)</f>
        <v>987.3</v>
      </c>
      <c r="F191" s="7">
        <f>IFERROR(__xludf.DUMMYFUNCTION("""COMPUTED_VALUE"""),3498494.0)</f>
        <v>3498494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f>IFERROR(__xludf.DUMMYFUNCTION("""COMPUTED_VALUE"""),45833.64583333333)</f>
        <v>45833.64583</v>
      </c>
      <c r="B192" s="7">
        <f>IFERROR(__xludf.DUMMYFUNCTION("""COMPUTED_VALUE"""),987.0)</f>
        <v>987</v>
      </c>
      <c r="C192" s="7">
        <f>IFERROR(__xludf.DUMMYFUNCTION("""COMPUTED_VALUE"""),997.0)</f>
        <v>997</v>
      </c>
      <c r="D192" s="7">
        <f>IFERROR(__xludf.DUMMYFUNCTION("""COMPUTED_VALUE"""),979.5)</f>
        <v>979.5</v>
      </c>
      <c r="E192" s="7">
        <f>IFERROR(__xludf.DUMMYFUNCTION("""COMPUTED_VALUE"""),981.1)</f>
        <v>981.1</v>
      </c>
      <c r="F192" s="7">
        <f>IFERROR(__xludf.DUMMYFUNCTION("""COMPUTED_VALUE"""),2294587.0)</f>
        <v>2294587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f>IFERROR(__xludf.DUMMYFUNCTION("""COMPUTED_VALUE"""),45834.64583333333)</f>
        <v>45834.64583</v>
      </c>
      <c r="B193" s="7">
        <f>IFERROR(__xludf.DUMMYFUNCTION("""COMPUTED_VALUE"""),984.0)</f>
        <v>984</v>
      </c>
      <c r="C193" s="7">
        <f>IFERROR(__xludf.DUMMYFUNCTION("""COMPUTED_VALUE"""),993.5)</f>
        <v>993.5</v>
      </c>
      <c r="D193" s="7">
        <f>IFERROR(__xludf.DUMMYFUNCTION("""COMPUTED_VALUE"""),976.1)</f>
        <v>976.1</v>
      </c>
      <c r="E193" s="7">
        <f>IFERROR(__xludf.DUMMYFUNCTION("""COMPUTED_VALUE"""),992.0)</f>
        <v>992</v>
      </c>
      <c r="F193" s="7">
        <f>IFERROR(__xludf.DUMMYFUNCTION("""COMPUTED_VALUE"""),2254782.0)</f>
        <v>2254782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f>IFERROR(__xludf.DUMMYFUNCTION("""COMPUTED_VALUE"""),45835.64583333333)</f>
        <v>45835.64583</v>
      </c>
      <c r="B194" s="7">
        <f>IFERROR(__xludf.DUMMYFUNCTION("""COMPUTED_VALUE"""),994.4)</f>
        <v>994.4</v>
      </c>
      <c r="C194" s="7">
        <f>IFERROR(__xludf.DUMMYFUNCTION("""COMPUTED_VALUE"""),1046.9)</f>
        <v>1046.9</v>
      </c>
      <c r="D194" s="7">
        <f>IFERROR(__xludf.DUMMYFUNCTION("""COMPUTED_VALUE"""),993.0)</f>
        <v>993</v>
      </c>
      <c r="E194" s="7">
        <f>IFERROR(__xludf.DUMMYFUNCTION("""COMPUTED_VALUE"""),1015.6)</f>
        <v>1015.6</v>
      </c>
      <c r="F194" s="7">
        <f>IFERROR(__xludf.DUMMYFUNCTION("""COMPUTED_VALUE"""),6044564.0)</f>
        <v>6044564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f>IFERROR(__xludf.DUMMYFUNCTION("""COMPUTED_VALUE"""),45838.64583333333)</f>
        <v>45838.64583</v>
      </c>
      <c r="B195" s="7">
        <f>IFERROR(__xludf.DUMMYFUNCTION("""COMPUTED_VALUE"""),1020.0)</f>
        <v>1020</v>
      </c>
      <c r="C195" s="7">
        <f>IFERROR(__xludf.DUMMYFUNCTION("""COMPUTED_VALUE"""),1034.5)</f>
        <v>1034.5</v>
      </c>
      <c r="D195" s="7">
        <f>IFERROR(__xludf.DUMMYFUNCTION("""COMPUTED_VALUE"""),1015.1)</f>
        <v>1015.1</v>
      </c>
      <c r="E195" s="7">
        <f>IFERROR(__xludf.DUMMYFUNCTION("""COMPUTED_VALUE"""),1025.6)</f>
        <v>1025.6</v>
      </c>
      <c r="F195" s="7">
        <f>IFERROR(__xludf.DUMMYFUNCTION("""COMPUTED_VALUE"""),2020543.0)</f>
        <v>2020543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f>IFERROR(__xludf.DUMMYFUNCTION("""COMPUTED_VALUE"""),45839.64583333333)</f>
        <v>45839.64583</v>
      </c>
      <c r="B196" s="7">
        <f>IFERROR(__xludf.DUMMYFUNCTION("""COMPUTED_VALUE"""),1030.0)</f>
        <v>1030</v>
      </c>
      <c r="C196" s="7">
        <f>IFERROR(__xludf.DUMMYFUNCTION("""COMPUTED_VALUE"""),1038.0)</f>
        <v>1038</v>
      </c>
      <c r="D196" s="7">
        <f>IFERROR(__xludf.DUMMYFUNCTION("""COMPUTED_VALUE"""),1007.2)</f>
        <v>1007.2</v>
      </c>
      <c r="E196" s="7">
        <f>IFERROR(__xludf.DUMMYFUNCTION("""COMPUTED_VALUE"""),1015.7)</f>
        <v>1015.7</v>
      </c>
      <c r="F196" s="7">
        <f>IFERROR(__xludf.DUMMYFUNCTION("""COMPUTED_VALUE"""),1836549.0)</f>
        <v>1836549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f>IFERROR(__xludf.DUMMYFUNCTION("""COMPUTED_VALUE"""),45840.64583333333)</f>
        <v>45840.64583</v>
      </c>
      <c r="B197" s="7">
        <f>IFERROR(__xludf.DUMMYFUNCTION("""COMPUTED_VALUE"""),1020.0)</f>
        <v>1020</v>
      </c>
      <c r="C197" s="7">
        <f>IFERROR(__xludf.DUMMYFUNCTION("""COMPUTED_VALUE"""),1031.4)</f>
        <v>1031.4</v>
      </c>
      <c r="D197" s="7">
        <f>IFERROR(__xludf.DUMMYFUNCTION("""COMPUTED_VALUE"""),1012.1)</f>
        <v>1012.1</v>
      </c>
      <c r="E197" s="7">
        <f>IFERROR(__xludf.DUMMYFUNCTION("""COMPUTED_VALUE"""),1019.0)</f>
        <v>1019</v>
      </c>
      <c r="F197" s="7">
        <f>IFERROR(__xludf.DUMMYFUNCTION("""COMPUTED_VALUE"""),1307248.0)</f>
        <v>1307248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f>IFERROR(__xludf.DUMMYFUNCTION("""COMPUTED_VALUE"""),45841.64583333333)</f>
        <v>45841.64583</v>
      </c>
      <c r="B198" s="7">
        <f>IFERROR(__xludf.DUMMYFUNCTION("""COMPUTED_VALUE"""),1023.0)</f>
        <v>1023</v>
      </c>
      <c r="C198" s="7">
        <f>IFERROR(__xludf.DUMMYFUNCTION("""COMPUTED_VALUE"""),1023.7)</f>
        <v>1023.7</v>
      </c>
      <c r="D198" s="7">
        <f>IFERROR(__xludf.DUMMYFUNCTION("""COMPUTED_VALUE"""),1005.0)</f>
        <v>1005</v>
      </c>
      <c r="E198" s="7">
        <f>IFERROR(__xludf.DUMMYFUNCTION("""COMPUTED_VALUE"""),1008.5)</f>
        <v>1008.5</v>
      </c>
      <c r="F198" s="7">
        <f>IFERROR(__xludf.DUMMYFUNCTION("""COMPUTED_VALUE"""),1234996.0)</f>
        <v>1234996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f>IFERROR(__xludf.DUMMYFUNCTION("""COMPUTED_VALUE"""),45842.64583333333)</f>
        <v>45842.64583</v>
      </c>
      <c r="B199" s="7">
        <f>IFERROR(__xludf.DUMMYFUNCTION("""COMPUTED_VALUE"""),1012.0)</f>
        <v>1012</v>
      </c>
      <c r="C199" s="7">
        <f>IFERROR(__xludf.DUMMYFUNCTION("""COMPUTED_VALUE"""),1012.0)</f>
        <v>1012</v>
      </c>
      <c r="D199" s="7">
        <f>IFERROR(__xludf.DUMMYFUNCTION("""COMPUTED_VALUE"""),990.0)</f>
        <v>990</v>
      </c>
      <c r="E199" s="7">
        <f>IFERROR(__xludf.DUMMYFUNCTION("""COMPUTED_VALUE"""),996.8)</f>
        <v>996.8</v>
      </c>
      <c r="F199" s="7">
        <f>IFERROR(__xludf.DUMMYFUNCTION("""COMPUTED_VALUE"""),1565915.0)</f>
        <v>1565915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f>IFERROR(__xludf.DUMMYFUNCTION("""COMPUTED_VALUE"""),45845.64583333333)</f>
        <v>45845.64583</v>
      </c>
      <c r="B200" s="7">
        <f>IFERROR(__xludf.DUMMYFUNCTION("""COMPUTED_VALUE"""),997.0)</f>
        <v>997</v>
      </c>
      <c r="C200" s="7">
        <f>IFERROR(__xludf.DUMMYFUNCTION("""COMPUTED_VALUE"""),998.8)</f>
        <v>998.8</v>
      </c>
      <c r="D200" s="7">
        <f>IFERROR(__xludf.DUMMYFUNCTION("""COMPUTED_VALUE"""),988.7)</f>
        <v>988.7</v>
      </c>
      <c r="E200" s="7">
        <f>IFERROR(__xludf.DUMMYFUNCTION("""COMPUTED_VALUE"""),991.1)</f>
        <v>991.1</v>
      </c>
      <c r="F200" s="7">
        <f>IFERROR(__xludf.DUMMYFUNCTION("""COMPUTED_VALUE"""),863077.0)</f>
        <v>863077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f>IFERROR(__xludf.DUMMYFUNCTION("""COMPUTED_VALUE"""),45846.64583333333)</f>
        <v>45846.64583</v>
      </c>
      <c r="B201" s="7">
        <f>IFERROR(__xludf.DUMMYFUNCTION("""COMPUTED_VALUE"""),991.8)</f>
        <v>991.8</v>
      </c>
      <c r="C201" s="7">
        <f>IFERROR(__xludf.DUMMYFUNCTION("""COMPUTED_VALUE"""),1005.0)</f>
        <v>1005</v>
      </c>
      <c r="D201" s="7">
        <f>IFERROR(__xludf.DUMMYFUNCTION("""COMPUTED_VALUE"""),981.3)</f>
        <v>981.3</v>
      </c>
      <c r="E201" s="7">
        <f>IFERROR(__xludf.DUMMYFUNCTION("""COMPUTED_VALUE"""),992.0)</f>
        <v>992</v>
      </c>
      <c r="F201" s="7">
        <f>IFERROR(__xludf.DUMMYFUNCTION("""COMPUTED_VALUE"""),1069668.0)</f>
        <v>1069668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f>IFERROR(__xludf.DUMMYFUNCTION("""COMPUTED_VALUE"""),45847.64583333333)</f>
        <v>45847.64583</v>
      </c>
      <c r="B202" s="7">
        <f>IFERROR(__xludf.DUMMYFUNCTION("""COMPUTED_VALUE"""),997.1)</f>
        <v>997.1</v>
      </c>
      <c r="C202" s="7">
        <f>IFERROR(__xludf.DUMMYFUNCTION("""COMPUTED_VALUE"""),1011.0)</f>
        <v>1011</v>
      </c>
      <c r="D202" s="7">
        <f>IFERROR(__xludf.DUMMYFUNCTION("""COMPUTED_VALUE"""),993.2)</f>
        <v>993.2</v>
      </c>
      <c r="E202" s="7">
        <f>IFERROR(__xludf.DUMMYFUNCTION("""COMPUTED_VALUE"""),995.2)</f>
        <v>995.2</v>
      </c>
      <c r="F202" s="7">
        <f>IFERROR(__xludf.DUMMYFUNCTION("""COMPUTED_VALUE"""),1480019.0)</f>
        <v>1480019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f>IFERROR(__xludf.DUMMYFUNCTION("""COMPUTED_VALUE"""),45848.64583333333)</f>
        <v>45848.64583</v>
      </c>
      <c r="B203" s="7">
        <f>IFERROR(__xludf.DUMMYFUNCTION("""COMPUTED_VALUE"""),999.7)</f>
        <v>999.7</v>
      </c>
      <c r="C203" s="7">
        <f>IFERROR(__xludf.DUMMYFUNCTION("""COMPUTED_VALUE"""),1007.9)</f>
        <v>1007.9</v>
      </c>
      <c r="D203" s="7">
        <f>IFERROR(__xludf.DUMMYFUNCTION("""COMPUTED_VALUE"""),992.3)</f>
        <v>992.3</v>
      </c>
      <c r="E203" s="7">
        <f>IFERROR(__xludf.DUMMYFUNCTION("""COMPUTED_VALUE"""),995.8)</f>
        <v>995.8</v>
      </c>
      <c r="F203" s="7">
        <f>IFERROR(__xludf.DUMMYFUNCTION("""COMPUTED_VALUE"""),1057492.0)</f>
        <v>1057492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f>IFERROR(__xludf.DUMMYFUNCTION("""COMPUTED_VALUE"""),45849.64583333333)</f>
        <v>45849.64583</v>
      </c>
      <c r="B204" s="7">
        <f>IFERROR(__xludf.DUMMYFUNCTION("""COMPUTED_VALUE"""),999.8)</f>
        <v>999.8</v>
      </c>
      <c r="C204" s="7">
        <f>IFERROR(__xludf.DUMMYFUNCTION("""COMPUTED_VALUE"""),1010.9)</f>
        <v>1010.9</v>
      </c>
      <c r="D204" s="7">
        <f>IFERROR(__xludf.DUMMYFUNCTION("""COMPUTED_VALUE"""),985.2)</f>
        <v>985.2</v>
      </c>
      <c r="E204" s="7">
        <f>IFERROR(__xludf.DUMMYFUNCTION("""COMPUTED_VALUE"""),995.2)</f>
        <v>995.2</v>
      </c>
      <c r="F204" s="7">
        <f>IFERROR(__xludf.DUMMYFUNCTION("""COMPUTED_VALUE"""),1850757.0)</f>
        <v>1850757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f>IFERROR(__xludf.DUMMYFUNCTION("""COMPUTED_VALUE"""),45852.64583333333)</f>
        <v>45852.64583</v>
      </c>
      <c r="B205" s="7">
        <f>IFERROR(__xludf.DUMMYFUNCTION("""COMPUTED_VALUE"""),995.8)</f>
        <v>995.8</v>
      </c>
      <c r="C205" s="7">
        <f>IFERROR(__xludf.DUMMYFUNCTION("""COMPUTED_VALUE"""),1036.0)</f>
        <v>1036</v>
      </c>
      <c r="D205" s="7">
        <f>IFERROR(__xludf.DUMMYFUNCTION("""COMPUTED_VALUE"""),994.2)</f>
        <v>994.2</v>
      </c>
      <c r="E205" s="7">
        <f>IFERROR(__xludf.DUMMYFUNCTION("""COMPUTED_VALUE"""),1025.9)</f>
        <v>1025.9</v>
      </c>
      <c r="F205" s="7">
        <f>IFERROR(__xludf.DUMMYFUNCTION("""COMPUTED_VALUE"""),5134094.0)</f>
        <v>5134094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f>IFERROR(__xludf.DUMMYFUNCTION("""COMPUTED_VALUE"""),45853.64583333333)</f>
        <v>45853.64583</v>
      </c>
      <c r="B206" s="7">
        <f>IFERROR(__xludf.DUMMYFUNCTION("""COMPUTED_VALUE"""),1027.0)</f>
        <v>1027</v>
      </c>
      <c r="C206" s="7">
        <f>IFERROR(__xludf.DUMMYFUNCTION("""COMPUTED_VALUE"""),1042.0)</f>
        <v>1042</v>
      </c>
      <c r="D206" s="7">
        <f>IFERROR(__xludf.DUMMYFUNCTION("""COMPUTED_VALUE"""),1026.0)</f>
        <v>1026</v>
      </c>
      <c r="E206" s="7">
        <f>IFERROR(__xludf.DUMMYFUNCTION("""COMPUTED_VALUE"""),1033.1)</f>
        <v>1033.1</v>
      </c>
      <c r="F206" s="7">
        <f>IFERROR(__xludf.DUMMYFUNCTION("""COMPUTED_VALUE"""),2064201.0)</f>
        <v>2064201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f>IFERROR(__xludf.DUMMYFUNCTION("""COMPUTED_VALUE"""),45854.64583333333)</f>
        <v>45854.64583</v>
      </c>
      <c r="B207" s="7">
        <f>IFERROR(__xludf.DUMMYFUNCTION("""COMPUTED_VALUE"""),1033.1)</f>
        <v>1033.1</v>
      </c>
      <c r="C207" s="7">
        <f>IFERROR(__xludf.DUMMYFUNCTION("""COMPUTED_VALUE"""),1049.5)</f>
        <v>1049.5</v>
      </c>
      <c r="D207" s="7">
        <f>IFERROR(__xludf.DUMMYFUNCTION("""COMPUTED_VALUE"""),1033.1)</f>
        <v>1033.1</v>
      </c>
      <c r="E207" s="7">
        <f>IFERROR(__xludf.DUMMYFUNCTION("""COMPUTED_VALUE"""),1038.6)</f>
        <v>1038.6</v>
      </c>
      <c r="F207" s="7">
        <f>IFERROR(__xludf.DUMMYFUNCTION("""COMPUTED_VALUE"""),2548383.0)</f>
        <v>2548383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f>IFERROR(__xludf.DUMMYFUNCTION("""COMPUTED_VALUE"""),45855.64583333333)</f>
        <v>45855.64583</v>
      </c>
      <c r="B208" s="7">
        <f>IFERROR(__xludf.DUMMYFUNCTION("""COMPUTED_VALUE"""),1039.0)</f>
        <v>1039</v>
      </c>
      <c r="C208" s="7">
        <f>IFERROR(__xludf.DUMMYFUNCTION("""COMPUTED_VALUE"""),1054.9)</f>
        <v>1054.9</v>
      </c>
      <c r="D208" s="7">
        <f>IFERROR(__xludf.DUMMYFUNCTION("""COMPUTED_VALUE"""),1033.4)</f>
        <v>1033.4</v>
      </c>
      <c r="E208" s="7">
        <f>IFERROR(__xludf.DUMMYFUNCTION("""COMPUTED_VALUE"""),1050.1)</f>
        <v>1050.1</v>
      </c>
      <c r="F208" s="7">
        <f>IFERROR(__xludf.DUMMYFUNCTION("""COMPUTED_VALUE"""),2304002.0)</f>
        <v>2304002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f>IFERROR(__xludf.DUMMYFUNCTION("""COMPUTED_VALUE"""),45856.64583333333)</f>
        <v>45856.64583</v>
      </c>
      <c r="B209" s="7">
        <f>IFERROR(__xludf.DUMMYFUNCTION("""COMPUTED_VALUE"""),1042.7)</f>
        <v>1042.7</v>
      </c>
      <c r="C209" s="7">
        <f>IFERROR(__xludf.DUMMYFUNCTION("""COMPUTED_VALUE"""),1051.0)</f>
        <v>1051</v>
      </c>
      <c r="D209" s="7">
        <f>IFERROR(__xludf.DUMMYFUNCTION("""COMPUTED_VALUE"""),1024.4)</f>
        <v>1024.4</v>
      </c>
      <c r="E209" s="7">
        <f>IFERROR(__xludf.DUMMYFUNCTION("""COMPUTED_VALUE"""),1030.2)</f>
        <v>1030.2</v>
      </c>
      <c r="F209" s="7">
        <f>IFERROR(__xludf.DUMMYFUNCTION("""COMPUTED_VALUE"""),1787665.0)</f>
        <v>1787665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f>IFERROR(__xludf.DUMMYFUNCTION("""COMPUTED_VALUE"""),45859.64583333333)</f>
        <v>45859.64583</v>
      </c>
      <c r="B210" s="7">
        <f>IFERROR(__xludf.DUMMYFUNCTION("""COMPUTED_VALUE"""),1031.2)</f>
        <v>1031.2</v>
      </c>
      <c r="C210" s="7">
        <f>IFERROR(__xludf.DUMMYFUNCTION("""COMPUTED_VALUE"""),1042.1)</f>
        <v>1042.1</v>
      </c>
      <c r="D210" s="7">
        <f>IFERROR(__xludf.DUMMYFUNCTION("""COMPUTED_VALUE"""),1024.1)</f>
        <v>1024.1</v>
      </c>
      <c r="E210" s="7">
        <f>IFERROR(__xludf.DUMMYFUNCTION("""COMPUTED_VALUE"""),1036.6)</f>
        <v>1036.6</v>
      </c>
      <c r="F210" s="7">
        <f>IFERROR(__xludf.DUMMYFUNCTION("""COMPUTED_VALUE"""),877276.0)</f>
        <v>877276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f>IFERROR(__xludf.DUMMYFUNCTION("""COMPUTED_VALUE"""),45860.64583333333)</f>
        <v>45860.64583</v>
      </c>
      <c r="B211" s="7">
        <f>IFERROR(__xludf.DUMMYFUNCTION("""COMPUTED_VALUE"""),1037.0)</f>
        <v>1037</v>
      </c>
      <c r="C211" s="7">
        <f>IFERROR(__xludf.DUMMYFUNCTION("""COMPUTED_VALUE"""),1042.2)</f>
        <v>1042.2</v>
      </c>
      <c r="D211" s="7">
        <f>IFERROR(__xludf.DUMMYFUNCTION("""COMPUTED_VALUE"""),1006.6)</f>
        <v>1006.6</v>
      </c>
      <c r="E211" s="7">
        <f>IFERROR(__xludf.DUMMYFUNCTION("""COMPUTED_VALUE"""),1013.7)</f>
        <v>1013.7</v>
      </c>
      <c r="F211" s="7">
        <f>IFERROR(__xludf.DUMMYFUNCTION("""COMPUTED_VALUE"""),1332756.0)</f>
        <v>1332756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f>IFERROR(__xludf.DUMMYFUNCTION("""COMPUTED_VALUE"""),45861.64583333333)</f>
        <v>45861.64583</v>
      </c>
      <c r="B212" s="7">
        <f>IFERROR(__xludf.DUMMYFUNCTION("""COMPUTED_VALUE"""),1018.4)</f>
        <v>1018.4</v>
      </c>
      <c r="C212" s="7">
        <f>IFERROR(__xludf.DUMMYFUNCTION("""COMPUTED_VALUE"""),1038.3)</f>
        <v>1038.3</v>
      </c>
      <c r="D212" s="7">
        <f>IFERROR(__xludf.DUMMYFUNCTION("""COMPUTED_VALUE"""),1017.0)</f>
        <v>1017</v>
      </c>
      <c r="E212" s="7">
        <f>IFERROR(__xludf.DUMMYFUNCTION("""COMPUTED_VALUE"""),1033.9)</f>
        <v>1033.9</v>
      </c>
      <c r="F212" s="7">
        <f>IFERROR(__xludf.DUMMYFUNCTION("""COMPUTED_VALUE"""),1733780.0)</f>
        <v>1733780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f>IFERROR(__xludf.DUMMYFUNCTION("""COMPUTED_VALUE"""),45862.64583333333)</f>
        <v>45862.64583</v>
      </c>
      <c r="B213" s="7">
        <f>IFERROR(__xludf.DUMMYFUNCTION("""COMPUTED_VALUE"""),1035.0)</f>
        <v>1035</v>
      </c>
      <c r="C213" s="7">
        <f>IFERROR(__xludf.DUMMYFUNCTION("""COMPUTED_VALUE"""),1037.1)</f>
        <v>1037.1</v>
      </c>
      <c r="D213" s="7">
        <f>IFERROR(__xludf.DUMMYFUNCTION("""COMPUTED_VALUE"""),1017.7)</f>
        <v>1017.7</v>
      </c>
      <c r="E213" s="7">
        <f>IFERROR(__xludf.DUMMYFUNCTION("""COMPUTED_VALUE"""),1020.7)</f>
        <v>1020.7</v>
      </c>
      <c r="F213" s="7">
        <f>IFERROR(__xludf.DUMMYFUNCTION("""COMPUTED_VALUE"""),1295384.0)</f>
        <v>1295384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f>IFERROR(__xludf.DUMMYFUNCTION("""COMPUTED_VALUE"""),45863.64583333333)</f>
        <v>45863.64583</v>
      </c>
      <c r="B214" s="7">
        <f>IFERROR(__xludf.DUMMYFUNCTION("""COMPUTED_VALUE"""),1021.8)</f>
        <v>1021.8</v>
      </c>
      <c r="C214" s="7">
        <f>IFERROR(__xludf.DUMMYFUNCTION("""COMPUTED_VALUE"""),1021.8)</f>
        <v>1021.8</v>
      </c>
      <c r="D214" s="7">
        <f>IFERROR(__xludf.DUMMYFUNCTION("""COMPUTED_VALUE"""),973.0)</f>
        <v>973</v>
      </c>
      <c r="E214" s="7">
        <f>IFERROR(__xludf.DUMMYFUNCTION("""COMPUTED_VALUE"""),975.9)</f>
        <v>975.9</v>
      </c>
      <c r="F214" s="7">
        <f>IFERROR(__xludf.DUMMYFUNCTION("""COMPUTED_VALUE"""),2521495.0)</f>
        <v>2521495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f>IFERROR(__xludf.DUMMYFUNCTION("""COMPUTED_VALUE"""),45866.64583333333)</f>
        <v>45866.64583</v>
      </c>
      <c r="B215" s="7">
        <f>IFERROR(__xludf.DUMMYFUNCTION("""COMPUTED_VALUE"""),979.7)</f>
        <v>979.7</v>
      </c>
      <c r="C215" s="7">
        <f>IFERROR(__xludf.DUMMYFUNCTION("""COMPUTED_VALUE"""),1013.6)</f>
        <v>1013.6</v>
      </c>
      <c r="D215" s="7">
        <f>IFERROR(__xludf.DUMMYFUNCTION("""COMPUTED_VALUE"""),979.0)</f>
        <v>979</v>
      </c>
      <c r="E215" s="7">
        <f>IFERROR(__xludf.DUMMYFUNCTION("""COMPUTED_VALUE"""),1003.9)</f>
        <v>1003.9</v>
      </c>
      <c r="F215" s="7">
        <f>IFERROR(__xludf.DUMMYFUNCTION("""COMPUTED_VALUE"""),4051716.0)</f>
        <v>4051716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f>IFERROR(__xludf.DUMMYFUNCTION("""COMPUTED_VALUE"""),45867.64583333333)</f>
        <v>45867.64583</v>
      </c>
      <c r="B216" s="7">
        <f>IFERROR(__xludf.DUMMYFUNCTION("""COMPUTED_VALUE"""),1007.0)</f>
        <v>1007</v>
      </c>
      <c r="C216" s="7">
        <f>IFERROR(__xludf.DUMMYFUNCTION("""COMPUTED_VALUE"""),1022.9)</f>
        <v>1022.9</v>
      </c>
      <c r="D216" s="7">
        <f>IFERROR(__xludf.DUMMYFUNCTION("""COMPUTED_VALUE"""),993.5)</f>
        <v>993.5</v>
      </c>
      <c r="E216" s="7">
        <f>IFERROR(__xludf.DUMMYFUNCTION("""COMPUTED_VALUE"""),1015.6)</f>
        <v>1015.6</v>
      </c>
      <c r="F216" s="7">
        <f>IFERROR(__xludf.DUMMYFUNCTION("""COMPUTED_VALUE"""),3489498.0)</f>
        <v>3489498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f>IFERROR(__xludf.DUMMYFUNCTION("""COMPUTED_VALUE"""),45868.64583333333)</f>
        <v>45868.64583</v>
      </c>
      <c r="B217" s="7">
        <f>IFERROR(__xludf.DUMMYFUNCTION("""COMPUTED_VALUE"""),1020.0)</f>
        <v>1020</v>
      </c>
      <c r="C217" s="7">
        <f>IFERROR(__xludf.DUMMYFUNCTION("""COMPUTED_VALUE"""),1024.5)</f>
        <v>1024.5</v>
      </c>
      <c r="D217" s="7">
        <f>IFERROR(__xludf.DUMMYFUNCTION("""COMPUTED_VALUE"""),1007.0)</f>
        <v>1007</v>
      </c>
      <c r="E217" s="7">
        <f>IFERROR(__xludf.DUMMYFUNCTION("""COMPUTED_VALUE"""),1009.7)</f>
        <v>1009.7</v>
      </c>
      <c r="F217" s="7">
        <f>IFERROR(__xludf.DUMMYFUNCTION("""COMPUTED_VALUE"""),1365437.0)</f>
        <v>1365437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f>IFERROR(__xludf.DUMMYFUNCTION("""COMPUTED_VALUE"""),45869.64583333333)</f>
        <v>45869.64583</v>
      </c>
      <c r="B218" s="7">
        <f>IFERROR(__xludf.DUMMYFUNCTION("""COMPUTED_VALUE"""),985.5)</f>
        <v>985.5</v>
      </c>
      <c r="C218" s="7">
        <f>IFERROR(__xludf.DUMMYFUNCTION("""COMPUTED_VALUE"""),1007.5)</f>
        <v>1007.5</v>
      </c>
      <c r="D218" s="7">
        <f>IFERROR(__xludf.DUMMYFUNCTION("""COMPUTED_VALUE"""),980.1)</f>
        <v>980.1</v>
      </c>
      <c r="E218" s="7">
        <f>IFERROR(__xludf.DUMMYFUNCTION("""COMPUTED_VALUE"""),984.7)</f>
        <v>984.7</v>
      </c>
      <c r="F218" s="7">
        <f>IFERROR(__xludf.DUMMYFUNCTION("""COMPUTED_VALUE"""),2062250.0)</f>
        <v>2062250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f>IFERROR(__xludf.DUMMYFUNCTION("""COMPUTED_VALUE"""),45870.64583333333)</f>
        <v>45870.64583</v>
      </c>
      <c r="B219" s="7">
        <f>IFERROR(__xludf.DUMMYFUNCTION("""COMPUTED_VALUE"""),988.8)</f>
        <v>988.8</v>
      </c>
      <c r="C219" s="7">
        <f>IFERROR(__xludf.DUMMYFUNCTION("""COMPUTED_VALUE"""),1007.65)</f>
        <v>1007.65</v>
      </c>
      <c r="D219" s="7">
        <f>IFERROR(__xludf.DUMMYFUNCTION("""COMPUTED_VALUE"""),968.0)</f>
        <v>968</v>
      </c>
      <c r="E219" s="7">
        <f>IFERROR(__xludf.DUMMYFUNCTION("""COMPUTED_VALUE"""),972.6)</f>
        <v>972.6</v>
      </c>
      <c r="F219" s="7">
        <f>IFERROR(__xludf.DUMMYFUNCTION("""COMPUTED_VALUE"""),1800185.0)</f>
        <v>1800185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f>IFERROR(__xludf.DUMMYFUNCTION("""COMPUTED_VALUE"""),45873.64583333333)</f>
        <v>45873.64583</v>
      </c>
      <c r="B220" s="7">
        <f>IFERROR(__xludf.DUMMYFUNCTION("""COMPUTED_VALUE"""),980.0)</f>
        <v>980</v>
      </c>
      <c r="C220" s="7">
        <f>IFERROR(__xludf.DUMMYFUNCTION("""COMPUTED_VALUE"""),997.0)</f>
        <v>997</v>
      </c>
      <c r="D220" s="7">
        <f>IFERROR(__xludf.DUMMYFUNCTION("""COMPUTED_VALUE"""),971.65)</f>
        <v>971.65</v>
      </c>
      <c r="E220" s="7">
        <f>IFERROR(__xludf.DUMMYFUNCTION("""COMPUTED_VALUE"""),989.8)</f>
        <v>989.8</v>
      </c>
      <c r="F220" s="7">
        <f>IFERROR(__xludf.DUMMYFUNCTION("""COMPUTED_VALUE"""),1280378.0)</f>
        <v>1280378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f>IFERROR(__xludf.DUMMYFUNCTION("""COMPUTED_VALUE"""),45874.64583333333)</f>
        <v>45874.64583</v>
      </c>
      <c r="B221" s="7">
        <f>IFERROR(__xludf.DUMMYFUNCTION("""COMPUTED_VALUE"""),993.0)</f>
        <v>993</v>
      </c>
      <c r="C221" s="7">
        <f>IFERROR(__xludf.DUMMYFUNCTION("""COMPUTED_VALUE"""),996.4)</f>
        <v>996.4</v>
      </c>
      <c r="D221" s="7">
        <f>IFERROR(__xludf.DUMMYFUNCTION("""COMPUTED_VALUE"""),965.2)</f>
        <v>965.2</v>
      </c>
      <c r="E221" s="7">
        <f>IFERROR(__xludf.DUMMYFUNCTION("""COMPUTED_VALUE"""),971.75)</f>
        <v>971.75</v>
      </c>
      <c r="F221" s="7">
        <f>IFERROR(__xludf.DUMMYFUNCTION("""COMPUTED_VALUE"""),1365079.0)</f>
        <v>1365079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f>IFERROR(__xludf.DUMMYFUNCTION("""COMPUTED_VALUE"""),45875.64583333333)</f>
        <v>45875.64583</v>
      </c>
      <c r="B222" s="7">
        <f>IFERROR(__xludf.DUMMYFUNCTION("""COMPUTED_VALUE"""),975.9)</f>
        <v>975.9</v>
      </c>
      <c r="C222" s="7">
        <f>IFERROR(__xludf.DUMMYFUNCTION("""COMPUTED_VALUE"""),977.5)</f>
        <v>977.5</v>
      </c>
      <c r="D222" s="7">
        <f>IFERROR(__xludf.DUMMYFUNCTION("""COMPUTED_VALUE"""),955.0)</f>
        <v>955</v>
      </c>
      <c r="E222" s="7">
        <f>IFERROR(__xludf.DUMMYFUNCTION("""COMPUTED_VALUE"""),957.55)</f>
        <v>957.55</v>
      </c>
      <c r="F222" s="7">
        <f>IFERROR(__xludf.DUMMYFUNCTION("""COMPUTED_VALUE"""),1204140.0)</f>
        <v>1204140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f>IFERROR(__xludf.DUMMYFUNCTION("""COMPUTED_VALUE"""),45876.64583333333)</f>
        <v>45876.64583</v>
      </c>
      <c r="B223" s="7">
        <f>IFERROR(__xludf.DUMMYFUNCTION("""COMPUTED_VALUE"""),951.95)</f>
        <v>951.95</v>
      </c>
      <c r="C223" s="7">
        <f>IFERROR(__xludf.DUMMYFUNCTION("""COMPUTED_VALUE"""),955.15)</f>
        <v>955.15</v>
      </c>
      <c r="D223" s="7">
        <f>IFERROR(__xludf.DUMMYFUNCTION("""COMPUTED_VALUE"""),903.5)</f>
        <v>903.5</v>
      </c>
      <c r="E223" s="7">
        <f>IFERROR(__xludf.DUMMYFUNCTION("""COMPUTED_VALUE"""),936.7)</f>
        <v>936.7</v>
      </c>
      <c r="F223" s="7">
        <f>IFERROR(__xludf.DUMMYFUNCTION("""COMPUTED_VALUE"""),3658631.0)</f>
        <v>3658631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f>IFERROR(__xludf.DUMMYFUNCTION("""COMPUTED_VALUE"""),45877.64583333333)</f>
        <v>45877.64583</v>
      </c>
      <c r="B224" s="7">
        <f>IFERROR(__xludf.DUMMYFUNCTION("""COMPUTED_VALUE"""),939.85)</f>
        <v>939.85</v>
      </c>
      <c r="C224" s="7">
        <f>IFERROR(__xludf.DUMMYFUNCTION("""COMPUTED_VALUE"""),946.65)</f>
        <v>946.65</v>
      </c>
      <c r="D224" s="7">
        <f>IFERROR(__xludf.DUMMYFUNCTION("""COMPUTED_VALUE"""),909.05)</f>
        <v>909.05</v>
      </c>
      <c r="E224" s="7">
        <f>IFERROR(__xludf.DUMMYFUNCTION("""COMPUTED_VALUE"""),914.05)</f>
        <v>914.05</v>
      </c>
      <c r="F224" s="7">
        <f>IFERROR(__xludf.DUMMYFUNCTION("""COMPUTED_VALUE"""),2051171.0)</f>
        <v>2051171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f>IFERROR(__xludf.DUMMYFUNCTION("""COMPUTED_VALUE"""),45880.64583333333)</f>
        <v>45880.64583</v>
      </c>
      <c r="B225" s="7">
        <f>IFERROR(__xludf.DUMMYFUNCTION("""COMPUTED_VALUE"""),914.05)</f>
        <v>914.05</v>
      </c>
      <c r="C225" s="7">
        <f>IFERROR(__xludf.DUMMYFUNCTION("""COMPUTED_VALUE"""),933.15)</f>
        <v>933.15</v>
      </c>
      <c r="D225" s="7">
        <f>IFERROR(__xludf.DUMMYFUNCTION("""COMPUTED_VALUE"""),908.0)</f>
        <v>908</v>
      </c>
      <c r="E225" s="7">
        <f>IFERROR(__xludf.DUMMYFUNCTION("""COMPUTED_VALUE"""),929.1)</f>
        <v>929.1</v>
      </c>
      <c r="F225" s="7">
        <f>IFERROR(__xludf.DUMMYFUNCTION("""COMPUTED_VALUE"""),1612977.0)</f>
        <v>1612977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f>IFERROR(__xludf.DUMMYFUNCTION("""COMPUTED_VALUE"""),45881.64583333333)</f>
        <v>45881.64583</v>
      </c>
      <c r="B226" s="7">
        <f>IFERROR(__xludf.DUMMYFUNCTION("""COMPUTED_VALUE"""),929.1)</f>
        <v>929.1</v>
      </c>
      <c r="C226" s="7">
        <f>IFERROR(__xludf.DUMMYFUNCTION("""COMPUTED_VALUE"""),941.0)</f>
        <v>941</v>
      </c>
      <c r="D226" s="7">
        <f>IFERROR(__xludf.DUMMYFUNCTION("""COMPUTED_VALUE"""),927.5)</f>
        <v>927.5</v>
      </c>
      <c r="E226" s="7">
        <f>IFERROR(__xludf.DUMMYFUNCTION("""COMPUTED_VALUE"""),930.9)</f>
        <v>930.9</v>
      </c>
      <c r="F226" s="7">
        <f>IFERROR(__xludf.DUMMYFUNCTION("""COMPUTED_VALUE"""),1096445.0)</f>
        <v>1096445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f>IFERROR(__xludf.DUMMYFUNCTION("""COMPUTED_VALUE"""),45882.64583333333)</f>
        <v>45882.64583</v>
      </c>
      <c r="B227" s="7">
        <f>IFERROR(__xludf.DUMMYFUNCTION("""COMPUTED_VALUE"""),932.1)</f>
        <v>932.1</v>
      </c>
      <c r="C227" s="7">
        <f>IFERROR(__xludf.DUMMYFUNCTION("""COMPUTED_VALUE"""),938.45)</f>
        <v>938.45</v>
      </c>
      <c r="D227" s="7">
        <f>IFERROR(__xludf.DUMMYFUNCTION("""COMPUTED_VALUE"""),919.5)</f>
        <v>919.5</v>
      </c>
      <c r="E227" s="7">
        <f>IFERROR(__xludf.DUMMYFUNCTION("""COMPUTED_VALUE"""),924.15)</f>
        <v>924.15</v>
      </c>
      <c r="F227" s="7">
        <f>IFERROR(__xludf.DUMMYFUNCTION("""COMPUTED_VALUE"""),1023795.0)</f>
        <v>1023795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f>IFERROR(__xludf.DUMMYFUNCTION("""COMPUTED_VALUE"""),45883.64583333333)</f>
        <v>45883.64583</v>
      </c>
      <c r="B228" s="7">
        <f>IFERROR(__xludf.DUMMYFUNCTION("""COMPUTED_VALUE"""),925.0)</f>
        <v>925</v>
      </c>
      <c r="C228" s="7">
        <f>IFERROR(__xludf.DUMMYFUNCTION("""COMPUTED_VALUE"""),933.0)</f>
        <v>933</v>
      </c>
      <c r="D228" s="7">
        <f>IFERROR(__xludf.DUMMYFUNCTION("""COMPUTED_VALUE"""),914.05)</f>
        <v>914.05</v>
      </c>
      <c r="E228" s="7">
        <f>IFERROR(__xludf.DUMMYFUNCTION("""COMPUTED_VALUE"""),917.5)</f>
        <v>917.5</v>
      </c>
      <c r="F228" s="7">
        <f>IFERROR(__xludf.DUMMYFUNCTION("""COMPUTED_VALUE"""),1031515.0)</f>
        <v>1031515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f>IFERROR(__xludf.DUMMYFUNCTION("""COMPUTED_VALUE"""),45887.64583333333)</f>
        <v>45887.64583</v>
      </c>
      <c r="B229" s="7">
        <f>IFERROR(__xludf.DUMMYFUNCTION("""COMPUTED_VALUE"""),929.0)</f>
        <v>929</v>
      </c>
      <c r="C229" s="7">
        <f>IFERROR(__xludf.DUMMYFUNCTION("""COMPUTED_VALUE"""),955.55)</f>
        <v>955.55</v>
      </c>
      <c r="D229" s="7">
        <f>IFERROR(__xludf.DUMMYFUNCTION("""COMPUTED_VALUE"""),925.75)</f>
        <v>925.75</v>
      </c>
      <c r="E229" s="7">
        <f>IFERROR(__xludf.DUMMYFUNCTION("""COMPUTED_VALUE"""),941.65)</f>
        <v>941.65</v>
      </c>
      <c r="F229" s="7">
        <f>IFERROR(__xludf.DUMMYFUNCTION("""COMPUTED_VALUE"""),1856211.0)</f>
        <v>1856211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f>IFERROR(__xludf.DUMMYFUNCTION("""COMPUTED_VALUE"""),45888.64583333333)</f>
        <v>45888.64583</v>
      </c>
      <c r="B230" s="7">
        <f>IFERROR(__xludf.DUMMYFUNCTION("""COMPUTED_VALUE"""),942.05)</f>
        <v>942.05</v>
      </c>
      <c r="C230" s="7">
        <f>IFERROR(__xludf.DUMMYFUNCTION("""COMPUTED_VALUE"""),975.5)</f>
        <v>975.5</v>
      </c>
      <c r="D230" s="7">
        <f>IFERROR(__xludf.DUMMYFUNCTION("""COMPUTED_VALUE"""),937.45)</f>
        <v>937.45</v>
      </c>
      <c r="E230" s="7">
        <f>IFERROR(__xludf.DUMMYFUNCTION("""COMPUTED_VALUE"""),973.4)</f>
        <v>973.4</v>
      </c>
      <c r="F230" s="7">
        <f>IFERROR(__xludf.DUMMYFUNCTION("""COMPUTED_VALUE"""),1886130.0)</f>
        <v>1886130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f>IFERROR(__xludf.DUMMYFUNCTION("""COMPUTED_VALUE"""),45889.64583333333)</f>
        <v>45889.64583</v>
      </c>
      <c r="B231" s="7">
        <f>IFERROR(__xludf.DUMMYFUNCTION("""COMPUTED_VALUE"""),969.0)</f>
        <v>969</v>
      </c>
      <c r="C231" s="7">
        <f>IFERROR(__xludf.DUMMYFUNCTION("""COMPUTED_VALUE"""),984.0)</f>
        <v>984</v>
      </c>
      <c r="D231" s="7">
        <f>IFERROR(__xludf.DUMMYFUNCTION("""COMPUTED_VALUE"""),967.95)</f>
        <v>967.95</v>
      </c>
      <c r="E231" s="7">
        <f>IFERROR(__xludf.DUMMYFUNCTION("""COMPUTED_VALUE"""),975.95)</f>
        <v>975.95</v>
      </c>
      <c r="F231" s="7">
        <f>IFERROR(__xludf.DUMMYFUNCTION("""COMPUTED_VALUE"""),1584174.0)</f>
        <v>1584174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f>IFERROR(__xludf.DUMMYFUNCTION("""COMPUTED_VALUE"""),45890.64583333333)</f>
        <v>45890.64583</v>
      </c>
      <c r="B232" s="7">
        <f>IFERROR(__xludf.DUMMYFUNCTION("""COMPUTED_VALUE"""),976.0)</f>
        <v>976</v>
      </c>
      <c r="C232" s="7">
        <f>IFERROR(__xludf.DUMMYFUNCTION("""COMPUTED_VALUE"""),983.95)</f>
        <v>983.95</v>
      </c>
      <c r="D232" s="7">
        <f>IFERROR(__xludf.DUMMYFUNCTION("""COMPUTED_VALUE"""),964.15)</f>
        <v>964.15</v>
      </c>
      <c r="E232" s="7">
        <f>IFERROR(__xludf.DUMMYFUNCTION("""COMPUTED_VALUE"""),966.6)</f>
        <v>966.6</v>
      </c>
      <c r="F232" s="7">
        <f>IFERROR(__xludf.DUMMYFUNCTION("""COMPUTED_VALUE"""),820006.0)</f>
        <v>820006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f>IFERROR(__xludf.DUMMYFUNCTION("""COMPUTED_VALUE"""),45891.64583333333)</f>
        <v>45891.64583</v>
      </c>
      <c r="B233" s="7">
        <f>IFERROR(__xludf.DUMMYFUNCTION("""COMPUTED_VALUE"""),965.0)</f>
        <v>965</v>
      </c>
      <c r="C233" s="7">
        <f>IFERROR(__xludf.DUMMYFUNCTION("""COMPUTED_VALUE"""),970.2)</f>
        <v>970.2</v>
      </c>
      <c r="D233" s="7">
        <f>IFERROR(__xludf.DUMMYFUNCTION("""COMPUTED_VALUE"""),952.9)</f>
        <v>952.9</v>
      </c>
      <c r="E233" s="7">
        <f>IFERROR(__xludf.DUMMYFUNCTION("""COMPUTED_VALUE"""),957.2)</f>
        <v>957.2</v>
      </c>
      <c r="F233" s="7">
        <f>IFERROR(__xludf.DUMMYFUNCTION("""COMPUTED_VALUE"""),946994.0)</f>
        <v>946994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f>IFERROR(__xludf.DUMMYFUNCTION("""COMPUTED_VALUE"""),45894.64583333333)</f>
        <v>45894.64583</v>
      </c>
      <c r="B234" s="7">
        <f>IFERROR(__xludf.DUMMYFUNCTION("""COMPUTED_VALUE"""),958.35)</f>
        <v>958.35</v>
      </c>
      <c r="C234" s="7">
        <f>IFERROR(__xludf.DUMMYFUNCTION("""COMPUTED_VALUE"""),972.7)</f>
        <v>972.7</v>
      </c>
      <c r="D234" s="7">
        <f>IFERROR(__xludf.DUMMYFUNCTION("""COMPUTED_VALUE"""),958.35)</f>
        <v>958.35</v>
      </c>
      <c r="E234" s="7">
        <f>IFERROR(__xludf.DUMMYFUNCTION("""COMPUTED_VALUE"""),964.1)</f>
        <v>964.1</v>
      </c>
      <c r="F234" s="7">
        <f>IFERROR(__xludf.DUMMYFUNCTION("""COMPUTED_VALUE"""),943859.0)</f>
        <v>943859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f>IFERROR(__xludf.DUMMYFUNCTION("""COMPUTED_VALUE"""),45895.64583333333)</f>
        <v>45895.64583</v>
      </c>
      <c r="B235" s="7">
        <f>IFERROR(__xludf.DUMMYFUNCTION("""COMPUTED_VALUE"""),964.15)</f>
        <v>964.15</v>
      </c>
      <c r="C235" s="7">
        <f>IFERROR(__xludf.DUMMYFUNCTION("""COMPUTED_VALUE"""),965.75)</f>
        <v>965.75</v>
      </c>
      <c r="D235" s="7">
        <f>IFERROR(__xludf.DUMMYFUNCTION("""COMPUTED_VALUE"""),926.0)</f>
        <v>926</v>
      </c>
      <c r="E235" s="7">
        <f>IFERROR(__xludf.DUMMYFUNCTION("""COMPUTED_VALUE"""),931.25)</f>
        <v>931.25</v>
      </c>
      <c r="F235" s="7">
        <f>IFERROR(__xludf.DUMMYFUNCTION("""COMPUTED_VALUE"""),1462770.0)</f>
        <v>1462770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f>IFERROR(__xludf.DUMMYFUNCTION("""COMPUTED_VALUE"""),45897.64583333333)</f>
        <v>45897.64583</v>
      </c>
      <c r="B236" s="7">
        <f>IFERROR(__xludf.DUMMYFUNCTION("""COMPUTED_VALUE"""),931.0)</f>
        <v>931</v>
      </c>
      <c r="C236" s="7">
        <f>IFERROR(__xludf.DUMMYFUNCTION("""COMPUTED_VALUE"""),935.0)</f>
        <v>935</v>
      </c>
      <c r="D236" s="7">
        <f>IFERROR(__xludf.DUMMYFUNCTION("""COMPUTED_VALUE"""),917.1)</f>
        <v>917.1</v>
      </c>
      <c r="E236" s="7">
        <f>IFERROR(__xludf.DUMMYFUNCTION("""COMPUTED_VALUE"""),921.15)</f>
        <v>921.15</v>
      </c>
      <c r="F236" s="7">
        <f>IFERROR(__xludf.DUMMYFUNCTION("""COMPUTED_VALUE"""),1308868.0)</f>
        <v>1308868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f>IFERROR(__xludf.DUMMYFUNCTION("""COMPUTED_VALUE"""),45898.64583333333)</f>
        <v>45898.64583</v>
      </c>
      <c r="B237" s="7">
        <f>IFERROR(__xludf.DUMMYFUNCTION("""COMPUTED_VALUE"""),920.15)</f>
        <v>920.15</v>
      </c>
      <c r="C237" s="7">
        <f>IFERROR(__xludf.DUMMYFUNCTION("""COMPUTED_VALUE"""),926.8)</f>
        <v>926.8</v>
      </c>
      <c r="D237" s="7">
        <f>IFERROR(__xludf.DUMMYFUNCTION("""COMPUTED_VALUE"""),908.5)</f>
        <v>908.5</v>
      </c>
      <c r="E237" s="7">
        <f>IFERROR(__xludf.DUMMYFUNCTION("""COMPUTED_VALUE"""),913.5)</f>
        <v>913.5</v>
      </c>
      <c r="F237" s="7">
        <f>IFERROR(__xludf.DUMMYFUNCTION("""COMPUTED_VALUE"""),1477870.0)</f>
        <v>1477870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f>IFERROR(__xludf.DUMMYFUNCTION("""COMPUTED_VALUE"""),45901.64583333333)</f>
        <v>45901.64583</v>
      </c>
      <c r="B238" s="7">
        <f>IFERROR(__xludf.DUMMYFUNCTION("""COMPUTED_VALUE"""),920.4)</f>
        <v>920.4</v>
      </c>
      <c r="C238" s="7">
        <f>IFERROR(__xludf.DUMMYFUNCTION("""COMPUTED_VALUE"""),933.7)</f>
        <v>933.7</v>
      </c>
      <c r="D238" s="7">
        <f>IFERROR(__xludf.DUMMYFUNCTION("""COMPUTED_VALUE"""),918.05)</f>
        <v>918.05</v>
      </c>
      <c r="E238" s="7">
        <f>IFERROR(__xludf.DUMMYFUNCTION("""COMPUTED_VALUE"""),931.55)</f>
        <v>931.55</v>
      </c>
      <c r="F238" s="7">
        <f>IFERROR(__xludf.DUMMYFUNCTION("""COMPUTED_VALUE"""),839458.0)</f>
        <v>839458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f>IFERROR(__xludf.DUMMYFUNCTION("""COMPUTED_VALUE"""),45902.64583333333)</f>
        <v>45902.64583</v>
      </c>
      <c r="B239" s="7">
        <f>IFERROR(__xludf.DUMMYFUNCTION("""COMPUTED_VALUE"""),934.8)</f>
        <v>934.8</v>
      </c>
      <c r="C239" s="7">
        <f>IFERROR(__xludf.DUMMYFUNCTION("""COMPUTED_VALUE"""),943.45)</f>
        <v>943.45</v>
      </c>
      <c r="D239" s="7">
        <f>IFERROR(__xludf.DUMMYFUNCTION("""COMPUTED_VALUE"""),929.0)</f>
        <v>929</v>
      </c>
      <c r="E239" s="7">
        <f>IFERROR(__xludf.DUMMYFUNCTION("""COMPUTED_VALUE"""),933.85)</f>
        <v>933.85</v>
      </c>
      <c r="F239" s="7">
        <f>IFERROR(__xludf.DUMMYFUNCTION("""COMPUTED_VALUE"""),967218.0)</f>
        <v>967218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f>IFERROR(__xludf.DUMMYFUNCTION("""COMPUTED_VALUE"""),45903.64583333333)</f>
        <v>45903.64583</v>
      </c>
      <c r="B240" s="7">
        <f>IFERROR(__xludf.DUMMYFUNCTION("""COMPUTED_VALUE"""),933.85)</f>
        <v>933.85</v>
      </c>
      <c r="C240" s="7">
        <f>IFERROR(__xludf.DUMMYFUNCTION("""COMPUTED_VALUE"""),939.55)</f>
        <v>939.55</v>
      </c>
      <c r="D240" s="7">
        <f>IFERROR(__xludf.DUMMYFUNCTION("""COMPUTED_VALUE"""),931.15)</f>
        <v>931.15</v>
      </c>
      <c r="E240" s="7">
        <f>IFERROR(__xludf.DUMMYFUNCTION("""COMPUTED_VALUE"""),935.7)</f>
        <v>935.7</v>
      </c>
      <c r="F240" s="7">
        <f>IFERROR(__xludf.DUMMYFUNCTION("""COMPUTED_VALUE"""),626485.0)</f>
        <v>626485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f>IFERROR(__xludf.DUMMYFUNCTION("""COMPUTED_VALUE"""),45904.64583333333)</f>
        <v>45904.64583</v>
      </c>
      <c r="B241" s="7">
        <f>IFERROR(__xludf.DUMMYFUNCTION("""COMPUTED_VALUE"""),944.4)</f>
        <v>944.4</v>
      </c>
      <c r="C241" s="7">
        <f>IFERROR(__xludf.DUMMYFUNCTION("""COMPUTED_VALUE"""),954.15)</f>
        <v>954.15</v>
      </c>
      <c r="D241" s="7">
        <f>IFERROR(__xludf.DUMMYFUNCTION("""COMPUTED_VALUE"""),926.5)</f>
        <v>926.5</v>
      </c>
      <c r="E241" s="7">
        <f>IFERROR(__xludf.DUMMYFUNCTION("""COMPUTED_VALUE"""),929.15)</f>
        <v>929.15</v>
      </c>
      <c r="F241" s="7">
        <f>IFERROR(__xludf.DUMMYFUNCTION("""COMPUTED_VALUE"""),865803.0)</f>
        <v>865803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f>IFERROR(__xludf.DUMMYFUNCTION("""COMPUTED_VALUE"""),45905.64583333333)</f>
        <v>45905.64583</v>
      </c>
      <c r="B242" s="7">
        <f>IFERROR(__xludf.DUMMYFUNCTION("""COMPUTED_VALUE"""),932.05)</f>
        <v>932.05</v>
      </c>
      <c r="C242" s="7">
        <f>IFERROR(__xludf.DUMMYFUNCTION("""COMPUTED_VALUE"""),935.0)</f>
        <v>935</v>
      </c>
      <c r="D242" s="7">
        <f>IFERROR(__xludf.DUMMYFUNCTION("""COMPUTED_VALUE"""),916.25)</f>
        <v>916.25</v>
      </c>
      <c r="E242" s="7">
        <f>IFERROR(__xludf.DUMMYFUNCTION("""COMPUTED_VALUE"""),929.35)</f>
        <v>929.35</v>
      </c>
      <c r="F242" s="7">
        <f>IFERROR(__xludf.DUMMYFUNCTION("""COMPUTED_VALUE"""),847676.0)</f>
        <v>847676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f>IFERROR(__xludf.DUMMYFUNCTION("""COMPUTED_VALUE"""),45908.64583333333)</f>
        <v>45908.64583</v>
      </c>
      <c r="B243" s="7">
        <f>IFERROR(__xludf.DUMMYFUNCTION("""COMPUTED_VALUE"""),934.9)</f>
        <v>934.9</v>
      </c>
      <c r="C243" s="7">
        <f>IFERROR(__xludf.DUMMYFUNCTION("""COMPUTED_VALUE"""),945.0)</f>
        <v>945</v>
      </c>
      <c r="D243" s="7">
        <f>IFERROR(__xludf.DUMMYFUNCTION("""COMPUTED_VALUE"""),931.85)</f>
        <v>931.85</v>
      </c>
      <c r="E243" s="7">
        <f>IFERROR(__xludf.DUMMYFUNCTION("""COMPUTED_VALUE"""),937.2)</f>
        <v>937.2</v>
      </c>
      <c r="F243" s="7">
        <f>IFERROR(__xludf.DUMMYFUNCTION("""COMPUTED_VALUE"""),1662382.0)</f>
        <v>1662382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f>IFERROR(__xludf.DUMMYFUNCTION("""COMPUTED_VALUE"""),45909.64583333333)</f>
        <v>45909.64583</v>
      </c>
      <c r="B244" s="7">
        <f>IFERROR(__xludf.DUMMYFUNCTION("""COMPUTED_VALUE"""),941.9)</f>
        <v>941.9</v>
      </c>
      <c r="C244" s="7">
        <f>IFERROR(__xludf.DUMMYFUNCTION("""COMPUTED_VALUE"""),947.5)</f>
        <v>947.5</v>
      </c>
      <c r="D244" s="7">
        <f>IFERROR(__xludf.DUMMYFUNCTION("""COMPUTED_VALUE"""),935.8)</f>
        <v>935.8</v>
      </c>
      <c r="E244" s="7">
        <f>IFERROR(__xludf.DUMMYFUNCTION("""COMPUTED_VALUE"""),943.7)</f>
        <v>943.7</v>
      </c>
      <c r="F244" s="7">
        <f>IFERROR(__xludf.DUMMYFUNCTION("""COMPUTED_VALUE"""),868754.0)</f>
        <v>868754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f>IFERROR(__xludf.DUMMYFUNCTION("""COMPUTED_VALUE"""),45910.64583333333)</f>
        <v>45910.64583</v>
      </c>
      <c r="B245" s="7">
        <f>IFERROR(__xludf.DUMMYFUNCTION("""COMPUTED_VALUE"""),946.5)</f>
        <v>946.5</v>
      </c>
      <c r="C245" s="7">
        <f>IFERROR(__xludf.DUMMYFUNCTION("""COMPUTED_VALUE"""),973.0)</f>
        <v>973</v>
      </c>
      <c r="D245" s="7">
        <f>IFERROR(__xludf.DUMMYFUNCTION("""COMPUTED_VALUE"""),945.8)</f>
        <v>945.8</v>
      </c>
      <c r="E245" s="7">
        <f>IFERROR(__xludf.DUMMYFUNCTION("""COMPUTED_VALUE"""),963.35)</f>
        <v>963.35</v>
      </c>
      <c r="F245" s="7">
        <f>IFERROR(__xludf.DUMMYFUNCTION("""COMPUTED_VALUE"""),1995294.0)</f>
        <v>1995294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f>IFERROR(__xludf.DUMMYFUNCTION("""COMPUTED_VALUE"""),45911.64583333333)</f>
        <v>45911.64583</v>
      </c>
      <c r="B246" s="7">
        <f>IFERROR(__xludf.DUMMYFUNCTION("""COMPUTED_VALUE"""),965.0)</f>
        <v>965</v>
      </c>
      <c r="C246" s="7">
        <f>IFERROR(__xludf.DUMMYFUNCTION("""COMPUTED_VALUE"""),1004.8)</f>
        <v>1004.8</v>
      </c>
      <c r="D246" s="7">
        <f>IFERROR(__xludf.DUMMYFUNCTION("""COMPUTED_VALUE"""),961.2)</f>
        <v>961.2</v>
      </c>
      <c r="E246" s="7">
        <f>IFERROR(__xludf.DUMMYFUNCTION("""COMPUTED_VALUE"""),976.35)</f>
        <v>976.35</v>
      </c>
      <c r="F246" s="7">
        <f>IFERROR(__xludf.DUMMYFUNCTION("""COMPUTED_VALUE"""),3601127.0)</f>
        <v>3601127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f>IFERROR(__xludf.DUMMYFUNCTION("""COMPUTED_VALUE"""),45912.64583333333)</f>
        <v>45912.64583</v>
      </c>
      <c r="B247" s="7">
        <f>IFERROR(__xludf.DUMMYFUNCTION("""COMPUTED_VALUE"""),981.0)</f>
        <v>981</v>
      </c>
      <c r="C247" s="7">
        <f>IFERROR(__xludf.DUMMYFUNCTION("""COMPUTED_VALUE"""),986.55)</f>
        <v>986.55</v>
      </c>
      <c r="D247" s="7">
        <f>IFERROR(__xludf.DUMMYFUNCTION("""COMPUTED_VALUE"""),975.45)</f>
        <v>975.45</v>
      </c>
      <c r="E247" s="7">
        <f>IFERROR(__xludf.DUMMYFUNCTION("""COMPUTED_VALUE"""),981.7)</f>
        <v>981.7</v>
      </c>
      <c r="F247" s="7">
        <f>IFERROR(__xludf.DUMMYFUNCTION("""COMPUTED_VALUE"""),1086098.0)</f>
        <v>1086098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f>IFERROR(__xludf.DUMMYFUNCTION("""COMPUTED_VALUE"""),45915.64583333333)</f>
        <v>45915.64583</v>
      </c>
      <c r="B248" s="7">
        <f>IFERROR(__xludf.DUMMYFUNCTION("""COMPUTED_VALUE"""),984.0)</f>
        <v>984</v>
      </c>
      <c r="C248" s="7">
        <f>IFERROR(__xludf.DUMMYFUNCTION("""COMPUTED_VALUE"""),993.8)</f>
        <v>993.8</v>
      </c>
      <c r="D248" s="7">
        <f>IFERROR(__xludf.DUMMYFUNCTION("""COMPUTED_VALUE"""),983.45)</f>
        <v>983.45</v>
      </c>
      <c r="E248" s="7">
        <f>IFERROR(__xludf.DUMMYFUNCTION("""COMPUTED_VALUE"""),986.7)</f>
        <v>986.7</v>
      </c>
      <c r="F248" s="7">
        <f>IFERROR(__xludf.DUMMYFUNCTION("""COMPUTED_VALUE"""),924070.0)</f>
        <v>924070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>IFERROR(__xludf.DUMMYFUNCTION("IFERROR(GOOGLEFINANCE(""NSE:ADANIENSOL"",""all"",EDATE(TODAY(),-12),TODAY(),""DAILY""))
"),"Date")</f>
        <v>Date</v>
      </c>
      <c r="B1" s="11" t="str">
        <f>IFERROR(__xludf.DUMMYFUNCTION("""COMPUTED_VALUE"""),"Open")</f>
        <v>Open</v>
      </c>
      <c r="C1" s="11" t="str">
        <f>IFERROR(__xludf.DUMMYFUNCTION("""COMPUTED_VALUE"""),"High")</f>
        <v>High</v>
      </c>
      <c r="D1" s="11" t="str">
        <f>IFERROR(__xludf.DUMMYFUNCTION("""COMPUTED_VALUE"""),"Low")</f>
        <v>Low</v>
      </c>
      <c r="E1" s="11" t="str">
        <f>IFERROR(__xludf.DUMMYFUNCTION("""COMPUTED_VALUE"""),"Close")</f>
        <v>Close</v>
      </c>
      <c r="F1" s="11" t="str">
        <f>IFERROR(__xludf.DUMMYFUNCTION("""COMPUTED_VALUE"""),"Volume")</f>
        <v>Volume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>
        <f>IFERROR(__xludf.DUMMYFUNCTION("""COMPUTED_VALUE"""),45551.64583333333)</f>
        <v>45551.64583</v>
      </c>
      <c r="B2" s="7">
        <f>IFERROR(__xludf.DUMMYFUNCTION("""COMPUTED_VALUE"""),990.5)</f>
        <v>990.5</v>
      </c>
      <c r="C2" s="7">
        <f>IFERROR(__xludf.DUMMYFUNCTION("""COMPUTED_VALUE"""),1010.0)</f>
        <v>1010</v>
      </c>
      <c r="D2" s="7">
        <f>IFERROR(__xludf.DUMMYFUNCTION("""COMPUTED_VALUE"""),978.0)</f>
        <v>978</v>
      </c>
      <c r="E2" s="7">
        <f>IFERROR(__xludf.DUMMYFUNCTION("""COMPUTED_VALUE"""),980.5)</f>
        <v>980.5</v>
      </c>
      <c r="F2" s="7">
        <f>IFERROR(__xludf.DUMMYFUNCTION("""COMPUTED_VALUE"""),1787723.0)</f>
        <v>1787723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f>IFERROR(__xludf.DUMMYFUNCTION("""COMPUTED_VALUE"""),45552.64583333333)</f>
        <v>45552.64583</v>
      </c>
      <c r="B3" s="7">
        <f>IFERROR(__xludf.DUMMYFUNCTION("""COMPUTED_VALUE"""),985.0)</f>
        <v>985</v>
      </c>
      <c r="C3" s="7">
        <f>IFERROR(__xludf.DUMMYFUNCTION("""COMPUTED_VALUE"""),995.0)</f>
        <v>995</v>
      </c>
      <c r="D3" s="7">
        <f>IFERROR(__xludf.DUMMYFUNCTION("""COMPUTED_VALUE"""),976.15)</f>
        <v>976.15</v>
      </c>
      <c r="E3" s="7">
        <f>IFERROR(__xludf.DUMMYFUNCTION("""COMPUTED_VALUE"""),989.0)</f>
        <v>989</v>
      </c>
      <c r="F3" s="7">
        <f>IFERROR(__xludf.DUMMYFUNCTION("""COMPUTED_VALUE"""),1320871.0)</f>
        <v>1320871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f>IFERROR(__xludf.DUMMYFUNCTION("""COMPUTED_VALUE"""),45553.64583333333)</f>
        <v>45553.64583</v>
      </c>
      <c r="B4" s="7">
        <f>IFERROR(__xludf.DUMMYFUNCTION("""COMPUTED_VALUE"""),988.0)</f>
        <v>988</v>
      </c>
      <c r="C4" s="7">
        <f>IFERROR(__xludf.DUMMYFUNCTION("""COMPUTED_VALUE"""),993.0)</f>
        <v>993</v>
      </c>
      <c r="D4" s="7">
        <f>IFERROR(__xludf.DUMMYFUNCTION("""COMPUTED_VALUE"""),977.0)</f>
        <v>977</v>
      </c>
      <c r="E4" s="7">
        <f>IFERROR(__xludf.DUMMYFUNCTION("""COMPUTED_VALUE"""),979.9)</f>
        <v>979.9</v>
      </c>
      <c r="F4" s="7">
        <f>IFERROR(__xludf.DUMMYFUNCTION("""COMPUTED_VALUE"""),2847382.0)</f>
        <v>2847382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f>IFERROR(__xludf.DUMMYFUNCTION("""COMPUTED_VALUE"""),45554.64583333333)</f>
        <v>45554.64583</v>
      </c>
      <c r="B5" s="7">
        <f>IFERROR(__xludf.DUMMYFUNCTION("""COMPUTED_VALUE"""),993.1)</f>
        <v>993.1</v>
      </c>
      <c r="C5" s="7">
        <f>IFERROR(__xludf.DUMMYFUNCTION("""COMPUTED_VALUE"""),998.45)</f>
        <v>998.45</v>
      </c>
      <c r="D5" s="7">
        <f>IFERROR(__xludf.DUMMYFUNCTION("""COMPUTED_VALUE"""),967.05)</f>
        <v>967.05</v>
      </c>
      <c r="E5" s="7">
        <f>IFERROR(__xludf.DUMMYFUNCTION("""COMPUTED_VALUE"""),979.0)</f>
        <v>979</v>
      </c>
      <c r="F5" s="7">
        <f>IFERROR(__xludf.DUMMYFUNCTION("""COMPUTED_VALUE"""),3414484.0)</f>
        <v>3414484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f>IFERROR(__xludf.DUMMYFUNCTION("""COMPUTED_VALUE"""),45555.64583333333)</f>
        <v>45555.64583</v>
      </c>
      <c r="B6" s="7">
        <f>IFERROR(__xludf.DUMMYFUNCTION("""COMPUTED_VALUE"""),976.2)</f>
        <v>976.2</v>
      </c>
      <c r="C6" s="7">
        <f>IFERROR(__xludf.DUMMYFUNCTION("""COMPUTED_VALUE"""),1019.9)</f>
        <v>1019.9</v>
      </c>
      <c r="D6" s="7">
        <f>IFERROR(__xludf.DUMMYFUNCTION("""COMPUTED_VALUE"""),976.2)</f>
        <v>976.2</v>
      </c>
      <c r="E6" s="7">
        <f>IFERROR(__xludf.DUMMYFUNCTION("""COMPUTED_VALUE"""),1007.15)</f>
        <v>1007.15</v>
      </c>
      <c r="F6" s="7">
        <f>IFERROR(__xludf.DUMMYFUNCTION("""COMPUTED_VALUE"""),4788824.0)</f>
        <v>4788824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f>IFERROR(__xludf.DUMMYFUNCTION("""COMPUTED_VALUE"""),45558.64583333333)</f>
        <v>45558.64583</v>
      </c>
      <c r="B7" s="7">
        <f>IFERROR(__xludf.DUMMYFUNCTION("""COMPUTED_VALUE"""),1025.2)</f>
        <v>1025.2</v>
      </c>
      <c r="C7" s="7">
        <f>IFERROR(__xludf.DUMMYFUNCTION("""COMPUTED_VALUE"""),1040.0)</f>
        <v>1040</v>
      </c>
      <c r="D7" s="7">
        <f>IFERROR(__xludf.DUMMYFUNCTION("""COMPUTED_VALUE"""),1017.0)</f>
        <v>1017</v>
      </c>
      <c r="E7" s="7">
        <f>IFERROR(__xludf.DUMMYFUNCTION("""COMPUTED_VALUE"""),1025.95)</f>
        <v>1025.95</v>
      </c>
      <c r="F7" s="7">
        <f>IFERROR(__xludf.DUMMYFUNCTION("""COMPUTED_VALUE"""),2323963.0)</f>
        <v>2323963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f>IFERROR(__xludf.DUMMYFUNCTION("""COMPUTED_VALUE"""),45559.64583333333)</f>
        <v>45559.64583</v>
      </c>
      <c r="B8" s="7">
        <f>IFERROR(__xludf.DUMMYFUNCTION("""COMPUTED_VALUE"""),1030.0)</f>
        <v>1030</v>
      </c>
      <c r="C8" s="7">
        <f>IFERROR(__xludf.DUMMYFUNCTION("""COMPUTED_VALUE"""),1068.0)</f>
        <v>1068</v>
      </c>
      <c r="D8" s="7">
        <f>IFERROR(__xludf.DUMMYFUNCTION("""COMPUTED_VALUE"""),1021.45)</f>
        <v>1021.45</v>
      </c>
      <c r="E8" s="7">
        <f>IFERROR(__xludf.DUMMYFUNCTION("""COMPUTED_VALUE"""),1051.15)</f>
        <v>1051.15</v>
      </c>
      <c r="F8" s="7">
        <f>IFERROR(__xludf.DUMMYFUNCTION("""COMPUTED_VALUE"""),4131050.0)</f>
        <v>4131050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f>IFERROR(__xludf.DUMMYFUNCTION("""COMPUTED_VALUE"""),45560.64583333333)</f>
        <v>45560.64583</v>
      </c>
      <c r="B9" s="7">
        <f>IFERROR(__xludf.DUMMYFUNCTION("""COMPUTED_VALUE"""),1049.0)</f>
        <v>1049</v>
      </c>
      <c r="C9" s="7">
        <f>IFERROR(__xludf.DUMMYFUNCTION("""COMPUTED_VALUE"""),1053.85)</f>
        <v>1053.85</v>
      </c>
      <c r="D9" s="7">
        <f>IFERROR(__xludf.DUMMYFUNCTION("""COMPUTED_VALUE"""),1036.0)</f>
        <v>1036</v>
      </c>
      <c r="E9" s="7">
        <f>IFERROR(__xludf.DUMMYFUNCTION("""COMPUTED_VALUE"""),1044.2)</f>
        <v>1044.2</v>
      </c>
      <c r="F9" s="7">
        <f>IFERROR(__xludf.DUMMYFUNCTION("""COMPUTED_VALUE"""),1091528.0)</f>
        <v>1091528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f>IFERROR(__xludf.DUMMYFUNCTION("""COMPUTED_VALUE"""),45561.64583333333)</f>
        <v>45561.64583</v>
      </c>
      <c r="B10" s="7">
        <f>IFERROR(__xludf.DUMMYFUNCTION("""COMPUTED_VALUE"""),1045.0)</f>
        <v>1045</v>
      </c>
      <c r="C10" s="7">
        <f>IFERROR(__xludf.DUMMYFUNCTION("""COMPUTED_VALUE"""),1049.4)</f>
        <v>1049.4</v>
      </c>
      <c r="D10" s="7">
        <f>IFERROR(__xludf.DUMMYFUNCTION("""COMPUTED_VALUE"""),1033.0)</f>
        <v>1033</v>
      </c>
      <c r="E10" s="7">
        <f>IFERROR(__xludf.DUMMYFUNCTION("""COMPUTED_VALUE"""),1036.7)</f>
        <v>1036.7</v>
      </c>
      <c r="F10" s="7">
        <f>IFERROR(__xludf.DUMMYFUNCTION("""COMPUTED_VALUE"""),641975.0)</f>
        <v>641975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f>IFERROR(__xludf.DUMMYFUNCTION("""COMPUTED_VALUE"""),45562.64583333333)</f>
        <v>45562.64583</v>
      </c>
      <c r="B11" s="7">
        <f>IFERROR(__xludf.DUMMYFUNCTION("""COMPUTED_VALUE"""),1036.1)</f>
        <v>1036.1</v>
      </c>
      <c r="C11" s="7">
        <f>IFERROR(__xludf.DUMMYFUNCTION("""COMPUTED_VALUE"""),1056.0)</f>
        <v>1056</v>
      </c>
      <c r="D11" s="7">
        <f>IFERROR(__xludf.DUMMYFUNCTION("""COMPUTED_VALUE"""),1001.05)</f>
        <v>1001.05</v>
      </c>
      <c r="E11" s="7">
        <f>IFERROR(__xludf.DUMMYFUNCTION("""COMPUTED_VALUE"""),1010.2)</f>
        <v>1010.2</v>
      </c>
      <c r="F11" s="7">
        <f>IFERROR(__xludf.DUMMYFUNCTION("""COMPUTED_VALUE"""),1537355.0)</f>
        <v>1537355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f>IFERROR(__xludf.DUMMYFUNCTION("""COMPUTED_VALUE"""),45565.64583333333)</f>
        <v>45565.64583</v>
      </c>
      <c r="B12" s="7">
        <f>IFERROR(__xludf.DUMMYFUNCTION("""COMPUTED_VALUE"""),1009.9)</f>
        <v>1009.9</v>
      </c>
      <c r="C12" s="7">
        <f>IFERROR(__xludf.DUMMYFUNCTION("""COMPUTED_VALUE"""),1018.7)</f>
        <v>1018.7</v>
      </c>
      <c r="D12" s="7">
        <f>IFERROR(__xludf.DUMMYFUNCTION("""COMPUTED_VALUE"""),994.0)</f>
        <v>994</v>
      </c>
      <c r="E12" s="7">
        <f>IFERROR(__xludf.DUMMYFUNCTION("""COMPUTED_VALUE"""),1009.65)</f>
        <v>1009.65</v>
      </c>
      <c r="F12" s="7">
        <f>IFERROR(__xludf.DUMMYFUNCTION("""COMPUTED_VALUE"""),1170771.0)</f>
        <v>1170771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f>IFERROR(__xludf.DUMMYFUNCTION("""COMPUTED_VALUE"""),45566.64583333333)</f>
        <v>45566.64583</v>
      </c>
      <c r="B13" s="7">
        <f>IFERROR(__xludf.DUMMYFUNCTION("""COMPUTED_VALUE"""),1013.95)</f>
        <v>1013.95</v>
      </c>
      <c r="C13" s="7">
        <f>IFERROR(__xludf.DUMMYFUNCTION("""COMPUTED_VALUE"""),1053.45)</f>
        <v>1053.45</v>
      </c>
      <c r="D13" s="7">
        <f>IFERROR(__xludf.DUMMYFUNCTION("""COMPUTED_VALUE"""),1010.0)</f>
        <v>1010</v>
      </c>
      <c r="E13" s="7">
        <f>IFERROR(__xludf.DUMMYFUNCTION("""COMPUTED_VALUE"""),1040.1)</f>
        <v>1040.1</v>
      </c>
      <c r="F13" s="7">
        <f>IFERROR(__xludf.DUMMYFUNCTION("""COMPUTED_VALUE"""),4058979.0)</f>
        <v>4058979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f>IFERROR(__xludf.DUMMYFUNCTION("""COMPUTED_VALUE"""),45568.64583333333)</f>
        <v>45568.64583</v>
      </c>
      <c r="B14" s="7">
        <f>IFERROR(__xludf.DUMMYFUNCTION("""COMPUTED_VALUE"""),1023.8)</f>
        <v>1023.8</v>
      </c>
      <c r="C14" s="7">
        <f>IFERROR(__xludf.DUMMYFUNCTION("""COMPUTED_VALUE"""),1039.7)</f>
        <v>1039.7</v>
      </c>
      <c r="D14" s="7">
        <f>IFERROR(__xludf.DUMMYFUNCTION("""COMPUTED_VALUE"""),1010.0)</f>
        <v>1010</v>
      </c>
      <c r="E14" s="7">
        <f>IFERROR(__xludf.DUMMYFUNCTION("""COMPUTED_VALUE"""),1015.85)</f>
        <v>1015.85</v>
      </c>
      <c r="F14" s="7">
        <f>IFERROR(__xludf.DUMMYFUNCTION("""COMPUTED_VALUE"""),983956.0)</f>
        <v>983956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f>IFERROR(__xludf.DUMMYFUNCTION("""COMPUTED_VALUE"""),45569.64583333333)</f>
        <v>45569.64583</v>
      </c>
      <c r="B15" s="7">
        <f>IFERROR(__xludf.DUMMYFUNCTION("""COMPUTED_VALUE"""),1016.0)</f>
        <v>1016</v>
      </c>
      <c r="C15" s="7">
        <f>IFERROR(__xludf.DUMMYFUNCTION("""COMPUTED_VALUE"""),1020.5)</f>
        <v>1020.5</v>
      </c>
      <c r="D15" s="7">
        <f>IFERROR(__xludf.DUMMYFUNCTION("""COMPUTED_VALUE"""),955.0)</f>
        <v>955</v>
      </c>
      <c r="E15" s="7">
        <f>IFERROR(__xludf.DUMMYFUNCTION("""COMPUTED_VALUE"""),962.75)</f>
        <v>962.75</v>
      </c>
      <c r="F15" s="7">
        <f>IFERROR(__xludf.DUMMYFUNCTION("""COMPUTED_VALUE"""),5174616.0)</f>
        <v>5174616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f>IFERROR(__xludf.DUMMYFUNCTION("""COMPUTED_VALUE"""),45572.64583333333)</f>
        <v>45572.64583</v>
      </c>
      <c r="B16" s="7">
        <f>IFERROR(__xludf.DUMMYFUNCTION("""COMPUTED_VALUE"""),976.0)</f>
        <v>976</v>
      </c>
      <c r="C16" s="7">
        <f>IFERROR(__xludf.DUMMYFUNCTION("""COMPUTED_VALUE"""),982.7)</f>
        <v>982.7</v>
      </c>
      <c r="D16" s="7">
        <f>IFERROR(__xludf.DUMMYFUNCTION("""COMPUTED_VALUE"""),920.8)</f>
        <v>920.8</v>
      </c>
      <c r="E16" s="7">
        <f>IFERROR(__xludf.DUMMYFUNCTION("""COMPUTED_VALUE"""),934.2)</f>
        <v>934.2</v>
      </c>
      <c r="F16" s="7">
        <f>IFERROR(__xludf.DUMMYFUNCTION("""COMPUTED_VALUE"""),4321395.0)</f>
        <v>4321395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f>IFERROR(__xludf.DUMMYFUNCTION("""COMPUTED_VALUE"""),45573.64583333333)</f>
        <v>45573.64583</v>
      </c>
      <c r="B17" s="7">
        <f>IFERROR(__xludf.DUMMYFUNCTION("""COMPUTED_VALUE"""),931.0)</f>
        <v>931</v>
      </c>
      <c r="C17" s="7">
        <f>IFERROR(__xludf.DUMMYFUNCTION("""COMPUTED_VALUE"""),1010.0)</f>
        <v>1010</v>
      </c>
      <c r="D17" s="7">
        <f>IFERROR(__xludf.DUMMYFUNCTION("""COMPUTED_VALUE"""),915.0)</f>
        <v>915</v>
      </c>
      <c r="E17" s="7">
        <f>IFERROR(__xludf.DUMMYFUNCTION("""COMPUTED_VALUE"""),1007.3)</f>
        <v>1007.3</v>
      </c>
      <c r="F17" s="7">
        <f>IFERROR(__xludf.DUMMYFUNCTION("""COMPUTED_VALUE"""),4982440.0)</f>
        <v>4982440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f>IFERROR(__xludf.DUMMYFUNCTION("""COMPUTED_VALUE"""),45574.64583333333)</f>
        <v>45574.64583</v>
      </c>
      <c r="B18" s="7">
        <f>IFERROR(__xludf.DUMMYFUNCTION("""COMPUTED_VALUE"""),1015.8)</f>
        <v>1015.8</v>
      </c>
      <c r="C18" s="7">
        <f>IFERROR(__xludf.DUMMYFUNCTION("""COMPUTED_VALUE"""),1017.45)</f>
        <v>1017.45</v>
      </c>
      <c r="D18" s="7">
        <f>IFERROR(__xludf.DUMMYFUNCTION("""COMPUTED_VALUE"""),980.5)</f>
        <v>980.5</v>
      </c>
      <c r="E18" s="7">
        <f>IFERROR(__xludf.DUMMYFUNCTION("""COMPUTED_VALUE"""),983.3)</f>
        <v>983.3</v>
      </c>
      <c r="F18" s="7">
        <f>IFERROR(__xludf.DUMMYFUNCTION("""COMPUTED_VALUE"""),1752790.0)</f>
        <v>1752790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f>IFERROR(__xludf.DUMMYFUNCTION("""COMPUTED_VALUE"""),45575.64583333333)</f>
        <v>45575.64583</v>
      </c>
      <c r="B19" s="7">
        <f>IFERROR(__xludf.DUMMYFUNCTION("""COMPUTED_VALUE"""),992.95)</f>
        <v>992.95</v>
      </c>
      <c r="C19" s="7">
        <f>IFERROR(__xludf.DUMMYFUNCTION("""COMPUTED_VALUE"""),1001.6)</f>
        <v>1001.6</v>
      </c>
      <c r="D19" s="7">
        <f>IFERROR(__xludf.DUMMYFUNCTION("""COMPUTED_VALUE"""),963.6)</f>
        <v>963.6</v>
      </c>
      <c r="E19" s="7">
        <f>IFERROR(__xludf.DUMMYFUNCTION("""COMPUTED_VALUE"""),989.85)</f>
        <v>989.85</v>
      </c>
      <c r="F19" s="7">
        <f>IFERROR(__xludf.DUMMYFUNCTION("""COMPUTED_VALUE"""),1981159.0)</f>
        <v>1981159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f>IFERROR(__xludf.DUMMYFUNCTION("""COMPUTED_VALUE"""),45576.64583333333)</f>
        <v>45576.64583</v>
      </c>
      <c r="B20" s="7">
        <f>IFERROR(__xludf.DUMMYFUNCTION("""COMPUTED_VALUE"""),997.9)</f>
        <v>997.9</v>
      </c>
      <c r="C20" s="7">
        <f>IFERROR(__xludf.DUMMYFUNCTION("""COMPUTED_VALUE"""),999.05)</f>
        <v>999.05</v>
      </c>
      <c r="D20" s="7">
        <f>IFERROR(__xludf.DUMMYFUNCTION("""COMPUTED_VALUE"""),974.7)</f>
        <v>974.7</v>
      </c>
      <c r="E20" s="7">
        <f>IFERROR(__xludf.DUMMYFUNCTION("""COMPUTED_VALUE"""),976.8)</f>
        <v>976.8</v>
      </c>
      <c r="F20" s="7">
        <f>IFERROR(__xludf.DUMMYFUNCTION("""COMPUTED_VALUE"""),1055225.0)</f>
        <v>1055225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f>IFERROR(__xludf.DUMMYFUNCTION("""COMPUTED_VALUE"""),45579.64583333333)</f>
        <v>45579.64583</v>
      </c>
      <c r="B21" s="7">
        <f>IFERROR(__xludf.DUMMYFUNCTION("""COMPUTED_VALUE"""),994.0)</f>
        <v>994</v>
      </c>
      <c r="C21" s="7">
        <f>IFERROR(__xludf.DUMMYFUNCTION("""COMPUTED_VALUE"""),1014.8)</f>
        <v>1014.8</v>
      </c>
      <c r="D21" s="7">
        <f>IFERROR(__xludf.DUMMYFUNCTION("""COMPUTED_VALUE"""),977.1)</f>
        <v>977.1</v>
      </c>
      <c r="E21" s="7">
        <f>IFERROR(__xludf.DUMMYFUNCTION("""COMPUTED_VALUE"""),982.4)</f>
        <v>982.4</v>
      </c>
      <c r="F21" s="7">
        <f>IFERROR(__xludf.DUMMYFUNCTION("""COMPUTED_VALUE"""),1363315.0)</f>
        <v>1363315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f>IFERROR(__xludf.DUMMYFUNCTION("""COMPUTED_VALUE"""),45580.64583333333)</f>
        <v>45580.64583</v>
      </c>
      <c r="B22" s="7">
        <f>IFERROR(__xludf.DUMMYFUNCTION("""COMPUTED_VALUE"""),984.85)</f>
        <v>984.85</v>
      </c>
      <c r="C22" s="7">
        <f>IFERROR(__xludf.DUMMYFUNCTION("""COMPUTED_VALUE"""),1009.0)</f>
        <v>1009</v>
      </c>
      <c r="D22" s="7">
        <f>IFERROR(__xludf.DUMMYFUNCTION("""COMPUTED_VALUE"""),974.05)</f>
        <v>974.05</v>
      </c>
      <c r="E22" s="7">
        <f>IFERROR(__xludf.DUMMYFUNCTION("""COMPUTED_VALUE"""),1004.7)</f>
        <v>1004.7</v>
      </c>
      <c r="F22" s="7">
        <f>IFERROR(__xludf.DUMMYFUNCTION("""COMPUTED_VALUE"""),2474266.0)</f>
        <v>2474266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f>IFERROR(__xludf.DUMMYFUNCTION("""COMPUTED_VALUE"""),45581.64583333333)</f>
        <v>45581.64583</v>
      </c>
      <c r="B23" s="7">
        <f>IFERROR(__xludf.DUMMYFUNCTION("""COMPUTED_VALUE"""),1010.75)</f>
        <v>1010.75</v>
      </c>
      <c r="C23" s="7">
        <f>IFERROR(__xludf.DUMMYFUNCTION("""COMPUTED_VALUE"""),1038.35)</f>
        <v>1038.35</v>
      </c>
      <c r="D23" s="7">
        <f>IFERROR(__xludf.DUMMYFUNCTION("""COMPUTED_VALUE"""),1003.2)</f>
        <v>1003.2</v>
      </c>
      <c r="E23" s="7">
        <f>IFERROR(__xludf.DUMMYFUNCTION("""COMPUTED_VALUE"""),1032.65)</f>
        <v>1032.65</v>
      </c>
      <c r="F23" s="7">
        <f>IFERROR(__xludf.DUMMYFUNCTION("""COMPUTED_VALUE"""),3045843.0)</f>
        <v>3045843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f>IFERROR(__xludf.DUMMYFUNCTION("""COMPUTED_VALUE"""),45582.64583333333)</f>
        <v>45582.64583</v>
      </c>
      <c r="B24" s="7">
        <f>IFERROR(__xludf.DUMMYFUNCTION("""COMPUTED_VALUE"""),1027.05)</f>
        <v>1027.05</v>
      </c>
      <c r="C24" s="7">
        <f>IFERROR(__xludf.DUMMYFUNCTION("""COMPUTED_VALUE"""),1036.85)</f>
        <v>1036.85</v>
      </c>
      <c r="D24" s="7">
        <f>IFERROR(__xludf.DUMMYFUNCTION("""COMPUTED_VALUE"""),1015.0)</f>
        <v>1015</v>
      </c>
      <c r="E24" s="7">
        <f>IFERROR(__xludf.DUMMYFUNCTION("""COMPUTED_VALUE"""),1021.65)</f>
        <v>1021.65</v>
      </c>
      <c r="F24" s="7">
        <f>IFERROR(__xludf.DUMMYFUNCTION("""COMPUTED_VALUE"""),1487254.0)</f>
        <v>1487254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f>IFERROR(__xludf.DUMMYFUNCTION("""COMPUTED_VALUE"""),45583.64583333333)</f>
        <v>45583.64583</v>
      </c>
      <c r="B25" s="7">
        <f>IFERROR(__xludf.DUMMYFUNCTION("""COMPUTED_VALUE"""),1015.55)</f>
        <v>1015.55</v>
      </c>
      <c r="C25" s="7">
        <f>IFERROR(__xludf.DUMMYFUNCTION("""COMPUTED_VALUE"""),1046.0)</f>
        <v>1046</v>
      </c>
      <c r="D25" s="7">
        <f>IFERROR(__xludf.DUMMYFUNCTION("""COMPUTED_VALUE"""),1004.0)</f>
        <v>1004</v>
      </c>
      <c r="E25" s="7">
        <f>IFERROR(__xludf.DUMMYFUNCTION("""COMPUTED_VALUE"""),1043.3)</f>
        <v>1043.3</v>
      </c>
      <c r="F25" s="7">
        <f>IFERROR(__xludf.DUMMYFUNCTION("""COMPUTED_VALUE"""),2162032.0)</f>
        <v>2162032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f>IFERROR(__xludf.DUMMYFUNCTION("""COMPUTED_VALUE"""),45586.64583333333)</f>
        <v>45586.64583</v>
      </c>
      <c r="B26" s="7">
        <f>IFERROR(__xludf.DUMMYFUNCTION("""COMPUTED_VALUE"""),1043.3)</f>
        <v>1043.3</v>
      </c>
      <c r="C26" s="7">
        <f>IFERROR(__xludf.DUMMYFUNCTION("""COMPUTED_VALUE"""),1048.7)</f>
        <v>1048.7</v>
      </c>
      <c r="D26" s="7">
        <f>IFERROR(__xludf.DUMMYFUNCTION("""COMPUTED_VALUE"""),1008.0)</f>
        <v>1008</v>
      </c>
      <c r="E26" s="7">
        <f>IFERROR(__xludf.DUMMYFUNCTION("""COMPUTED_VALUE"""),1017.55)</f>
        <v>1017.55</v>
      </c>
      <c r="F26" s="7">
        <f>IFERROR(__xludf.DUMMYFUNCTION("""COMPUTED_VALUE"""),799922.0)</f>
        <v>799922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f>IFERROR(__xludf.DUMMYFUNCTION("""COMPUTED_VALUE"""),45587.64583333333)</f>
        <v>45587.64583</v>
      </c>
      <c r="B27" s="7">
        <f>IFERROR(__xludf.DUMMYFUNCTION("""COMPUTED_VALUE"""),1017.5)</f>
        <v>1017.5</v>
      </c>
      <c r="C27" s="7">
        <f>IFERROR(__xludf.DUMMYFUNCTION("""COMPUTED_VALUE"""),1043.4)</f>
        <v>1043.4</v>
      </c>
      <c r="D27" s="7">
        <f>IFERROR(__xludf.DUMMYFUNCTION("""COMPUTED_VALUE"""),987.0)</f>
        <v>987</v>
      </c>
      <c r="E27" s="7">
        <f>IFERROR(__xludf.DUMMYFUNCTION("""COMPUTED_VALUE"""),1009.85)</f>
        <v>1009.85</v>
      </c>
      <c r="F27" s="7">
        <f>IFERROR(__xludf.DUMMYFUNCTION("""COMPUTED_VALUE"""),3785445.0)</f>
        <v>3785445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f>IFERROR(__xludf.DUMMYFUNCTION("""COMPUTED_VALUE"""),45588.64583333333)</f>
        <v>45588.64583</v>
      </c>
      <c r="B28" s="7">
        <f>IFERROR(__xludf.DUMMYFUNCTION("""COMPUTED_VALUE"""),1008.95)</f>
        <v>1008.95</v>
      </c>
      <c r="C28" s="7">
        <f>IFERROR(__xludf.DUMMYFUNCTION("""COMPUTED_VALUE"""),1008.95)</f>
        <v>1008.95</v>
      </c>
      <c r="D28" s="7">
        <f>IFERROR(__xludf.DUMMYFUNCTION("""COMPUTED_VALUE"""),965.4)</f>
        <v>965.4</v>
      </c>
      <c r="E28" s="7">
        <f>IFERROR(__xludf.DUMMYFUNCTION("""COMPUTED_VALUE"""),981.6)</f>
        <v>981.6</v>
      </c>
      <c r="F28" s="7">
        <f>IFERROR(__xludf.DUMMYFUNCTION("""COMPUTED_VALUE"""),3268890.0)</f>
        <v>3268890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f>IFERROR(__xludf.DUMMYFUNCTION("""COMPUTED_VALUE"""),45589.64583333333)</f>
        <v>45589.64583</v>
      </c>
      <c r="B29" s="7">
        <f>IFERROR(__xludf.DUMMYFUNCTION("""COMPUTED_VALUE"""),981.9)</f>
        <v>981.9</v>
      </c>
      <c r="C29" s="7">
        <f>IFERROR(__xludf.DUMMYFUNCTION("""COMPUTED_VALUE"""),988.5)</f>
        <v>988.5</v>
      </c>
      <c r="D29" s="7">
        <f>IFERROR(__xludf.DUMMYFUNCTION("""COMPUTED_VALUE"""),969.0)</f>
        <v>969</v>
      </c>
      <c r="E29" s="7">
        <f>IFERROR(__xludf.DUMMYFUNCTION("""COMPUTED_VALUE"""),976.35)</f>
        <v>976.35</v>
      </c>
      <c r="F29" s="7">
        <f>IFERROR(__xludf.DUMMYFUNCTION("""COMPUTED_VALUE"""),1904115.0)</f>
        <v>1904115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f>IFERROR(__xludf.DUMMYFUNCTION("""COMPUTED_VALUE"""),45590.64583333333)</f>
        <v>45590.64583</v>
      </c>
      <c r="B30" s="7">
        <f>IFERROR(__xludf.DUMMYFUNCTION("""COMPUTED_VALUE"""),975.0)</f>
        <v>975</v>
      </c>
      <c r="C30" s="7">
        <f>IFERROR(__xludf.DUMMYFUNCTION("""COMPUTED_VALUE"""),975.75)</f>
        <v>975.75</v>
      </c>
      <c r="D30" s="7">
        <f>IFERROR(__xludf.DUMMYFUNCTION("""COMPUTED_VALUE"""),905.1)</f>
        <v>905.1</v>
      </c>
      <c r="E30" s="7">
        <f>IFERROR(__xludf.DUMMYFUNCTION("""COMPUTED_VALUE"""),919.35)</f>
        <v>919.35</v>
      </c>
      <c r="F30" s="7">
        <f>IFERROR(__xludf.DUMMYFUNCTION("""COMPUTED_VALUE"""),1689777.0)</f>
        <v>1689777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f>IFERROR(__xludf.DUMMYFUNCTION("""COMPUTED_VALUE"""),45593.64583333333)</f>
        <v>45593.64583</v>
      </c>
      <c r="B31" s="7">
        <f>IFERROR(__xludf.DUMMYFUNCTION("""COMPUTED_VALUE"""),924.95)</f>
        <v>924.95</v>
      </c>
      <c r="C31" s="7">
        <f>IFERROR(__xludf.DUMMYFUNCTION("""COMPUTED_VALUE"""),961.85)</f>
        <v>961.85</v>
      </c>
      <c r="D31" s="7">
        <f>IFERROR(__xludf.DUMMYFUNCTION("""COMPUTED_VALUE"""),891.05)</f>
        <v>891.05</v>
      </c>
      <c r="E31" s="7">
        <f>IFERROR(__xludf.DUMMYFUNCTION("""COMPUTED_VALUE"""),940.0)</f>
        <v>940</v>
      </c>
      <c r="F31" s="7">
        <f>IFERROR(__xludf.DUMMYFUNCTION("""COMPUTED_VALUE"""),2004705.0)</f>
        <v>2004705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f>IFERROR(__xludf.DUMMYFUNCTION("""COMPUTED_VALUE"""),45594.64583333333)</f>
        <v>45594.64583</v>
      </c>
      <c r="B32" s="7">
        <f>IFERROR(__xludf.DUMMYFUNCTION("""COMPUTED_VALUE"""),950.0)</f>
        <v>950</v>
      </c>
      <c r="C32" s="7">
        <f>IFERROR(__xludf.DUMMYFUNCTION("""COMPUTED_VALUE"""),950.05)</f>
        <v>950.05</v>
      </c>
      <c r="D32" s="7">
        <f>IFERROR(__xludf.DUMMYFUNCTION("""COMPUTED_VALUE"""),917.05)</f>
        <v>917.05</v>
      </c>
      <c r="E32" s="7">
        <f>IFERROR(__xludf.DUMMYFUNCTION("""COMPUTED_VALUE"""),930.6)</f>
        <v>930.6</v>
      </c>
      <c r="F32" s="7">
        <f>IFERROR(__xludf.DUMMYFUNCTION("""COMPUTED_VALUE"""),2125174.0)</f>
        <v>2125174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f>IFERROR(__xludf.DUMMYFUNCTION("""COMPUTED_VALUE"""),45595.64583333333)</f>
        <v>45595.64583</v>
      </c>
      <c r="B33" s="7">
        <f>IFERROR(__xludf.DUMMYFUNCTION("""COMPUTED_VALUE"""),930.0)</f>
        <v>930</v>
      </c>
      <c r="C33" s="7">
        <f>IFERROR(__xludf.DUMMYFUNCTION("""COMPUTED_VALUE"""),963.5)</f>
        <v>963.5</v>
      </c>
      <c r="D33" s="7">
        <f>IFERROR(__xludf.DUMMYFUNCTION("""COMPUTED_VALUE"""),917.55)</f>
        <v>917.55</v>
      </c>
      <c r="E33" s="7">
        <f>IFERROR(__xludf.DUMMYFUNCTION("""COMPUTED_VALUE"""),945.9)</f>
        <v>945.9</v>
      </c>
      <c r="F33" s="7">
        <f>IFERROR(__xludf.DUMMYFUNCTION("""COMPUTED_VALUE"""),1785038.0)</f>
        <v>1785038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f>IFERROR(__xludf.DUMMYFUNCTION("""COMPUTED_VALUE"""),45596.64583333333)</f>
        <v>45596.64583</v>
      </c>
      <c r="B34" s="7">
        <f>IFERROR(__xludf.DUMMYFUNCTION("""COMPUTED_VALUE"""),943.0)</f>
        <v>943</v>
      </c>
      <c r="C34" s="7">
        <f>IFERROR(__xludf.DUMMYFUNCTION("""COMPUTED_VALUE"""),980.0)</f>
        <v>980</v>
      </c>
      <c r="D34" s="7">
        <f>IFERROR(__xludf.DUMMYFUNCTION("""COMPUTED_VALUE"""),942.0)</f>
        <v>942</v>
      </c>
      <c r="E34" s="7">
        <f>IFERROR(__xludf.DUMMYFUNCTION("""COMPUTED_VALUE"""),976.2)</f>
        <v>976.2</v>
      </c>
      <c r="F34" s="7">
        <f>IFERROR(__xludf.DUMMYFUNCTION("""COMPUTED_VALUE"""),1546658.0)</f>
        <v>1546658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f>IFERROR(__xludf.DUMMYFUNCTION("""COMPUTED_VALUE"""),45600.64583333333)</f>
        <v>45600.64583</v>
      </c>
      <c r="B35" s="7">
        <f>IFERROR(__xludf.DUMMYFUNCTION("""COMPUTED_VALUE"""),978.95)</f>
        <v>978.95</v>
      </c>
      <c r="C35" s="7">
        <f>IFERROR(__xludf.DUMMYFUNCTION("""COMPUTED_VALUE"""),979.9)</f>
        <v>979.9</v>
      </c>
      <c r="D35" s="7">
        <f>IFERROR(__xludf.DUMMYFUNCTION("""COMPUTED_VALUE"""),961.2)</f>
        <v>961.2</v>
      </c>
      <c r="E35" s="7">
        <f>IFERROR(__xludf.DUMMYFUNCTION("""COMPUTED_VALUE"""),964.8)</f>
        <v>964.8</v>
      </c>
      <c r="F35" s="7">
        <f>IFERROR(__xludf.DUMMYFUNCTION("""COMPUTED_VALUE"""),773086.0)</f>
        <v>773086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f>IFERROR(__xludf.DUMMYFUNCTION("""COMPUTED_VALUE"""),45601.64583333333)</f>
        <v>45601.64583</v>
      </c>
      <c r="B36" s="7">
        <f>IFERROR(__xludf.DUMMYFUNCTION("""COMPUTED_VALUE"""),968.9)</f>
        <v>968.9</v>
      </c>
      <c r="C36" s="7">
        <f>IFERROR(__xludf.DUMMYFUNCTION("""COMPUTED_VALUE"""),1024.9)</f>
        <v>1024.9</v>
      </c>
      <c r="D36" s="7">
        <f>IFERROR(__xludf.DUMMYFUNCTION("""COMPUTED_VALUE"""),956.35)</f>
        <v>956.35</v>
      </c>
      <c r="E36" s="7">
        <f>IFERROR(__xludf.DUMMYFUNCTION("""COMPUTED_VALUE"""),1015.0)</f>
        <v>1015</v>
      </c>
      <c r="F36" s="7">
        <f>IFERROR(__xludf.DUMMYFUNCTION("""COMPUTED_VALUE"""),2100961.0)</f>
        <v>2100961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f>IFERROR(__xludf.DUMMYFUNCTION("""COMPUTED_VALUE"""),45602.64583333333)</f>
        <v>45602.64583</v>
      </c>
      <c r="B37" s="7">
        <f>IFERROR(__xludf.DUMMYFUNCTION("""COMPUTED_VALUE"""),1015.0)</f>
        <v>1015</v>
      </c>
      <c r="C37" s="7">
        <f>IFERROR(__xludf.DUMMYFUNCTION("""COMPUTED_VALUE"""),1090.95)</f>
        <v>1090.95</v>
      </c>
      <c r="D37" s="7">
        <f>IFERROR(__xludf.DUMMYFUNCTION("""COMPUTED_VALUE"""),1009.0)</f>
        <v>1009</v>
      </c>
      <c r="E37" s="7">
        <f>IFERROR(__xludf.DUMMYFUNCTION("""COMPUTED_VALUE"""),1076.3)</f>
        <v>1076.3</v>
      </c>
      <c r="F37" s="7">
        <f>IFERROR(__xludf.DUMMYFUNCTION("""COMPUTED_VALUE"""),5200238.0)</f>
        <v>5200238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f>IFERROR(__xludf.DUMMYFUNCTION("""COMPUTED_VALUE"""),45603.64583333333)</f>
        <v>45603.64583</v>
      </c>
      <c r="B38" s="7">
        <f>IFERROR(__xludf.DUMMYFUNCTION("""COMPUTED_VALUE"""),1006.2)</f>
        <v>1006.2</v>
      </c>
      <c r="C38" s="7">
        <f>IFERROR(__xludf.DUMMYFUNCTION("""COMPUTED_VALUE"""),1015.0)</f>
        <v>1015</v>
      </c>
      <c r="D38" s="7">
        <f>IFERROR(__xludf.DUMMYFUNCTION("""COMPUTED_VALUE"""),956.3)</f>
        <v>956.3</v>
      </c>
      <c r="E38" s="7">
        <f>IFERROR(__xludf.DUMMYFUNCTION("""COMPUTED_VALUE"""),964.05)</f>
        <v>964.05</v>
      </c>
      <c r="F38" s="7">
        <f>IFERROR(__xludf.DUMMYFUNCTION("""COMPUTED_VALUE"""),1.023073E7)</f>
        <v>10230730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f>IFERROR(__xludf.DUMMYFUNCTION("""COMPUTED_VALUE"""),45604.64583333333)</f>
        <v>45604.64583</v>
      </c>
      <c r="B39" s="7">
        <f>IFERROR(__xludf.DUMMYFUNCTION("""COMPUTED_VALUE"""),965.0)</f>
        <v>965</v>
      </c>
      <c r="C39" s="7">
        <f>IFERROR(__xludf.DUMMYFUNCTION("""COMPUTED_VALUE"""),973.85)</f>
        <v>973.85</v>
      </c>
      <c r="D39" s="7">
        <f>IFERROR(__xludf.DUMMYFUNCTION("""COMPUTED_VALUE"""),934.0)</f>
        <v>934</v>
      </c>
      <c r="E39" s="7">
        <f>IFERROR(__xludf.DUMMYFUNCTION("""COMPUTED_VALUE"""),936.25)</f>
        <v>936.25</v>
      </c>
      <c r="F39" s="7">
        <f>IFERROR(__xludf.DUMMYFUNCTION("""COMPUTED_VALUE"""),2473648.0)</f>
        <v>2473648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f>IFERROR(__xludf.DUMMYFUNCTION("""COMPUTED_VALUE"""),45607.64583333333)</f>
        <v>45607.64583</v>
      </c>
      <c r="B40" s="7">
        <f>IFERROR(__xludf.DUMMYFUNCTION("""COMPUTED_VALUE"""),936.25)</f>
        <v>936.25</v>
      </c>
      <c r="C40" s="7">
        <f>IFERROR(__xludf.DUMMYFUNCTION("""COMPUTED_VALUE"""),937.05)</f>
        <v>937.05</v>
      </c>
      <c r="D40" s="7">
        <f>IFERROR(__xludf.DUMMYFUNCTION("""COMPUTED_VALUE"""),897.0)</f>
        <v>897</v>
      </c>
      <c r="E40" s="7">
        <f>IFERROR(__xludf.DUMMYFUNCTION("""COMPUTED_VALUE"""),901.95)</f>
        <v>901.95</v>
      </c>
      <c r="F40" s="7">
        <f>IFERROR(__xludf.DUMMYFUNCTION("""COMPUTED_VALUE"""),3421527.0)</f>
        <v>3421527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f>IFERROR(__xludf.DUMMYFUNCTION("""COMPUTED_VALUE"""),45608.64583333333)</f>
        <v>45608.64583</v>
      </c>
      <c r="B41" s="7">
        <f>IFERROR(__xludf.DUMMYFUNCTION("""COMPUTED_VALUE"""),903.6)</f>
        <v>903.6</v>
      </c>
      <c r="C41" s="7">
        <f>IFERROR(__xludf.DUMMYFUNCTION("""COMPUTED_VALUE"""),937.95)</f>
        <v>937.95</v>
      </c>
      <c r="D41" s="7">
        <f>IFERROR(__xludf.DUMMYFUNCTION("""COMPUTED_VALUE"""),901.55)</f>
        <v>901.55</v>
      </c>
      <c r="E41" s="7">
        <f>IFERROR(__xludf.DUMMYFUNCTION("""COMPUTED_VALUE"""),924.05)</f>
        <v>924.05</v>
      </c>
      <c r="F41" s="7">
        <f>IFERROR(__xludf.DUMMYFUNCTION("""COMPUTED_VALUE"""),3720874.0)</f>
        <v>3720874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f>IFERROR(__xludf.DUMMYFUNCTION("""COMPUTED_VALUE"""),45609.64583333333)</f>
        <v>45609.64583</v>
      </c>
      <c r="B42" s="7">
        <f>IFERROR(__xludf.DUMMYFUNCTION("""COMPUTED_VALUE"""),920.0)</f>
        <v>920</v>
      </c>
      <c r="C42" s="7">
        <f>IFERROR(__xludf.DUMMYFUNCTION("""COMPUTED_VALUE"""),936.7)</f>
        <v>936.7</v>
      </c>
      <c r="D42" s="7">
        <f>IFERROR(__xludf.DUMMYFUNCTION("""COMPUTED_VALUE"""),885.1)</f>
        <v>885.1</v>
      </c>
      <c r="E42" s="7">
        <f>IFERROR(__xludf.DUMMYFUNCTION("""COMPUTED_VALUE"""),889.85)</f>
        <v>889.85</v>
      </c>
      <c r="F42" s="7">
        <f>IFERROR(__xludf.DUMMYFUNCTION("""COMPUTED_VALUE"""),2753677.0)</f>
        <v>2753677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f>IFERROR(__xludf.DUMMYFUNCTION("""COMPUTED_VALUE"""),45610.64583333333)</f>
        <v>45610.64583</v>
      </c>
      <c r="B43" s="7">
        <f>IFERROR(__xludf.DUMMYFUNCTION("""COMPUTED_VALUE"""),900.0)</f>
        <v>900</v>
      </c>
      <c r="C43" s="7">
        <f>IFERROR(__xludf.DUMMYFUNCTION("""COMPUTED_VALUE"""),905.95)</f>
        <v>905.95</v>
      </c>
      <c r="D43" s="7">
        <f>IFERROR(__xludf.DUMMYFUNCTION("""COMPUTED_VALUE"""),875.85)</f>
        <v>875.85</v>
      </c>
      <c r="E43" s="7">
        <f>IFERROR(__xludf.DUMMYFUNCTION("""COMPUTED_VALUE"""),879.7)</f>
        <v>879.7</v>
      </c>
      <c r="F43" s="7">
        <f>IFERROR(__xludf.DUMMYFUNCTION("""COMPUTED_VALUE"""),1903461.0)</f>
        <v>1903461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f>IFERROR(__xludf.DUMMYFUNCTION("""COMPUTED_VALUE"""),45614.64583333333)</f>
        <v>45614.64583</v>
      </c>
      <c r="B44" s="7">
        <f>IFERROR(__xludf.DUMMYFUNCTION("""COMPUTED_VALUE"""),888.0)</f>
        <v>888</v>
      </c>
      <c r="C44" s="7">
        <f>IFERROR(__xludf.DUMMYFUNCTION("""COMPUTED_VALUE"""),889.0)</f>
        <v>889</v>
      </c>
      <c r="D44" s="7">
        <f>IFERROR(__xludf.DUMMYFUNCTION("""COMPUTED_VALUE"""),855.0)</f>
        <v>855</v>
      </c>
      <c r="E44" s="7">
        <f>IFERROR(__xludf.DUMMYFUNCTION("""COMPUTED_VALUE"""),866.55)</f>
        <v>866.55</v>
      </c>
      <c r="F44" s="7">
        <f>IFERROR(__xludf.DUMMYFUNCTION("""COMPUTED_VALUE"""),1743209.0)</f>
        <v>1743209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f>IFERROR(__xludf.DUMMYFUNCTION("""COMPUTED_VALUE"""),45615.64583333333)</f>
        <v>45615.64583</v>
      </c>
      <c r="B45" s="7">
        <f>IFERROR(__xludf.DUMMYFUNCTION("""COMPUTED_VALUE"""),866.55)</f>
        <v>866.55</v>
      </c>
      <c r="C45" s="7">
        <f>IFERROR(__xludf.DUMMYFUNCTION("""COMPUTED_VALUE"""),887.4)</f>
        <v>887.4</v>
      </c>
      <c r="D45" s="7">
        <f>IFERROR(__xludf.DUMMYFUNCTION("""COMPUTED_VALUE"""),865.25)</f>
        <v>865.25</v>
      </c>
      <c r="E45" s="7">
        <f>IFERROR(__xludf.DUMMYFUNCTION("""COMPUTED_VALUE"""),871.55)</f>
        <v>871.55</v>
      </c>
      <c r="F45" s="7">
        <f>IFERROR(__xludf.DUMMYFUNCTION("""COMPUTED_VALUE"""),1551260.0)</f>
        <v>1551260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f>IFERROR(__xludf.DUMMYFUNCTION("""COMPUTED_VALUE"""),45617.64583333333)</f>
        <v>45617.64583</v>
      </c>
      <c r="B46" s="7">
        <f>IFERROR(__xludf.DUMMYFUNCTION("""COMPUTED_VALUE"""),697.25)</f>
        <v>697.25</v>
      </c>
      <c r="C46" s="7">
        <f>IFERROR(__xludf.DUMMYFUNCTION("""COMPUTED_VALUE"""),724.0)</f>
        <v>724</v>
      </c>
      <c r="D46" s="7">
        <f>IFERROR(__xludf.DUMMYFUNCTION("""COMPUTED_VALUE"""),697.25)</f>
        <v>697.25</v>
      </c>
      <c r="E46" s="7">
        <f>IFERROR(__xludf.DUMMYFUNCTION("""COMPUTED_VALUE"""),697.25)</f>
        <v>697.25</v>
      </c>
      <c r="F46" s="7">
        <f>IFERROR(__xludf.DUMMYFUNCTION("""COMPUTED_VALUE"""),2.1316268E7)</f>
        <v>21316268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f>IFERROR(__xludf.DUMMYFUNCTION("""COMPUTED_VALUE"""),45618.64583333333)</f>
        <v>45618.64583</v>
      </c>
      <c r="B47" s="7">
        <f>IFERROR(__xludf.DUMMYFUNCTION("""COMPUTED_VALUE"""),658.15)</f>
        <v>658.15</v>
      </c>
      <c r="C47" s="7">
        <f>IFERROR(__xludf.DUMMYFUNCTION("""COMPUTED_VALUE"""),695.0)</f>
        <v>695</v>
      </c>
      <c r="D47" s="7">
        <f>IFERROR(__xludf.DUMMYFUNCTION("""COMPUTED_VALUE"""),627.5)</f>
        <v>627.5</v>
      </c>
      <c r="E47" s="7">
        <f>IFERROR(__xludf.DUMMYFUNCTION("""COMPUTED_VALUE"""),648.95)</f>
        <v>648.95</v>
      </c>
      <c r="F47" s="7">
        <f>IFERROR(__xludf.DUMMYFUNCTION("""COMPUTED_VALUE"""),2.2987433E7)</f>
        <v>22987433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f>IFERROR(__xludf.DUMMYFUNCTION("""COMPUTED_VALUE"""),45621.64583333333)</f>
        <v>45621.64583</v>
      </c>
      <c r="B48" s="7">
        <f>IFERROR(__xludf.DUMMYFUNCTION("""COMPUTED_VALUE"""),678.0)</f>
        <v>678</v>
      </c>
      <c r="C48" s="7">
        <f>IFERROR(__xludf.DUMMYFUNCTION("""COMPUTED_VALUE"""),694.2)</f>
        <v>694.2</v>
      </c>
      <c r="D48" s="7">
        <f>IFERROR(__xludf.DUMMYFUNCTION("""COMPUTED_VALUE"""),620.0)</f>
        <v>620</v>
      </c>
      <c r="E48" s="7">
        <f>IFERROR(__xludf.DUMMYFUNCTION("""COMPUTED_VALUE"""),625.2)</f>
        <v>625.2</v>
      </c>
      <c r="F48" s="7">
        <f>IFERROR(__xludf.DUMMYFUNCTION("""COMPUTED_VALUE"""),1.3113479E7)</f>
        <v>13113479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f>IFERROR(__xludf.DUMMYFUNCTION("""COMPUTED_VALUE"""),45622.64583333333)</f>
        <v>45622.64583</v>
      </c>
      <c r="B49" s="7">
        <f>IFERROR(__xludf.DUMMYFUNCTION("""COMPUTED_VALUE"""),637.75)</f>
        <v>637.75</v>
      </c>
      <c r="C49" s="7">
        <f>IFERROR(__xludf.DUMMYFUNCTION("""COMPUTED_VALUE"""),637.75)</f>
        <v>637.75</v>
      </c>
      <c r="D49" s="7">
        <f>IFERROR(__xludf.DUMMYFUNCTION("""COMPUTED_VALUE"""),593.05)</f>
        <v>593.05</v>
      </c>
      <c r="E49" s="7">
        <f>IFERROR(__xludf.DUMMYFUNCTION("""COMPUTED_VALUE"""),600.75)</f>
        <v>600.75</v>
      </c>
      <c r="F49" s="7">
        <f>IFERROR(__xludf.DUMMYFUNCTION("""COMPUTED_VALUE"""),7755657.0)</f>
        <v>7755657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f>IFERROR(__xludf.DUMMYFUNCTION("""COMPUTED_VALUE"""),45623.64583333333)</f>
        <v>45623.64583</v>
      </c>
      <c r="B50" s="7">
        <f>IFERROR(__xludf.DUMMYFUNCTION("""COMPUTED_VALUE"""),601.1)</f>
        <v>601.1</v>
      </c>
      <c r="C50" s="7">
        <f>IFERROR(__xludf.DUMMYFUNCTION("""COMPUTED_VALUE"""),660.8)</f>
        <v>660.8</v>
      </c>
      <c r="D50" s="7">
        <f>IFERROR(__xludf.DUMMYFUNCTION("""COMPUTED_VALUE"""),588.0)</f>
        <v>588</v>
      </c>
      <c r="E50" s="7">
        <f>IFERROR(__xludf.DUMMYFUNCTION("""COMPUTED_VALUE"""),660.8)</f>
        <v>660.8</v>
      </c>
      <c r="F50" s="7">
        <f>IFERROR(__xludf.DUMMYFUNCTION("""COMPUTED_VALUE"""),9030869.0)</f>
        <v>9030869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f>IFERROR(__xludf.DUMMYFUNCTION("""COMPUTED_VALUE"""),45624.64583333333)</f>
        <v>45624.64583</v>
      </c>
      <c r="B51" s="7">
        <f>IFERROR(__xludf.DUMMYFUNCTION("""COMPUTED_VALUE"""),689.9)</f>
        <v>689.9</v>
      </c>
      <c r="C51" s="7">
        <f>IFERROR(__xludf.DUMMYFUNCTION("""COMPUTED_VALUE"""),726.85)</f>
        <v>726.85</v>
      </c>
      <c r="D51" s="7">
        <f>IFERROR(__xludf.DUMMYFUNCTION("""COMPUTED_VALUE"""),685.0)</f>
        <v>685</v>
      </c>
      <c r="E51" s="7">
        <f>IFERROR(__xludf.DUMMYFUNCTION("""COMPUTED_VALUE"""),726.85)</f>
        <v>726.85</v>
      </c>
      <c r="F51" s="7">
        <f>IFERROR(__xludf.DUMMYFUNCTION("""COMPUTED_VALUE"""),9255642.0)</f>
        <v>9255642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f>IFERROR(__xludf.DUMMYFUNCTION("""COMPUTED_VALUE"""),45625.64583333333)</f>
        <v>45625.64583</v>
      </c>
      <c r="B52" s="7">
        <f>IFERROR(__xludf.DUMMYFUNCTION("""COMPUTED_VALUE"""),748.0)</f>
        <v>748</v>
      </c>
      <c r="C52" s="7">
        <f>IFERROR(__xludf.DUMMYFUNCTION("""COMPUTED_VALUE"""),869.75)</f>
        <v>869.75</v>
      </c>
      <c r="D52" s="7">
        <f>IFERROR(__xludf.DUMMYFUNCTION("""COMPUTED_VALUE"""),742.0)</f>
        <v>742</v>
      </c>
      <c r="E52" s="7">
        <f>IFERROR(__xludf.DUMMYFUNCTION("""COMPUTED_VALUE"""),840.5)</f>
        <v>840.5</v>
      </c>
      <c r="F52" s="7">
        <f>IFERROR(__xludf.DUMMYFUNCTION("""COMPUTED_VALUE"""),3.091852E7)</f>
        <v>30918520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f>IFERROR(__xludf.DUMMYFUNCTION("""COMPUTED_VALUE"""),45628.64583333333)</f>
        <v>45628.64583</v>
      </c>
      <c r="B53" s="7">
        <f>IFERROR(__xludf.DUMMYFUNCTION("""COMPUTED_VALUE"""),844.9)</f>
        <v>844.9</v>
      </c>
      <c r="C53" s="7">
        <f>IFERROR(__xludf.DUMMYFUNCTION("""COMPUTED_VALUE"""),855.85)</f>
        <v>855.85</v>
      </c>
      <c r="D53" s="7">
        <f>IFERROR(__xludf.DUMMYFUNCTION("""COMPUTED_VALUE"""),802.5)</f>
        <v>802.5</v>
      </c>
      <c r="E53" s="7">
        <f>IFERROR(__xludf.DUMMYFUNCTION("""COMPUTED_VALUE"""),807.0)</f>
        <v>807</v>
      </c>
      <c r="F53" s="7">
        <f>IFERROR(__xludf.DUMMYFUNCTION("""COMPUTED_VALUE"""),8433923.0)</f>
        <v>8433923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f>IFERROR(__xludf.DUMMYFUNCTION("""COMPUTED_VALUE"""),45629.64583333333)</f>
        <v>45629.64583</v>
      </c>
      <c r="B54" s="7">
        <f>IFERROR(__xludf.DUMMYFUNCTION("""COMPUTED_VALUE"""),807.05)</f>
        <v>807.05</v>
      </c>
      <c r="C54" s="7">
        <f>IFERROR(__xludf.DUMMYFUNCTION("""COMPUTED_VALUE"""),829.0)</f>
        <v>829</v>
      </c>
      <c r="D54" s="7">
        <f>IFERROR(__xludf.DUMMYFUNCTION("""COMPUTED_VALUE"""),798.0)</f>
        <v>798</v>
      </c>
      <c r="E54" s="7">
        <f>IFERROR(__xludf.DUMMYFUNCTION("""COMPUTED_VALUE"""),801.85)</f>
        <v>801.85</v>
      </c>
      <c r="F54" s="7">
        <f>IFERROR(__xludf.DUMMYFUNCTION("""COMPUTED_VALUE"""),4239248.0)</f>
        <v>4239248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f>IFERROR(__xludf.DUMMYFUNCTION("""COMPUTED_VALUE"""),45630.64583333333)</f>
        <v>45630.64583</v>
      </c>
      <c r="B55" s="7">
        <f>IFERROR(__xludf.DUMMYFUNCTION("""COMPUTED_VALUE"""),820.05)</f>
        <v>820.05</v>
      </c>
      <c r="C55" s="7">
        <f>IFERROR(__xludf.DUMMYFUNCTION("""COMPUTED_VALUE"""),828.0)</f>
        <v>828</v>
      </c>
      <c r="D55" s="7">
        <f>IFERROR(__xludf.DUMMYFUNCTION("""COMPUTED_VALUE"""),797.0)</f>
        <v>797</v>
      </c>
      <c r="E55" s="7">
        <f>IFERROR(__xludf.DUMMYFUNCTION("""COMPUTED_VALUE"""),813.45)</f>
        <v>813.45</v>
      </c>
      <c r="F55" s="7">
        <f>IFERROR(__xludf.DUMMYFUNCTION("""COMPUTED_VALUE"""),4086092.0)</f>
        <v>4086092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f>IFERROR(__xludf.DUMMYFUNCTION("""COMPUTED_VALUE"""),45631.64583333333)</f>
        <v>45631.64583</v>
      </c>
      <c r="B56" s="7">
        <f>IFERROR(__xludf.DUMMYFUNCTION("""COMPUTED_VALUE"""),829.1)</f>
        <v>829.1</v>
      </c>
      <c r="C56" s="7">
        <f>IFERROR(__xludf.DUMMYFUNCTION("""COMPUTED_VALUE"""),830.0)</f>
        <v>830</v>
      </c>
      <c r="D56" s="7">
        <f>IFERROR(__xludf.DUMMYFUNCTION("""COMPUTED_VALUE"""),806.0)</f>
        <v>806</v>
      </c>
      <c r="E56" s="7">
        <f>IFERROR(__xludf.DUMMYFUNCTION("""COMPUTED_VALUE"""),822.8)</f>
        <v>822.8</v>
      </c>
      <c r="F56" s="7">
        <f>IFERROR(__xludf.DUMMYFUNCTION("""COMPUTED_VALUE"""),3190458.0)</f>
        <v>3190458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f>IFERROR(__xludf.DUMMYFUNCTION("""COMPUTED_VALUE"""),45632.64583333333)</f>
        <v>45632.64583</v>
      </c>
      <c r="B57" s="7">
        <f>IFERROR(__xludf.DUMMYFUNCTION("""COMPUTED_VALUE"""),826.0)</f>
        <v>826</v>
      </c>
      <c r="C57" s="7">
        <f>IFERROR(__xludf.DUMMYFUNCTION("""COMPUTED_VALUE"""),830.0)</f>
        <v>830</v>
      </c>
      <c r="D57" s="7">
        <f>IFERROR(__xludf.DUMMYFUNCTION("""COMPUTED_VALUE"""),805.3)</f>
        <v>805.3</v>
      </c>
      <c r="E57" s="7">
        <f>IFERROR(__xludf.DUMMYFUNCTION("""COMPUTED_VALUE"""),808.35)</f>
        <v>808.35</v>
      </c>
      <c r="F57" s="7">
        <f>IFERROR(__xludf.DUMMYFUNCTION("""COMPUTED_VALUE"""),1763438.0)</f>
        <v>1763438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f>IFERROR(__xludf.DUMMYFUNCTION("""COMPUTED_VALUE"""),45635.64583333333)</f>
        <v>45635.64583</v>
      </c>
      <c r="B58" s="7">
        <f>IFERROR(__xludf.DUMMYFUNCTION("""COMPUTED_VALUE"""),808.35)</f>
        <v>808.35</v>
      </c>
      <c r="C58" s="7">
        <f>IFERROR(__xludf.DUMMYFUNCTION("""COMPUTED_VALUE"""),814.0)</f>
        <v>814</v>
      </c>
      <c r="D58" s="7">
        <f>IFERROR(__xludf.DUMMYFUNCTION("""COMPUTED_VALUE"""),797.0)</f>
        <v>797</v>
      </c>
      <c r="E58" s="7">
        <f>IFERROR(__xludf.DUMMYFUNCTION("""COMPUTED_VALUE"""),803.45)</f>
        <v>803.45</v>
      </c>
      <c r="F58" s="7">
        <f>IFERROR(__xludf.DUMMYFUNCTION("""COMPUTED_VALUE"""),1461945.0)</f>
        <v>1461945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f>IFERROR(__xludf.DUMMYFUNCTION("""COMPUTED_VALUE"""),45636.64583333333)</f>
        <v>45636.64583</v>
      </c>
      <c r="B59" s="7">
        <f>IFERROR(__xludf.DUMMYFUNCTION("""COMPUTED_VALUE"""),805.45)</f>
        <v>805.45</v>
      </c>
      <c r="C59" s="7">
        <f>IFERROR(__xludf.DUMMYFUNCTION("""COMPUTED_VALUE"""),806.0)</f>
        <v>806</v>
      </c>
      <c r="D59" s="7">
        <f>IFERROR(__xludf.DUMMYFUNCTION("""COMPUTED_VALUE"""),775.8)</f>
        <v>775.8</v>
      </c>
      <c r="E59" s="7">
        <f>IFERROR(__xludf.DUMMYFUNCTION("""COMPUTED_VALUE"""),784.55)</f>
        <v>784.55</v>
      </c>
      <c r="F59" s="7">
        <f>IFERROR(__xludf.DUMMYFUNCTION("""COMPUTED_VALUE"""),1881212.0)</f>
        <v>1881212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f>IFERROR(__xludf.DUMMYFUNCTION("""COMPUTED_VALUE"""),45637.64583333333)</f>
        <v>45637.64583</v>
      </c>
      <c r="B60" s="7">
        <f>IFERROR(__xludf.DUMMYFUNCTION("""COMPUTED_VALUE"""),784.55)</f>
        <v>784.55</v>
      </c>
      <c r="C60" s="7">
        <f>IFERROR(__xludf.DUMMYFUNCTION("""COMPUTED_VALUE"""),797.0)</f>
        <v>797</v>
      </c>
      <c r="D60" s="7">
        <f>IFERROR(__xludf.DUMMYFUNCTION("""COMPUTED_VALUE"""),773.0)</f>
        <v>773</v>
      </c>
      <c r="E60" s="7">
        <f>IFERROR(__xludf.DUMMYFUNCTION("""COMPUTED_VALUE"""),791.5)</f>
        <v>791.5</v>
      </c>
      <c r="F60" s="7">
        <f>IFERROR(__xludf.DUMMYFUNCTION("""COMPUTED_VALUE"""),1601918.0)</f>
        <v>1601918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f>IFERROR(__xludf.DUMMYFUNCTION("""COMPUTED_VALUE"""),45638.64583333333)</f>
        <v>45638.64583</v>
      </c>
      <c r="B61" s="7">
        <f>IFERROR(__xludf.DUMMYFUNCTION("""COMPUTED_VALUE"""),788.0)</f>
        <v>788</v>
      </c>
      <c r="C61" s="7">
        <f>IFERROR(__xludf.DUMMYFUNCTION("""COMPUTED_VALUE"""),832.8)</f>
        <v>832.8</v>
      </c>
      <c r="D61" s="7">
        <f>IFERROR(__xludf.DUMMYFUNCTION("""COMPUTED_VALUE"""),783.25)</f>
        <v>783.25</v>
      </c>
      <c r="E61" s="7">
        <f>IFERROR(__xludf.DUMMYFUNCTION("""COMPUTED_VALUE"""),818.15)</f>
        <v>818.15</v>
      </c>
      <c r="F61" s="7">
        <f>IFERROR(__xludf.DUMMYFUNCTION("""COMPUTED_VALUE"""),7753669.0)</f>
        <v>7753669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f>IFERROR(__xludf.DUMMYFUNCTION("""COMPUTED_VALUE"""),45639.64583333333)</f>
        <v>45639.64583</v>
      </c>
      <c r="B62" s="7">
        <f>IFERROR(__xludf.DUMMYFUNCTION("""COMPUTED_VALUE"""),818.9)</f>
        <v>818.9</v>
      </c>
      <c r="C62" s="7">
        <f>IFERROR(__xludf.DUMMYFUNCTION("""COMPUTED_VALUE"""),837.5)</f>
        <v>837.5</v>
      </c>
      <c r="D62" s="7">
        <f>IFERROR(__xludf.DUMMYFUNCTION("""COMPUTED_VALUE"""),807.0)</f>
        <v>807</v>
      </c>
      <c r="E62" s="7">
        <f>IFERROR(__xludf.DUMMYFUNCTION("""COMPUTED_VALUE"""),832.4)</f>
        <v>832.4</v>
      </c>
      <c r="F62" s="7">
        <f>IFERROR(__xludf.DUMMYFUNCTION("""COMPUTED_VALUE"""),3750259.0)</f>
        <v>3750259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f>IFERROR(__xludf.DUMMYFUNCTION("""COMPUTED_VALUE"""),45642.64583333333)</f>
        <v>45642.64583</v>
      </c>
      <c r="B63" s="7">
        <f>IFERROR(__xludf.DUMMYFUNCTION("""COMPUTED_VALUE"""),830.0)</f>
        <v>830</v>
      </c>
      <c r="C63" s="7">
        <f>IFERROR(__xludf.DUMMYFUNCTION("""COMPUTED_VALUE"""),830.9)</f>
        <v>830.9</v>
      </c>
      <c r="D63" s="7">
        <f>IFERROR(__xludf.DUMMYFUNCTION("""COMPUTED_VALUE"""),809.0)</f>
        <v>809</v>
      </c>
      <c r="E63" s="7">
        <f>IFERROR(__xludf.DUMMYFUNCTION("""COMPUTED_VALUE"""),811.9)</f>
        <v>811.9</v>
      </c>
      <c r="F63" s="7">
        <f>IFERROR(__xludf.DUMMYFUNCTION("""COMPUTED_VALUE"""),1588379.0)</f>
        <v>1588379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f>IFERROR(__xludf.DUMMYFUNCTION("""COMPUTED_VALUE"""),45643.64583333333)</f>
        <v>45643.64583</v>
      </c>
      <c r="B64" s="7">
        <f>IFERROR(__xludf.DUMMYFUNCTION("""COMPUTED_VALUE"""),811.5)</f>
        <v>811.5</v>
      </c>
      <c r="C64" s="7">
        <f>IFERROR(__xludf.DUMMYFUNCTION("""COMPUTED_VALUE"""),825.5)</f>
        <v>825.5</v>
      </c>
      <c r="D64" s="7">
        <f>IFERROR(__xludf.DUMMYFUNCTION("""COMPUTED_VALUE"""),806.4)</f>
        <v>806.4</v>
      </c>
      <c r="E64" s="7">
        <f>IFERROR(__xludf.DUMMYFUNCTION("""COMPUTED_VALUE"""),813.35)</f>
        <v>813.35</v>
      </c>
      <c r="F64" s="7">
        <f>IFERROR(__xludf.DUMMYFUNCTION("""COMPUTED_VALUE"""),1352971.0)</f>
        <v>1352971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f>IFERROR(__xludf.DUMMYFUNCTION("""COMPUTED_VALUE"""),45644.64583333333)</f>
        <v>45644.64583</v>
      </c>
      <c r="B65" s="7">
        <f>IFERROR(__xludf.DUMMYFUNCTION("""COMPUTED_VALUE"""),815.9)</f>
        <v>815.9</v>
      </c>
      <c r="C65" s="7">
        <f>IFERROR(__xludf.DUMMYFUNCTION("""COMPUTED_VALUE"""),818.75)</f>
        <v>818.75</v>
      </c>
      <c r="D65" s="7">
        <f>IFERROR(__xludf.DUMMYFUNCTION("""COMPUTED_VALUE"""),790.2)</f>
        <v>790.2</v>
      </c>
      <c r="E65" s="7">
        <f>IFERROR(__xludf.DUMMYFUNCTION("""COMPUTED_VALUE"""),793.85)</f>
        <v>793.85</v>
      </c>
      <c r="F65" s="7">
        <f>IFERROR(__xludf.DUMMYFUNCTION("""COMPUTED_VALUE"""),1503369.0)</f>
        <v>1503369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f>IFERROR(__xludf.DUMMYFUNCTION("""COMPUTED_VALUE"""),45645.64583333333)</f>
        <v>45645.64583</v>
      </c>
      <c r="B66" s="7">
        <f>IFERROR(__xludf.DUMMYFUNCTION("""COMPUTED_VALUE"""),775.0)</f>
        <v>775</v>
      </c>
      <c r="C66" s="7">
        <f>IFERROR(__xludf.DUMMYFUNCTION("""COMPUTED_VALUE"""),799.5)</f>
        <v>799.5</v>
      </c>
      <c r="D66" s="7">
        <f>IFERROR(__xludf.DUMMYFUNCTION("""COMPUTED_VALUE"""),770.05)</f>
        <v>770.05</v>
      </c>
      <c r="E66" s="7">
        <f>IFERROR(__xludf.DUMMYFUNCTION("""COMPUTED_VALUE"""),796.0)</f>
        <v>796</v>
      </c>
      <c r="F66" s="7">
        <f>IFERROR(__xludf.DUMMYFUNCTION("""COMPUTED_VALUE"""),978345.0)</f>
        <v>978345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f>IFERROR(__xludf.DUMMYFUNCTION("""COMPUTED_VALUE"""),45646.64583333333)</f>
        <v>45646.64583</v>
      </c>
      <c r="B67" s="7">
        <f>IFERROR(__xludf.DUMMYFUNCTION("""COMPUTED_VALUE"""),799.0)</f>
        <v>799</v>
      </c>
      <c r="C67" s="7">
        <f>IFERROR(__xludf.DUMMYFUNCTION("""COMPUTED_VALUE"""),812.6)</f>
        <v>812.6</v>
      </c>
      <c r="D67" s="7">
        <f>IFERROR(__xludf.DUMMYFUNCTION("""COMPUTED_VALUE"""),761.85)</f>
        <v>761.85</v>
      </c>
      <c r="E67" s="7">
        <f>IFERROR(__xludf.DUMMYFUNCTION("""COMPUTED_VALUE"""),767.55)</f>
        <v>767.55</v>
      </c>
      <c r="F67" s="7">
        <f>IFERROR(__xludf.DUMMYFUNCTION("""COMPUTED_VALUE"""),1799045.0)</f>
        <v>1799045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f>IFERROR(__xludf.DUMMYFUNCTION("""COMPUTED_VALUE"""),45649.64583333333)</f>
        <v>45649.64583</v>
      </c>
      <c r="B68" s="7">
        <f>IFERROR(__xludf.DUMMYFUNCTION("""COMPUTED_VALUE"""),781.35)</f>
        <v>781.35</v>
      </c>
      <c r="C68" s="7">
        <f>IFERROR(__xludf.DUMMYFUNCTION("""COMPUTED_VALUE"""),783.85)</f>
        <v>783.85</v>
      </c>
      <c r="D68" s="7">
        <f>IFERROR(__xludf.DUMMYFUNCTION("""COMPUTED_VALUE"""),765.3)</f>
        <v>765.3</v>
      </c>
      <c r="E68" s="7">
        <f>IFERROR(__xludf.DUMMYFUNCTION("""COMPUTED_VALUE"""),773.3)</f>
        <v>773.3</v>
      </c>
      <c r="F68" s="7">
        <f>IFERROR(__xludf.DUMMYFUNCTION("""COMPUTED_VALUE"""),971855.0)</f>
        <v>971855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f>IFERROR(__xludf.DUMMYFUNCTION("""COMPUTED_VALUE"""),45650.64583333333)</f>
        <v>45650.64583</v>
      </c>
      <c r="B69" s="7">
        <f>IFERROR(__xludf.DUMMYFUNCTION("""COMPUTED_VALUE"""),775.0)</f>
        <v>775</v>
      </c>
      <c r="C69" s="7">
        <f>IFERROR(__xludf.DUMMYFUNCTION("""COMPUTED_VALUE"""),789.95)</f>
        <v>789.95</v>
      </c>
      <c r="D69" s="7">
        <f>IFERROR(__xludf.DUMMYFUNCTION("""COMPUTED_VALUE"""),766.05)</f>
        <v>766.05</v>
      </c>
      <c r="E69" s="7">
        <f>IFERROR(__xludf.DUMMYFUNCTION("""COMPUTED_VALUE"""),771.3)</f>
        <v>771.3</v>
      </c>
      <c r="F69" s="7">
        <f>IFERROR(__xludf.DUMMYFUNCTION("""COMPUTED_VALUE"""),986887.0)</f>
        <v>986887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f>IFERROR(__xludf.DUMMYFUNCTION("""COMPUTED_VALUE"""),45652.64583333333)</f>
        <v>45652.64583</v>
      </c>
      <c r="B70" s="7">
        <f>IFERROR(__xludf.DUMMYFUNCTION("""COMPUTED_VALUE"""),773.1)</f>
        <v>773.1</v>
      </c>
      <c r="C70" s="7">
        <f>IFERROR(__xludf.DUMMYFUNCTION("""COMPUTED_VALUE"""),800.8)</f>
        <v>800.8</v>
      </c>
      <c r="D70" s="7">
        <f>IFERROR(__xludf.DUMMYFUNCTION("""COMPUTED_VALUE"""),769.0)</f>
        <v>769</v>
      </c>
      <c r="E70" s="7">
        <f>IFERROR(__xludf.DUMMYFUNCTION("""COMPUTED_VALUE"""),792.3)</f>
        <v>792.3</v>
      </c>
      <c r="F70" s="7">
        <f>IFERROR(__xludf.DUMMYFUNCTION("""COMPUTED_VALUE"""),1941859.0)</f>
        <v>1941859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f>IFERROR(__xludf.DUMMYFUNCTION("""COMPUTED_VALUE"""),45653.64583333333)</f>
        <v>45653.64583</v>
      </c>
      <c r="B71" s="7">
        <f>IFERROR(__xludf.DUMMYFUNCTION("""COMPUTED_VALUE"""),798.95)</f>
        <v>798.95</v>
      </c>
      <c r="C71" s="7">
        <f>IFERROR(__xludf.DUMMYFUNCTION("""COMPUTED_VALUE"""),814.95)</f>
        <v>814.95</v>
      </c>
      <c r="D71" s="7">
        <f>IFERROR(__xludf.DUMMYFUNCTION("""COMPUTED_VALUE"""),791.0)</f>
        <v>791</v>
      </c>
      <c r="E71" s="7">
        <f>IFERROR(__xludf.DUMMYFUNCTION("""COMPUTED_VALUE"""),805.95)</f>
        <v>805.95</v>
      </c>
      <c r="F71" s="7">
        <f>IFERROR(__xludf.DUMMYFUNCTION("""COMPUTED_VALUE"""),1699411.0)</f>
        <v>1699411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f>IFERROR(__xludf.DUMMYFUNCTION("""COMPUTED_VALUE"""),45656.64583333333)</f>
        <v>45656.64583</v>
      </c>
      <c r="B72" s="7">
        <f>IFERROR(__xludf.DUMMYFUNCTION("""COMPUTED_VALUE"""),808.55)</f>
        <v>808.55</v>
      </c>
      <c r="C72" s="7">
        <f>IFERROR(__xludf.DUMMYFUNCTION("""COMPUTED_VALUE"""),830.5)</f>
        <v>830.5</v>
      </c>
      <c r="D72" s="7">
        <f>IFERROR(__xludf.DUMMYFUNCTION("""COMPUTED_VALUE"""),805.25)</f>
        <v>805.25</v>
      </c>
      <c r="E72" s="7">
        <f>IFERROR(__xludf.DUMMYFUNCTION("""COMPUTED_VALUE"""),826.25)</f>
        <v>826.25</v>
      </c>
      <c r="F72" s="7">
        <f>IFERROR(__xludf.DUMMYFUNCTION("""COMPUTED_VALUE"""),5993093.0)</f>
        <v>5993093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f>IFERROR(__xludf.DUMMYFUNCTION("""COMPUTED_VALUE"""),45657.64583333333)</f>
        <v>45657.64583</v>
      </c>
      <c r="B73" s="7">
        <f>IFERROR(__xludf.DUMMYFUNCTION("""COMPUTED_VALUE"""),818.4)</f>
        <v>818.4</v>
      </c>
      <c r="C73" s="7">
        <f>IFERROR(__xludf.DUMMYFUNCTION("""COMPUTED_VALUE"""),820.0)</f>
        <v>820</v>
      </c>
      <c r="D73" s="7">
        <f>IFERROR(__xludf.DUMMYFUNCTION("""COMPUTED_VALUE"""),800.0)</f>
        <v>800</v>
      </c>
      <c r="E73" s="7">
        <f>IFERROR(__xludf.DUMMYFUNCTION("""COMPUTED_VALUE"""),806.2)</f>
        <v>806.2</v>
      </c>
      <c r="F73" s="7">
        <f>IFERROR(__xludf.DUMMYFUNCTION("""COMPUTED_VALUE"""),1187100.0)</f>
        <v>1187100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f>IFERROR(__xludf.DUMMYFUNCTION("""COMPUTED_VALUE"""),45658.64583333333)</f>
        <v>45658.64583</v>
      </c>
      <c r="B74" s="7">
        <f>IFERROR(__xludf.DUMMYFUNCTION("""COMPUTED_VALUE"""),808.8)</f>
        <v>808.8</v>
      </c>
      <c r="C74" s="7">
        <f>IFERROR(__xludf.DUMMYFUNCTION("""COMPUTED_VALUE"""),819.9)</f>
        <v>819.9</v>
      </c>
      <c r="D74" s="7">
        <f>IFERROR(__xludf.DUMMYFUNCTION("""COMPUTED_VALUE"""),800.95)</f>
        <v>800.95</v>
      </c>
      <c r="E74" s="7">
        <f>IFERROR(__xludf.DUMMYFUNCTION("""COMPUTED_VALUE"""),805.45)</f>
        <v>805.45</v>
      </c>
      <c r="F74" s="7">
        <f>IFERROR(__xludf.DUMMYFUNCTION("""COMPUTED_VALUE"""),1104434.0)</f>
        <v>1104434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f>IFERROR(__xludf.DUMMYFUNCTION("""COMPUTED_VALUE"""),45659.64583333333)</f>
        <v>45659.64583</v>
      </c>
      <c r="B75" s="7">
        <f>IFERROR(__xludf.DUMMYFUNCTION("""COMPUTED_VALUE"""),808.0)</f>
        <v>808</v>
      </c>
      <c r="C75" s="7">
        <f>IFERROR(__xludf.DUMMYFUNCTION("""COMPUTED_VALUE"""),810.85)</f>
        <v>810.85</v>
      </c>
      <c r="D75" s="7">
        <f>IFERROR(__xludf.DUMMYFUNCTION("""COMPUTED_VALUE"""),793.5)</f>
        <v>793.5</v>
      </c>
      <c r="E75" s="7">
        <f>IFERROR(__xludf.DUMMYFUNCTION("""COMPUTED_VALUE"""),809.05)</f>
        <v>809.05</v>
      </c>
      <c r="F75" s="7">
        <f>IFERROR(__xludf.DUMMYFUNCTION("""COMPUTED_VALUE"""),877729.0)</f>
        <v>877729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f>IFERROR(__xludf.DUMMYFUNCTION("""COMPUTED_VALUE"""),45660.64583333333)</f>
        <v>45660.64583</v>
      </c>
      <c r="B76" s="7">
        <f>IFERROR(__xludf.DUMMYFUNCTION("""COMPUTED_VALUE"""),810.85)</f>
        <v>810.85</v>
      </c>
      <c r="C76" s="7">
        <f>IFERROR(__xludf.DUMMYFUNCTION("""COMPUTED_VALUE"""),831.0)</f>
        <v>831</v>
      </c>
      <c r="D76" s="7">
        <f>IFERROR(__xludf.DUMMYFUNCTION("""COMPUTED_VALUE"""),810.0)</f>
        <v>810</v>
      </c>
      <c r="E76" s="7">
        <f>IFERROR(__xludf.DUMMYFUNCTION("""COMPUTED_VALUE"""),821.25)</f>
        <v>821.25</v>
      </c>
      <c r="F76" s="7">
        <f>IFERROR(__xludf.DUMMYFUNCTION("""COMPUTED_VALUE"""),2550810.0)</f>
        <v>2550810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f>IFERROR(__xludf.DUMMYFUNCTION("""COMPUTED_VALUE"""),45663.64583333333)</f>
        <v>45663.64583</v>
      </c>
      <c r="B77" s="7">
        <f>IFERROR(__xludf.DUMMYFUNCTION("""COMPUTED_VALUE"""),815.05)</f>
        <v>815.05</v>
      </c>
      <c r="C77" s="7">
        <f>IFERROR(__xludf.DUMMYFUNCTION("""COMPUTED_VALUE"""),819.0)</f>
        <v>819</v>
      </c>
      <c r="D77" s="7">
        <f>IFERROR(__xludf.DUMMYFUNCTION("""COMPUTED_VALUE"""),765.1)</f>
        <v>765.1</v>
      </c>
      <c r="E77" s="7">
        <f>IFERROR(__xludf.DUMMYFUNCTION("""COMPUTED_VALUE"""),768.6)</f>
        <v>768.6</v>
      </c>
      <c r="F77" s="7">
        <f>IFERROR(__xludf.DUMMYFUNCTION("""COMPUTED_VALUE"""),2710372.0)</f>
        <v>2710372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f>IFERROR(__xludf.DUMMYFUNCTION("""COMPUTED_VALUE"""),45664.64583333333)</f>
        <v>45664.64583</v>
      </c>
      <c r="B78" s="7">
        <f>IFERROR(__xludf.DUMMYFUNCTION("""COMPUTED_VALUE"""),777.0)</f>
        <v>777</v>
      </c>
      <c r="C78" s="7">
        <f>IFERROR(__xludf.DUMMYFUNCTION("""COMPUTED_VALUE"""),792.4)</f>
        <v>792.4</v>
      </c>
      <c r="D78" s="7">
        <f>IFERROR(__xludf.DUMMYFUNCTION("""COMPUTED_VALUE"""),773.8)</f>
        <v>773.8</v>
      </c>
      <c r="E78" s="7">
        <f>IFERROR(__xludf.DUMMYFUNCTION("""COMPUTED_VALUE"""),781.55)</f>
        <v>781.55</v>
      </c>
      <c r="F78" s="7">
        <f>IFERROR(__xludf.DUMMYFUNCTION("""COMPUTED_VALUE"""),1188943.0)</f>
        <v>1188943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f>IFERROR(__xludf.DUMMYFUNCTION("""COMPUTED_VALUE"""),45665.64583333333)</f>
        <v>45665.64583</v>
      </c>
      <c r="B79" s="7">
        <f>IFERROR(__xludf.DUMMYFUNCTION("""COMPUTED_VALUE"""),781.95)</f>
        <v>781.95</v>
      </c>
      <c r="C79" s="7">
        <f>IFERROR(__xludf.DUMMYFUNCTION("""COMPUTED_VALUE"""),784.85)</f>
        <v>784.85</v>
      </c>
      <c r="D79" s="7">
        <f>IFERROR(__xludf.DUMMYFUNCTION("""COMPUTED_VALUE"""),761.4)</f>
        <v>761.4</v>
      </c>
      <c r="E79" s="7">
        <f>IFERROR(__xludf.DUMMYFUNCTION("""COMPUTED_VALUE"""),770.2)</f>
        <v>770.2</v>
      </c>
      <c r="F79" s="7">
        <f>IFERROR(__xludf.DUMMYFUNCTION("""COMPUTED_VALUE"""),869142.0)</f>
        <v>869142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f>IFERROR(__xludf.DUMMYFUNCTION("""COMPUTED_VALUE"""),45666.64583333333)</f>
        <v>45666.64583</v>
      </c>
      <c r="B80" s="7">
        <f>IFERROR(__xludf.DUMMYFUNCTION("""COMPUTED_VALUE"""),775.65)</f>
        <v>775.65</v>
      </c>
      <c r="C80" s="7">
        <f>IFERROR(__xludf.DUMMYFUNCTION("""COMPUTED_VALUE"""),776.0)</f>
        <v>776</v>
      </c>
      <c r="D80" s="7">
        <f>IFERROR(__xludf.DUMMYFUNCTION("""COMPUTED_VALUE"""),749.2)</f>
        <v>749.2</v>
      </c>
      <c r="E80" s="7">
        <f>IFERROR(__xludf.DUMMYFUNCTION("""COMPUTED_VALUE"""),751.5)</f>
        <v>751.5</v>
      </c>
      <c r="F80" s="7">
        <f>IFERROR(__xludf.DUMMYFUNCTION("""COMPUTED_VALUE"""),770057.0)</f>
        <v>770057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f>IFERROR(__xludf.DUMMYFUNCTION("""COMPUTED_VALUE"""),45667.64583333333)</f>
        <v>45667.64583</v>
      </c>
      <c r="B81" s="7">
        <f>IFERROR(__xludf.DUMMYFUNCTION("""COMPUTED_VALUE"""),751.5)</f>
        <v>751.5</v>
      </c>
      <c r="C81" s="7">
        <f>IFERROR(__xludf.DUMMYFUNCTION("""COMPUTED_VALUE"""),754.7)</f>
        <v>754.7</v>
      </c>
      <c r="D81" s="7">
        <f>IFERROR(__xludf.DUMMYFUNCTION("""COMPUTED_VALUE"""),726.35)</f>
        <v>726.35</v>
      </c>
      <c r="E81" s="7">
        <f>IFERROR(__xludf.DUMMYFUNCTION("""COMPUTED_VALUE"""),729.25)</f>
        <v>729.25</v>
      </c>
      <c r="F81" s="7">
        <f>IFERROR(__xludf.DUMMYFUNCTION("""COMPUTED_VALUE"""),1204613.0)</f>
        <v>1204613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f>IFERROR(__xludf.DUMMYFUNCTION("""COMPUTED_VALUE"""),45670.64583333333)</f>
        <v>45670.64583</v>
      </c>
      <c r="B82" s="7">
        <f>IFERROR(__xludf.DUMMYFUNCTION("""COMPUTED_VALUE"""),719.0)</f>
        <v>719</v>
      </c>
      <c r="C82" s="7">
        <f>IFERROR(__xludf.DUMMYFUNCTION("""COMPUTED_VALUE"""),724.5)</f>
        <v>724.5</v>
      </c>
      <c r="D82" s="7">
        <f>IFERROR(__xludf.DUMMYFUNCTION("""COMPUTED_VALUE"""),682.45)</f>
        <v>682.45</v>
      </c>
      <c r="E82" s="7">
        <f>IFERROR(__xludf.DUMMYFUNCTION("""COMPUTED_VALUE"""),688.75)</f>
        <v>688.75</v>
      </c>
      <c r="F82" s="7">
        <f>IFERROR(__xludf.DUMMYFUNCTION("""COMPUTED_VALUE"""),1424633.0)</f>
        <v>1424633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f>IFERROR(__xludf.DUMMYFUNCTION("""COMPUTED_VALUE"""),45671.64583333333)</f>
        <v>45671.64583</v>
      </c>
      <c r="B83" s="7">
        <f>IFERROR(__xludf.DUMMYFUNCTION("""COMPUTED_VALUE"""),702.95)</f>
        <v>702.95</v>
      </c>
      <c r="C83" s="7">
        <f>IFERROR(__xludf.DUMMYFUNCTION("""COMPUTED_VALUE"""),787.7)</f>
        <v>787.7</v>
      </c>
      <c r="D83" s="7">
        <f>IFERROR(__xludf.DUMMYFUNCTION("""COMPUTED_VALUE"""),700.1)</f>
        <v>700.1</v>
      </c>
      <c r="E83" s="7">
        <f>IFERROR(__xludf.DUMMYFUNCTION("""COMPUTED_VALUE"""),771.3)</f>
        <v>771.3</v>
      </c>
      <c r="F83" s="7">
        <f>IFERROR(__xludf.DUMMYFUNCTION("""COMPUTED_VALUE"""),9525701.0)</f>
        <v>9525701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f>IFERROR(__xludf.DUMMYFUNCTION("""COMPUTED_VALUE"""),45672.64583333333)</f>
        <v>45672.64583</v>
      </c>
      <c r="B84" s="7">
        <f>IFERROR(__xludf.DUMMYFUNCTION("""COMPUTED_VALUE"""),783.65)</f>
        <v>783.65</v>
      </c>
      <c r="C84" s="7">
        <f>IFERROR(__xludf.DUMMYFUNCTION("""COMPUTED_VALUE"""),800.9)</f>
        <v>800.9</v>
      </c>
      <c r="D84" s="7">
        <f>IFERROR(__xludf.DUMMYFUNCTION("""COMPUTED_VALUE"""),773.5)</f>
        <v>773.5</v>
      </c>
      <c r="E84" s="7">
        <f>IFERROR(__xludf.DUMMYFUNCTION("""COMPUTED_VALUE"""),780.15)</f>
        <v>780.15</v>
      </c>
      <c r="F84" s="7">
        <f>IFERROR(__xludf.DUMMYFUNCTION("""COMPUTED_VALUE"""),3599461.0)</f>
        <v>3599461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f>IFERROR(__xludf.DUMMYFUNCTION("""COMPUTED_VALUE"""),45673.64583333333)</f>
        <v>45673.64583</v>
      </c>
      <c r="B85" s="7">
        <f>IFERROR(__xludf.DUMMYFUNCTION("""COMPUTED_VALUE"""),817.95)</f>
        <v>817.95</v>
      </c>
      <c r="C85" s="7">
        <f>IFERROR(__xludf.DUMMYFUNCTION("""COMPUTED_VALUE"""),833.15)</f>
        <v>833.15</v>
      </c>
      <c r="D85" s="7">
        <f>IFERROR(__xludf.DUMMYFUNCTION("""COMPUTED_VALUE"""),786.55)</f>
        <v>786.55</v>
      </c>
      <c r="E85" s="7">
        <f>IFERROR(__xludf.DUMMYFUNCTION("""COMPUTED_VALUE"""),792.5)</f>
        <v>792.5</v>
      </c>
      <c r="F85" s="7">
        <f>IFERROR(__xludf.DUMMYFUNCTION("""COMPUTED_VALUE"""),2448865.0)</f>
        <v>2448865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f>IFERROR(__xludf.DUMMYFUNCTION("""COMPUTED_VALUE"""),45674.64583333333)</f>
        <v>45674.64583</v>
      </c>
      <c r="B86" s="7">
        <f>IFERROR(__xludf.DUMMYFUNCTION("""COMPUTED_VALUE"""),796.0)</f>
        <v>796</v>
      </c>
      <c r="C86" s="7">
        <f>IFERROR(__xludf.DUMMYFUNCTION("""COMPUTED_VALUE"""),808.65)</f>
        <v>808.65</v>
      </c>
      <c r="D86" s="7">
        <f>IFERROR(__xludf.DUMMYFUNCTION("""COMPUTED_VALUE"""),786.0)</f>
        <v>786</v>
      </c>
      <c r="E86" s="7">
        <f>IFERROR(__xludf.DUMMYFUNCTION("""COMPUTED_VALUE"""),805.15)</f>
        <v>805.15</v>
      </c>
      <c r="F86" s="7">
        <f>IFERROR(__xludf.DUMMYFUNCTION("""COMPUTED_VALUE"""),2391368.0)</f>
        <v>2391368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f>IFERROR(__xludf.DUMMYFUNCTION("""COMPUTED_VALUE"""),45677.64583333333)</f>
        <v>45677.64583</v>
      </c>
      <c r="B87" s="7">
        <f>IFERROR(__xludf.DUMMYFUNCTION("""COMPUTED_VALUE"""),815.0)</f>
        <v>815</v>
      </c>
      <c r="C87" s="7">
        <f>IFERROR(__xludf.DUMMYFUNCTION("""COMPUTED_VALUE"""),828.7)</f>
        <v>828.7</v>
      </c>
      <c r="D87" s="7">
        <f>IFERROR(__xludf.DUMMYFUNCTION("""COMPUTED_VALUE"""),801.15)</f>
        <v>801.15</v>
      </c>
      <c r="E87" s="7">
        <f>IFERROR(__xludf.DUMMYFUNCTION("""COMPUTED_VALUE"""),815.75)</f>
        <v>815.75</v>
      </c>
      <c r="F87" s="7">
        <f>IFERROR(__xludf.DUMMYFUNCTION("""COMPUTED_VALUE"""),2108088.0)</f>
        <v>2108088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f>IFERROR(__xludf.DUMMYFUNCTION("""COMPUTED_VALUE"""),45678.64583333333)</f>
        <v>45678.64583</v>
      </c>
      <c r="B88" s="7">
        <f>IFERROR(__xludf.DUMMYFUNCTION("""COMPUTED_VALUE"""),819.0)</f>
        <v>819</v>
      </c>
      <c r="C88" s="7">
        <f>IFERROR(__xludf.DUMMYFUNCTION("""COMPUTED_VALUE"""),826.65)</f>
        <v>826.65</v>
      </c>
      <c r="D88" s="7">
        <f>IFERROR(__xludf.DUMMYFUNCTION("""COMPUTED_VALUE"""),803.2)</f>
        <v>803.2</v>
      </c>
      <c r="E88" s="7">
        <f>IFERROR(__xludf.DUMMYFUNCTION("""COMPUTED_VALUE"""),813.35)</f>
        <v>813.35</v>
      </c>
      <c r="F88" s="7">
        <f>IFERROR(__xludf.DUMMYFUNCTION("""COMPUTED_VALUE"""),3026174.0)</f>
        <v>3026174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f>IFERROR(__xludf.DUMMYFUNCTION("""COMPUTED_VALUE"""),45679.64583333333)</f>
        <v>45679.64583</v>
      </c>
      <c r="B89" s="7">
        <f>IFERROR(__xludf.DUMMYFUNCTION("""COMPUTED_VALUE"""),825.0)</f>
        <v>825</v>
      </c>
      <c r="C89" s="7">
        <f>IFERROR(__xludf.DUMMYFUNCTION("""COMPUTED_VALUE"""),827.35)</f>
        <v>827.35</v>
      </c>
      <c r="D89" s="7">
        <f>IFERROR(__xludf.DUMMYFUNCTION("""COMPUTED_VALUE"""),785.1)</f>
        <v>785.1</v>
      </c>
      <c r="E89" s="7">
        <f>IFERROR(__xludf.DUMMYFUNCTION("""COMPUTED_VALUE"""),802.8)</f>
        <v>802.8</v>
      </c>
      <c r="F89" s="7">
        <f>IFERROR(__xludf.DUMMYFUNCTION("""COMPUTED_VALUE"""),2316536.0)</f>
        <v>2316536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f>IFERROR(__xludf.DUMMYFUNCTION("""COMPUTED_VALUE"""),45680.64583333333)</f>
        <v>45680.64583</v>
      </c>
      <c r="B90" s="7">
        <f>IFERROR(__xludf.DUMMYFUNCTION("""COMPUTED_VALUE"""),795.1)</f>
        <v>795.1</v>
      </c>
      <c r="C90" s="7">
        <f>IFERROR(__xludf.DUMMYFUNCTION("""COMPUTED_VALUE"""),826.6)</f>
        <v>826.6</v>
      </c>
      <c r="D90" s="7">
        <f>IFERROR(__xludf.DUMMYFUNCTION("""COMPUTED_VALUE"""),791.35)</f>
        <v>791.35</v>
      </c>
      <c r="E90" s="7">
        <f>IFERROR(__xludf.DUMMYFUNCTION("""COMPUTED_VALUE"""),808.8)</f>
        <v>808.8</v>
      </c>
      <c r="F90" s="7">
        <f>IFERROR(__xludf.DUMMYFUNCTION("""COMPUTED_VALUE"""),3765979.0)</f>
        <v>3765979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f>IFERROR(__xludf.DUMMYFUNCTION("""COMPUTED_VALUE"""),45681.64583333333)</f>
        <v>45681.64583</v>
      </c>
      <c r="B91" s="7">
        <f>IFERROR(__xludf.DUMMYFUNCTION("""COMPUTED_VALUE"""),814.0)</f>
        <v>814</v>
      </c>
      <c r="C91" s="7">
        <f>IFERROR(__xludf.DUMMYFUNCTION("""COMPUTED_VALUE"""),816.0)</f>
        <v>816</v>
      </c>
      <c r="D91" s="7">
        <f>IFERROR(__xludf.DUMMYFUNCTION("""COMPUTED_VALUE"""),781.0)</f>
        <v>781</v>
      </c>
      <c r="E91" s="7">
        <f>IFERROR(__xludf.DUMMYFUNCTION("""COMPUTED_VALUE"""),790.45)</f>
        <v>790.45</v>
      </c>
      <c r="F91" s="7">
        <f>IFERROR(__xludf.DUMMYFUNCTION("""COMPUTED_VALUE"""),2773445.0)</f>
        <v>2773445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f>IFERROR(__xludf.DUMMYFUNCTION("""COMPUTED_VALUE"""),45684.64583333333)</f>
        <v>45684.64583</v>
      </c>
      <c r="B92" s="7">
        <f>IFERROR(__xludf.DUMMYFUNCTION("""COMPUTED_VALUE"""),779.25)</f>
        <v>779.25</v>
      </c>
      <c r="C92" s="7">
        <f>IFERROR(__xludf.DUMMYFUNCTION("""COMPUTED_VALUE"""),781.3)</f>
        <v>781.3</v>
      </c>
      <c r="D92" s="7">
        <f>IFERROR(__xludf.DUMMYFUNCTION("""COMPUTED_VALUE"""),750.8)</f>
        <v>750.8</v>
      </c>
      <c r="E92" s="7">
        <f>IFERROR(__xludf.DUMMYFUNCTION("""COMPUTED_VALUE"""),755.65)</f>
        <v>755.65</v>
      </c>
      <c r="F92" s="7">
        <f>IFERROR(__xludf.DUMMYFUNCTION("""COMPUTED_VALUE"""),2319145.0)</f>
        <v>2319145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f>IFERROR(__xludf.DUMMYFUNCTION("""COMPUTED_VALUE"""),45685.64583333333)</f>
        <v>45685.64583</v>
      </c>
      <c r="B93" s="7">
        <f>IFERROR(__xludf.DUMMYFUNCTION("""COMPUTED_VALUE"""),753.0)</f>
        <v>753</v>
      </c>
      <c r="C93" s="7">
        <f>IFERROR(__xludf.DUMMYFUNCTION("""COMPUTED_VALUE"""),769.9)</f>
        <v>769.9</v>
      </c>
      <c r="D93" s="7">
        <f>IFERROR(__xludf.DUMMYFUNCTION("""COMPUTED_VALUE"""),735.3)</f>
        <v>735.3</v>
      </c>
      <c r="E93" s="7">
        <f>IFERROR(__xludf.DUMMYFUNCTION("""COMPUTED_VALUE"""),747.6)</f>
        <v>747.6</v>
      </c>
      <c r="F93" s="7">
        <f>IFERROR(__xludf.DUMMYFUNCTION("""COMPUTED_VALUE"""),1860951.0)</f>
        <v>1860951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f>IFERROR(__xludf.DUMMYFUNCTION("""COMPUTED_VALUE"""),45686.64583333333)</f>
        <v>45686.64583</v>
      </c>
      <c r="B94" s="7">
        <f>IFERROR(__xludf.DUMMYFUNCTION("""COMPUTED_VALUE"""),750.95)</f>
        <v>750.95</v>
      </c>
      <c r="C94" s="7">
        <f>IFERROR(__xludf.DUMMYFUNCTION("""COMPUTED_VALUE"""),759.75)</f>
        <v>759.75</v>
      </c>
      <c r="D94" s="7">
        <f>IFERROR(__xludf.DUMMYFUNCTION("""COMPUTED_VALUE"""),738.1)</f>
        <v>738.1</v>
      </c>
      <c r="E94" s="7">
        <f>IFERROR(__xludf.DUMMYFUNCTION("""COMPUTED_VALUE"""),744.7)</f>
        <v>744.7</v>
      </c>
      <c r="F94" s="7">
        <f>IFERROR(__xludf.DUMMYFUNCTION("""COMPUTED_VALUE"""),1398816.0)</f>
        <v>1398816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f>IFERROR(__xludf.DUMMYFUNCTION("""COMPUTED_VALUE"""),45687.64583333333)</f>
        <v>45687.64583</v>
      </c>
      <c r="B95" s="7">
        <f>IFERROR(__xludf.DUMMYFUNCTION("""COMPUTED_VALUE"""),751.95)</f>
        <v>751.95</v>
      </c>
      <c r="C95" s="7">
        <f>IFERROR(__xludf.DUMMYFUNCTION("""COMPUTED_VALUE"""),760.3)</f>
        <v>760.3</v>
      </c>
      <c r="D95" s="7">
        <f>IFERROR(__xludf.DUMMYFUNCTION("""COMPUTED_VALUE"""),728.3)</f>
        <v>728.3</v>
      </c>
      <c r="E95" s="7">
        <f>IFERROR(__xludf.DUMMYFUNCTION("""COMPUTED_VALUE"""),740.25)</f>
        <v>740.25</v>
      </c>
      <c r="F95" s="7">
        <f>IFERROR(__xludf.DUMMYFUNCTION("""COMPUTED_VALUE"""),1380777.0)</f>
        <v>1380777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f>IFERROR(__xludf.DUMMYFUNCTION("""COMPUTED_VALUE"""),45688.64583333333)</f>
        <v>45688.64583</v>
      </c>
      <c r="B96" s="7">
        <f>IFERROR(__xludf.DUMMYFUNCTION("""COMPUTED_VALUE"""),748.9)</f>
        <v>748.9</v>
      </c>
      <c r="C96" s="7">
        <f>IFERROR(__xludf.DUMMYFUNCTION("""COMPUTED_VALUE"""),763.3)</f>
        <v>763.3</v>
      </c>
      <c r="D96" s="7">
        <f>IFERROR(__xludf.DUMMYFUNCTION("""COMPUTED_VALUE"""),737.85)</f>
        <v>737.85</v>
      </c>
      <c r="E96" s="7">
        <f>IFERROR(__xludf.DUMMYFUNCTION("""COMPUTED_VALUE"""),748.35)</f>
        <v>748.35</v>
      </c>
      <c r="F96" s="7">
        <f>IFERROR(__xludf.DUMMYFUNCTION("""COMPUTED_VALUE"""),3073984.0)</f>
        <v>3073984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f>IFERROR(__xludf.DUMMYFUNCTION("""COMPUTED_VALUE"""),45691.64583333333)</f>
        <v>45691.64583</v>
      </c>
      <c r="B97" s="7">
        <f>IFERROR(__xludf.DUMMYFUNCTION("""COMPUTED_VALUE"""),740.0)</f>
        <v>740</v>
      </c>
      <c r="C97" s="7">
        <f>IFERROR(__xludf.DUMMYFUNCTION("""COMPUTED_VALUE"""),742.7)</f>
        <v>742.7</v>
      </c>
      <c r="D97" s="7">
        <f>IFERROR(__xludf.DUMMYFUNCTION("""COMPUTED_VALUE"""),725.35)</f>
        <v>725.35</v>
      </c>
      <c r="E97" s="7">
        <f>IFERROR(__xludf.DUMMYFUNCTION("""COMPUTED_VALUE"""),728.15)</f>
        <v>728.15</v>
      </c>
      <c r="F97" s="7">
        <f>IFERROR(__xludf.DUMMYFUNCTION("""COMPUTED_VALUE"""),861101.0)</f>
        <v>861101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f>IFERROR(__xludf.DUMMYFUNCTION("""COMPUTED_VALUE"""),45692.64583333333)</f>
        <v>45692.64583</v>
      </c>
      <c r="B98" s="7">
        <f>IFERROR(__xludf.DUMMYFUNCTION("""COMPUTED_VALUE"""),734.9)</f>
        <v>734.9</v>
      </c>
      <c r="C98" s="7">
        <f>IFERROR(__xludf.DUMMYFUNCTION("""COMPUTED_VALUE"""),753.45)</f>
        <v>753.45</v>
      </c>
      <c r="D98" s="7">
        <f>IFERROR(__xludf.DUMMYFUNCTION("""COMPUTED_VALUE"""),731.0)</f>
        <v>731</v>
      </c>
      <c r="E98" s="7">
        <f>IFERROR(__xludf.DUMMYFUNCTION("""COMPUTED_VALUE"""),751.8)</f>
        <v>751.8</v>
      </c>
      <c r="F98" s="7">
        <f>IFERROR(__xludf.DUMMYFUNCTION("""COMPUTED_VALUE"""),1007055.0)</f>
        <v>1007055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f>IFERROR(__xludf.DUMMYFUNCTION("""COMPUTED_VALUE"""),45693.64583333333)</f>
        <v>45693.64583</v>
      </c>
      <c r="B99" s="7">
        <f>IFERROR(__xludf.DUMMYFUNCTION("""COMPUTED_VALUE"""),752.0)</f>
        <v>752</v>
      </c>
      <c r="C99" s="7">
        <f>IFERROR(__xludf.DUMMYFUNCTION("""COMPUTED_VALUE"""),782.7)</f>
        <v>782.7</v>
      </c>
      <c r="D99" s="7">
        <f>IFERROR(__xludf.DUMMYFUNCTION("""COMPUTED_VALUE"""),751.8)</f>
        <v>751.8</v>
      </c>
      <c r="E99" s="7">
        <f>IFERROR(__xludf.DUMMYFUNCTION("""COMPUTED_VALUE"""),775.5)</f>
        <v>775.5</v>
      </c>
      <c r="F99" s="7">
        <f>IFERROR(__xludf.DUMMYFUNCTION("""COMPUTED_VALUE"""),1664111.0)</f>
        <v>1664111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f>IFERROR(__xludf.DUMMYFUNCTION("""COMPUTED_VALUE"""),45694.64583333333)</f>
        <v>45694.64583</v>
      </c>
      <c r="B100" s="7">
        <f>IFERROR(__xludf.DUMMYFUNCTION("""COMPUTED_VALUE"""),780.9)</f>
        <v>780.9</v>
      </c>
      <c r="C100" s="7">
        <f>IFERROR(__xludf.DUMMYFUNCTION("""COMPUTED_VALUE"""),788.2)</f>
        <v>788.2</v>
      </c>
      <c r="D100" s="7">
        <f>IFERROR(__xludf.DUMMYFUNCTION("""COMPUTED_VALUE"""),767.15)</f>
        <v>767.15</v>
      </c>
      <c r="E100" s="7">
        <f>IFERROR(__xludf.DUMMYFUNCTION("""COMPUTED_VALUE"""),773.15)</f>
        <v>773.15</v>
      </c>
      <c r="F100" s="7">
        <f>IFERROR(__xludf.DUMMYFUNCTION("""COMPUTED_VALUE"""),1009247.0)</f>
        <v>1009247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f>IFERROR(__xludf.DUMMYFUNCTION("""COMPUTED_VALUE"""),45695.64583333333)</f>
        <v>45695.64583</v>
      </c>
      <c r="B101" s="7">
        <f>IFERROR(__xludf.DUMMYFUNCTION("""COMPUTED_VALUE"""),773.95)</f>
        <v>773.95</v>
      </c>
      <c r="C101" s="7">
        <f>IFERROR(__xludf.DUMMYFUNCTION("""COMPUTED_VALUE"""),782.9)</f>
        <v>782.9</v>
      </c>
      <c r="D101" s="7">
        <f>IFERROR(__xludf.DUMMYFUNCTION("""COMPUTED_VALUE"""),759.2)</f>
        <v>759.2</v>
      </c>
      <c r="E101" s="7">
        <f>IFERROR(__xludf.DUMMYFUNCTION("""COMPUTED_VALUE"""),773.4)</f>
        <v>773.4</v>
      </c>
      <c r="F101" s="7">
        <f>IFERROR(__xludf.DUMMYFUNCTION("""COMPUTED_VALUE"""),771037.0)</f>
        <v>771037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f>IFERROR(__xludf.DUMMYFUNCTION("""COMPUTED_VALUE"""),45698.64583333333)</f>
        <v>45698.64583</v>
      </c>
      <c r="B102" s="7">
        <f>IFERROR(__xludf.DUMMYFUNCTION("""COMPUTED_VALUE"""),776.9)</f>
        <v>776.9</v>
      </c>
      <c r="C102" s="7">
        <f>IFERROR(__xludf.DUMMYFUNCTION("""COMPUTED_VALUE"""),777.0)</f>
        <v>777</v>
      </c>
      <c r="D102" s="7">
        <f>IFERROR(__xludf.DUMMYFUNCTION("""COMPUTED_VALUE"""),738.05)</f>
        <v>738.05</v>
      </c>
      <c r="E102" s="7">
        <f>IFERROR(__xludf.DUMMYFUNCTION("""COMPUTED_VALUE"""),741.7)</f>
        <v>741.7</v>
      </c>
      <c r="F102" s="7">
        <f>IFERROR(__xludf.DUMMYFUNCTION("""COMPUTED_VALUE"""),1132859.0)</f>
        <v>1132859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f>IFERROR(__xludf.DUMMYFUNCTION("""COMPUTED_VALUE"""),45699.64583333333)</f>
        <v>45699.64583</v>
      </c>
      <c r="B103" s="7">
        <f>IFERROR(__xludf.DUMMYFUNCTION("""COMPUTED_VALUE"""),741.8)</f>
        <v>741.8</v>
      </c>
      <c r="C103" s="7">
        <f>IFERROR(__xludf.DUMMYFUNCTION("""COMPUTED_VALUE"""),763.6)</f>
        <v>763.6</v>
      </c>
      <c r="D103" s="7">
        <f>IFERROR(__xludf.DUMMYFUNCTION("""COMPUTED_VALUE"""),725.2)</f>
        <v>725.2</v>
      </c>
      <c r="E103" s="7">
        <f>IFERROR(__xludf.DUMMYFUNCTION("""COMPUTED_VALUE"""),732.05)</f>
        <v>732.05</v>
      </c>
      <c r="F103" s="7">
        <f>IFERROR(__xludf.DUMMYFUNCTION("""COMPUTED_VALUE"""),1530185.0)</f>
        <v>1530185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f>IFERROR(__xludf.DUMMYFUNCTION("""COMPUTED_VALUE"""),45700.64583333333)</f>
        <v>45700.64583</v>
      </c>
      <c r="B104" s="7">
        <f>IFERROR(__xludf.DUMMYFUNCTION("""COMPUTED_VALUE"""),738.0)</f>
        <v>738</v>
      </c>
      <c r="C104" s="7">
        <f>IFERROR(__xludf.DUMMYFUNCTION("""COMPUTED_VALUE"""),760.0)</f>
        <v>760</v>
      </c>
      <c r="D104" s="7">
        <f>IFERROR(__xludf.DUMMYFUNCTION("""COMPUTED_VALUE"""),728.65)</f>
        <v>728.65</v>
      </c>
      <c r="E104" s="7">
        <f>IFERROR(__xludf.DUMMYFUNCTION("""COMPUTED_VALUE"""),756.8)</f>
        <v>756.8</v>
      </c>
      <c r="F104" s="7">
        <f>IFERROR(__xludf.DUMMYFUNCTION("""COMPUTED_VALUE"""),3137758.0)</f>
        <v>3137758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f>IFERROR(__xludf.DUMMYFUNCTION("""COMPUTED_VALUE"""),45701.64583333333)</f>
        <v>45701.64583</v>
      </c>
      <c r="B105" s="7">
        <f>IFERROR(__xludf.DUMMYFUNCTION("""COMPUTED_VALUE"""),760.2)</f>
        <v>760.2</v>
      </c>
      <c r="C105" s="7">
        <f>IFERROR(__xludf.DUMMYFUNCTION("""COMPUTED_VALUE"""),777.8)</f>
        <v>777.8</v>
      </c>
      <c r="D105" s="7">
        <f>IFERROR(__xludf.DUMMYFUNCTION("""COMPUTED_VALUE"""),740.0)</f>
        <v>740</v>
      </c>
      <c r="E105" s="7">
        <f>IFERROR(__xludf.DUMMYFUNCTION("""COMPUTED_VALUE"""),744.0)</f>
        <v>744</v>
      </c>
      <c r="F105" s="7">
        <f>IFERROR(__xludf.DUMMYFUNCTION("""COMPUTED_VALUE"""),1310157.0)</f>
        <v>1310157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f>IFERROR(__xludf.DUMMYFUNCTION("""COMPUTED_VALUE"""),45702.64583333333)</f>
        <v>45702.64583</v>
      </c>
      <c r="B106" s="7">
        <f>IFERROR(__xludf.DUMMYFUNCTION("""COMPUTED_VALUE"""),747.45)</f>
        <v>747.45</v>
      </c>
      <c r="C106" s="7">
        <f>IFERROR(__xludf.DUMMYFUNCTION("""COMPUTED_VALUE"""),751.1)</f>
        <v>751.1</v>
      </c>
      <c r="D106" s="7">
        <f>IFERROR(__xludf.DUMMYFUNCTION("""COMPUTED_VALUE"""),696.75)</f>
        <v>696.75</v>
      </c>
      <c r="E106" s="7">
        <f>IFERROR(__xludf.DUMMYFUNCTION("""COMPUTED_VALUE"""),708.4)</f>
        <v>708.4</v>
      </c>
      <c r="F106" s="7">
        <f>IFERROR(__xludf.DUMMYFUNCTION("""COMPUTED_VALUE"""),1779389.0)</f>
        <v>1779389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f>IFERROR(__xludf.DUMMYFUNCTION("""COMPUTED_VALUE"""),45705.64583333333)</f>
        <v>45705.64583</v>
      </c>
      <c r="B107" s="7">
        <f>IFERROR(__xludf.DUMMYFUNCTION("""COMPUTED_VALUE"""),703.85)</f>
        <v>703.85</v>
      </c>
      <c r="C107" s="7">
        <f>IFERROR(__xludf.DUMMYFUNCTION("""COMPUTED_VALUE"""),708.75)</f>
        <v>708.75</v>
      </c>
      <c r="D107" s="7">
        <f>IFERROR(__xludf.DUMMYFUNCTION("""COMPUTED_VALUE"""),677.4)</f>
        <v>677.4</v>
      </c>
      <c r="E107" s="7">
        <f>IFERROR(__xludf.DUMMYFUNCTION("""COMPUTED_VALUE"""),702.0)</f>
        <v>702</v>
      </c>
      <c r="F107" s="7">
        <f>IFERROR(__xludf.DUMMYFUNCTION("""COMPUTED_VALUE"""),2394243.0)</f>
        <v>2394243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f>IFERROR(__xludf.DUMMYFUNCTION("""COMPUTED_VALUE"""),45706.64583333333)</f>
        <v>45706.64583</v>
      </c>
      <c r="B108" s="7">
        <f>IFERROR(__xludf.DUMMYFUNCTION("""COMPUTED_VALUE"""),706.8)</f>
        <v>706.8</v>
      </c>
      <c r="C108" s="7">
        <f>IFERROR(__xludf.DUMMYFUNCTION("""COMPUTED_VALUE"""),706.8)</f>
        <v>706.8</v>
      </c>
      <c r="D108" s="7">
        <f>IFERROR(__xludf.DUMMYFUNCTION("""COMPUTED_VALUE"""),668.0)</f>
        <v>668</v>
      </c>
      <c r="E108" s="7">
        <f>IFERROR(__xludf.DUMMYFUNCTION("""COMPUTED_VALUE"""),677.15)</f>
        <v>677.15</v>
      </c>
      <c r="F108" s="7">
        <f>IFERROR(__xludf.DUMMYFUNCTION("""COMPUTED_VALUE"""),2968321.0)</f>
        <v>2968321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f>IFERROR(__xludf.DUMMYFUNCTION("""COMPUTED_VALUE"""),45707.64583333333)</f>
        <v>45707.64583</v>
      </c>
      <c r="B109" s="7">
        <f>IFERROR(__xludf.DUMMYFUNCTION("""COMPUTED_VALUE"""),667.1)</f>
        <v>667.1</v>
      </c>
      <c r="C109" s="7">
        <f>IFERROR(__xludf.DUMMYFUNCTION("""COMPUTED_VALUE"""),681.9)</f>
        <v>681.9</v>
      </c>
      <c r="D109" s="7">
        <f>IFERROR(__xludf.DUMMYFUNCTION("""COMPUTED_VALUE"""),660.0)</f>
        <v>660</v>
      </c>
      <c r="E109" s="7">
        <f>IFERROR(__xludf.DUMMYFUNCTION("""COMPUTED_VALUE"""),670.65)</f>
        <v>670.65</v>
      </c>
      <c r="F109" s="7">
        <f>IFERROR(__xludf.DUMMYFUNCTION("""COMPUTED_VALUE"""),1883969.0)</f>
        <v>1883969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f>IFERROR(__xludf.DUMMYFUNCTION("""COMPUTED_VALUE"""),45708.64583333333)</f>
        <v>45708.64583</v>
      </c>
      <c r="B110" s="7">
        <f>IFERROR(__xludf.DUMMYFUNCTION("""COMPUTED_VALUE"""),669.9)</f>
        <v>669.9</v>
      </c>
      <c r="C110" s="7">
        <f>IFERROR(__xludf.DUMMYFUNCTION("""COMPUTED_VALUE"""),686.5)</f>
        <v>686.5</v>
      </c>
      <c r="D110" s="7">
        <f>IFERROR(__xludf.DUMMYFUNCTION("""COMPUTED_VALUE"""),662.35)</f>
        <v>662.35</v>
      </c>
      <c r="E110" s="7">
        <f>IFERROR(__xludf.DUMMYFUNCTION("""COMPUTED_VALUE"""),678.0)</f>
        <v>678</v>
      </c>
      <c r="F110" s="7">
        <f>IFERROR(__xludf.DUMMYFUNCTION("""COMPUTED_VALUE"""),1271876.0)</f>
        <v>1271876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f>IFERROR(__xludf.DUMMYFUNCTION("""COMPUTED_VALUE"""),45709.64583333333)</f>
        <v>45709.64583</v>
      </c>
      <c r="B111" s="7">
        <f>IFERROR(__xludf.DUMMYFUNCTION("""COMPUTED_VALUE"""),680.95)</f>
        <v>680.95</v>
      </c>
      <c r="C111" s="7">
        <f>IFERROR(__xludf.DUMMYFUNCTION("""COMPUTED_VALUE"""),695.7)</f>
        <v>695.7</v>
      </c>
      <c r="D111" s="7">
        <f>IFERROR(__xludf.DUMMYFUNCTION("""COMPUTED_VALUE"""),667.2)</f>
        <v>667.2</v>
      </c>
      <c r="E111" s="7">
        <f>IFERROR(__xludf.DUMMYFUNCTION("""COMPUTED_VALUE"""),670.95)</f>
        <v>670.95</v>
      </c>
      <c r="F111" s="7">
        <f>IFERROR(__xludf.DUMMYFUNCTION("""COMPUTED_VALUE"""),1211108.0)</f>
        <v>1211108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f>IFERROR(__xludf.DUMMYFUNCTION("""COMPUTED_VALUE"""),45712.64583333333)</f>
        <v>45712.64583</v>
      </c>
      <c r="B112" s="7">
        <f>IFERROR(__xludf.DUMMYFUNCTION("""COMPUTED_VALUE"""),670.0)</f>
        <v>670</v>
      </c>
      <c r="C112" s="7">
        <f>IFERROR(__xludf.DUMMYFUNCTION("""COMPUTED_VALUE"""),680.7)</f>
        <v>680.7</v>
      </c>
      <c r="D112" s="7">
        <f>IFERROR(__xludf.DUMMYFUNCTION("""COMPUTED_VALUE"""),656.65)</f>
        <v>656.65</v>
      </c>
      <c r="E112" s="7">
        <f>IFERROR(__xludf.DUMMYFUNCTION("""COMPUTED_VALUE"""),669.6)</f>
        <v>669.6</v>
      </c>
      <c r="F112" s="7">
        <f>IFERROR(__xludf.DUMMYFUNCTION("""COMPUTED_VALUE"""),1237728.0)</f>
        <v>1237728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f>IFERROR(__xludf.DUMMYFUNCTION("""COMPUTED_VALUE"""),45713.64583333333)</f>
        <v>45713.64583</v>
      </c>
      <c r="B113" s="7">
        <f>IFERROR(__xludf.DUMMYFUNCTION("""COMPUTED_VALUE"""),672.3)</f>
        <v>672.3</v>
      </c>
      <c r="C113" s="7">
        <f>IFERROR(__xludf.DUMMYFUNCTION("""COMPUTED_VALUE"""),686.35)</f>
        <v>686.35</v>
      </c>
      <c r="D113" s="7">
        <f>IFERROR(__xludf.DUMMYFUNCTION("""COMPUTED_VALUE"""),665.7)</f>
        <v>665.7</v>
      </c>
      <c r="E113" s="7">
        <f>IFERROR(__xludf.DUMMYFUNCTION("""COMPUTED_VALUE"""),669.7)</f>
        <v>669.7</v>
      </c>
      <c r="F113" s="7">
        <f>IFERROR(__xludf.DUMMYFUNCTION("""COMPUTED_VALUE"""),1654419.0)</f>
        <v>1654419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f>IFERROR(__xludf.DUMMYFUNCTION("""COMPUTED_VALUE"""),45715.64583333333)</f>
        <v>45715.64583</v>
      </c>
      <c r="B114" s="7">
        <f>IFERROR(__xludf.DUMMYFUNCTION("""COMPUTED_VALUE"""),673.5)</f>
        <v>673.5</v>
      </c>
      <c r="C114" s="7">
        <f>IFERROR(__xludf.DUMMYFUNCTION("""COMPUTED_VALUE"""),678.45)</f>
        <v>678.45</v>
      </c>
      <c r="D114" s="7">
        <f>IFERROR(__xludf.DUMMYFUNCTION("""COMPUTED_VALUE"""),660.0)</f>
        <v>660</v>
      </c>
      <c r="E114" s="7">
        <f>IFERROR(__xludf.DUMMYFUNCTION("""COMPUTED_VALUE"""),661.7)</f>
        <v>661.7</v>
      </c>
      <c r="F114" s="7">
        <f>IFERROR(__xludf.DUMMYFUNCTION("""COMPUTED_VALUE"""),1109229.0)</f>
        <v>1109229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f>IFERROR(__xludf.DUMMYFUNCTION("""COMPUTED_VALUE"""),45716.64583333333)</f>
        <v>45716.64583</v>
      </c>
      <c r="B115" s="7">
        <f>IFERROR(__xludf.DUMMYFUNCTION("""COMPUTED_VALUE"""),661.7)</f>
        <v>661.7</v>
      </c>
      <c r="C115" s="7">
        <f>IFERROR(__xludf.DUMMYFUNCTION("""COMPUTED_VALUE"""),673.35)</f>
        <v>673.35</v>
      </c>
      <c r="D115" s="7">
        <f>IFERROR(__xludf.DUMMYFUNCTION("""COMPUTED_VALUE"""),648.05)</f>
        <v>648.05</v>
      </c>
      <c r="E115" s="7">
        <f>IFERROR(__xludf.DUMMYFUNCTION("""COMPUTED_VALUE"""),650.9)</f>
        <v>650.9</v>
      </c>
      <c r="F115" s="7">
        <f>IFERROR(__xludf.DUMMYFUNCTION("""COMPUTED_VALUE"""),1766312.0)</f>
        <v>1766312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f>IFERROR(__xludf.DUMMYFUNCTION("""COMPUTED_VALUE"""),45719.64583333333)</f>
        <v>45719.64583</v>
      </c>
      <c r="B116" s="7">
        <f>IFERROR(__xludf.DUMMYFUNCTION("""COMPUTED_VALUE"""),652.55)</f>
        <v>652.55</v>
      </c>
      <c r="C116" s="7">
        <f>IFERROR(__xludf.DUMMYFUNCTION("""COMPUTED_VALUE"""),664.05)</f>
        <v>664.05</v>
      </c>
      <c r="D116" s="7">
        <f>IFERROR(__xludf.DUMMYFUNCTION("""COMPUTED_VALUE"""),639.45)</f>
        <v>639.45</v>
      </c>
      <c r="E116" s="7">
        <f>IFERROR(__xludf.DUMMYFUNCTION("""COMPUTED_VALUE"""),654.05)</f>
        <v>654.05</v>
      </c>
      <c r="F116" s="7">
        <f>IFERROR(__xludf.DUMMYFUNCTION("""COMPUTED_VALUE"""),1160382.0)</f>
        <v>1160382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f>IFERROR(__xludf.DUMMYFUNCTION("""COMPUTED_VALUE"""),45720.64583333333)</f>
        <v>45720.64583</v>
      </c>
      <c r="B117" s="7">
        <f>IFERROR(__xludf.DUMMYFUNCTION("""COMPUTED_VALUE"""),649.45)</f>
        <v>649.45</v>
      </c>
      <c r="C117" s="7">
        <f>IFERROR(__xludf.DUMMYFUNCTION("""COMPUTED_VALUE"""),660.6)</f>
        <v>660.6</v>
      </c>
      <c r="D117" s="7">
        <f>IFERROR(__xludf.DUMMYFUNCTION("""COMPUTED_VALUE"""),641.15)</f>
        <v>641.15</v>
      </c>
      <c r="E117" s="7">
        <f>IFERROR(__xludf.DUMMYFUNCTION("""COMPUTED_VALUE"""),646.65)</f>
        <v>646.65</v>
      </c>
      <c r="F117" s="7">
        <f>IFERROR(__xludf.DUMMYFUNCTION("""COMPUTED_VALUE"""),1074477.0)</f>
        <v>1074477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f>IFERROR(__xludf.DUMMYFUNCTION("""COMPUTED_VALUE"""),45721.64583333333)</f>
        <v>45721.64583</v>
      </c>
      <c r="B118" s="7">
        <f>IFERROR(__xludf.DUMMYFUNCTION("""COMPUTED_VALUE"""),647.0)</f>
        <v>647</v>
      </c>
      <c r="C118" s="7">
        <f>IFERROR(__xludf.DUMMYFUNCTION("""COMPUTED_VALUE"""),731.5)</f>
        <v>731.5</v>
      </c>
      <c r="D118" s="7">
        <f>IFERROR(__xludf.DUMMYFUNCTION("""COMPUTED_VALUE"""),646.0)</f>
        <v>646</v>
      </c>
      <c r="E118" s="7">
        <f>IFERROR(__xludf.DUMMYFUNCTION("""COMPUTED_VALUE"""),709.45)</f>
        <v>709.45</v>
      </c>
      <c r="F118" s="7">
        <f>IFERROR(__xludf.DUMMYFUNCTION("""COMPUTED_VALUE"""),6265335.0)</f>
        <v>6265335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f>IFERROR(__xludf.DUMMYFUNCTION("""COMPUTED_VALUE"""),45722.64583333333)</f>
        <v>45722.64583</v>
      </c>
      <c r="B119" s="7">
        <f>IFERROR(__xludf.DUMMYFUNCTION("""COMPUTED_VALUE"""),719.0)</f>
        <v>719</v>
      </c>
      <c r="C119" s="7">
        <f>IFERROR(__xludf.DUMMYFUNCTION("""COMPUTED_VALUE"""),746.6)</f>
        <v>746.6</v>
      </c>
      <c r="D119" s="7">
        <f>IFERROR(__xludf.DUMMYFUNCTION("""COMPUTED_VALUE"""),707.6)</f>
        <v>707.6</v>
      </c>
      <c r="E119" s="7">
        <f>IFERROR(__xludf.DUMMYFUNCTION("""COMPUTED_VALUE"""),733.25)</f>
        <v>733.25</v>
      </c>
      <c r="F119" s="7">
        <f>IFERROR(__xludf.DUMMYFUNCTION("""COMPUTED_VALUE"""),4897354.0)</f>
        <v>4897354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f>IFERROR(__xludf.DUMMYFUNCTION("""COMPUTED_VALUE"""),45723.64583333333)</f>
        <v>45723.64583</v>
      </c>
      <c r="B120" s="7">
        <f>IFERROR(__xludf.DUMMYFUNCTION("""COMPUTED_VALUE"""),730.0)</f>
        <v>730</v>
      </c>
      <c r="C120" s="7">
        <f>IFERROR(__xludf.DUMMYFUNCTION("""COMPUTED_VALUE"""),753.9)</f>
        <v>753.9</v>
      </c>
      <c r="D120" s="7">
        <f>IFERROR(__xludf.DUMMYFUNCTION("""COMPUTED_VALUE"""),724.0)</f>
        <v>724</v>
      </c>
      <c r="E120" s="7">
        <f>IFERROR(__xludf.DUMMYFUNCTION("""COMPUTED_VALUE"""),747.6)</f>
        <v>747.6</v>
      </c>
      <c r="F120" s="7">
        <f>IFERROR(__xludf.DUMMYFUNCTION("""COMPUTED_VALUE"""),2622387.0)</f>
        <v>2622387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f>IFERROR(__xludf.DUMMYFUNCTION("""COMPUTED_VALUE"""),45726.64583333333)</f>
        <v>45726.64583</v>
      </c>
      <c r="B121" s="7">
        <f>IFERROR(__xludf.DUMMYFUNCTION("""COMPUTED_VALUE"""),747.0)</f>
        <v>747</v>
      </c>
      <c r="C121" s="7">
        <f>IFERROR(__xludf.DUMMYFUNCTION("""COMPUTED_VALUE"""),790.0)</f>
        <v>790</v>
      </c>
      <c r="D121" s="7">
        <f>IFERROR(__xludf.DUMMYFUNCTION("""COMPUTED_VALUE"""),738.0)</f>
        <v>738</v>
      </c>
      <c r="E121" s="7">
        <f>IFERROR(__xludf.DUMMYFUNCTION("""COMPUTED_VALUE"""),759.1)</f>
        <v>759.1</v>
      </c>
      <c r="F121" s="7">
        <f>IFERROR(__xludf.DUMMYFUNCTION("""COMPUTED_VALUE"""),6861685.0)</f>
        <v>6861685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f>IFERROR(__xludf.DUMMYFUNCTION("""COMPUTED_VALUE"""),45727.64583333333)</f>
        <v>45727.64583</v>
      </c>
      <c r="B122" s="7">
        <f>IFERROR(__xludf.DUMMYFUNCTION("""COMPUTED_VALUE"""),745.0)</f>
        <v>745</v>
      </c>
      <c r="C122" s="7">
        <f>IFERROR(__xludf.DUMMYFUNCTION("""COMPUTED_VALUE"""),768.0)</f>
        <v>768</v>
      </c>
      <c r="D122" s="7">
        <f>IFERROR(__xludf.DUMMYFUNCTION("""COMPUTED_VALUE"""),742.0)</f>
        <v>742</v>
      </c>
      <c r="E122" s="7">
        <f>IFERROR(__xludf.DUMMYFUNCTION("""COMPUTED_VALUE"""),761.05)</f>
        <v>761.05</v>
      </c>
      <c r="F122" s="7">
        <f>IFERROR(__xludf.DUMMYFUNCTION("""COMPUTED_VALUE"""),2785862.0)</f>
        <v>2785862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f>IFERROR(__xludf.DUMMYFUNCTION("""COMPUTED_VALUE"""),45728.64583333333)</f>
        <v>45728.64583</v>
      </c>
      <c r="B123" s="7">
        <f>IFERROR(__xludf.DUMMYFUNCTION("""COMPUTED_VALUE"""),765.0)</f>
        <v>765</v>
      </c>
      <c r="C123" s="7">
        <f>IFERROR(__xludf.DUMMYFUNCTION("""COMPUTED_VALUE"""),784.9)</f>
        <v>784.9</v>
      </c>
      <c r="D123" s="7">
        <f>IFERROR(__xludf.DUMMYFUNCTION("""COMPUTED_VALUE"""),744.05)</f>
        <v>744.05</v>
      </c>
      <c r="E123" s="7">
        <f>IFERROR(__xludf.DUMMYFUNCTION("""COMPUTED_VALUE"""),781.75)</f>
        <v>781.75</v>
      </c>
      <c r="F123" s="7">
        <f>IFERROR(__xludf.DUMMYFUNCTION("""COMPUTED_VALUE"""),2734197.0)</f>
        <v>2734197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f>IFERROR(__xludf.DUMMYFUNCTION("""COMPUTED_VALUE"""),45729.64583333333)</f>
        <v>45729.64583</v>
      </c>
      <c r="B124" s="7">
        <f>IFERROR(__xludf.DUMMYFUNCTION("""COMPUTED_VALUE"""),783.8)</f>
        <v>783.8</v>
      </c>
      <c r="C124" s="7">
        <f>IFERROR(__xludf.DUMMYFUNCTION("""COMPUTED_VALUE"""),795.95)</f>
        <v>795.95</v>
      </c>
      <c r="D124" s="7">
        <f>IFERROR(__xludf.DUMMYFUNCTION("""COMPUTED_VALUE"""),776.85)</f>
        <v>776.85</v>
      </c>
      <c r="E124" s="7">
        <f>IFERROR(__xludf.DUMMYFUNCTION("""COMPUTED_VALUE"""),783.2)</f>
        <v>783.2</v>
      </c>
      <c r="F124" s="7">
        <f>IFERROR(__xludf.DUMMYFUNCTION("""COMPUTED_VALUE"""),2201144.0)</f>
        <v>2201144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f>IFERROR(__xludf.DUMMYFUNCTION("""COMPUTED_VALUE"""),45733.64583333333)</f>
        <v>45733.64583</v>
      </c>
      <c r="B125" s="7">
        <f>IFERROR(__xludf.DUMMYFUNCTION("""COMPUTED_VALUE"""),779.8)</f>
        <v>779.8</v>
      </c>
      <c r="C125" s="7">
        <f>IFERROR(__xludf.DUMMYFUNCTION("""COMPUTED_VALUE"""),801.15)</f>
        <v>801.15</v>
      </c>
      <c r="D125" s="7">
        <f>IFERROR(__xludf.DUMMYFUNCTION("""COMPUTED_VALUE"""),776.8)</f>
        <v>776.8</v>
      </c>
      <c r="E125" s="7">
        <f>IFERROR(__xludf.DUMMYFUNCTION("""COMPUTED_VALUE"""),795.6)</f>
        <v>795.6</v>
      </c>
      <c r="F125" s="7">
        <f>IFERROR(__xludf.DUMMYFUNCTION("""COMPUTED_VALUE"""),1850753.0)</f>
        <v>1850753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f>IFERROR(__xludf.DUMMYFUNCTION("""COMPUTED_VALUE"""),45734.64583333333)</f>
        <v>45734.64583</v>
      </c>
      <c r="B126" s="7">
        <f>IFERROR(__xludf.DUMMYFUNCTION("""COMPUTED_VALUE"""),800.7)</f>
        <v>800.7</v>
      </c>
      <c r="C126" s="7">
        <f>IFERROR(__xludf.DUMMYFUNCTION("""COMPUTED_VALUE"""),807.8)</f>
        <v>807.8</v>
      </c>
      <c r="D126" s="7">
        <f>IFERROR(__xludf.DUMMYFUNCTION("""COMPUTED_VALUE"""),786.3)</f>
        <v>786.3</v>
      </c>
      <c r="E126" s="7">
        <f>IFERROR(__xludf.DUMMYFUNCTION("""COMPUTED_VALUE"""),798.55)</f>
        <v>798.55</v>
      </c>
      <c r="F126" s="7">
        <f>IFERROR(__xludf.DUMMYFUNCTION("""COMPUTED_VALUE"""),1344527.0)</f>
        <v>1344527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f>IFERROR(__xludf.DUMMYFUNCTION("""COMPUTED_VALUE"""),45735.64583333333)</f>
        <v>45735.64583</v>
      </c>
      <c r="B127" s="7">
        <f>IFERROR(__xludf.DUMMYFUNCTION("""COMPUTED_VALUE"""),801.1)</f>
        <v>801.1</v>
      </c>
      <c r="C127" s="7">
        <f>IFERROR(__xludf.DUMMYFUNCTION("""COMPUTED_VALUE"""),820.65)</f>
        <v>820.65</v>
      </c>
      <c r="D127" s="7">
        <f>IFERROR(__xludf.DUMMYFUNCTION("""COMPUTED_VALUE"""),799.15)</f>
        <v>799.15</v>
      </c>
      <c r="E127" s="7">
        <f>IFERROR(__xludf.DUMMYFUNCTION("""COMPUTED_VALUE"""),813.9)</f>
        <v>813.9</v>
      </c>
      <c r="F127" s="7">
        <f>IFERROR(__xludf.DUMMYFUNCTION("""COMPUTED_VALUE"""),1417575.0)</f>
        <v>1417575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f>IFERROR(__xludf.DUMMYFUNCTION("""COMPUTED_VALUE"""),45736.64583333333)</f>
        <v>45736.64583</v>
      </c>
      <c r="B128" s="7">
        <f>IFERROR(__xludf.DUMMYFUNCTION("""COMPUTED_VALUE"""),820.0)</f>
        <v>820</v>
      </c>
      <c r="C128" s="7">
        <f>IFERROR(__xludf.DUMMYFUNCTION("""COMPUTED_VALUE"""),823.0)</f>
        <v>823</v>
      </c>
      <c r="D128" s="7">
        <f>IFERROR(__xludf.DUMMYFUNCTION("""COMPUTED_VALUE"""),800.9)</f>
        <v>800.9</v>
      </c>
      <c r="E128" s="7">
        <f>IFERROR(__xludf.DUMMYFUNCTION("""COMPUTED_VALUE"""),815.1)</f>
        <v>815.1</v>
      </c>
      <c r="F128" s="7">
        <f>IFERROR(__xludf.DUMMYFUNCTION("""COMPUTED_VALUE"""),1286932.0)</f>
        <v>1286932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f>IFERROR(__xludf.DUMMYFUNCTION("""COMPUTED_VALUE"""),45737.64583333333)</f>
        <v>45737.64583</v>
      </c>
      <c r="B129" s="7">
        <f>IFERROR(__xludf.DUMMYFUNCTION("""COMPUTED_VALUE"""),815.0)</f>
        <v>815</v>
      </c>
      <c r="C129" s="7">
        <f>IFERROR(__xludf.DUMMYFUNCTION("""COMPUTED_VALUE"""),846.95)</f>
        <v>846.95</v>
      </c>
      <c r="D129" s="7">
        <f>IFERROR(__xludf.DUMMYFUNCTION("""COMPUTED_VALUE"""),811.85)</f>
        <v>811.85</v>
      </c>
      <c r="E129" s="7">
        <f>IFERROR(__xludf.DUMMYFUNCTION("""COMPUTED_VALUE"""),831.7)</f>
        <v>831.7</v>
      </c>
      <c r="F129" s="7">
        <f>IFERROR(__xludf.DUMMYFUNCTION("""COMPUTED_VALUE"""),2711820.0)</f>
        <v>2711820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f>IFERROR(__xludf.DUMMYFUNCTION("""COMPUTED_VALUE"""),45740.64583333333)</f>
        <v>45740.64583</v>
      </c>
      <c r="B130" s="7">
        <f>IFERROR(__xludf.DUMMYFUNCTION("""COMPUTED_VALUE"""),838.75)</f>
        <v>838.75</v>
      </c>
      <c r="C130" s="7">
        <f>IFERROR(__xludf.DUMMYFUNCTION("""COMPUTED_VALUE"""),844.7)</f>
        <v>844.7</v>
      </c>
      <c r="D130" s="7">
        <f>IFERROR(__xludf.DUMMYFUNCTION("""COMPUTED_VALUE"""),817.55)</f>
        <v>817.55</v>
      </c>
      <c r="E130" s="7">
        <f>IFERROR(__xludf.DUMMYFUNCTION("""COMPUTED_VALUE"""),820.25)</f>
        <v>820.25</v>
      </c>
      <c r="F130" s="7">
        <f>IFERROR(__xludf.DUMMYFUNCTION("""COMPUTED_VALUE"""),1808999.0)</f>
        <v>1808999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f>IFERROR(__xludf.DUMMYFUNCTION("""COMPUTED_VALUE"""),45741.64583333333)</f>
        <v>45741.64583</v>
      </c>
      <c r="B131" s="7">
        <f>IFERROR(__xludf.DUMMYFUNCTION("""COMPUTED_VALUE"""),822.0)</f>
        <v>822</v>
      </c>
      <c r="C131" s="7">
        <f>IFERROR(__xludf.DUMMYFUNCTION("""COMPUTED_VALUE"""),838.9)</f>
        <v>838.9</v>
      </c>
      <c r="D131" s="7">
        <f>IFERROR(__xludf.DUMMYFUNCTION("""COMPUTED_VALUE"""),812.35)</f>
        <v>812.35</v>
      </c>
      <c r="E131" s="7">
        <f>IFERROR(__xludf.DUMMYFUNCTION("""COMPUTED_VALUE"""),816.55)</f>
        <v>816.55</v>
      </c>
      <c r="F131" s="7">
        <f>IFERROR(__xludf.DUMMYFUNCTION("""COMPUTED_VALUE"""),2713855.0)</f>
        <v>2713855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f>IFERROR(__xludf.DUMMYFUNCTION("""COMPUTED_VALUE"""),45742.64583333333)</f>
        <v>45742.64583</v>
      </c>
      <c r="B132" s="7">
        <f>IFERROR(__xludf.DUMMYFUNCTION("""COMPUTED_VALUE"""),817.05)</f>
        <v>817.05</v>
      </c>
      <c r="C132" s="7">
        <f>IFERROR(__xludf.DUMMYFUNCTION("""COMPUTED_VALUE"""),832.6)</f>
        <v>832.6</v>
      </c>
      <c r="D132" s="7">
        <f>IFERROR(__xludf.DUMMYFUNCTION("""COMPUTED_VALUE"""),800.5)</f>
        <v>800.5</v>
      </c>
      <c r="E132" s="7">
        <f>IFERROR(__xludf.DUMMYFUNCTION("""COMPUTED_VALUE"""),803.0)</f>
        <v>803</v>
      </c>
      <c r="F132" s="7">
        <f>IFERROR(__xludf.DUMMYFUNCTION("""COMPUTED_VALUE"""),2042407.0)</f>
        <v>2042407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f>IFERROR(__xludf.DUMMYFUNCTION("""COMPUTED_VALUE"""),45743.64583333333)</f>
        <v>45743.64583</v>
      </c>
      <c r="B133" s="7">
        <f>IFERROR(__xludf.DUMMYFUNCTION("""COMPUTED_VALUE"""),803.0)</f>
        <v>803</v>
      </c>
      <c r="C133" s="7">
        <f>IFERROR(__xludf.DUMMYFUNCTION("""COMPUTED_VALUE"""),882.45)</f>
        <v>882.45</v>
      </c>
      <c r="D133" s="7">
        <f>IFERROR(__xludf.DUMMYFUNCTION("""COMPUTED_VALUE"""),796.05)</f>
        <v>796.05</v>
      </c>
      <c r="E133" s="7">
        <f>IFERROR(__xludf.DUMMYFUNCTION("""COMPUTED_VALUE"""),872.85)</f>
        <v>872.85</v>
      </c>
      <c r="F133" s="7">
        <f>IFERROR(__xludf.DUMMYFUNCTION("""COMPUTED_VALUE"""),8208182.0)</f>
        <v>8208182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f>IFERROR(__xludf.DUMMYFUNCTION("""COMPUTED_VALUE"""),45744.64583333333)</f>
        <v>45744.64583</v>
      </c>
      <c r="B134" s="7">
        <f>IFERROR(__xludf.DUMMYFUNCTION("""COMPUTED_VALUE"""),872.85)</f>
        <v>872.85</v>
      </c>
      <c r="C134" s="7">
        <f>IFERROR(__xludf.DUMMYFUNCTION("""COMPUTED_VALUE"""),894.9)</f>
        <v>894.9</v>
      </c>
      <c r="D134" s="7">
        <f>IFERROR(__xludf.DUMMYFUNCTION("""COMPUTED_VALUE"""),864.0)</f>
        <v>864</v>
      </c>
      <c r="E134" s="7">
        <f>IFERROR(__xludf.DUMMYFUNCTION("""COMPUTED_VALUE"""),872.0)</f>
        <v>872</v>
      </c>
      <c r="F134" s="7">
        <f>IFERROR(__xludf.DUMMYFUNCTION("""COMPUTED_VALUE"""),3727492.0)</f>
        <v>3727492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f>IFERROR(__xludf.DUMMYFUNCTION("""COMPUTED_VALUE"""),45748.64583333333)</f>
        <v>45748.64583</v>
      </c>
      <c r="B135" s="7">
        <f>IFERROR(__xludf.DUMMYFUNCTION("""COMPUTED_VALUE"""),857.4)</f>
        <v>857.4</v>
      </c>
      <c r="C135" s="7">
        <f>IFERROR(__xludf.DUMMYFUNCTION("""COMPUTED_VALUE"""),884.9)</f>
        <v>884.9</v>
      </c>
      <c r="D135" s="7">
        <f>IFERROR(__xludf.DUMMYFUNCTION("""COMPUTED_VALUE"""),856.1)</f>
        <v>856.1</v>
      </c>
      <c r="E135" s="7">
        <f>IFERROR(__xludf.DUMMYFUNCTION("""COMPUTED_VALUE"""),866.35)</f>
        <v>866.35</v>
      </c>
      <c r="F135" s="7">
        <f>IFERROR(__xludf.DUMMYFUNCTION("""COMPUTED_VALUE"""),1899810.0)</f>
        <v>1899810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f>IFERROR(__xludf.DUMMYFUNCTION("""COMPUTED_VALUE"""),45749.64583333333)</f>
        <v>45749.64583</v>
      </c>
      <c r="B136" s="7">
        <f>IFERROR(__xludf.DUMMYFUNCTION("""COMPUTED_VALUE"""),864.7)</f>
        <v>864.7</v>
      </c>
      <c r="C136" s="7">
        <f>IFERROR(__xludf.DUMMYFUNCTION("""COMPUTED_VALUE"""),871.0)</f>
        <v>871</v>
      </c>
      <c r="D136" s="7">
        <f>IFERROR(__xludf.DUMMYFUNCTION("""COMPUTED_VALUE"""),839.3)</f>
        <v>839.3</v>
      </c>
      <c r="E136" s="7">
        <f>IFERROR(__xludf.DUMMYFUNCTION("""COMPUTED_VALUE"""),867.9)</f>
        <v>867.9</v>
      </c>
      <c r="F136" s="7">
        <f>IFERROR(__xludf.DUMMYFUNCTION("""COMPUTED_VALUE"""),1554834.0)</f>
        <v>1554834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f>IFERROR(__xludf.DUMMYFUNCTION("""COMPUTED_VALUE"""),45750.64583333333)</f>
        <v>45750.64583</v>
      </c>
      <c r="B137" s="7">
        <f>IFERROR(__xludf.DUMMYFUNCTION("""COMPUTED_VALUE"""),855.0)</f>
        <v>855</v>
      </c>
      <c r="C137" s="7">
        <f>IFERROR(__xludf.DUMMYFUNCTION("""COMPUTED_VALUE"""),901.0)</f>
        <v>901</v>
      </c>
      <c r="D137" s="7">
        <f>IFERROR(__xludf.DUMMYFUNCTION("""COMPUTED_VALUE"""),855.0)</f>
        <v>855</v>
      </c>
      <c r="E137" s="7">
        <f>IFERROR(__xludf.DUMMYFUNCTION("""COMPUTED_VALUE"""),884.35)</f>
        <v>884.35</v>
      </c>
      <c r="F137" s="7">
        <f>IFERROR(__xludf.DUMMYFUNCTION("""COMPUTED_VALUE"""),2165750.0)</f>
        <v>2165750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f>IFERROR(__xludf.DUMMYFUNCTION("""COMPUTED_VALUE"""),45751.64583333333)</f>
        <v>45751.64583</v>
      </c>
      <c r="B138" s="7">
        <f>IFERROR(__xludf.DUMMYFUNCTION("""COMPUTED_VALUE"""),881.1)</f>
        <v>881.1</v>
      </c>
      <c r="C138" s="7">
        <f>IFERROR(__xludf.DUMMYFUNCTION("""COMPUTED_VALUE"""),884.7)</f>
        <v>884.7</v>
      </c>
      <c r="D138" s="7">
        <f>IFERROR(__xludf.DUMMYFUNCTION("""COMPUTED_VALUE"""),852.1)</f>
        <v>852.1</v>
      </c>
      <c r="E138" s="7">
        <f>IFERROR(__xludf.DUMMYFUNCTION("""COMPUTED_VALUE"""),859.4)</f>
        <v>859.4</v>
      </c>
      <c r="F138" s="7">
        <f>IFERROR(__xludf.DUMMYFUNCTION("""COMPUTED_VALUE"""),1475762.0)</f>
        <v>1475762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f>IFERROR(__xludf.DUMMYFUNCTION("""COMPUTED_VALUE"""),45754.64583333333)</f>
        <v>45754.64583</v>
      </c>
      <c r="B139" s="7">
        <f>IFERROR(__xludf.DUMMYFUNCTION("""COMPUTED_VALUE"""),780.5)</f>
        <v>780.5</v>
      </c>
      <c r="C139" s="7">
        <f>IFERROR(__xludf.DUMMYFUNCTION("""COMPUTED_VALUE"""),822.2)</f>
        <v>822.2</v>
      </c>
      <c r="D139" s="7">
        <f>IFERROR(__xludf.DUMMYFUNCTION("""COMPUTED_VALUE"""),780.5)</f>
        <v>780.5</v>
      </c>
      <c r="E139" s="7">
        <f>IFERROR(__xludf.DUMMYFUNCTION("""COMPUTED_VALUE"""),815.05)</f>
        <v>815.05</v>
      </c>
      <c r="F139" s="7">
        <f>IFERROR(__xludf.DUMMYFUNCTION("""COMPUTED_VALUE"""),2669587.0)</f>
        <v>2669587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f>IFERROR(__xludf.DUMMYFUNCTION("""COMPUTED_VALUE"""),45755.64583333333)</f>
        <v>45755.64583</v>
      </c>
      <c r="B140" s="7">
        <f>IFERROR(__xludf.DUMMYFUNCTION("""COMPUTED_VALUE"""),835.0)</f>
        <v>835</v>
      </c>
      <c r="C140" s="7">
        <f>IFERROR(__xludf.DUMMYFUNCTION("""COMPUTED_VALUE"""),847.85)</f>
        <v>847.85</v>
      </c>
      <c r="D140" s="7">
        <f>IFERROR(__xludf.DUMMYFUNCTION("""COMPUTED_VALUE"""),826.85)</f>
        <v>826.85</v>
      </c>
      <c r="E140" s="7">
        <f>IFERROR(__xludf.DUMMYFUNCTION("""COMPUTED_VALUE"""),841.15)</f>
        <v>841.15</v>
      </c>
      <c r="F140" s="7">
        <f>IFERROR(__xludf.DUMMYFUNCTION("""COMPUTED_VALUE"""),1707784.0)</f>
        <v>1707784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f>IFERROR(__xludf.DUMMYFUNCTION("""COMPUTED_VALUE"""),45756.64583333333)</f>
        <v>45756.64583</v>
      </c>
      <c r="B141" s="7">
        <f>IFERROR(__xludf.DUMMYFUNCTION("""COMPUTED_VALUE"""),835.35)</f>
        <v>835.35</v>
      </c>
      <c r="C141" s="7">
        <f>IFERROR(__xludf.DUMMYFUNCTION("""COMPUTED_VALUE"""),845.0)</f>
        <v>845</v>
      </c>
      <c r="D141" s="7">
        <f>IFERROR(__xludf.DUMMYFUNCTION("""COMPUTED_VALUE"""),827.6)</f>
        <v>827.6</v>
      </c>
      <c r="E141" s="7">
        <f>IFERROR(__xludf.DUMMYFUNCTION("""COMPUTED_VALUE"""),837.4)</f>
        <v>837.4</v>
      </c>
      <c r="F141" s="7">
        <f>IFERROR(__xludf.DUMMYFUNCTION("""COMPUTED_VALUE"""),1026681.0)</f>
        <v>1026681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f>IFERROR(__xludf.DUMMYFUNCTION("""COMPUTED_VALUE"""),45758.64583333333)</f>
        <v>45758.64583</v>
      </c>
      <c r="B142" s="7">
        <f>IFERROR(__xludf.DUMMYFUNCTION("""COMPUTED_VALUE"""),860.7)</f>
        <v>860.7</v>
      </c>
      <c r="C142" s="7">
        <f>IFERROR(__xludf.DUMMYFUNCTION("""COMPUTED_VALUE"""),863.35)</f>
        <v>863.35</v>
      </c>
      <c r="D142" s="7">
        <f>IFERROR(__xludf.DUMMYFUNCTION("""COMPUTED_VALUE"""),833.75)</f>
        <v>833.75</v>
      </c>
      <c r="E142" s="7">
        <f>IFERROR(__xludf.DUMMYFUNCTION("""COMPUTED_VALUE"""),844.8)</f>
        <v>844.8</v>
      </c>
      <c r="F142" s="7">
        <f>IFERROR(__xludf.DUMMYFUNCTION("""COMPUTED_VALUE"""),1878535.0)</f>
        <v>1878535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f>IFERROR(__xludf.DUMMYFUNCTION("""COMPUTED_VALUE"""),45762.64583333333)</f>
        <v>45762.64583</v>
      </c>
      <c r="B143" s="7">
        <f>IFERROR(__xludf.DUMMYFUNCTION("""COMPUTED_VALUE"""),855.65)</f>
        <v>855.65</v>
      </c>
      <c r="C143" s="7">
        <f>IFERROR(__xludf.DUMMYFUNCTION("""COMPUTED_VALUE"""),889.6)</f>
        <v>889.6</v>
      </c>
      <c r="D143" s="7">
        <f>IFERROR(__xludf.DUMMYFUNCTION("""COMPUTED_VALUE"""),851.45)</f>
        <v>851.45</v>
      </c>
      <c r="E143" s="7">
        <f>IFERROR(__xludf.DUMMYFUNCTION("""COMPUTED_VALUE"""),887.4)</f>
        <v>887.4</v>
      </c>
      <c r="F143" s="7">
        <f>IFERROR(__xludf.DUMMYFUNCTION("""COMPUTED_VALUE"""),2537147.0)</f>
        <v>2537147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f>IFERROR(__xludf.DUMMYFUNCTION("""COMPUTED_VALUE"""),45763.64583333333)</f>
        <v>45763.64583</v>
      </c>
      <c r="B144" s="7">
        <f>IFERROR(__xludf.DUMMYFUNCTION("""COMPUTED_VALUE"""),884.9)</f>
        <v>884.9</v>
      </c>
      <c r="C144" s="7">
        <f>IFERROR(__xludf.DUMMYFUNCTION("""COMPUTED_VALUE"""),903.0)</f>
        <v>903</v>
      </c>
      <c r="D144" s="7">
        <f>IFERROR(__xludf.DUMMYFUNCTION("""COMPUTED_VALUE"""),881.05)</f>
        <v>881.05</v>
      </c>
      <c r="E144" s="7">
        <f>IFERROR(__xludf.DUMMYFUNCTION("""COMPUTED_VALUE"""),895.15)</f>
        <v>895.15</v>
      </c>
      <c r="F144" s="7">
        <f>IFERROR(__xludf.DUMMYFUNCTION("""COMPUTED_VALUE"""),2669664.0)</f>
        <v>2669664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f>IFERROR(__xludf.DUMMYFUNCTION("""COMPUTED_VALUE"""),45764.64583333333)</f>
        <v>45764.64583</v>
      </c>
      <c r="B145" s="7">
        <f>IFERROR(__xludf.DUMMYFUNCTION("""COMPUTED_VALUE"""),896.05)</f>
        <v>896.05</v>
      </c>
      <c r="C145" s="7">
        <f>IFERROR(__xludf.DUMMYFUNCTION("""COMPUTED_VALUE"""),937.0)</f>
        <v>937</v>
      </c>
      <c r="D145" s="7">
        <f>IFERROR(__xludf.DUMMYFUNCTION("""COMPUTED_VALUE"""),891.65)</f>
        <v>891.65</v>
      </c>
      <c r="E145" s="7">
        <f>IFERROR(__xludf.DUMMYFUNCTION("""COMPUTED_VALUE"""),914.15)</f>
        <v>914.15</v>
      </c>
      <c r="F145" s="7">
        <f>IFERROR(__xludf.DUMMYFUNCTION("""COMPUTED_VALUE"""),3849304.0)</f>
        <v>3849304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f>IFERROR(__xludf.DUMMYFUNCTION("""COMPUTED_VALUE"""),45768.64583333333)</f>
        <v>45768.64583</v>
      </c>
      <c r="B146" s="7">
        <f>IFERROR(__xludf.DUMMYFUNCTION("""COMPUTED_VALUE"""),924.0)</f>
        <v>924</v>
      </c>
      <c r="C146" s="7">
        <f>IFERROR(__xludf.DUMMYFUNCTION("""COMPUTED_VALUE"""),949.0)</f>
        <v>949</v>
      </c>
      <c r="D146" s="7">
        <f>IFERROR(__xludf.DUMMYFUNCTION("""COMPUTED_VALUE"""),915.45)</f>
        <v>915.45</v>
      </c>
      <c r="E146" s="7">
        <f>IFERROR(__xludf.DUMMYFUNCTION("""COMPUTED_VALUE"""),937.5)</f>
        <v>937.5</v>
      </c>
      <c r="F146" s="7">
        <f>IFERROR(__xludf.DUMMYFUNCTION("""COMPUTED_VALUE"""),2153406.0)</f>
        <v>2153406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f>IFERROR(__xludf.DUMMYFUNCTION("""COMPUTED_VALUE"""),45769.64583333333)</f>
        <v>45769.64583</v>
      </c>
      <c r="B147" s="7">
        <f>IFERROR(__xludf.DUMMYFUNCTION("""COMPUTED_VALUE"""),941.9)</f>
        <v>941.9</v>
      </c>
      <c r="C147" s="7">
        <f>IFERROR(__xludf.DUMMYFUNCTION("""COMPUTED_VALUE"""),942.75)</f>
        <v>942.75</v>
      </c>
      <c r="D147" s="7">
        <f>IFERROR(__xludf.DUMMYFUNCTION("""COMPUTED_VALUE"""),926.0)</f>
        <v>926</v>
      </c>
      <c r="E147" s="7">
        <f>IFERROR(__xludf.DUMMYFUNCTION("""COMPUTED_VALUE"""),929.6)</f>
        <v>929.6</v>
      </c>
      <c r="F147" s="7">
        <f>IFERROR(__xludf.DUMMYFUNCTION("""COMPUTED_VALUE"""),1654173.0)</f>
        <v>1654173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f>IFERROR(__xludf.DUMMYFUNCTION("""COMPUTED_VALUE"""),45770.64583333333)</f>
        <v>45770.64583</v>
      </c>
      <c r="B148" s="7">
        <f>IFERROR(__xludf.DUMMYFUNCTION("""COMPUTED_VALUE"""),935.7)</f>
        <v>935.7</v>
      </c>
      <c r="C148" s="7">
        <f>IFERROR(__xludf.DUMMYFUNCTION("""COMPUTED_VALUE"""),942.15)</f>
        <v>942.15</v>
      </c>
      <c r="D148" s="7">
        <f>IFERROR(__xludf.DUMMYFUNCTION("""COMPUTED_VALUE"""),901.6)</f>
        <v>901.6</v>
      </c>
      <c r="E148" s="7">
        <f>IFERROR(__xludf.DUMMYFUNCTION("""COMPUTED_VALUE"""),938.8)</f>
        <v>938.8</v>
      </c>
      <c r="F148" s="7">
        <f>IFERROR(__xludf.DUMMYFUNCTION("""COMPUTED_VALUE"""),2500136.0)</f>
        <v>2500136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f>IFERROR(__xludf.DUMMYFUNCTION("""COMPUTED_VALUE"""),45771.64583333333)</f>
        <v>45771.64583</v>
      </c>
      <c r="B149" s="7">
        <f>IFERROR(__xludf.DUMMYFUNCTION("""COMPUTED_VALUE"""),940.0)</f>
        <v>940</v>
      </c>
      <c r="C149" s="7">
        <f>IFERROR(__xludf.DUMMYFUNCTION("""COMPUTED_VALUE"""),971.7)</f>
        <v>971.7</v>
      </c>
      <c r="D149" s="7">
        <f>IFERROR(__xludf.DUMMYFUNCTION("""COMPUTED_VALUE"""),935.0)</f>
        <v>935</v>
      </c>
      <c r="E149" s="7">
        <f>IFERROR(__xludf.DUMMYFUNCTION("""COMPUTED_VALUE"""),961.7)</f>
        <v>961.7</v>
      </c>
      <c r="F149" s="7">
        <f>IFERROR(__xludf.DUMMYFUNCTION("""COMPUTED_VALUE"""),3695638.0)</f>
        <v>3695638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f>IFERROR(__xludf.DUMMYFUNCTION("""COMPUTED_VALUE"""),45772.64583333333)</f>
        <v>45772.64583</v>
      </c>
      <c r="B150" s="7">
        <f>IFERROR(__xludf.DUMMYFUNCTION("""COMPUTED_VALUE"""),978.0)</f>
        <v>978</v>
      </c>
      <c r="C150" s="7">
        <f>IFERROR(__xludf.DUMMYFUNCTION("""COMPUTED_VALUE"""),981.0)</f>
        <v>981</v>
      </c>
      <c r="D150" s="7">
        <f>IFERROR(__xludf.DUMMYFUNCTION("""COMPUTED_VALUE"""),905.9)</f>
        <v>905.9</v>
      </c>
      <c r="E150" s="7">
        <f>IFERROR(__xludf.DUMMYFUNCTION("""COMPUTED_VALUE"""),914.35)</f>
        <v>914.35</v>
      </c>
      <c r="F150" s="7">
        <f>IFERROR(__xludf.DUMMYFUNCTION("""COMPUTED_VALUE"""),5736784.0)</f>
        <v>5736784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f>IFERROR(__xludf.DUMMYFUNCTION("""COMPUTED_VALUE"""),45775.64583333333)</f>
        <v>45775.64583</v>
      </c>
      <c r="B151" s="7">
        <f>IFERROR(__xludf.DUMMYFUNCTION("""COMPUTED_VALUE"""),914.0)</f>
        <v>914</v>
      </c>
      <c r="C151" s="7">
        <f>IFERROR(__xludf.DUMMYFUNCTION("""COMPUTED_VALUE"""),941.6)</f>
        <v>941.6</v>
      </c>
      <c r="D151" s="7">
        <f>IFERROR(__xludf.DUMMYFUNCTION("""COMPUTED_VALUE"""),904.0)</f>
        <v>904</v>
      </c>
      <c r="E151" s="7">
        <f>IFERROR(__xludf.DUMMYFUNCTION("""COMPUTED_VALUE"""),925.3)</f>
        <v>925.3</v>
      </c>
      <c r="F151" s="7">
        <f>IFERROR(__xludf.DUMMYFUNCTION("""COMPUTED_VALUE"""),2404027.0)</f>
        <v>2404027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f>IFERROR(__xludf.DUMMYFUNCTION("""COMPUTED_VALUE"""),45776.64583333333)</f>
        <v>45776.64583</v>
      </c>
      <c r="B152" s="7">
        <f>IFERROR(__xludf.DUMMYFUNCTION("""COMPUTED_VALUE"""),929.9)</f>
        <v>929.9</v>
      </c>
      <c r="C152" s="7">
        <f>IFERROR(__xludf.DUMMYFUNCTION("""COMPUTED_VALUE"""),939.85)</f>
        <v>939.85</v>
      </c>
      <c r="D152" s="7">
        <f>IFERROR(__xludf.DUMMYFUNCTION("""COMPUTED_VALUE"""),912.05)</f>
        <v>912.05</v>
      </c>
      <c r="E152" s="7">
        <f>IFERROR(__xludf.DUMMYFUNCTION("""COMPUTED_VALUE"""),917.65)</f>
        <v>917.65</v>
      </c>
      <c r="F152" s="7">
        <f>IFERROR(__xludf.DUMMYFUNCTION("""COMPUTED_VALUE"""),1466481.0)</f>
        <v>1466481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f>IFERROR(__xludf.DUMMYFUNCTION("""COMPUTED_VALUE"""),45777.64583333333)</f>
        <v>45777.64583</v>
      </c>
      <c r="B153" s="7">
        <f>IFERROR(__xludf.DUMMYFUNCTION("""COMPUTED_VALUE"""),919.7)</f>
        <v>919.7</v>
      </c>
      <c r="C153" s="7">
        <f>IFERROR(__xludf.DUMMYFUNCTION("""COMPUTED_VALUE"""),919.7)</f>
        <v>919.7</v>
      </c>
      <c r="D153" s="7">
        <f>IFERROR(__xludf.DUMMYFUNCTION("""COMPUTED_VALUE"""),892.0)</f>
        <v>892</v>
      </c>
      <c r="E153" s="7">
        <f>IFERROR(__xludf.DUMMYFUNCTION("""COMPUTED_VALUE"""),899.65)</f>
        <v>899.65</v>
      </c>
      <c r="F153" s="7">
        <f>IFERROR(__xludf.DUMMYFUNCTION("""COMPUTED_VALUE"""),1191673.0)</f>
        <v>1191673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f>IFERROR(__xludf.DUMMYFUNCTION("""COMPUTED_VALUE"""),45779.64583333333)</f>
        <v>45779.64583</v>
      </c>
      <c r="B154" s="7">
        <f>IFERROR(__xludf.DUMMYFUNCTION("""COMPUTED_VALUE"""),900.05)</f>
        <v>900.05</v>
      </c>
      <c r="C154" s="7">
        <f>IFERROR(__xludf.DUMMYFUNCTION("""COMPUTED_VALUE"""),929.85)</f>
        <v>929.85</v>
      </c>
      <c r="D154" s="7">
        <f>IFERROR(__xludf.DUMMYFUNCTION("""COMPUTED_VALUE"""),900.05)</f>
        <v>900.05</v>
      </c>
      <c r="E154" s="7">
        <f>IFERROR(__xludf.DUMMYFUNCTION("""COMPUTED_VALUE"""),907.15)</f>
        <v>907.15</v>
      </c>
      <c r="F154" s="7">
        <f>IFERROR(__xludf.DUMMYFUNCTION("""COMPUTED_VALUE"""),1720419.0)</f>
        <v>1720419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f>IFERROR(__xludf.DUMMYFUNCTION("""COMPUTED_VALUE"""),45782.64583333333)</f>
        <v>45782.64583</v>
      </c>
      <c r="B155" s="7">
        <f>IFERROR(__xludf.DUMMYFUNCTION("""COMPUTED_VALUE"""),911.0)</f>
        <v>911</v>
      </c>
      <c r="C155" s="7">
        <f>IFERROR(__xludf.DUMMYFUNCTION("""COMPUTED_VALUE"""),980.85)</f>
        <v>980.85</v>
      </c>
      <c r="D155" s="7">
        <f>IFERROR(__xludf.DUMMYFUNCTION("""COMPUTED_VALUE"""),909.95)</f>
        <v>909.95</v>
      </c>
      <c r="E155" s="7">
        <f>IFERROR(__xludf.DUMMYFUNCTION("""COMPUTED_VALUE"""),937.2)</f>
        <v>937.2</v>
      </c>
      <c r="F155" s="7">
        <f>IFERROR(__xludf.DUMMYFUNCTION("""COMPUTED_VALUE"""),5711254.0)</f>
        <v>5711254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f>IFERROR(__xludf.DUMMYFUNCTION("""COMPUTED_VALUE"""),45783.64583333333)</f>
        <v>45783.64583</v>
      </c>
      <c r="B156" s="7">
        <f>IFERROR(__xludf.DUMMYFUNCTION("""COMPUTED_VALUE"""),939.0)</f>
        <v>939</v>
      </c>
      <c r="C156" s="7">
        <f>IFERROR(__xludf.DUMMYFUNCTION("""COMPUTED_VALUE"""),941.5)</f>
        <v>941.5</v>
      </c>
      <c r="D156" s="7">
        <f>IFERROR(__xludf.DUMMYFUNCTION("""COMPUTED_VALUE"""),901.1)</f>
        <v>901.1</v>
      </c>
      <c r="E156" s="7">
        <f>IFERROR(__xludf.DUMMYFUNCTION("""COMPUTED_VALUE"""),907.4)</f>
        <v>907.4</v>
      </c>
      <c r="F156" s="7">
        <f>IFERROR(__xludf.DUMMYFUNCTION("""COMPUTED_VALUE"""),2569364.0)</f>
        <v>2569364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f>IFERROR(__xludf.DUMMYFUNCTION("""COMPUTED_VALUE"""),45784.64583333333)</f>
        <v>45784.64583</v>
      </c>
      <c r="B157" s="7">
        <f>IFERROR(__xludf.DUMMYFUNCTION("""COMPUTED_VALUE"""),878.0)</f>
        <v>878</v>
      </c>
      <c r="C157" s="7">
        <f>IFERROR(__xludf.DUMMYFUNCTION("""COMPUTED_VALUE"""),907.0)</f>
        <v>907</v>
      </c>
      <c r="D157" s="7">
        <f>IFERROR(__xludf.DUMMYFUNCTION("""COMPUTED_VALUE"""),865.1)</f>
        <v>865.1</v>
      </c>
      <c r="E157" s="7">
        <f>IFERROR(__xludf.DUMMYFUNCTION("""COMPUTED_VALUE"""),871.6)</f>
        <v>871.6</v>
      </c>
      <c r="F157" s="7">
        <f>IFERROR(__xludf.DUMMYFUNCTION("""COMPUTED_VALUE"""),5712060.0)</f>
        <v>5712060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f>IFERROR(__xludf.DUMMYFUNCTION("""COMPUTED_VALUE"""),45785.64583333333)</f>
        <v>45785.64583</v>
      </c>
      <c r="B158" s="7">
        <f>IFERROR(__xludf.DUMMYFUNCTION("""COMPUTED_VALUE"""),880.05)</f>
        <v>880.05</v>
      </c>
      <c r="C158" s="7">
        <f>IFERROR(__xludf.DUMMYFUNCTION("""COMPUTED_VALUE"""),886.7)</f>
        <v>886.7</v>
      </c>
      <c r="D158" s="7">
        <f>IFERROR(__xludf.DUMMYFUNCTION("""COMPUTED_VALUE"""),826.3)</f>
        <v>826.3</v>
      </c>
      <c r="E158" s="7">
        <f>IFERROR(__xludf.DUMMYFUNCTION("""COMPUTED_VALUE"""),839.0)</f>
        <v>839</v>
      </c>
      <c r="F158" s="7">
        <f>IFERROR(__xludf.DUMMYFUNCTION("""COMPUTED_VALUE"""),3262818.0)</f>
        <v>3262818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f>IFERROR(__xludf.DUMMYFUNCTION("""COMPUTED_VALUE"""),45786.64583333333)</f>
        <v>45786.64583</v>
      </c>
      <c r="B159" s="7">
        <f>IFERROR(__xludf.DUMMYFUNCTION("""COMPUTED_VALUE"""),811.0)</f>
        <v>811</v>
      </c>
      <c r="C159" s="7">
        <f>IFERROR(__xludf.DUMMYFUNCTION("""COMPUTED_VALUE"""),834.6)</f>
        <v>834.6</v>
      </c>
      <c r="D159" s="7">
        <f>IFERROR(__xludf.DUMMYFUNCTION("""COMPUTED_VALUE"""),806.1)</f>
        <v>806.1</v>
      </c>
      <c r="E159" s="7">
        <f>IFERROR(__xludf.DUMMYFUNCTION("""COMPUTED_VALUE"""),827.1)</f>
        <v>827.1</v>
      </c>
      <c r="F159" s="7">
        <f>IFERROR(__xludf.DUMMYFUNCTION("""COMPUTED_VALUE"""),2639860.0)</f>
        <v>2639860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f>IFERROR(__xludf.DUMMYFUNCTION("""COMPUTED_VALUE"""),45789.64583333333)</f>
        <v>45789.64583</v>
      </c>
      <c r="B160" s="7">
        <f>IFERROR(__xludf.DUMMYFUNCTION("""COMPUTED_VALUE"""),860.0)</f>
        <v>860</v>
      </c>
      <c r="C160" s="7">
        <f>IFERROR(__xludf.DUMMYFUNCTION("""COMPUTED_VALUE"""),897.65)</f>
        <v>897.65</v>
      </c>
      <c r="D160" s="7">
        <f>IFERROR(__xludf.DUMMYFUNCTION("""COMPUTED_VALUE"""),851.05)</f>
        <v>851.05</v>
      </c>
      <c r="E160" s="7">
        <f>IFERROR(__xludf.DUMMYFUNCTION("""COMPUTED_VALUE"""),894.3)</f>
        <v>894.3</v>
      </c>
      <c r="F160" s="7">
        <f>IFERROR(__xludf.DUMMYFUNCTION("""COMPUTED_VALUE"""),3286835.0)</f>
        <v>3286835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f>IFERROR(__xludf.DUMMYFUNCTION("""COMPUTED_VALUE"""),45790.64583333333)</f>
        <v>45790.64583</v>
      </c>
      <c r="B161" s="7">
        <f>IFERROR(__xludf.DUMMYFUNCTION("""COMPUTED_VALUE"""),890.0)</f>
        <v>890</v>
      </c>
      <c r="C161" s="7">
        <f>IFERROR(__xludf.DUMMYFUNCTION("""COMPUTED_VALUE"""),908.9)</f>
        <v>908.9</v>
      </c>
      <c r="D161" s="7">
        <f>IFERROR(__xludf.DUMMYFUNCTION("""COMPUTED_VALUE"""),885.25)</f>
        <v>885.25</v>
      </c>
      <c r="E161" s="7">
        <f>IFERROR(__xludf.DUMMYFUNCTION("""COMPUTED_VALUE"""),904.2)</f>
        <v>904.2</v>
      </c>
      <c r="F161" s="7">
        <f>IFERROR(__xludf.DUMMYFUNCTION("""COMPUTED_VALUE"""),2246532.0)</f>
        <v>2246532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f>IFERROR(__xludf.DUMMYFUNCTION("""COMPUTED_VALUE"""),45791.64583333333)</f>
        <v>45791.64583</v>
      </c>
      <c r="B162" s="7">
        <f>IFERROR(__xludf.DUMMYFUNCTION("""COMPUTED_VALUE"""),903.95)</f>
        <v>903.95</v>
      </c>
      <c r="C162" s="7">
        <f>IFERROR(__xludf.DUMMYFUNCTION("""COMPUTED_VALUE"""),903.95)</f>
        <v>903.95</v>
      </c>
      <c r="D162" s="7">
        <f>IFERROR(__xludf.DUMMYFUNCTION("""COMPUTED_VALUE"""),886.0)</f>
        <v>886</v>
      </c>
      <c r="E162" s="7">
        <f>IFERROR(__xludf.DUMMYFUNCTION("""COMPUTED_VALUE"""),890.8)</f>
        <v>890.8</v>
      </c>
      <c r="F162" s="7">
        <f>IFERROR(__xludf.DUMMYFUNCTION("""COMPUTED_VALUE"""),1929234.0)</f>
        <v>1929234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f>IFERROR(__xludf.DUMMYFUNCTION("""COMPUTED_VALUE"""),45792.64583333333)</f>
        <v>45792.64583</v>
      </c>
      <c r="B163" s="7">
        <f>IFERROR(__xludf.DUMMYFUNCTION("""COMPUTED_VALUE"""),894.95)</f>
        <v>894.95</v>
      </c>
      <c r="C163" s="7">
        <f>IFERROR(__xludf.DUMMYFUNCTION("""COMPUTED_VALUE"""),913.55)</f>
        <v>913.55</v>
      </c>
      <c r="D163" s="7">
        <f>IFERROR(__xludf.DUMMYFUNCTION("""COMPUTED_VALUE"""),884.05)</f>
        <v>884.05</v>
      </c>
      <c r="E163" s="7">
        <f>IFERROR(__xludf.DUMMYFUNCTION("""COMPUTED_VALUE"""),910.8)</f>
        <v>910.8</v>
      </c>
      <c r="F163" s="7">
        <f>IFERROR(__xludf.DUMMYFUNCTION("""COMPUTED_VALUE"""),1755815.0)</f>
        <v>1755815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f>IFERROR(__xludf.DUMMYFUNCTION("""COMPUTED_VALUE"""),45793.64583333333)</f>
        <v>45793.64583</v>
      </c>
      <c r="B164" s="7">
        <f>IFERROR(__xludf.DUMMYFUNCTION("""COMPUTED_VALUE"""),912.1)</f>
        <v>912.1</v>
      </c>
      <c r="C164" s="7">
        <f>IFERROR(__xludf.DUMMYFUNCTION("""COMPUTED_VALUE"""),934.75)</f>
        <v>934.75</v>
      </c>
      <c r="D164" s="7">
        <f>IFERROR(__xludf.DUMMYFUNCTION("""COMPUTED_VALUE"""),908.05)</f>
        <v>908.05</v>
      </c>
      <c r="E164" s="7">
        <f>IFERROR(__xludf.DUMMYFUNCTION("""COMPUTED_VALUE"""),915.05)</f>
        <v>915.05</v>
      </c>
      <c r="F164" s="7">
        <f>IFERROR(__xludf.DUMMYFUNCTION("""COMPUTED_VALUE"""),2288025.0)</f>
        <v>2288025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f>IFERROR(__xludf.DUMMYFUNCTION("""COMPUTED_VALUE"""),45796.64583333333)</f>
        <v>45796.64583</v>
      </c>
      <c r="B165" s="7">
        <f>IFERROR(__xludf.DUMMYFUNCTION("""COMPUTED_VALUE"""),920.0)</f>
        <v>920</v>
      </c>
      <c r="C165" s="7">
        <f>IFERROR(__xludf.DUMMYFUNCTION("""COMPUTED_VALUE"""),920.8)</f>
        <v>920.8</v>
      </c>
      <c r="D165" s="7">
        <f>IFERROR(__xludf.DUMMYFUNCTION("""COMPUTED_VALUE"""),886.0)</f>
        <v>886</v>
      </c>
      <c r="E165" s="7">
        <f>IFERROR(__xludf.DUMMYFUNCTION("""COMPUTED_VALUE"""),888.9)</f>
        <v>888.9</v>
      </c>
      <c r="F165" s="7">
        <f>IFERROR(__xludf.DUMMYFUNCTION("""COMPUTED_VALUE"""),2120510.0)</f>
        <v>2120510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f>IFERROR(__xludf.DUMMYFUNCTION("""COMPUTED_VALUE"""),45797.64583333333)</f>
        <v>45797.64583</v>
      </c>
      <c r="B166" s="7">
        <f>IFERROR(__xludf.DUMMYFUNCTION("""COMPUTED_VALUE"""),894.45)</f>
        <v>894.45</v>
      </c>
      <c r="C166" s="7">
        <f>IFERROR(__xludf.DUMMYFUNCTION("""COMPUTED_VALUE"""),897.55)</f>
        <v>897.55</v>
      </c>
      <c r="D166" s="7">
        <f>IFERROR(__xludf.DUMMYFUNCTION("""COMPUTED_VALUE"""),866.55)</f>
        <v>866.55</v>
      </c>
      <c r="E166" s="7">
        <f>IFERROR(__xludf.DUMMYFUNCTION("""COMPUTED_VALUE"""),869.75)</f>
        <v>869.75</v>
      </c>
      <c r="F166" s="7">
        <f>IFERROR(__xludf.DUMMYFUNCTION("""COMPUTED_VALUE"""),1301836.0)</f>
        <v>1301836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f>IFERROR(__xludf.DUMMYFUNCTION("""COMPUTED_VALUE"""),45798.64583333333)</f>
        <v>45798.64583</v>
      </c>
      <c r="B167" s="7">
        <f>IFERROR(__xludf.DUMMYFUNCTION("""COMPUTED_VALUE"""),869.9)</f>
        <v>869.9</v>
      </c>
      <c r="C167" s="7">
        <f>IFERROR(__xludf.DUMMYFUNCTION("""COMPUTED_VALUE"""),881.0)</f>
        <v>881</v>
      </c>
      <c r="D167" s="7">
        <f>IFERROR(__xludf.DUMMYFUNCTION("""COMPUTED_VALUE"""),860.5)</f>
        <v>860.5</v>
      </c>
      <c r="E167" s="7">
        <f>IFERROR(__xludf.DUMMYFUNCTION("""COMPUTED_VALUE"""),872.15)</f>
        <v>872.15</v>
      </c>
      <c r="F167" s="7">
        <f>IFERROR(__xludf.DUMMYFUNCTION("""COMPUTED_VALUE"""),1239047.0)</f>
        <v>1239047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f>IFERROR(__xludf.DUMMYFUNCTION("""COMPUTED_VALUE"""),45799.64583333333)</f>
        <v>45799.64583</v>
      </c>
      <c r="B168" s="7">
        <f>IFERROR(__xludf.DUMMYFUNCTION("""COMPUTED_VALUE"""),869.0)</f>
        <v>869</v>
      </c>
      <c r="C168" s="7">
        <f>IFERROR(__xludf.DUMMYFUNCTION("""COMPUTED_VALUE"""),886.4)</f>
        <v>886.4</v>
      </c>
      <c r="D168" s="7">
        <f>IFERROR(__xludf.DUMMYFUNCTION("""COMPUTED_VALUE"""),864.35)</f>
        <v>864.35</v>
      </c>
      <c r="E168" s="7">
        <f>IFERROR(__xludf.DUMMYFUNCTION("""COMPUTED_VALUE"""),879.0)</f>
        <v>879</v>
      </c>
      <c r="F168" s="7">
        <f>IFERROR(__xludf.DUMMYFUNCTION("""COMPUTED_VALUE"""),1121955.0)</f>
        <v>1121955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f>IFERROR(__xludf.DUMMYFUNCTION("""COMPUTED_VALUE"""),45800.64583333333)</f>
        <v>45800.64583</v>
      </c>
      <c r="B169" s="7">
        <f>IFERROR(__xludf.DUMMYFUNCTION("""COMPUTED_VALUE"""),884.5)</f>
        <v>884.5</v>
      </c>
      <c r="C169" s="7">
        <f>IFERROR(__xludf.DUMMYFUNCTION("""COMPUTED_VALUE"""),884.5)</f>
        <v>884.5</v>
      </c>
      <c r="D169" s="7">
        <f>IFERROR(__xludf.DUMMYFUNCTION("""COMPUTED_VALUE"""),871.1)</f>
        <v>871.1</v>
      </c>
      <c r="E169" s="7">
        <f>IFERROR(__xludf.DUMMYFUNCTION("""COMPUTED_VALUE"""),876.55)</f>
        <v>876.55</v>
      </c>
      <c r="F169" s="7">
        <f>IFERROR(__xludf.DUMMYFUNCTION("""COMPUTED_VALUE"""),816889.0)</f>
        <v>816889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f>IFERROR(__xludf.DUMMYFUNCTION("""COMPUTED_VALUE"""),45803.64583333333)</f>
        <v>45803.64583</v>
      </c>
      <c r="B170" s="7">
        <f>IFERROR(__xludf.DUMMYFUNCTION("""COMPUTED_VALUE"""),877.95)</f>
        <v>877.95</v>
      </c>
      <c r="C170" s="7">
        <f>IFERROR(__xludf.DUMMYFUNCTION("""COMPUTED_VALUE"""),891.0)</f>
        <v>891</v>
      </c>
      <c r="D170" s="7">
        <f>IFERROR(__xludf.DUMMYFUNCTION("""COMPUTED_VALUE"""),875.9)</f>
        <v>875.9</v>
      </c>
      <c r="E170" s="7">
        <f>IFERROR(__xludf.DUMMYFUNCTION("""COMPUTED_VALUE"""),878.7)</f>
        <v>878.7</v>
      </c>
      <c r="F170" s="7">
        <f>IFERROR(__xludf.DUMMYFUNCTION("""COMPUTED_VALUE"""),966027.0)</f>
        <v>966027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f>IFERROR(__xludf.DUMMYFUNCTION("""COMPUTED_VALUE"""),45804.64583333333)</f>
        <v>45804.64583</v>
      </c>
      <c r="B171" s="7">
        <f>IFERROR(__xludf.DUMMYFUNCTION("""COMPUTED_VALUE"""),880.0)</f>
        <v>880</v>
      </c>
      <c r="C171" s="7">
        <f>IFERROR(__xludf.DUMMYFUNCTION("""COMPUTED_VALUE"""),890.4)</f>
        <v>890.4</v>
      </c>
      <c r="D171" s="7">
        <f>IFERROR(__xludf.DUMMYFUNCTION("""COMPUTED_VALUE"""),874.25)</f>
        <v>874.25</v>
      </c>
      <c r="E171" s="7">
        <f>IFERROR(__xludf.DUMMYFUNCTION("""COMPUTED_VALUE"""),879.15)</f>
        <v>879.15</v>
      </c>
      <c r="F171" s="7">
        <f>IFERROR(__xludf.DUMMYFUNCTION("""COMPUTED_VALUE"""),1772369.0)</f>
        <v>1772369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f>IFERROR(__xludf.DUMMYFUNCTION("""COMPUTED_VALUE"""),45805.64583333333)</f>
        <v>45805.64583</v>
      </c>
      <c r="B172" s="7">
        <f>IFERROR(__xludf.DUMMYFUNCTION("""COMPUTED_VALUE"""),881.8)</f>
        <v>881.8</v>
      </c>
      <c r="C172" s="7">
        <f>IFERROR(__xludf.DUMMYFUNCTION("""COMPUTED_VALUE"""),890.85)</f>
        <v>890.85</v>
      </c>
      <c r="D172" s="7">
        <f>IFERROR(__xludf.DUMMYFUNCTION("""COMPUTED_VALUE"""),865.75)</f>
        <v>865.75</v>
      </c>
      <c r="E172" s="7">
        <f>IFERROR(__xludf.DUMMYFUNCTION("""COMPUTED_VALUE"""),869.0)</f>
        <v>869</v>
      </c>
      <c r="F172" s="7">
        <f>IFERROR(__xludf.DUMMYFUNCTION("""COMPUTED_VALUE"""),990253.0)</f>
        <v>990253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f>IFERROR(__xludf.DUMMYFUNCTION("""COMPUTED_VALUE"""),45806.64583333333)</f>
        <v>45806.64583</v>
      </c>
      <c r="B173" s="7">
        <f>IFERROR(__xludf.DUMMYFUNCTION("""COMPUTED_VALUE"""),877.7)</f>
        <v>877.7</v>
      </c>
      <c r="C173" s="7">
        <f>IFERROR(__xludf.DUMMYFUNCTION("""COMPUTED_VALUE"""),898.2)</f>
        <v>898.2</v>
      </c>
      <c r="D173" s="7">
        <f>IFERROR(__xludf.DUMMYFUNCTION("""COMPUTED_VALUE"""),869.4)</f>
        <v>869.4</v>
      </c>
      <c r="E173" s="7">
        <f>IFERROR(__xludf.DUMMYFUNCTION("""COMPUTED_VALUE"""),880.95)</f>
        <v>880.95</v>
      </c>
      <c r="F173" s="7">
        <f>IFERROR(__xludf.DUMMYFUNCTION("""COMPUTED_VALUE"""),2045238.0)</f>
        <v>2045238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f>IFERROR(__xludf.DUMMYFUNCTION("""COMPUTED_VALUE"""),45807.64583333333)</f>
        <v>45807.64583</v>
      </c>
      <c r="B174" s="7">
        <f>IFERROR(__xludf.DUMMYFUNCTION("""COMPUTED_VALUE"""),881.05)</f>
        <v>881.05</v>
      </c>
      <c r="C174" s="7">
        <f>IFERROR(__xludf.DUMMYFUNCTION("""COMPUTED_VALUE"""),889.45)</f>
        <v>889.45</v>
      </c>
      <c r="D174" s="7">
        <f>IFERROR(__xludf.DUMMYFUNCTION("""COMPUTED_VALUE"""),862.0)</f>
        <v>862</v>
      </c>
      <c r="E174" s="7">
        <f>IFERROR(__xludf.DUMMYFUNCTION("""COMPUTED_VALUE"""),867.2)</f>
        <v>867.2</v>
      </c>
      <c r="F174" s="7">
        <f>IFERROR(__xludf.DUMMYFUNCTION("""COMPUTED_VALUE"""),1258500.0)</f>
        <v>1258500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f>IFERROR(__xludf.DUMMYFUNCTION("""COMPUTED_VALUE"""),45810.64583333333)</f>
        <v>45810.64583</v>
      </c>
      <c r="B175" s="7">
        <f>IFERROR(__xludf.DUMMYFUNCTION("""COMPUTED_VALUE"""),874.8)</f>
        <v>874.8</v>
      </c>
      <c r="C175" s="7">
        <f>IFERROR(__xludf.DUMMYFUNCTION("""COMPUTED_VALUE"""),888.2)</f>
        <v>888.2</v>
      </c>
      <c r="D175" s="7">
        <f>IFERROR(__xludf.DUMMYFUNCTION("""COMPUTED_VALUE"""),872.05)</f>
        <v>872.05</v>
      </c>
      <c r="E175" s="7">
        <f>IFERROR(__xludf.DUMMYFUNCTION("""COMPUTED_VALUE"""),874.85)</f>
        <v>874.85</v>
      </c>
      <c r="F175" s="7">
        <f>IFERROR(__xludf.DUMMYFUNCTION("""COMPUTED_VALUE"""),1911879.0)</f>
        <v>1911879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f>IFERROR(__xludf.DUMMYFUNCTION("""COMPUTED_VALUE"""),45811.64583333333)</f>
        <v>45811.64583</v>
      </c>
      <c r="B176" s="7">
        <f>IFERROR(__xludf.DUMMYFUNCTION("""COMPUTED_VALUE"""),876.55)</f>
        <v>876.55</v>
      </c>
      <c r="C176" s="7">
        <f>IFERROR(__xludf.DUMMYFUNCTION("""COMPUTED_VALUE"""),877.75)</f>
        <v>877.75</v>
      </c>
      <c r="D176" s="7">
        <f>IFERROR(__xludf.DUMMYFUNCTION("""COMPUTED_VALUE"""),854.0)</f>
        <v>854</v>
      </c>
      <c r="E176" s="7">
        <f>IFERROR(__xludf.DUMMYFUNCTION("""COMPUTED_VALUE"""),856.55)</f>
        <v>856.55</v>
      </c>
      <c r="F176" s="7">
        <f>IFERROR(__xludf.DUMMYFUNCTION("""COMPUTED_VALUE"""),5811649.0)</f>
        <v>5811649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f>IFERROR(__xludf.DUMMYFUNCTION("""COMPUTED_VALUE"""),45812.64583333333)</f>
        <v>45812.64583</v>
      </c>
      <c r="B177" s="7">
        <f>IFERROR(__xludf.DUMMYFUNCTION("""COMPUTED_VALUE"""),860.5)</f>
        <v>860.5</v>
      </c>
      <c r="C177" s="7">
        <f>IFERROR(__xludf.DUMMYFUNCTION("""COMPUTED_VALUE"""),873.5)</f>
        <v>873.5</v>
      </c>
      <c r="D177" s="7">
        <f>IFERROR(__xludf.DUMMYFUNCTION("""COMPUTED_VALUE"""),851.55)</f>
        <v>851.55</v>
      </c>
      <c r="E177" s="7">
        <f>IFERROR(__xludf.DUMMYFUNCTION("""COMPUTED_VALUE"""),866.0)</f>
        <v>866</v>
      </c>
      <c r="F177" s="7">
        <f>IFERROR(__xludf.DUMMYFUNCTION("""COMPUTED_VALUE"""),5947467.0)</f>
        <v>5947467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f>IFERROR(__xludf.DUMMYFUNCTION("""COMPUTED_VALUE"""),45813.64583333333)</f>
        <v>45813.64583</v>
      </c>
      <c r="B178" s="7">
        <f>IFERROR(__xludf.DUMMYFUNCTION("""COMPUTED_VALUE"""),869.95)</f>
        <v>869.95</v>
      </c>
      <c r="C178" s="7">
        <f>IFERROR(__xludf.DUMMYFUNCTION("""COMPUTED_VALUE"""),883.0)</f>
        <v>883</v>
      </c>
      <c r="D178" s="7">
        <f>IFERROR(__xludf.DUMMYFUNCTION("""COMPUTED_VALUE"""),864.05)</f>
        <v>864.05</v>
      </c>
      <c r="E178" s="7">
        <f>IFERROR(__xludf.DUMMYFUNCTION("""COMPUTED_VALUE"""),872.2)</f>
        <v>872.2</v>
      </c>
      <c r="F178" s="7">
        <f>IFERROR(__xludf.DUMMYFUNCTION("""COMPUTED_VALUE"""),5723306.0)</f>
        <v>5723306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f>IFERROR(__xludf.DUMMYFUNCTION("""COMPUTED_VALUE"""),45814.64583333333)</f>
        <v>45814.64583</v>
      </c>
      <c r="B179" s="7">
        <f>IFERROR(__xludf.DUMMYFUNCTION("""COMPUTED_VALUE"""),875.65)</f>
        <v>875.65</v>
      </c>
      <c r="C179" s="7">
        <f>IFERROR(__xludf.DUMMYFUNCTION("""COMPUTED_VALUE"""),892.5)</f>
        <v>892.5</v>
      </c>
      <c r="D179" s="7">
        <f>IFERROR(__xludf.DUMMYFUNCTION("""COMPUTED_VALUE"""),872.45)</f>
        <v>872.45</v>
      </c>
      <c r="E179" s="7">
        <f>IFERROR(__xludf.DUMMYFUNCTION("""COMPUTED_VALUE"""),884.1)</f>
        <v>884.1</v>
      </c>
      <c r="F179" s="7">
        <f>IFERROR(__xludf.DUMMYFUNCTION("""COMPUTED_VALUE"""),6679702.0)</f>
        <v>6679702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f>IFERROR(__xludf.DUMMYFUNCTION("""COMPUTED_VALUE"""),45817.64583333333)</f>
        <v>45817.64583</v>
      </c>
      <c r="B180" s="7">
        <f>IFERROR(__xludf.DUMMYFUNCTION("""COMPUTED_VALUE"""),888.5)</f>
        <v>888.5</v>
      </c>
      <c r="C180" s="7">
        <f>IFERROR(__xludf.DUMMYFUNCTION("""COMPUTED_VALUE"""),908.4)</f>
        <v>908.4</v>
      </c>
      <c r="D180" s="7">
        <f>IFERROR(__xludf.DUMMYFUNCTION("""COMPUTED_VALUE"""),876.0)</f>
        <v>876</v>
      </c>
      <c r="E180" s="7">
        <f>IFERROR(__xludf.DUMMYFUNCTION("""COMPUTED_VALUE"""),901.4)</f>
        <v>901.4</v>
      </c>
      <c r="F180" s="7">
        <f>IFERROR(__xludf.DUMMYFUNCTION("""COMPUTED_VALUE"""),6802393.0)</f>
        <v>6802393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f>IFERROR(__xludf.DUMMYFUNCTION("""COMPUTED_VALUE"""),45818.64583333333)</f>
        <v>45818.64583</v>
      </c>
      <c r="B181" s="7">
        <f>IFERROR(__xludf.DUMMYFUNCTION("""COMPUTED_VALUE"""),907.15)</f>
        <v>907.15</v>
      </c>
      <c r="C181" s="7">
        <f>IFERROR(__xludf.DUMMYFUNCTION("""COMPUTED_VALUE"""),921.0)</f>
        <v>921</v>
      </c>
      <c r="D181" s="7">
        <f>IFERROR(__xludf.DUMMYFUNCTION("""COMPUTED_VALUE"""),896.45)</f>
        <v>896.45</v>
      </c>
      <c r="E181" s="7">
        <f>IFERROR(__xludf.DUMMYFUNCTION("""COMPUTED_VALUE"""),915.5)</f>
        <v>915.5</v>
      </c>
      <c r="F181" s="7">
        <f>IFERROR(__xludf.DUMMYFUNCTION("""COMPUTED_VALUE"""),8134942.0)</f>
        <v>8134942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f>IFERROR(__xludf.DUMMYFUNCTION("""COMPUTED_VALUE"""),45819.64583333333)</f>
        <v>45819.64583</v>
      </c>
      <c r="B182" s="7">
        <f>IFERROR(__xludf.DUMMYFUNCTION("""COMPUTED_VALUE"""),919.85)</f>
        <v>919.85</v>
      </c>
      <c r="C182" s="7">
        <f>IFERROR(__xludf.DUMMYFUNCTION("""COMPUTED_VALUE"""),924.35)</f>
        <v>924.35</v>
      </c>
      <c r="D182" s="7">
        <f>IFERROR(__xludf.DUMMYFUNCTION("""COMPUTED_VALUE"""),895.0)</f>
        <v>895</v>
      </c>
      <c r="E182" s="7">
        <f>IFERROR(__xludf.DUMMYFUNCTION("""COMPUTED_VALUE"""),904.5)</f>
        <v>904.5</v>
      </c>
      <c r="F182" s="7">
        <f>IFERROR(__xludf.DUMMYFUNCTION("""COMPUTED_VALUE"""),5473555.0)</f>
        <v>5473555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f>IFERROR(__xludf.DUMMYFUNCTION("""COMPUTED_VALUE"""),45820.64583333333)</f>
        <v>45820.64583</v>
      </c>
      <c r="B183" s="7">
        <f>IFERROR(__xludf.DUMMYFUNCTION("""COMPUTED_VALUE"""),908.4)</f>
        <v>908.4</v>
      </c>
      <c r="C183" s="7">
        <f>IFERROR(__xludf.DUMMYFUNCTION("""COMPUTED_VALUE"""),909.95)</f>
        <v>909.95</v>
      </c>
      <c r="D183" s="7">
        <f>IFERROR(__xludf.DUMMYFUNCTION("""COMPUTED_VALUE"""),868.05)</f>
        <v>868.05</v>
      </c>
      <c r="E183" s="7">
        <f>IFERROR(__xludf.DUMMYFUNCTION("""COMPUTED_VALUE"""),876.95)</f>
        <v>876.95</v>
      </c>
      <c r="F183" s="7">
        <f>IFERROR(__xludf.DUMMYFUNCTION("""COMPUTED_VALUE"""),3852260.0)</f>
        <v>3852260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f>IFERROR(__xludf.DUMMYFUNCTION("""COMPUTED_VALUE"""),45821.64583333333)</f>
        <v>45821.64583</v>
      </c>
      <c r="B184" s="7">
        <f>IFERROR(__xludf.DUMMYFUNCTION("""COMPUTED_VALUE"""),860.0)</f>
        <v>860</v>
      </c>
      <c r="C184" s="7">
        <f>IFERROR(__xludf.DUMMYFUNCTION("""COMPUTED_VALUE"""),871.75)</f>
        <v>871.75</v>
      </c>
      <c r="D184" s="7">
        <f>IFERROR(__xludf.DUMMYFUNCTION("""COMPUTED_VALUE"""),851.7)</f>
        <v>851.7</v>
      </c>
      <c r="E184" s="7">
        <f>IFERROR(__xludf.DUMMYFUNCTION("""COMPUTED_VALUE"""),861.0)</f>
        <v>861</v>
      </c>
      <c r="F184" s="7">
        <f>IFERROR(__xludf.DUMMYFUNCTION("""COMPUTED_VALUE"""),4262332.0)</f>
        <v>4262332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f>IFERROR(__xludf.DUMMYFUNCTION("""COMPUTED_VALUE"""),45824.64583333333)</f>
        <v>45824.64583</v>
      </c>
      <c r="B185" s="7">
        <f>IFERROR(__xludf.DUMMYFUNCTION("""COMPUTED_VALUE"""),861.0)</f>
        <v>861</v>
      </c>
      <c r="C185" s="7">
        <f>IFERROR(__xludf.DUMMYFUNCTION("""COMPUTED_VALUE"""),871.0)</f>
        <v>871</v>
      </c>
      <c r="D185" s="7">
        <f>IFERROR(__xludf.DUMMYFUNCTION("""COMPUTED_VALUE"""),849.45)</f>
        <v>849.45</v>
      </c>
      <c r="E185" s="7">
        <f>IFERROR(__xludf.DUMMYFUNCTION("""COMPUTED_VALUE"""),865.7)</f>
        <v>865.7</v>
      </c>
      <c r="F185" s="7">
        <f>IFERROR(__xludf.DUMMYFUNCTION("""COMPUTED_VALUE"""),2424281.0)</f>
        <v>2424281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f>IFERROR(__xludf.DUMMYFUNCTION("""COMPUTED_VALUE"""),45825.64583333333)</f>
        <v>45825.64583</v>
      </c>
      <c r="B186" s="7">
        <f>IFERROR(__xludf.DUMMYFUNCTION("""COMPUTED_VALUE"""),866.0)</f>
        <v>866</v>
      </c>
      <c r="C186" s="7">
        <f>IFERROR(__xludf.DUMMYFUNCTION("""COMPUTED_VALUE"""),867.35)</f>
        <v>867.35</v>
      </c>
      <c r="D186" s="7">
        <f>IFERROR(__xludf.DUMMYFUNCTION("""COMPUTED_VALUE"""),846.05)</f>
        <v>846.05</v>
      </c>
      <c r="E186" s="7">
        <f>IFERROR(__xludf.DUMMYFUNCTION("""COMPUTED_VALUE"""),848.85)</f>
        <v>848.85</v>
      </c>
      <c r="F186" s="7">
        <f>IFERROR(__xludf.DUMMYFUNCTION("""COMPUTED_VALUE"""),1247192.0)</f>
        <v>1247192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f>IFERROR(__xludf.DUMMYFUNCTION("""COMPUTED_VALUE"""),45826.64583333333)</f>
        <v>45826.64583</v>
      </c>
      <c r="B187" s="7">
        <f>IFERROR(__xludf.DUMMYFUNCTION("""COMPUTED_VALUE"""),848.95)</f>
        <v>848.95</v>
      </c>
      <c r="C187" s="7">
        <f>IFERROR(__xludf.DUMMYFUNCTION("""COMPUTED_VALUE"""),858.55)</f>
        <v>858.55</v>
      </c>
      <c r="D187" s="7">
        <f>IFERROR(__xludf.DUMMYFUNCTION("""COMPUTED_VALUE"""),834.6)</f>
        <v>834.6</v>
      </c>
      <c r="E187" s="7">
        <f>IFERROR(__xludf.DUMMYFUNCTION("""COMPUTED_VALUE"""),846.45)</f>
        <v>846.45</v>
      </c>
      <c r="F187" s="7">
        <f>IFERROR(__xludf.DUMMYFUNCTION("""COMPUTED_VALUE"""),1943400.0)</f>
        <v>1943400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f>IFERROR(__xludf.DUMMYFUNCTION("""COMPUTED_VALUE"""),45827.64583333333)</f>
        <v>45827.64583</v>
      </c>
      <c r="B188" s="7">
        <f>IFERROR(__xludf.DUMMYFUNCTION("""COMPUTED_VALUE"""),845.0)</f>
        <v>845</v>
      </c>
      <c r="C188" s="7">
        <f>IFERROR(__xludf.DUMMYFUNCTION("""COMPUTED_VALUE"""),849.05)</f>
        <v>849.05</v>
      </c>
      <c r="D188" s="7">
        <f>IFERROR(__xludf.DUMMYFUNCTION("""COMPUTED_VALUE"""),818.0)</f>
        <v>818</v>
      </c>
      <c r="E188" s="7">
        <f>IFERROR(__xludf.DUMMYFUNCTION("""COMPUTED_VALUE"""),823.6)</f>
        <v>823.6</v>
      </c>
      <c r="F188" s="7">
        <f>IFERROR(__xludf.DUMMYFUNCTION("""COMPUTED_VALUE"""),1666745.0)</f>
        <v>1666745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f>IFERROR(__xludf.DUMMYFUNCTION("""COMPUTED_VALUE"""),45828.64583333333)</f>
        <v>45828.64583</v>
      </c>
      <c r="B189" s="7">
        <f>IFERROR(__xludf.DUMMYFUNCTION("""COMPUTED_VALUE"""),826.0)</f>
        <v>826</v>
      </c>
      <c r="C189" s="7">
        <f>IFERROR(__xludf.DUMMYFUNCTION("""COMPUTED_VALUE"""),840.9)</f>
        <v>840.9</v>
      </c>
      <c r="D189" s="7">
        <f>IFERROR(__xludf.DUMMYFUNCTION("""COMPUTED_VALUE"""),823.35)</f>
        <v>823.35</v>
      </c>
      <c r="E189" s="7">
        <f>IFERROR(__xludf.DUMMYFUNCTION("""COMPUTED_VALUE"""),828.1)</f>
        <v>828.1</v>
      </c>
      <c r="F189" s="7">
        <f>IFERROR(__xludf.DUMMYFUNCTION("""COMPUTED_VALUE"""),6345674.0)</f>
        <v>6345674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f>IFERROR(__xludf.DUMMYFUNCTION("""COMPUTED_VALUE"""),45831.64583333333)</f>
        <v>45831.64583</v>
      </c>
      <c r="B190" s="7">
        <f>IFERROR(__xludf.DUMMYFUNCTION("""COMPUTED_VALUE"""),817.95)</f>
        <v>817.95</v>
      </c>
      <c r="C190" s="7">
        <f>IFERROR(__xludf.DUMMYFUNCTION("""COMPUTED_VALUE"""),842.55)</f>
        <v>842.55</v>
      </c>
      <c r="D190" s="7">
        <f>IFERROR(__xludf.DUMMYFUNCTION("""COMPUTED_VALUE"""),817.8)</f>
        <v>817.8</v>
      </c>
      <c r="E190" s="7">
        <f>IFERROR(__xludf.DUMMYFUNCTION("""COMPUTED_VALUE"""),837.2)</f>
        <v>837.2</v>
      </c>
      <c r="F190" s="7">
        <f>IFERROR(__xludf.DUMMYFUNCTION("""COMPUTED_VALUE"""),1079104.0)</f>
        <v>1079104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f>IFERROR(__xludf.DUMMYFUNCTION("""COMPUTED_VALUE"""),45832.64583333333)</f>
        <v>45832.64583</v>
      </c>
      <c r="B191" s="7">
        <f>IFERROR(__xludf.DUMMYFUNCTION("""COMPUTED_VALUE"""),852.0)</f>
        <v>852</v>
      </c>
      <c r="C191" s="7">
        <f>IFERROR(__xludf.DUMMYFUNCTION("""COMPUTED_VALUE"""),866.6)</f>
        <v>866.6</v>
      </c>
      <c r="D191" s="7">
        <f>IFERROR(__xludf.DUMMYFUNCTION("""COMPUTED_VALUE"""),848.0)</f>
        <v>848</v>
      </c>
      <c r="E191" s="7">
        <f>IFERROR(__xludf.DUMMYFUNCTION("""COMPUTED_VALUE"""),851.85)</f>
        <v>851.85</v>
      </c>
      <c r="F191" s="7">
        <f>IFERROR(__xludf.DUMMYFUNCTION("""COMPUTED_VALUE"""),1922183.0)</f>
        <v>1922183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f>IFERROR(__xludf.DUMMYFUNCTION("""COMPUTED_VALUE"""),45833.64583333333)</f>
        <v>45833.64583</v>
      </c>
      <c r="B192" s="7">
        <f>IFERROR(__xludf.DUMMYFUNCTION("""COMPUTED_VALUE"""),856.35)</f>
        <v>856.35</v>
      </c>
      <c r="C192" s="7">
        <f>IFERROR(__xludf.DUMMYFUNCTION("""COMPUTED_VALUE"""),863.7)</f>
        <v>863.7</v>
      </c>
      <c r="D192" s="7">
        <f>IFERROR(__xludf.DUMMYFUNCTION("""COMPUTED_VALUE"""),847.05)</f>
        <v>847.05</v>
      </c>
      <c r="E192" s="7">
        <f>IFERROR(__xludf.DUMMYFUNCTION("""COMPUTED_VALUE"""),850.2)</f>
        <v>850.2</v>
      </c>
      <c r="F192" s="7">
        <f>IFERROR(__xludf.DUMMYFUNCTION("""COMPUTED_VALUE"""),2316935.0)</f>
        <v>2316935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f>IFERROR(__xludf.DUMMYFUNCTION("""COMPUTED_VALUE"""),45834.64583333333)</f>
        <v>45834.64583</v>
      </c>
      <c r="B193" s="7">
        <f>IFERROR(__xludf.DUMMYFUNCTION("""COMPUTED_VALUE"""),854.25)</f>
        <v>854.25</v>
      </c>
      <c r="C193" s="7">
        <f>IFERROR(__xludf.DUMMYFUNCTION("""COMPUTED_VALUE"""),866.5)</f>
        <v>866.5</v>
      </c>
      <c r="D193" s="7">
        <f>IFERROR(__xludf.DUMMYFUNCTION("""COMPUTED_VALUE"""),851.0)</f>
        <v>851</v>
      </c>
      <c r="E193" s="7">
        <f>IFERROR(__xludf.DUMMYFUNCTION("""COMPUTED_VALUE"""),864.75)</f>
        <v>864.75</v>
      </c>
      <c r="F193" s="7">
        <f>IFERROR(__xludf.DUMMYFUNCTION("""COMPUTED_VALUE"""),2717149.0)</f>
        <v>2717149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f>IFERROR(__xludf.DUMMYFUNCTION("""COMPUTED_VALUE"""),45835.64583333333)</f>
        <v>45835.64583</v>
      </c>
      <c r="B194" s="7">
        <f>IFERROR(__xludf.DUMMYFUNCTION("""COMPUTED_VALUE"""),865.0)</f>
        <v>865</v>
      </c>
      <c r="C194" s="7">
        <f>IFERROR(__xludf.DUMMYFUNCTION("""COMPUTED_VALUE"""),900.85)</f>
        <v>900.85</v>
      </c>
      <c r="D194" s="7">
        <f>IFERROR(__xludf.DUMMYFUNCTION("""COMPUTED_VALUE"""),863.0)</f>
        <v>863</v>
      </c>
      <c r="E194" s="7">
        <f>IFERROR(__xludf.DUMMYFUNCTION("""COMPUTED_VALUE"""),883.7)</f>
        <v>883.7</v>
      </c>
      <c r="F194" s="7">
        <f>IFERROR(__xludf.DUMMYFUNCTION("""COMPUTED_VALUE"""),3118143.0)</f>
        <v>3118143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f>IFERROR(__xludf.DUMMYFUNCTION("""COMPUTED_VALUE"""),45838.64583333333)</f>
        <v>45838.64583</v>
      </c>
      <c r="B195" s="7">
        <f>IFERROR(__xludf.DUMMYFUNCTION("""COMPUTED_VALUE"""),886.0)</f>
        <v>886</v>
      </c>
      <c r="C195" s="7">
        <f>IFERROR(__xludf.DUMMYFUNCTION("""COMPUTED_VALUE"""),887.45)</f>
        <v>887.45</v>
      </c>
      <c r="D195" s="7">
        <f>IFERROR(__xludf.DUMMYFUNCTION("""COMPUTED_VALUE"""),874.7)</f>
        <v>874.7</v>
      </c>
      <c r="E195" s="7">
        <f>IFERROR(__xludf.DUMMYFUNCTION("""COMPUTED_VALUE"""),881.75)</f>
        <v>881.75</v>
      </c>
      <c r="F195" s="7">
        <f>IFERROR(__xludf.DUMMYFUNCTION("""COMPUTED_VALUE"""),1673237.0)</f>
        <v>1673237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f>IFERROR(__xludf.DUMMYFUNCTION("""COMPUTED_VALUE"""),45839.64583333333)</f>
        <v>45839.64583</v>
      </c>
      <c r="B196" s="7">
        <f>IFERROR(__xludf.DUMMYFUNCTION("""COMPUTED_VALUE"""),884.0)</f>
        <v>884</v>
      </c>
      <c r="C196" s="7">
        <f>IFERROR(__xludf.DUMMYFUNCTION("""COMPUTED_VALUE"""),892.3)</f>
        <v>892.3</v>
      </c>
      <c r="D196" s="7">
        <f>IFERROR(__xludf.DUMMYFUNCTION("""COMPUTED_VALUE"""),871.0)</f>
        <v>871</v>
      </c>
      <c r="E196" s="7">
        <f>IFERROR(__xludf.DUMMYFUNCTION("""COMPUTED_VALUE"""),872.4)</f>
        <v>872.4</v>
      </c>
      <c r="F196" s="7">
        <f>IFERROR(__xludf.DUMMYFUNCTION("""COMPUTED_VALUE"""),1874380.0)</f>
        <v>1874380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f>IFERROR(__xludf.DUMMYFUNCTION("""COMPUTED_VALUE"""),45840.64583333333)</f>
        <v>45840.64583</v>
      </c>
      <c r="B197" s="7">
        <f>IFERROR(__xludf.DUMMYFUNCTION("""COMPUTED_VALUE"""),876.0)</f>
        <v>876</v>
      </c>
      <c r="C197" s="7">
        <f>IFERROR(__xludf.DUMMYFUNCTION("""COMPUTED_VALUE"""),888.85)</f>
        <v>888.85</v>
      </c>
      <c r="D197" s="7">
        <f>IFERROR(__xludf.DUMMYFUNCTION("""COMPUTED_VALUE"""),869.4)</f>
        <v>869.4</v>
      </c>
      <c r="E197" s="7">
        <f>IFERROR(__xludf.DUMMYFUNCTION("""COMPUTED_VALUE"""),878.8)</f>
        <v>878.8</v>
      </c>
      <c r="F197" s="7">
        <f>IFERROR(__xludf.DUMMYFUNCTION("""COMPUTED_VALUE"""),2946152.0)</f>
        <v>2946152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f>IFERROR(__xludf.DUMMYFUNCTION("""COMPUTED_VALUE"""),45841.64583333333)</f>
        <v>45841.64583</v>
      </c>
      <c r="B198" s="7">
        <f>IFERROR(__xludf.DUMMYFUNCTION("""COMPUTED_VALUE"""),878.85)</f>
        <v>878.85</v>
      </c>
      <c r="C198" s="7">
        <f>IFERROR(__xludf.DUMMYFUNCTION("""COMPUTED_VALUE"""),882.15)</f>
        <v>882.15</v>
      </c>
      <c r="D198" s="7">
        <f>IFERROR(__xludf.DUMMYFUNCTION("""COMPUTED_VALUE"""),867.55)</f>
        <v>867.55</v>
      </c>
      <c r="E198" s="7">
        <f>IFERROR(__xludf.DUMMYFUNCTION("""COMPUTED_VALUE"""),875.25)</f>
        <v>875.25</v>
      </c>
      <c r="F198" s="7">
        <f>IFERROR(__xludf.DUMMYFUNCTION("""COMPUTED_VALUE"""),3905266.0)</f>
        <v>3905266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f>IFERROR(__xludf.DUMMYFUNCTION("""COMPUTED_VALUE"""),45842.64583333333)</f>
        <v>45842.64583</v>
      </c>
      <c r="B199" s="7">
        <f>IFERROR(__xludf.DUMMYFUNCTION("""COMPUTED_VALUE"""),875.8)</f>
        <v>875.8</v>
      </c>
      <c r="C199" s="7">
        <f>IFERROR(__xludf.DUMMYFUNCTION("""COMPUTED_VALUE"""),884.0)</f>
        <v>884</v>
      </c>
      <c r="D199" s="7">
        <f>IFERROR(__xludf.DUMMYFUNCTION("""COMPUTED_VALUE"""),867.15)</f>
        <v>867.15</v>
      </c>
      <c r="E199" s="7">
        <f>IFERROR(__xludf.DUMMYFUNCTION("""COMPUTED_VALUE"""),877.2)</f>
        <v>877.2</v>
      </c>
      <c r="F199" s="7">
        <f>IFERROR(__xludf.DUMMYFUNCTION("""COMPUTED_VALUE"""),4081958.0)</f>
        <v>4081958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f>IFERROR(__xludf.DUMMYFUNCTION("""COMPUTED_VALUE"""),45845.64583333333)</f>
        <v>45845.64583</v>
      </c>
      <c r="B200" s="7">
        <f>IFERROR(__xludf.DUMMYFUNCTION("""COMPUTED_VALUE"""),876.0)</f>
        <v>876</v>
      </c>
      <c r="C200" s="7">
        <f>IFERROR(__xludf.DUMMYFUNCTION("""COMPUTED_VALUE"""),887.55)</f>
        <v>887.55</v>
      </c>
      <c r="D200" s="7">
        <f>IFERROR(__xludf.DUMMYFUNCTION("""COMPUTED_VALUE"""),871.05)</f>
        <v>871.05</v>
      </c>
      <c r="E200" s="7">
        <f>IFERROR(__xludf.DUMMYFUNCTION("""COMPUTED_VALUE"""),883.35)</f>
        <v>883.35</v>
      </c>
      <c r="F200" s="7">
        <f>IFERROR(__xludf.DUMMYFUNCTION("""COMPUTED_VALUE"""),3740997.0)</f>
        <v>3740997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f>IFERROR(__xludf.DUMMYFUNCTION("""COMPUTED_VALUE"""),45846.64583333333)</f>
        <v>45846.64583</v>
      </c>
      <c r="B201" s="7">
        <f>IFERROR(__xludf.DUMMYFUNCTION("""COMPUTED_VALUE"""),886.0)</f>
        <v>886</v>
      </c>
      <c r="C201" s="7">
        <f>IFERROR(__xludf.DUMMYFUNCTION("""COMPUTED_VALUE"""),892.5)</f>
        <v>892.5</v>
      </c>
      <c r="D201" s="7">
        <f>IFERROR(__xludf.DUMMYFUNCTION("""COMPUTED_VALUE"""),876.0)</f>
        <v>876</v>
      </c>
      <c r="E201" s="7">
        <f>IFERROR(__xludf.DUMMYFUNCTION("""COMPUTED_VALUE"""),881.25)</f>
        <v>881.25</v>
      </c>
      <c r="F201" s="7">
        <f>IFERROR(__xludf.DUMMYFUNCTION("""COMPUTED_VALUE"""),2733928.0)</f>
        <v>2733928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f>IFERROR(__xludf.DUMMYFUNCTION("""COMPUTED_VALUE"""),45847.64583333333)</f>
        <v>45847.64583</v>
      </c>
      <c r="B202" s="7">
        <f>IFERROR(__xludf.DUMMYFUNCTION("""COMPUTED_VALUE"""),886.7)</f>
        <v>886.7</v>
      </c>
      <c r="C202" s="7">
        <f>IFERROR(__xludf.DUMMYFUNCTION("""COMPUTED_VALUE"""),904.5)</f>
        <v>904.5</v>
      </c>
      <c r="D202" s="7">
        <f>IFERROR(__xludf.DUMMYFUNCTION("""COMPUTED_VALUE"""),885.55)</f>
        <v>885.55</v>
      </c>
      <c r="E202" s="7">
        <f>IFERROR(__xludf.DUMMYFUNCTION("""COMPUTED_VALUE"""),890.15)</f>
        <v>890.15</v>
      </c>
      <c r="F202" s="7">
        <f>IFERROR(__xludf.DUMMYFUNCTION("""COMPUTED_VALUE"""),3094384.0)</f>
        <v>3094384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f>IFERROR(__xludf.DUMMYFUNCTION("""COMPUTED_VALUE"""),45848.64583333333)</f>
        <v>45848.64583</v>
      </c>
      <c r="B203" s="7">
        <f>IFERROR(__xludf.DUMMYFUNCTION("""COMPUTED_VALUE"""),893.9)</f>
        <v>893.9</v>
      </c>
      <c r="C203" s="7">
        <f>IFERROR(__xludf.DUMMYFUNCTION("""COMPUTED_VALUE"""),907.7)</f>
        <v>907.7</v>
      </c>
      <c r="D203" s="7">
        <f>IFERROR(__xludf.DUMMYFUNCTION("""COMPUTED_VALUE"""),887.0)</f>
        <v>887</v>
      </c>
      <c r="E203" s="7">
        <f>IFERROR(__xludf.DUMMYFUNCTION("""COMPUTED_VALUE"""),891.05)</f>
        <v>891.05</v>
      </c>
      <c r="F203" s="7">
        <f>IFERROR(__xludf.DUMMYFUNCTION("""COMPUTED_VALUE"""),1367248.0)</f>
        <v>1367248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f>IFERROR(__xludf.DUMMYFUNCTION("""COMPUTED_VALUE"""),45849.64583333333)</f>
        <v>45849.64583</v>
      </c>
      <c r="B204" s="7">
        <f>IFERROR(__xludf.DUMMYFUNCTION("""COMPUTED_VALUE"""),894.0)</f>
        <v>894</v>
      </c>
      <c r="C204" s="7">
        <f>IFERROR(__xludf.DUMMYFUNCTION("""COMPUTED_VALUE"""),895.55)</f>
        <v>895.55</v>
      </c>
      <c r="D204" s="7">
        <f>IFERROR(__xludf.DUMMYFUNCTION("""COMPUTED_VALUE"""),869.1)</f>
        <v>869.1</v>
      </c>
      <c r="E204" s="7">
        <f>IFERROR(__xludf.DUMMYFUNCTION("""COMPUTED_VALUE"""),874.05)</f>
        <v>874.05</v>
      </c>
      <c r="F204" s="7">
        <f>IFERROR(__xludf.DUMMYFUNCTION("""COMPUTED_VALUE"""),989521.0)</f>
        <v>989521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f>IFERROR(__xludf.DUMMYFUNCTION("""COMPUTED_VALUE"""),45852.64583333333)</f>
        <v>45852.64583</v>
      </c>
      <c r="B205" s="7">
        <f>IFERROR(__xludf.DUMMYFUNCTION("""COMPUTED_VALUE"""),876.8)</f>
        <v>876.8</v>
      </c>
      <c r="C205" s="7">
        <f>IFERROR(__xludf.DUMMYFUNCTION("""COMPUTED_VALUE"""),886.55)</f>
        <v>886.55</v>
      </c>
      <c r="D205" s="7">
        <f>IFERROR(__xludf.DUMMYFUNCTION("""COMPUTED_VALUE"""),867.3)</f>
        <v>867.3</v>
      </c>
      <c r="E205" s="7">
        <f>IFERROR(__xludf.DUMMYFUNCTION("""COMPUTED_VALUE"""),880.5)</f>
        <v>880.5</v>
      </c>
      <c r="F205" s="7">
        <f>IFERROR(__xludf.DUMMYFUNCTION("""COMPUTED_VALUE"""),857740.0)</f>
        <v>857740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f>IFERROR(__xludf.DUMMYFUNCTION("""COMPUTED_VALUE"""),45853.64583333333)</f>
        <v>45853.64583</v>
      </c>
      <c r="B206" s="7">
        <f>IFERROR(__xludf.DUMMYFUNCTION("""COMPUTED_VALUE"""),881.0)</f>
        <v>881</v>
      </c>
      <c r="C206" s="7">
        <f>IFERROR(__xludf.DUMMYFUNCTION("""COMPUTED_VALUE"""),887.8)</f>
        <v>887.8</v>
      </c>
      <c r="D206" s="7">
        <f>IFERROR(__xludf.DUMMYFUNCTION("""COMPUTED_VALUE"""),873.3)</f>
        <v>873.3</v>
      </c>
      <c r="E206" s="7">
        <f>IFERROR(__xludf.DUMMYFUNCTION("""COMPUTED_VALUE"""),879.75)</f>
        <v>879.75</v>
      </c>
      <c r="F206" s="7">
        <f>IFERROR(__xludf.DUMMYFUNCTION("""COMPUTED_VALUE"""),767520.0)</f>
        <v>767520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f>IFERROR(__xludf.DUMMYFUNCTION("""COMPUTED_VALUE"""),45854.64583333333)</f>
        <v>45854.64583</v>
      </c>
      <c r="B207" s="7">
        <f>IFERROR(__xludf.DUMMYFUNCTION("""COMPUTED_VALUE"""),880.5)</f>
        <v>880.5</v>
      </c>
      <c r="C207" s="7">
        <f>IFERROR(__xludf.DUMMYFUNCTION("""COMPUTED_VALUE"""),886.85)</f>
        <v>886.85</v>
      </c>
      <c r="D207" s="7">
        <f>IFERROR(__xludf.DUMMYFUNCTION("""COMPUTED_VALUE"""),875.05)</f>
        <v>875.05</v>
      </c>
      <c r="E207" s="7">
        <f>IFERROR(__xludf.DUMMYFUNCTION("""COMPUTED_VALUE"""),876.6)</f>
        <v>876.6</v>
      </c>
      <c r="F207" s="7">
        <f>IFERROR(__xludf.DUMMYFUNCTION("""COMPUTED_VALUE"""),593638.0)</f>
        <v>593638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f>IFERROR(__xludf.DUMMYFUNCTION("""COMPUTED_VALUE"""),45855.64583333333)</f>
        <v>45855.64583</v>
      </c>
      <c r="B208" s="7">
        <f>IFERROR(__xludf.DUMMYFUNCTION("""COMPUTED_VALUE"""),879.95)</f>
        <v>879.95</v>
      </c>
      <c r="C208" s="7">
        <f>IFERROR(__xludf.DUMMYFUNCTION("""COMPUTED_VALUE"""),884.0)</f>
        <v>884</v>
      </c>
      <c r="D208" s="7">
        <f>IFERROR(__xludf.DUMMYFUNCTION("""COMPUTED_VALUE"""),872.0)</f>
        <v>872</v>
      </c>
      <c r="E208" s="7">
        <f>IFERROR(__xludf.DUMMYFUNCTION("""COMPUTED_VALUE"""),873.35)</f>
        <v>873.35</v>
      </c>
      <c r="F208" s="7">
        <f>IFERROR(__xludf.DUMMYFUNCTION("""COMPUTED_VALUE"""),614709.0)</f>
        <v>614709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f>IFERROR(__xludf.DUMMYFUNCTION("""COMPUTED_VALUE"""),45856.64583333333)</f>
        <v>45856.64583</v>
      </c>
      <c r="B209" s="7">
        <f>IFERROR(__xludf.DUMMYFUNCTION("""COMPUTED_VALUE"""),876.9)</f>
        <v>876.9</v>
      </c>
      <c r="C209" s="7">
        <f>IFERROR(__xludf.DUMMYFUNCTION("""COMPUTED_VALUE"""),882.95)</f>
        <v>882.95</v>
      </c>
      <c r="D209" s="7">
        <f>IFERROR(__xludf.DUMMYFUNCTION("""COMPUTED_VALUE"""),867.0)</f>
        <v>867</v>
      </c>
      <c r="E209" s="7">
        <f>IFERROR(__xludf.DUMMYFUNCTION("""COMPUTED_VALUE"""),869.35)</f>
        <v>869.35</v>
      </c>
      <c r="F209" s="7">
        <f>IFERROR(__xludf.DUMMYFUNCTION("""COMPUTED_VALUE"""),1444579.0)</f>
        <v>1444579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f>IFERROR(__xludf.DUMMYFUNCTION("""COMPUTED_VALUE"""),45859.64583333333)</f>
        <v>45859.64583</v>
      </c>
      <c r="B210" s="7">
        <f>IFERROR(__xludf.DUMMYFUNCTION("""COMPUTED_VALUE"""),870.95)</f>
        <v>870.95</v>
      </c>
      <c r="C210" s="7">
        <f>IFERROR(__xludf.DUMMYFUNCTION("""COMPUTED_VALUE"""),881.0)</f>
        <v>881</v>
      </c>
      <c r="D210" s="7">
        <f>IFERROR(__xludf.DUMMYFUNCTION("""COMPUTED_VALUE"""),862.1)</f>
        <v>862.1</v>
      </c>
      <c r="E210" s="7">
        <f>IFERROR(__xludf.DUMMYFUNCTION("""COMPUTED_VALUE"""),871.65)</f>
        <v>871.65</v>
      </c>
      <c r="F210" s="7">
        <f>IFERROR(__xludf.DUMMYFUNCTION("""COMPUTED_VALUE"""),833172.0)</f>
        <v>833172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f>IFERROR(__xludf.DUMMYFUNCTION("""COMPUTED_VALUE"""),45860.64583333333)</f>
        <v>45860.64583</v>
      </c>
      <c r="B211" s="7">
        <f>IFERROR(__xludf.DUMMYFUNCTION("""COMPUTED_VALUE"""),876.0)</f>
        <v>876</v>
      </c>
      <c r="C211" s="7">
        <f>IFERROR(__xludf.DUMMYFUNCTION("""COMPUTED_VALUE"""),879.8)</f>
        <v>879.8</v>
      </c>
      <c r="D211" s="7">
        <f>IFERROR(__xludf.DUMMYFUNCTION("""COMPUTED_VALUE"""),864.2)</f>
        <v>864.2</v>
      </c>
      <c r="E211" s="7">
        <f>IFERROR(__xludf.DUMMYFUNCTION("""COMPUTED_VALUE"""),867.2)</f>
        <v>867.2</v>
      </c>
      <c r="F211" s="7">
        <f>IFERROR(__xludf.DUMMYFUNCTION("""COMPUTED_VALUE"""),650289.0)</f>
        <v>650289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f>IFERROR(__xludf.DUMMYFUNCTION("""COMPUTED_VALUE"""),45861.64583333333)</f>
        <v>45861.64583</v>
      </c>
      <c r="B212" s="7">
        <f>IFERROR(__xludf.DUMMYFUNCTION("""COMPUTED_VALUE"""),871.7)</f>
        <v>871.7</v>
      </c>
      <c r="C212" s="7">
        <f>IFERROR(__xludf.DUMMYFUNCTION("""COMPUTED_VALUE"""),874.1)</f>
        <v>874.1</v>
      </c>
      <c r="D212" s="7">
        <f>IFERROR(__xludf.DUMMYFUNCTION("""COMPUTED_VALUE"""),861.5)</f>
        <v>861.5</v>
      </c>
      <c r="E212" s="7">
        <f>IFERROR(__xludf.DUMMYFUNCTION("""COMPUTED_VALUE"""),863.1)</f>
        <v>863.1</v>
      </c>
      <c r="F212" s="7">
        <f>IFERROR(__xludf.DUMMYFUNCTION("""COMPUTED_VALUE"""),724832.0)</f>
        <v>724832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f>IFERROR(__xludf.DUMMYFUNCTION("""COMPUTED_VALUE"""),45862.64583333333)</f>
        <v>45862.64583</v>
      </c>
      <c r="B213" s="7">
        <f>IFERROR(__xludf.DUMMYFUNCTION("""COMPUTED_VALUE"""),868.0)</f>
        <v>868</v>
      </c>
      <c r="C213" s="7">
        <f>IFERROR(__xludf.DUMMYFUNCTION("""COMPUTED_VALUE"""),868.0)</f>
        <v>868</v>
      </c>
      <c r="D213" s="7">
        <f>IFERROR(__xludf.DUMMYFUNCTION("""COMPUTED_VALUE"""),844.05)</f>
        <v>844.05</v>
      </c>
      <c r="E213" s="7">
        <f>IFERROR(__xludf.DUMMYFUNCTION("""COMPUTED_VALUE"""),849.05)</f>
        <v>849.05</v>
      </c>
      <c r="F213" s="7">
        <f>IFERROR(__xludf.DUMMYFUNCTION("""COMPUTED_VALUE"""),2179235.0)</f>
        <v>2179235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f>IFERROR(__xludf.DUMMYFUNCTION("""COMPUTED_VALUE"""),45863.64583333333)</f>
        <v>45863.64583</v>
      </c>
      <c r="B214" s="7">
        <f>IFERROR(__xludf.DUMMYFUNCTION("""COMPUTED_VALUE"""),853.35)</f>
        <v>853.35</v>
      </c>
      <c r="C214" s="7">
        <f>IFERROR(__xludf.DUMMYFUNCTION("""COMPUTED_VALUE"""),856.7)</f>
        <v>856.7</v>
      </c>
      <c r="D214" s="7">
        <f>IFERROR(__xludf.DUMMYFUNCTION("""COMPUTED_VALUE"""),812.15)</f>
        <v>812.15</v>
      </c>
      <c r="E214" s="7">
        <f>IFERROR(__xludf.DUMMYFUNCTION("""COMPUTED_VALUE"""),817.15)</f>
        <v>817.15</v>
      </c>
      <c r="F214" s="7">
        <f>IFERROR(__xludf.DUMMYFUNCTION("""COMPUTED_VALUE"""),1813942.0)</f>
        <v>1813942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f>IFERROR(__xludf.DUMMYFUNCTION("""COMPUTED_VALUE"""),45866.64583333333)</f>
        <v>45866.64583</v>
      </c>
      <c r="B215" s="7">
        <f>IFERROR(__xludf.DUMMYFUNCTION("""COMPUTED_VALUE"""),819.7)</f>
        <v>819.7</v>
      </c>
      <c r="C215" s="7">
        <f>IFERROR(__xludf.DUMMYFUNCTION("""COMPUTED_VALUE"""),827.8)</f>
        <v>827.8</v>
      </c>
      <c r="D215" s="7">
        <f>IFERROR(__xludf.DUMMYFUNCTION("""COMPUTED_VALUE"""),813.0)</f>
        <v>813</v>
      </c>
      <c r="E215" s="7">
        <f>IFERROR(__xludf.DUMMYFUNCTION("""COMPUTED_VALUE"""),815.95)</f>
        <v>815.95</v>
      </c>
      <c r="F215" s="7">
        <f>IFERROR(__xludf.DUMMYFUNCTION("""COMPUTED_VALUE"""),831296.0)</f>
        <v>831296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f>IFERROR(__xludf.DUMMYFUNCTION("""COMPUTED_VALUE"""),45867.64583333333)</f>
        <v>45867.64583</v>
      </c>
      <c r="B216" s="7">
        <f>IFERROR(__xludf.DUMMYFUNCTION("""COMPUTED_VALUE"""),819.0)</f>
        <v>819</v>
      </c>
      <c r="C216" s="7">
        <f>IFERROR(__xludf.DUMMYFUNCTION("""COMPUTED_VALUE"""),830.55)</f>
        <v>830.55</v>
      </c>
      <c r="D216" s="7">
        <f>IFERROR(__xludf.DUMMYFUNCTION("""COMPUTED_VALUE"""),800.35)</f>
        <v>800.35</v>
      </c>
      <c r="E216" s="7">
        <f>IFERROR(__xludf.DUMMYFUNCTION("""COMPUTED_VALUE"""),826.95)</f>
        <v>826.95</v>
      </c>
      <c r="F216" s="7">
        <f>IFERROR(__xludf.DUMMYFUNCTION("""COMPUTED_VALUE"""),1171033.0)</f>
        <v>1171033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f>IFERROR(__xludf.DUMMYFUNCTION("""COMPUTED_VALUE"""),45868.64583333333)</f>
        <v>45868.64583</v>
      </c>
      <c r="B217" s="7">
        <f>IFERROR(__xludf.DUMMYFUNCTION("""COMPUTED_VALUE"""),834.0)</f>
        <v>834</v>
      </c>
      <c r="C217" s="7">
        <f>IFERROR(__xludf.DUMMYFUNCTION("""COMPUTED_VALUE"""),834.0)</f>
        <v>834</v>
      </c>
      <c r="D217" s="7">
        <f>IFERROR(__xludf.DUMMYFUNCTION("""COMPUTED_VALUE"""),821.65)</f>
        <v>821.65</v>
      </c>
      <c r="E217" s="7">
        <f>IFERROR(__xludf.DUMMYFUNCTION("""COMPUTED_VALUE"""),823.9)</f>
        <v>823.9</v>
      </c>
      <c r="F217" s="7">
        <f>IFERROR(__xludf.DUMMYFUNCTION("""COMPUTED_VALUE"""),438934.0)</f>
        <v>438934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f>IFERROR(__xludf.DUMMYFUNCTION("""COMPUTED_VALUE"""),45869.64583333333)</f>
        <v>45869.64583</v>
      </c>
      <c r="B218" s="7">
        <f>IFERROR(__xludf.DUMMYFUNCTION("""COMPUTED_VALUE"""),812.05)</f>
        <v>812.05</v>
      </c>
      <c r="C218" s="7">
        <f>IFERROR(__xludf.DUMMYFUNCTION("""COMPUTED_VALUE"""),821.45)</f>
        <v>821.45</v>
      </c>
      <c r="D218" s="7">
        <f>IFERROR(__xludf.DUMMYFUNCTION("""COMPUTED_VALUE"""),806.55)</f>
        <v>806.55</v>
      </c>
      <c r="E218" s="7">
        <f>IFERROR(__xludf.DUMMYFUNCTION("""COMPUTED_VALUE"""),808.4)</f>
        <v>808.4</v>
      </c>
      <c r="F218" s="7">
        <f>IFERROR(__xludf.DUMMYFUNCTION("""COMPUTED_VALUE"""),1026102.0)</f>
        <v>1026102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f>IFERROR(__xludf.DUMMYFUNCTION("""COMPUTED_VALUE"""),45870.64583333333)</f>
        <v>45870.64583</v>
      </c>
      <c r="B219" s="7">
        <f>IFERROR(__xludf.DUMMYFUNCTION("""COMPUTED_VALUE"""),810.1)</f>
        <v>810.1</v>
      </c>
      <c r="C219" s="7">
        <f>IFERROR(__xludf.DUMMYFUNCTION("""COMPUTED_VALUE"""),817.6)</f>
        <v>817.6</v>
      </c>
      <c r="D219" s="7">
        <f>IFERROR(__xludf.DUMMYFUNCTION("""COMPUTED_VALUE"""),791.1)</f>
        <v>791.1</v>
      </c>
      <c r="E219" s="7">
        <f>IFERROR(__xludf.DUMMYFUNCTION("""COMPUTED_VALUE"""),793.05)</f>
        <v>793.05</v>
      </c>
      <c r="F219" s="7">
        <f>IFERROR(__xludf.DUMMYFUNCTION("""COMPUTED_VALUE"""),945768.0)</f>
        <v>945768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f>IFERROR(__xludf.DUMMYFUNCTION("""COMPUTED_VALUE"""),45873.64583333333)</f>
        <v>45873.64583</v>
      </c>
      <c r="B220" s="7">
        <f>IFERROR(__xludf.DUMMYFUNCTION("""COMPUTED_VALUE"""),796.95)</f>
        <v>796.95</v>
      </c>
      <c r="C220" s="7">
        <f>IFERROR(__xludf.DUMMYFUNCTION("""COMPUTED_VALUE"""),803.2)</f>
        <v>803.2</v>
      </c>
      <c r="D220" s="7">
        <f>IFERROR(__xludf.DUMMYFUNCTION("""COMPUTED_VALUE"""),793.05)</f>
        <v>793.05</v>
      </c>
      <c r="E220" s="7">
        <f>IFERROR(__xludf.DUMMYFUNCTION("""COMPUTED_VALUE"""),799.55)</f>
        <v>799.55</v>
      </c>
      <c r="F220" s="7">
        <f>IFERROR(__xludf.DUMMYFUNCTION("""COMPUTED_VALUE"""),909667.0)</f>
        <v>909667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f>IFERROR(__xludf.DUMMYFUNCTION("""COMPUTED_VALUE"""),45874.64583333333)</f>
        <v>45874.64583</v>
      </c>
      <c r="B221" s="7">
        <f>IFERROR(__xludf.DUMMYFUNCTION("""COMPUTED_VALUE"""),803.2)</f>
        <v>803.2</v>
      </c>
      <c r="C221" s="7">
        <f>IFERROR(__xludf.DUMMYFUNCTION("""COMPUTED_VALUE"""),804.7)</f>
        <v>804.7</v>
      </c>
      <c r="D221" s="7">
        <f>IFERROR(__xludf.DUMMYFUNCTION("""COMPUTED_VALUE"""),782.1)</f>
        <v>782.1</v>
      </c>
      <c r="E221" s="7">
        <f>IFERROR(__xludf.DUMMYFUNCTION("""COMPUTED_VALUE"""),802.05)</f>
        <v>802.05</v>
      </c>
      <c r="F221" s="7">
        <f>IFERROR(__xludf.DUMMYFUNCTION("""COMPUTED_VALUE"""),1100031.0)</f>
        <v>1100031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f>IFERROR(__xludf.DUMMYFUNCTION("""COMPUTED_VALUE"""),45875.64583333333)</f>
        <v>45875.64583</v>
      </c>
      <c r="B222" s="7">
        <f>IFERROR(__xludf.DUMMYFUNCTION("""COMPUTED_VALUE"""),802.1)</f>
        <v>802.1</v>
      </c>
      <c r="C222" s="7">
        <f>IFERROR(__xludf.DUMMYFUNCTION("""COMPUTED_VALUE"""),802.15)</f>
        <v>802.15</v>
      </c>
      <c r="D222" s="7">
        <f>IFERROR(__xludf.DUMMYFUNCTION("""COMPUTED_VALUE"""),779.05)</f>
        <v>779.05</v>
      </c>
      <c r="E222" s="7">
        <f>IFERROR(__xludf.DUMMYFUNCTION("""COMPUTED_VALUE"""),791.1)</f>
        <v>791.1</v>
      </c>
      <c r="F222" s="7">
        <f>IFERROR(__xludf.DUMMYFUNCTION("""COMPUTED_VALUE"""),1.5323608E7)</f>
        <v>15323608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f>IFERROR(__xludf.DUMMYFUNCTION("""COMPUTED_VALUE"""),45876.64583333333)</f>
        <v>45876.64583</v>
      </c>
      <c r="B223" s="7">
        <f>IFERROR(__xludf.DUMMYFUNCTION("""COMPUTED_VALUE"""),788.0)</f>
        <v>788</v>
      </c>
      <c r="C223" s="7">
        <f>IFERROR(__xludf.DUMMYFUNCTION("""COMPUTED_VALUE"""),796.2)</f>
        <v>796.2</v>
      </c>
      <c r="D223" s="7">
        <f>IFERROR(__xludf.DUMMYFUNCTION("""COMPUTED_VALUE"""),769.05)</f>
        <v>769.05</v>
      </c>
      <c r="E223" s="7">
        <f>IFERROR(__xludf.DUMMYFUNCTION("""COMPUTED_VALUE"""),794.6)</f>
        <v>794.6</v>
      </c>
      <c r="F223" s="7">
        <f>IFERROR(__xludf.DUMMYFUNCTION("""COMPUTED_VALUE"""),2218077.0)</f>
        <v>2218077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f>IFERROR(__xludf.DUMMYFUNCTION("""COMPUTED_VALUE"""),45877.64583333333)</f>
        <v>45877.64583</v>
      </c>
      <c r="B224" s="7">
        <f>IFERROR(__xludf.DUMMYFUNCTION("""COMPUTED_VALUE"""),794.65)</f>
        <v>794.65</v>
      </c>
      <c r="C224" s="7">
        <f>IFERROR(__xludf.DUMMYFUNCTION("""COMPUTED_VALUE"""),806.35)</f>
        <v>806.35</v>
      </c>
      <c r="D224" s="7">
        <f>IFERROR(__xludf.DUMMYFUNCTION("""COMPUTED_VALUE"""),786.4)</f>
        <v>786.4</v>
      </c>
      <c r="E224" s="7">
        <f>IFERROR(__xludf.DUMMYFUNCTION("""COMPUTED_VALUE"""),790.15)</f>
        <v>790.15</v>
      </c>
      <c r="F224" s="7">
        <f>IFERROR(__xludf.DUMMYFUNCTION("""COMPUTED_VALUE"""),7822530.0)</f>
        <v>7822530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f>IFERROR(__xludf.DUMMYFUNCTION("""COMPUTED_VALUE"""),45880.64583333333)</f>
        <v>45880.64583</v>
      </c>
      <c r="B225" s="7">
        <f>IFERROR(__xludf.DUMMYFUNCTION("""COMPUTED_VALUE"""),788.0)</f>
        <v>788</v>
      </c>
      <c r="C225" s="7">
        <f>IFERROR(__xludf.DUMMYFUNCTION("""COMPUTED_VALUE"""),799.95)</f>
        <v>799.95</v>
      </c>
      <c r="D225" s="7">
        <f>IFERROR(__xludf.DUMMYFUNCTION("""COMPUTED_VALUE"""),785.8)</f>
        <v>785.8</v>
      </c>
      <c r="E225" s="7">
        <f>IFERROR(__xludf.DUMMYFUNCTION("""COMPUTED_VALUE"""),792.0)</f>
        <v>792</v>
      </c>
      <c r="F225" s="7">
        <f>IFERROR(__xludf.DUMMYFUNCTION("""COMPUTED_VALUE"""),950117.0)</f>
        <v>950117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f>IFERROR(__xludf.DUMMYFUNCTION("""COMPUTED_VALUE"""),45881.64583333333)</f>
        <v>45881.64583</v>
      </c>
      <c r="B226" s="7">
        <f>IFERROR(__xludf.DUMMYFUNCTION("""COMPUTED_VALUE"""),793.0)</f>
        <v>793</v>
      </c>
      <c r="C226" s="7">
        <f>IFERROR(__xludf.DUMMYFUNCTION("""COMPUTED_VALUE"""),801.15)</f>
        <v>801.15</v>
      </c>
      <c r="D226" s="7">
        <f>IFERROR(__xludf.DUMMYFUNCTION("""COMPUTED_VALUE"""),784.3)</f>
        <v>784.3</v>
      </c>
      <c r="E226" s="7">
        <f>IFERROR(__xludf.DUMMYFUNCTION("""COMPUTED_VALUE"""),786.75)</f>
        <v>786.75</v>
      </c>
      <c r="F226" s="7">
        <f>IFERROR(__xludf.DUMMYFUNCTION("""COMPUTED_VALUE"""),658384.0)</f>
        <v>658384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f>IFERROR(__xludf.DUMMYFUNCTION("""COMPUTED_VALUE"""),45882.64583333333)</f>
        <v>45882.64583</v>
      </c>
      <c r="B227" s="7">
        <f>IFERROR(__xludf.DUMMYFUNCTION("""COMPUTED_VALUE"""),793.0)</f>
        <v>793</v>
      </c>
      <c r="C227" s="7">
        <f>IFERROR(__xludf.DUMMYFUNCTION("""COMPUTED_VALUE"""),795.65)</f>
        <v>795.65</v>
      </c>
      <c r="D227" s="7">
        <f>IFERROR(__xludf.DUMMYFUNCTION("""COMPUTED_VALUE"""),782.0)</f>
        <v>782</v>
      </c>
      <c r="E227" s="7">
        <f>IFERROR(__xludf.DUMMYFUNCTION("""COMPUTED_VALUE"""),786.3)</f>
        <v>786.3</v>
      </c>
      <c r="F227" s="7">
        <f>IFERROR(__xludf.DUMMYFUNCTION("""COMPUTED_VALUE"""),536807.0)</f>
        <v>536807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f>IFERROR(__xludf.DUMMYFUNCTION("""COMPUTED_VALUE"""),45883.64583333333)</f>
        <v>45883.64583</v>
      </c>
      <c r="B228" s="7">
        <f>IFERROR(__xludf.DUMMYFUNCTION("""COMPUTED_VALUE"""),788.15)</f>
        <v>788.15</v>
      </c>
      <c r="C228" s="7">
        <f>IFERROR(__xludf.DUMMYFUNCTION("""COMPUTED_VALUE"""),791.9)</f>
        <v>791.9</v>
      </c>
      <c r="D228" s="7">
        <f>IFERROR(__xludf.DUMMYFUNCTION("""COMPUTED_VALUE"""),774.45)</f>
        <v>774.45</v>
      </c>
      <c r="E228" s="7">
        <f>IFERROR(__xludf.DUMMYFUNCTION("""COMPUTED_VALUE"""),775.8)</f>
        <v>775.8</v>
      </c>
      <c r="F228" s="7">
        <f>IFERROR(__xludf.DUMMYFUNCTION("""COMPUTED_VALUE"""),6581262.0)</f>
        <v>6581262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f>IFERROR(__xludf.DUMMYFUNCTION("""COMPUTED_VALUE"""),45887.64583333333)</f>
        <v>45887.64583</v>
      </c>
      <c r="B229" s="7">
        <f>IFERROR(__xludf.DUMMYFUNCTION("""COMPUTED_VALUE"""),787.0)</f>
        <v>787</v>
      </c>
      <c r="C229" s="7">
        <f>IFERROR(__xludf.DUMMYFUNCTION("""COMPUTED_VALUE"""),821.65)</f>
        <v>821.65</v>
      </c>
      <c r="D229" s="7">
        <f>IFERROR(__xludf.DUMMYFUNCTION("""COMPUTED_VALUE"""),783.0)</f>
        <v>783</v>
      </c>
      <c r="E229" s="7">
        <f>IFERROR(__xludf.DUMMYFUNCTION("""COMPUTED_VALUE"""),818.75)</f>
        <v>818.75</v>
      </c>
      <c r="F229" s="7">
        <f>IFERROR(__xludf.DUMMYFUNCTION("""COMPUTED_VALUE"""),1776385.0)</f>
        <v>1776385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f>IFERROR(__xludf.DUMMYFUNCTION("""COMPUTED_VALUE"""),45888.64583333333)</f>
        <v>45888.64583</v>
      </c>
      <c r="B230" s="7">
        <f>IFERROR(__xludf.DUMMYFUNCTION("""COMPUTED_VALUE"""),818.75)</f>
        <v>818.75</v>
      </c>
      <c r="C230" s="7">
        <f>IFERROR(__xludf.DUMMYFUNCTION("""COMPUTED_VALUE"""),831.9)</f>
        <v>831.9</v>
      </c>
      <c r="D230" s="7">
        <f>IFERROR(__xludf.DUMMYFUNCTION("""COMPUTED_VALUE"""),813.05)</f>
        <v>813.05</v>
      </c>
      <c r="E230" s="7">
        <f>IFERROR(__xludf.DUMMYFUNCTION("""COMPUTED_VALUE"""),828.2)</f>
        <v>828.2</v>
      </c>
      <c r="F230" s="7">
        <f>IFERROR(__xludf.DUMMYFUNCTION("""COMPUTED_VALUE"""),967227.0)</f>
        <v>967227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f>IFERROR(__xludf.DUMMYFUNCTION("""COMPUTED_VALUE"""),45889.64583333333)</f>
        <v>45889.64583</v>
      </c>
      <c r="B231" s="7">
        <f>IFERROR(__xludf.DUMMYFUNCTION("""COMPUTED_VALUE"""),828.2)</f>
        <v>828.2</v>
      </c>
      <c r="C231" s="7">
        <f>IFERROR(__xludf.DUMMYFUNCTION("""COMPUTED_VALUE"""),831.65)</f>
        <v>831.65</v>
      </c>
      <c r="D231" s="7">
        <f>IFERROR(__xludf.DUMMYFUNCTION("""COMPUTED_VALUE"""),822.2)</f>
        <v>822.2</v>
      </c>
      <c r="E231" s="7">
        <f>IFERROR(__xludf.DUMMYFUNCTION("""COMPUTED_VALUE"""),824.2)</f>
        <v>824.2</v>
      </c>
      <c r="F231" s="7">
        <f>IFERROR(__xludf.DUMMYFUNCTION("""COMPUTED_VALUE"""),381123.0)</f>
        <v>381123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f>IFERROR(__xludf.DUMMYFUNCTION("""COMPUTED_VALUE"""),45890.64583333333)</f>
        <v>45890.64583</v>
      </c>
      <c r="B232" s="7">
        <f>IFERROR(__xludf.DUMMYFUNCTION("""COMPUTED_VALUE"""),825.0)</f>
        <v>825</v>
      </c>
      <c r="C232" s="7">
        <f>IFERROR(__xludf.DUMMYFUNCTION("""COMPUTED_VALUE"""),829.2)</f>
        <v>829.2</v>
      </c>
      <c r="D232" s="7">
        <f>IFERROR(__xludf.DUMMYFUNCTION("""COMPUTED_VALUE"""),812.0)</f>
        <v>812</v>
      </c>
      <c r="E232" s="7">
        <f>IFERROR(__xludf.DUMMYFUNCTION("""COMPUTED_VALUE"""),815.15)</f>
        <v>815.15</v>
      </c>
      <c r="F232" s="7">
        <f>IFERROR(__xludf.DUMMYFUNCTION("""COMPUTED_VALUE"""),558969.0)</f>
        <v>558969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f>IFERROR(__xludf.DUMMYFUNCTION("""COMPUTED_VALUE"""),45891.64583333333)</f>
        <v>45891.64583</v>
      </c>
      <c r="B233" s="7">
        <f>IFERROR(__xludf.DUMMYFUNCTION("""COMPUTED_VALUE"""),815.15)</f>
        <v>815.15</v>
      </c>
      <c r="C233" s="7">
        <f>IFERROR(__xludf.DUMMYFUNCTION("""COMPUTED_VALUE"""),816.0)</f>
        <v>816</v>
      </c>
      <c r="D233" s="7">
        <f>IFERROR(__xludf.DUMMYFUNCTION("""COMPUTED_VALUE"""),795.2)</f>
        <v>795.2</v>
      </c>
      <c r="E233" s="7">
        <f>IFERROR(__xludf.DUMMYFUNCTION("""COMPUTED_VALUE"""),800.15)</f>
        <v>800.15</v>
      </c>
      <c r="F233" s="7">
        <f>IFERROR(__xludf.DUMMYFUNCTION("""COMPUTED_VALUE"""),537046.0)</f>
        <v>537046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f>IFERROR(__xludf.DUMMYFUNCTION("""COMPUTED_VALUE"""),45894.64583333333)</f>
        <v>45894.64583</v>
      </c>
      <c r="B234" s="7">
        <f>IFERROR(__xludf.DUMMYFUNCTION("""COMPUTED_VALUE"""),805.0)</f>
        <v>805</v>
      </c>
      <c r="C234" s="7">
        <f>IFERROR(__xludf.DUMMYFUNCTION("""COMPUTED_VALUE"""),807.85)</f>
        <v>807.85</v>
      </c>
      <c r="D234" s="7">
        <f>IFERROR(__xludf.DUMMYFUNCTION("""COMPUTED_VALUE"""),795.05)</f>
        <v>795.05</v>
      </c>
      <c r="E234" s="7">
        <f>IFERROR(__xludf.DUMMYFUNCTION("""COMPUTED_VALUE"""),805.75)</f>
        <v>805.75</v>
      </c>
      <c r="F234" s="7">
        <f>IFERROR(__xludf.DUMMYFUNCTION("""COMPUTED_VALUE"""),718727.0)</f>
        <v>718727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f>IFERROR(__xludf.DUMMYFUNCTION("""COMPUTED_VALUE"""),45895.64583333333)</f>
        <v>45895.64583</v>
      </c>
      <c r="B235" s="7">
        <f>IFERROR(__xludf.DUMMYFUNCTION("""COMPUTED_VALUE"""),801.1)</f>
        <v>801.1</v>
      </c>
      <c r="C235" s="7">
        <f>IFERROR(__xludf.DUMMYFUNCTION("""COMPUTED_VALUE"""),803.45)</f>
        <v>803.45</v>
      </c>
      <c r="D235" s="7">
        <f>IFERROR(__xludf.DUMMYFUNCTION("""COMPUTED_VALUE"""),787.75)</f>
        <v>787.75</v>
      </c>
      <c r="E235" s="7">
        <f>IFERROR(__xludf.DUMMYFUNCTION("""COMPUTED_VALUE"""),788.65)</f>
        <v>788.65</v>
      </c>
      <c r="F235" s="7">
        <f>IFERROR(__xludf.DUMMYFUNCTION("""COMPUTED_VALUE"""),501821.0)</f>
        <v>501821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f>IFERROR(__xludf.DUMMYFUNCTION("""COMPUTED_VALUE"""),45897.64583333333)</f>
        <v>45897.64583</v>
      </c>
      <c r="B236" s="7">
        <f>IFERROR(__xludf.DUMMYFUNCTION("""COMPUTED_VALUE"""),786.0)</f>
        <v>786</v>
      </c>
      <c r="C236" s="7">
        <f>IFERROR(__xludf.DUMMYFUNCTION("""COMPUTED_VALUE"""),793.0)</f>
        <v>793</v>
      </c>
      <c r="D236" s="7">
        <f>IFERROR(__xludf.DUMMYFUNCTION("""COMPUTED_VALUE"""),767.3)</f>
        <v>767.3</v>
      </c>
      <c r="E236" s="7">
        <f>IFERROR(__xludf.DUMMYFUNCTION("""COMPUTED_VALUE"""),770.95)</f>
        <v>770.95</v>
      </c>
      <c r="F236" s="7">
        <f>IFERROR(__xludf.DUMMYFUNCTION("""COMPUTED_VALUE"""),891046.0)</f>
        <v>891046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f>IFERROR(__xludf.DUMMYFUNCTION("""COMPUTED_VALUE"""),45898.64583333333)</f>
        <v>45898.64583</v>
      </c>
      <c r="B237" s="7">
        <f>IFERROR(__xludf.DUMMYFUNCTION("""COMPUTED_VALUE"""),775.4)</f>
        <v>775.4</v>
      </c>
      <c r="C237" s="7">
        <f>IFERROR(__xludf.DUMMYFUNCTION("""COMPUTED_VALUE"""),776.4)</f>
        <v>776.4</v>
      </c>
      <c r="D237" s="7">
        <f>IFERROR(__xludf.DUMMYFUNCTION("""COMPUTED_VALUE"""),759.25)</f>
        <v>759.25</v>
      </c>
      <c r="E237" s="7">
        <f>IFERROR(__xludf.DUMMYFUNCTION("""COMPUTED_VALUE"""),764.15)</f>
        <v>764.15</v>
      </c>
      <c r="F237" s="7">
        <f>IFERROR(__xludf.DUMMYFUNCTION("""COMPUTED_VALUE"""),1341814.0)</f>
        <v>1341814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f>IFERROR(__xludf.DUMMYFUNCTION("""COMPUTED_VALUE"""),45901.64583333333)</f>
        <v>45901.64583</v>
      </c>
      <c r="B238" s="7">
        <f>IFERROR(__xludf.DUMMYFUNCTION("""COMPUTED_VALUE"""),770.15)</f>
        <v>770.15</v>
      </c>
      <c r="C238" s="7">
        <f>IFERROR(__xludf.DUMMYFUNCTION("""COMPUTED_VALUE"""),777.6)</f>
        <v>777.6</v>
      </c>
      <c r="D238" s="7">
        <f>IFERROR(__xludf.DUMMYFUNCTION("""COMPUTED_VALUE"""),763.3)</f>
        <v>763.3</v>
      </c>
      <c r="E238" s="7">
        <f>IFERROR(__xludf.DUMMYFUNCTION("""COMPUTED_VALUE"""),766.65)</f>
        <v>766.65</v>
      </c>
      <c r="F238" s="7">
        <f>IFERROR(__xludf.DUMMYFUNCTION("""COMPUTED_VALUE"""),891853.0)</f>
        <v>891853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f>IFERROR(__xludf.DUMMYFUNCTION("""COMPUTED_VALUE"""),45902.64583333333)</f>
        <v>45902.64583</v>
      </c>
      <c r="B239" s="7">
        <f>IFERROR(__xludf.DUMMYFUNCTION("""COMPUTED_VALUE"""),772.9)</f>
        <v>772.9</v>
      </c>
      <c r="C239" s="7">
        <f>IFERROR(__xludf.DUMMYFUNCTION("""COMPUTED_VALUE"""),772.95)</f>
        <v>772.95</v>
      </c>
      <c r="D239" s="7">
        <f>IFERROR(__xludf.DUMMYFUNCTION("""COMPUTED_VALUE"""),761.2)</f>
        <v>761.2</v>
      </c>
      <c r="E239" s="7">
        <f>IFERROR(__xludf.DUMMYFUNCTION("""COMPUTED_VALUE"""),763.05)</f>
        <v>763.05</v>
      </c>
      <c r="F239" s="7">
        <f>IFERROR(__xludf.DUMMYFUNCTION("""COMPUTED_VALUE"""),567133.0)</f>
        <v>567133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f>IFERROR(__xludf.DUMMYFUNCTION("""COMPUTED_VALUE"""),45903.64583333333)</f>
        <v>45903.64583</v>
      </c>
      <c r="B240" s="7">
        <f>IFERROR(__xludf.DUMMYFUNCTION("""COMPUTED_VALUE"""),768.9)</f>
        <v>768.9</v>
      </c>
      <c r="C240" s="7">
        <f>IFERROR(__xludf.DUMMYFUNCTION("""COMPUTED_VALUE"""),768.9)</f>
        <v>768.9</v>
      </c>
      <c r="D240" s="7">
        <f>IFERROR(__xludf.DUMMYFUNCTION("""COMPUTED_VALUE"""),760.1)</f>
        <v>760.1</v>
      </c>
      <c r="E240" s="7">
        <f>IFERROR(__xludf.DUMMYFUNCTION("""COMPUTED_VALUE"""),763.7)</f>
        <v>763.7</v>
      </c>
      <c r="F240" s="7">
        <f>IFERROR(__xludf.DUMMYFUNCTION("""COMPUTED_VALUE"""),565805.0)</f>
        <v>565805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f>IFERROR(__xludf.DUMMYFUNCTION("""COMPUTED_VALUE"""),45904.64583333333)</f>
        <v>45904.64583</v>
      </c>
      <c r="B241" s="7">
        <f>IFERROR(__xludf.DUMMYFUNCTION("""COMPUTED_VALUE"""),771.0)</f>
        <v>771</v>
      </c>
      <c r="C241" s="7">
        <f>IFERROR(__xludf.DUMMYFUNCTION("""COMPUTED_VALUE"""),775.25)</f>
        <v>775.25</v>
      </c>
      <c r="D241" s="7">
        <f>IFERROR(__xludf.DUMMYFUNCTION("""COMPUTED_VALUE"""),757.0)</f>
        <v>757</v>
      </c>
      <c r="E241" s="7">
        <f>IFERROR(__xludf.DUMMYFUNCTION("""COMPUTED_VALUE"""),758.35)</f>
        <v>758.35</v>
      </c>
      <c r="F241" s="7">
        <f>IFERROR(__xludf.DUMMYFUNCTION("""COMPUTED_VALUE"""),514778.0)</f>
        <v>514778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f>IFERROR(__xludf.DUMMYFUNCTION("""COMPUTED_VALUE"""),45905.64583333333)</f>
        <v>45905.64583</v>
      </c>
      <c r="B242" s="7">
        <f>IFERROR(__xludf.DUMMYFUNCTION("""COMPUTED_VALUE"""),759.0)</f>
        <v>759</v>
      </c>
      <c r="C242" s="7">
        <f>IFERROR(__xludf.DUMMYFUNCTION("""COMPUTED_VALUE"""),761.45)</f>
        <v>761.45</v>
      </c>
      <c r="D242" s="7">
        <f>IFERROR(__xludf.DUMMYFUNCTION("""COMPUTED_VALUE"""),744.9)</f>
        <v>744.9</v>
      </c>
      <c r="E242" s="7">
        <f>IFERROR(__xludf.DUMMYFUNCTION("""COMPUTED_VALUE"""),755.95)</f>
        <v>755.95</v>
      </c>
      <c r="F242" s="7">
        <f>IFERROR(__xludf.DUMMYFUNCTION("""COMPUTED_VALUE"""),880798.0)</f>
        <v>880798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f>IFERROR(__xludf.DUMMYFUNCTION("""COMPUTED_VALUE"""),45908.64583333333)</f>
        <v>45908.64583</v>
      </c>
      <c r="B243" s="7">
        <f>IFERROR(__xludf.DUMMYFUNCTION("""COMPUTED_VALUE"""),760.0)</f>
        <v>760</v>
      </c>
      <c r="C243" s="7">
        <f>IFERROR(__xludf.DUMMYFUNCTION("""COMPUTED_VALUE"""),777.95)</f>
        <v>777.95</v>
      </c>
      <c r="D243" s="7">
        <f>IFERROR(__xludf.DUMMYFUNCTION("""COMPUTED_VALUE"""),757.65)</f>
        <v>757.65</v>
      </c>
      <c r="E243" s="7">
        <f>IFERROR(__xludf.DUMMYFUNCTION("""COMPUTED_VALUE"""),776.25)</f>
        <v>776.25</v>
      </c>
      <c r="F243" s="7">
        <f>IFERROR(__xludf.DUMMYFUNCTION("""COMPUTED_VALUE"""),769043.0)</f>
        <v>769043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f>IFERROR(__xludf.DUMMYFUNCTION("""COMPUTED_VALUE"""),45909.64583333333)</f>
        <v>45909.64583</v>
      </c>
      <c r="B244" s="7">
        <f>IFERROR(__xludf.DUMMYFUNCTION("""COMPUTED_VALUE"""),780.1)</f>
        <v>780.1</v>
      </c>
      <c r="C244" s="7">
        <f>IFERROR(__xludf.DUMMYFUNCTION("""COMPUTED_VALUE"""),795.8)</f>
        <v>795.8</v>
      </c>
      <c r="D244" s="7">
        <f>IFERROR(__xludf.DUMMYFUNCTION("""COMPUTED_VALUE"""),773.55)</f>
        <v>773.55</v>
      </c>
      <c r="E244" s="7">
        <f>IFERROR(__xludf.DUMMYFUNCTION("""COMPUTED_VALUE"""),794.15)</f>
        <v>794.15</v>
      </c>
      <c r="F244" s="7">
        <f>IFERROR(__xludf.DUMMYFUNCTION("""COMPUTED_VALUE"""),1363001.0)</f>
        <v>1363001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f>IFERROR(__xludf.DUMMYFUNCTION("""COMPUTED_VALUE"""),45910.64583333333)</f>
        <v>45910.64583</v>
      </c>
      <c r="B245" s="7">
        <f>IFERROR(__xludf.DUMMYFUNCTION("""COMPUTED_VALUE"""),794.15)</f>
        <v>794.15</v>
      </c>
      <c r="C245" s="7">
        <f>IFERROR(__xludf.DUMMYFUNCTION("""COMPUTED_VALUE"""),816.55)</f>
        <v>816.55</v>
      </c>
      <c r="D245" s="7">
        <f>IFERROR(__xludf.DUMMYFUNCTION("""COMPUTED_VALUE"""),792.05)</f>
        <v>792.05</v>
      </c>
      <c r="E245" s="7">
        <f>IFERROR(__xludf.DUMMYFUNCTION("""COMPUTED_VALUE"""),811.75)</f>
        <v>811.75</v>
      </c>
      <c r="F245" s="7">
        <f>IFERROR(__xludf.DUMMYFUNCTION("""COMPUTED_VALUE"""),1040743.0)</f>
        <v>1040743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f>IFERROR(__xludf.DUMMYFUNCTION("""COMPUTED_VALUE"""),45911.64583333333)</f>
        <v>45911.64583</v>
      </c>
      <c r="B246" s="7">
        <f>IFERROR(__xludf.DUMMYFUNCTION("""COMPUTED_VALUE"""),814.0)</f>
        <v>814</v>
      </c>
      <c r="C246" s="7">
        <f>IFERROR(__xludf.DUMMYFUNCTION("""COMPUTED_VALUE"""),838.5)</f>
        <v>838.5</v>
      </c>
      <c r="D246" s="7">
        <f>IFERROR(__xludf.DUMMYFUNCTION("""COMPUTED_VALUE"""),811.6)</f>
        <v>811.6</v>
      </c>
      <c r="E246" s="7">
        <f>IFERROR(__xludf.DUMMYFUNCTION("""COMPUTED_VALUE"""),813.7)</f>
        <v>813.7</v>
      </c>
      <c r="F246" s="7">
        <f>IFERROR(__xludf.DUMMYFUNCTION("""COMPUTED_VALUE"""),1366037.0)</f>
        <v>1366037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f>IFERROR(__xludf.DUMMYFUNCTION("""COMPUTED_VALUE"""),45912.64583333333)</f>
        <v>45912.64583</v>
      </c>
      <c r="B247" s="7">
        <f>IFERROR(__xludf.DUMMYFUNCTION("""COMPUTED_VALUE"""),817.35)</f>
        <v>817.35</v>
      </c>
      <c r="C247" s="7">
        <f>IFERROR(__xludf.DUMMYFUNCTION("""COMPUTED_VALUE"""),831.3)</f>
        <v>831.3</v>
      </c>
      <c r="D247" s="7">
        <f>IFERROR(__xludf.DUMMYFUNCTION("""COMPUTED_VALUE"""),812.6)</f>
        <v>812.6</v>
      </c>
      <c r="E247" s="7">
        <f>IFERROR(__xludf.DUMMYFUNCTION("""COMPUTED_VALUE"""),829.9)</f>
        <v>829.9</v>
      </c>
      <c r="F247" s="7">
        <f>IFERROR(__xludf.DUMMYFUNCTION("""COMPUTED_VALUE"""),1214068.0)</f>
        <v>1214068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f>IFERROR(__xludf.DUMMYFUNCTION("""COMPUTED_VALUE"""),45915.64583333333)</f>
        <v>45915.64583</v>
      </c>
      <c r="B248" s="7">
        <f>IFERROR(__xludf.DUMMYFUNCTION("""COMPUTED_VALUE"""),834.0)</f>
        <v>834</v>
      </c>
      <c r="C248" s="7">
        <f>IFERROR(__xludf.DUMMYFUNCTION("""COMPUTED_VALUE"""),843.4)</f>
        <v>843.4</v>
      </c>
      <c r="D248" s="7">
        <f>IFERROR(__xludf.DUMMYFUNCTION("""COMPUTED_VALUE"""),830.05)</f>
        <v>830.05</v>
      </c>
      <c r="E248" s="7">
        <f>IFERROR(__xludf.DUMMYFUNCTION("""COMPUTED_VALUE"""),837.15)</f>
        <v>837.15</v>
      </c>
      <c r="F248" s="7">
        <f>IFERROR(__xludf.DUMMYFUNCTION("""COMPUTED_VALUE"""),1406308.0)</f>
        <v>1406308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